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/>
  <mc:AlternateContent xmlns:mc="http://schemas.openxmlformats.org/markup-compatibility/2006">
    <mc:Choice Requires="x15">
      <x15ac:absPath xmlns:x15ac="http://schemas.microsoft.com/office/spreadsheetml/2010/11/ac" url="C:\Users\kmm13\Desktop\"/>
    </mc:Choice>
  </mc:AlternateContent>
  <bookViews>
    <workbookView xWindow="0" yWindow="0" windowWidth="19440" windowHeight="7995"/>
  </bookViews>
  <sheets>
    <sheet name="Funds Flow Summary" sheetId="1" r:id="rId1"/>
    <sheet name="Funds Flow - Partner Detail" sheetId="2" r:id="rId2"/>
    <sheet name="2nd Tier Funds Flow" sheetId="27" r:id="rId3"/>
    <sheet name="Partner Engagement" sheetId="3" r:id="rId4"/>
    <sheet name="NYP Perf Network 032017" sheetId="26" state="hidden" r:id="rId5"/>
  </sheets>
  <externalReferences>
    <externalReference r:id="rId6"/>
    <externalReference r:id="rId7"/>
  </externalReferences>
  <definedNames>
    <definedName name="_xlnm._FilterDatabase" localSheetId="4" hidden="1">'NYP Perf Network 032017'!$A$1:$AI$3547</definedName>
    <definedName name="_xlnm.Print_Area" localSheetId="2">'2nd Tier Funds Flow'!$A$1:$J$300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8" i="2" l="1"/>
  <c r="D37" i="2"/>
  <c r="B37" i="2"/>
  <c r="B62" i="2" l="1"/>
  <c r="B45" i="2"/>
  <c r="J81" i="2"/>
  <c r="J82" i="2"/>
  <c r="J84" i="2" l="1"/>
  <c r="B61" i="2"/>
  <c r="B21" i="2"/>
  <c r="B29" i="2"/>
  <c r="I12" i="2" l="1"/>
  <c r="H12" i="2"/>
  <c r="C5" i="1" s="1"/>
  <c r="I20" i="2"/>
  <c r="D6" i="1" s="1"/>
  <c r="H20" i="2"/>
  <c r="I28" i="2"/>
  <c r="D7" i="1" s="1"/>
  <c r="H28" i="2"/>
  <c r="C7" i="1" s="1"/>
  <c r="I36" i="2"/>
  <c r="D8" i="1" s="1"/>
  <c r="H36" i="2"/>
  <c r="C8" i="1" s="1"/>
  <c r="I44" i="2"/>
  <c r="D9" i="1" s="1"/>
  <c r="H44" i="2"/>
  <c r="I52" i="2"/>
  <c r="D10" i="1" s="1"/>
  <c r="H52" i="2"/>
  <c r="C10" i="1" s="1"/>
  <c r="I60" i="2"/>
  <c r="H60" i="2"/>
  <c r="C11" i="1" s="1"/>
  <c r="I68" i="2"/>
  <c r="D12" i="1" s="1"/>
  <c r="H68" i="2"/>
  <c r="I76" i="2"/>
  <c r="H76" i="2"/>
  <c r="C13" i="1" s="1"/>
  <c r="I87" i="2"/>
  <c r="D14" i="1" s="1"/>
  <c r="H87" i="2"/>
  <c r="C14" i="1" s="1"/>
  <c r="I95" i="2"/>
  <c r="H95" i="2"/>
  <c r="C15" i="1" s="1"/>
  <c r="I103" i="2"/>
  <c r="H103" i="2"/>
  <c r="I111" i="2"/>
  <c r="H111" i="2"/>
  <c r="C17" i="1" s="1"/>
  <c r="I119" i="2"/>
  <c r="D18" i="1" s="1"/>
  <c r="H119" i="2"/>
  <c r="I127" i="2"/>
  <c r="H127" i="2"/>
  <c r="C20" i="1" s="1"/>
  <c r="I135" i="2"/>
  <c r="H135" i="2"/>
  <c r="C21" i="1" s="1"/>
  <c r="G21" i="1" s="1"/>
  <c r="I143" i="2"/>
  <c r="H143" i="2"/>
  <c r="C22" i="1" s="1"/>
  <c r="I151" i="2"/>
  <c r="H151" i="2"/>
  <c r="C23" i="1" s="1"/>
  <c r="J149" i="2"/>
  <c r="J148" i="2"/>
  <c r="J147" i="2"/>
  <c r="J146" i="2"/>
  <c r="J145" i="2"/>
  <c r="J144" i="2"/>
  <c r="J151" i="2" s="1"/>
  <c r="J141" i="2"/>
  <c r="J140" i="2"/>
  <c r="J139" i="2"/>
  <c r="J138" i="2"/>
  <c r="J137" i="2"/>
  <c r="J136" i="2"/>
  <c r="J133" i="2"/>
  <c r="J132" i="2"/>
  <c r="J131" i="2"/>
  <c r="J130" i="2"/>
  <c r="J129" i="2"/>
  <c r="J128" i="2"/>
  <c r="J135" i="2" s="1"/>
  <c r="J125" i="2"/>
  <c r="J124" i="2"/>
  <c r="J123" i="2"/>
  <c r="J122" i="2"/>
  <c r="J121" i="2"/>
  <c r="J120" i="2"/>
  <c r="J117" i="2"/>
  <c r="J116" i="2"/>
  <c r="J115" i="2"/>
  <c r="J114" i="2"/>
  <c r="J113" i="2"/>
  <c r="J112" i="2"/>
  <c r="J119" i="2" s="1"/>
  <c r="J109" i="2"/>
  <c r="J108" i="2"/>
  <c r="J107" i="2"/>
  <c r="J106" i="2"/>
  <c r="J105" i="2"/>
  <c r="J104" i="2"/>
  <c r="J101" i="2"/>
  <c r="J100" i="2"/>
  <c r="J99" i="2"/>
  <c r="J98" i="2"/>
  <c r="J97" i="2"/>
  <c r="J96" i="2"/>
  <c r="J103" i="2" s="1"/>
  <c r="J93" i="2"/>
  <c r="J92" i="2"/>
  <c r="J91" i="2"/>
  <c r="J90" i="2"/>
  <c r="J89" i="2"/>
  <c r="J88" i="2"/>
  <c r="J85" i="2"/>
  <c r="J83" i="2"/>
  <c r="J80" i="2"/>
  <c r="J79" i="2"/>
  <c r="J78" i="2"/>
  <c r="J77" i="2"/>
  <c r="J74" i="2"/>
  <c r="J73" i="2"/>
  <c r="J72" i="2"/>
  <c r="J71" i="2"/>
  <c r="J70" i="2"/>
  <c r="J69" i="2"/>
  <c r="J66" i="2"/>
  <c r="J65" i="2"/>
  <c r="J64" i="2"/>
  <c r="J63" i="2"/>
  <c r="J62" i="2"/>
  <c r="J61" i="2"/>
  <c r="J58" i="2"/>
  <c r="J57" i="2"/>
  <c r="J56" i="2"/>
  <c r="J55" i="2"/>
  <c r="J54" i="2"/>
  <c r="J53" i="2"/>
  <c r="J50" i="2"/>
  <c r="J49" i="2"/>
  <c r="J48" i="2"/>
  <c r="J47" i="2"/>
  <c r="J46" i="2"/>
  <c r="J45" i="2"/>
  <c r="J42" i="2"/>
  <c r="J41" i="2"/>
  <c r="J40" i="2"/>
  <c r="J39" i="2"/>
  <c r="J38" i="2"/>
  <c r="J37" i="2"/>
  <c r="J34" i="2"/>
  <c r="J33" i="2"/>
  <c r="J32" i="2"/>
  <c r="J31" i="2"/>
  <c r="J30" i="2"/>
  <c r="J29" i="2"/>
  <c r="J26" i="2"/>
  <c r="J25" i="2"/>
  <c r="J24" i="2"/>
  <c r="J23" i="2"/>
  <c r="J22" i="2"/>
  <c r="J21" i="2"/>
  <c r="J18" i="2"/>
  <c r="J17" i="2"/>
  <c r="J16" i="2"/>
  <c r="J15" i="2"/>
  <c r="J14" i="2"/>
  <c r="J13" i="2"/>
  <c r="J10" i="2"/>
  <c r="J9" i="2"/>
  <c r="J8" i="2"/>
  <c r="J7" i="2"/>
  <c r="J6" i="2"/>
  <c r="J5" i="2"/>
  <c r="D23" i="1"/>
  <c r="D22" i="1"/>
  <c r="D21" i="1"/>
  <c r="H21" i="1" s="1"/>
  <c r="D20" i="1"/>
  <c r="D17" i="1"/>
  <c r="D16" i="1"/>
  <c r="D15" i="1"/>
  <c r="D13" i="1"/>
  <c r="D11" i="1"/>
  <c r="D5" i="1"/>
  <c r="C18" i="1"/>
  <c r="C16" i="1"/>
  <c r="C12" i="1"/>
  <c r="C9" i="1"/>
  <c r="C6" i="1"/>
  <c r="J95" i="2" l="1"/>
  <c r="J127" i="2"/>
  <c r="J111" i="2"/>
  <c r="J143" i="2"/>
  <c r="J12" i="2"/>
  <c r="J28" i="2"/>
  <c r="J60" i="2"/>
  <c r="J76" i="2"/>
  <c r="J36" i="2"/>
  <c r="J52" i="2"/>
  <c r="J20" i="2"/>
  <c r="J68" i="2"/>
  <c r="J87" i="2"/>
  <c r="J44" i="2"/>
  <c r="E21" i="1"/>
  <c r="I21" i="1" s="1"/>
  <c r="Q3547" i="26"/>
  <c r="AA3546" i="26"/>
  <c r="B3546" i="26"/>
  <c r="A3546" i="26"/>
  <c r="Q3545" i="26"/>
  <c r="V3544" i="26"/>
  <c r="A3544" i="26"/>
  <c r="V3543" i="26"/>
  <c r="A3543" i="26"/>
  <c r="AA3542" i="26"/>
  <c r="B3542" i="26"/>
  <c r="A3542" i="26"/>
  <c r="V3541" i="26"/>
  <c r="A3541" i="26"/>
  <c r="V3540" i="26"/>
  <c r="A3540" i="26"/>
  <c r="AA3539" i="26"/>
  <c r="B3539" i="26"/>
  <c r="A3539" i="26"/>
  <c r="V3538" i="26"/>
  <c r="A3538" i="26"/>
  <c r="Q3537" i="26"/>
  <c r="AA3536" i="26"/>
  <c r="B3536" i="26"/>
  <c r="A3536" i="26"/>
  <c r="Q3535" i="26"/>
  <c r="V3534" i="26"/>
  <c r="A3534" i="26"/>
  <c r="V3533" i="26"/>
  <c r="A3533" i="26"/>
  <c r="V3532" i="26"/>
  <c r="A3532" i="26"/>
  <c r="V3531" i="26"/>
  <c r="A3531" i="26"/>
  <c r="V3530" i="26"/>
  <c r="A3530" i="26"/>
  <c r="V3529" i="26"/>
  <c r="A3529" i="26"/>
  <c r="AA3528" i="26"/>
  <c r="B3528" i="26"/>
  <c r="A3528" i="26"/>
  <c r="AA3527" i="26"/>
  <c r="B3527" i="26"/>
  <c r="A3527" i="26"/>
  <c r="V3526" i="26"/>
  <c r="A3526" i="26"/>
  <c r="V3525" i="26"/>
  <c r="A3525" i="26"/>
  <c r="AA3524" i="26"/>
  <c r="B3524" i="26"/>
  <c r="A3524" i="26"/>
  <c r="AA3523" i="26"/>
  <c r="B3523" i="26"/>
  <c r="A3523" i="26"/>
  <c r="V3522" i="26"/>
  <c r="A3522" i="26"/>
  <c r="V3521" i="26"/>
  <c r="A3521" i="26"/>
  <c r="AA3520" i="26"/>
  <c r="B3520" i="26"/>
  <c r="A3520" i="26"/>
  <c r="V3519" i="26"/>
  <c r="A3519" i="26"/>
  <c r="AA3518" i="26"/>
  <c r="B3518" i="26"/>
  <c r="A3518" i="26"/>
  <c r="V3517" i="26"/>
  <c r="A3517" i="26"/>
  <c r="V3516" i="26"/>
  <c r="A3516" i="26"/>
  <c r="V3515" i="26"/>
  <c r="A3515" i="26"/>
  <c r="V3514" i="26"/>
  <c r="A3514" i="26"/>
  <c r="Q3513" i="26"/>
  <c r="V3512" i="26"/>
  <c r="A3512" i="26"/>
  <c r="V3511" i="26"/>
  <c r="A3511" i="26"/>
  <c r="V3510" i="26"/>
  <c r="A3510" i="26"/>
  <c r="V3509" i="26"/>
  <c r="A3509" i="26"/>
  <c r="V3508" i="26"/>
  <c r="A3508" i="26"/>
  <c r="V3507" i="26"/>
  <c r="A3507" i="26"/>
  <c r="V3506" i="26"/>
  <c r="A3506" i="26"/>
  <c r="V3505" i="26"/>
  <c r="A3505" i="26"/>
  <c r="V3504" i="26"/>
  <c r="A3504" i="26"/>
  <c r="V3503" i="26"/>
  <c r="A3503" i="26"/>
  <c r="V3502" i="26"/>
  <c r="A3502" i="26"/>
  <c r="V3501" i="26"/>
  <c r="A3501" i="26"/>
  <c r="V3500" i="26"/>
  <c r="A3500" i="26"/>
  <c r="V3499" i="26"/>
  <c r="A3499" i="26"/>
  <c r="V3498" i="26"/>
  <c r="A3498" i="26"/>
  <c r="V3497" i="26"/>
  <c r="A3497" i="26"/>
  <c r="V3496" i="26"/>
  <c r="A3496" i="26"/>
  <c r="V3495" i="26"/>
  <c r="A3495" i="26"/>
  <c r="V3494" i="26"/>
  <c r="A3494" i="26"/>
  <c r="V3493" i="26"/>
  <c r="A3493" i="26"/>
  <c r="V3492" i="26"/>
  <c r="A3492" i="26"/>
  <c r="V3491" i="26"/>
  <c r="A3491" i="26"/>
  <c r="V3490" i="26"/>
  <c r="A3490" i="26"/>
  <c r="V3489" i="26"/>
  <c r="A3489" i="26"/>
  <c r="V3488" i="26"/>
  <c r="A3488" i="26"/>
  <c r="V3487" i="26"/>
  <c r="A3487" i="26"/>
  <c r="V3486" i="26"/>
  <c r="A3486" i="26"/>
  <c r="V3485" i="26"/>
  <c r="A3485" i="26"/>
  <c r="V3484" i="26"/>
  <c r="A3484" i="26"/>
  <c r="V3483" i="26"/>
  <c r="A3483" i="26"/>
  <c r="V3482" i="26"/>
  <c r="A3482" i="26"/>
  <c r="V3481" i="26"/>
  <c r="A3481" i="26"/>
  <c r="V3480" i="26"/>
  <c r="A3480" i="26"/>
  <c r="V3479" i="26"/>
  <c r="A3479" i="26"/>
  <c r="V3478" i="26"/>
  <c r="A3478" i="26"/>
  <c r="V3477" i="26"/>
  <c r="A3477" i="26"/>
  <c r="V3476" i="26"/>
  <c r="A3476" i="26"/>
  <c r="V3475" i="26"/>
  <c r="A3475" i="26"/>
  <c r="V3474" i="26"/>
  <c r="A3474" i="26"/>
  <c r="V3473" i="26"/>
  <c r="A3473" i="26"/>
  <c r="V3472" i="26"/>
  <c r="A3472" i="26"/>
  <c r="V3471" i="26"/>
  <c r="A3471" i="26"/>
  <c r="V3470" i="26"/>
  <c r="A3470" i="26"/>
  <c r="V3469" i="26"/>
  <c r="A3469" i="26"/>
  <c r="V3468" i="26"/>
  <c r="A3468" i="26"/>
  <c r="V3467" i="26"/>
  <c r="A3467" i="26"/>
  <c r="V3466" i="26"/>
  <c r="A3466" i="26"/>
  <c r="V3465" i="26"/>
  <c r="A3465" i="26"/>
  <c r="V3464" i="26"/>
  <c r="A3464" i="26"/>
  <c r="V3463" i="26"/>
  <c r="A3463" i="26"/>
  <c r="V3462" i="26"/>
  <c r="A3462" i="26"/>
  <c r="V3461" i="26"/>
  <c r="A3461" i="26"/>
  <c r="V3460" i="26"/>
  <c r="A3460" i="26"/>
  <c r="V3459" i="26"/>
  <c r="A3459" i="26"/>
  <c r="V3458" i="26"/>
  <c r="A3458" i="26"/>
  <c r="V3457" i="26"/>
  <c r="A3457" i="26"/>
  <c r="V3456" i="26"/>
  <c r="A3456" i="26"/>
  <c r="V3455" i="26"/>
  <c r="A3455" i="26"/>
  <c r="V3454" i="26"/>
  <c r="A3454" i="26"/>
  <c r="V3453" i="26"/>
  <c r="A3453" i="26"/>
  <c r="V3452" i="26"/>
  <c r="A3452" i="26"/>
  <c r="V3451" i="26"/>
  <c r="A3451" i="26"/>
  <c r="V3450" i="26"/>
  <c r="A3450" i="26"/>
  <c r="V3449" i="26"/>
  <c r="A3449" i="26"/>
  <c r="V3448" i="26"/>
  <c r="A3448" i="26"/>
  <c r="V3447" i="26"/>
  <c r="A3447" i="26"/>
  <c r="V3446" i="26"/>
  <c r="A3446" i="26"/>
  <c r="V3445" i="26"/>
  <c r="A3445" i="26"/>
  <c r="V3444" i="26"/>
  <c r="A3444" i="26"/>
  <c r="V3443" i="26"/>
  <c r="A3443" i="26"/>
  <c r="V3442" i="26"/>
  <c r="A3442" i="26"/>
  <c r="V3441" i="26"/>
  <c r="A3441" i="26"/>
  <c r="V3440" i="26"/>
  <c r="A3440" i="26"/>
  <c r="V3439" i="26"/>
  <c r="A3439" i="26"/>
  <c r="V3438" i="26"/>
  <c r="A3438" i="26"/>
  <c r="V3437" i="26"/>
  <c r="A3437" i="26"/>
  <c r="V3436" i="26"/>
  <c r="A3436" i="26"/>
  <c r="V3435" i="26"/>
  <c r="A3435" i="26"/>
  <c r="V3434" i="26"/>
  <c r="A3434" i="26"/>
  <c r="V3433" i="26"/>
  <c r="A3433" i="26"/>
  <c r="V3432" i="26"/>
  <c r="A3432" i="26"/>
  <c r="V3431" i="26"/>
  <c r="A3431" i="26"/>
  <c r="V3430" i="26"/>
  <c r="A3430" i="26"/>
  <c r="V3429" i="26"/>
  <c r="A3429" i="26"/>
  <c r="V3428" i="26"/>
  <c r="A3428" i="26"/>
  <c r="V3427" i="26"/>
  <c r="A3427" i="26"/>
  <c r="V3426" i="26"/>
  <c r="A3426" i="26"/>
  <c r="V3425" i="26"/>
  <c r="A3425" i="26"/>
  <c r="V3424" i="26"/>
  <c r="A3424" i="26"/>
  <c r="V3423" i="26"/>
  <c r="A3423" i="26"/>
  <c r="V3422" i="26"/>
  <c r="A3422" i="26"/>
  <c r="V3421" i="26"/>
  <c r="A3421" i="26"/>
  <c r="V3420" i="26"/>
  <c r="A3420" i="26"/>
  <c r="V3419" i="26"/>
  <c r="A3419" i="26"/>
  <c r="V3418" i="26"/>
  <c r="A3418" i="26"/>
  <c r="V3417" i="26"/>
  <c r="A3417" i="26"/>
  <c r="V3416" i="26"/>
  <c r="A3416" i="26"/>
  <c r="V3415" i="26"/>
  <c r="A3415" i="26"/>
  <c r="V3414" i="26"/>
  <c r="A3414" i="26"/>
  <c r="V3413" i="26"/>
  <c r="A3413" i="26"/>
  <c r="V3412" i="26"/>
  <c r="A3412" i="26"/>
  <c r="V3411" i="26"/>
  <c r="A3411" i="26"/>
  <c r="V3410" i="26"/>
  <c r="A3410" i="26"/>
  <c r="V3409" i="26"/>
  <c r="A3409" i="26"/>
  <c r="V3408" i="26"/>
  <c r="A3408" i="26"/>
  <c r="V3407" i="26"/>
  <c r="A3407" i="26"/>
  <c r="V3406" i="26"/>
  <c r="A3406" i="26"/>
  <c r="V3405" i="26"/>
  <c r="A3405" i="26"/>
  <c r="V3404" i="26"/>
  <c r="A3404" i="26"/>
  <c r="V3403" i="26"/>
  <c r="A3403" i="26"/>
  <c r="V3402" i="26"/>
  <c r="A3402" i="26"/>
  <c r="V3401" i="26"/>
  <c r="A3401" i="26"/>
  <c r="V3400" i="26"/>
  <c r="A3400" i="26"/>
  <c r="V3399" i="26"/>
  <c r="A3399" i="26"/>
  <c r="V3398" i="26"/>
  <c r="A3398" i="26"/>
  <c r="V3397" i="26"/>
  <c r="A3397" i="26"/>
  <c r="V3396" i="26"/>
  <c r="A3396" i="26"/>
  <c r="V3395" i="26"/>
  <c r="A3395" i="26"/>
  <c r="V3394" i="26"/>
  <c r="A3394" i="26"/>
  <c r="V3393" i="26"/>
  <c r="A3393" i="26"/>
  <c r="V3392" i="26"/>
  <c r="A3392" i="26"/>
  <c r="V3391" i="26"/>
  <c r="A3391" i="26"/>
  <c r="V3390" i="26"/>
  <c r="A3390" i="26"/>
  <c r="V3389" i="26"/>
  <c r="A3389" i="26"/>
  <c r="V3388" i="26"/>
  <c r="A3388" i="26"/>
  <c r="V3387" i="26"/>
  <c r="A3387" i="26"/>
  <c r="V3386" i="26"/>
  <c r="A3386" i="26"/>
  <c r="V3385" i="26"/>
  <c r="A3385" i="26"/>
  <c r="V3384" i="26"/>
  <c r="A3384" i="26"/>
  <c r="V3383" i="26"/>
  <c r="A3383" i="26"/>
  <c r="V3382" i="26"/>
  <c r="A3382" i="26"/>
  <c r="V3381" i="26"/>
  <c r="A3381" i="26"/>
  <c r="V3380" i="26"/>
  <c r="A3380" i="26"/>
  <c r="V3379" i="26"/>
  <c r="A3379" i="26"/>
  <c r="V3378" i="26"/>
  <c r="A3378" i="26"/>
  <c r="V3377" i="26"/>
  <c r="A3377" i="26"/>
  <c r="V3376" i="26"/>
  <c r="A3376" i="26"/>
  <c r="V3375" i="26"/>
  <c r="A3375" i="26"/>
  <c r="V3374" i="26"/>
  <c r="A3374" i="26"/>
  <c r="V3373" i="26"/>
  <c r="A3373" i="26"/>
  <c r="V3372" i="26"/>
  <c r="A3372" i="26"/>
  <c r="V3371" i="26"/>
  <c r="A3371" i="26"/>
  <c r="V3370" i="26"/>
  <c r="A3370" i="26"/>
  <c r="V3369" i="26"/>
  <c r="A3369" i="26"/>
  <c r="V3368" i="26"/>
  <c r="A3368" i="26"/>
  <c r="V3367" i="26"/>
  <c r="A3367" i="26"/>
  <c r="V3366" i="26"/>
  <c r="A3366" i="26"/>
  <c r="V3365" i="26"/>
  <c r="A3365" i="26"/>
  <c r="V3364" i="26"/>
  <c r="A3364" i="26"/>
  <c r="V3363" i="26"/>
  <c r="A3363" i="26"/>
  <c r="V3362" i="26"/>
  <c r="A3362" i="26"/>
  <c r="V3361" i="26"/>
  <c r="A3361" i="26"/>
  <c r="V3360" i="26"/>
  <c r="A3360" i="26"/>
  <c r="V3359" i="26"/>
  <c r="A3359" i="26"/>
  <c r="V3358" i="26"/>
  <c r="A3358" i="26"/>
  <c r="V3357" i="26"/>
  <c r="A3357" i="26"/>
  <c r="V3356" i="26"/>
  <c r="A3356" i="26"/>
  <c r="V3355" i="26"/>
  <c r="A3355" i="26"/>
  <c r="V3354" i="26"/>
  <c r="A3354" i="26"/>
  <c r="V3353" i="26"/>
  <c r="A3353" i="26"/>
  <c r="V3352" i="26"/>
  <c r="A3352" i="26"/>
  <c r="V3351" i="26"/>
  <c r="A3351" i="26"/>
  <c r="V3350" i="26"/>
  <c r="A3350" i="26"/>
  <c r="V3349" i="26"/>
  <c r="A3349" i="26"/>
  <c r="V3348" i="26"/>
  <c r="A3348" i="26"/>
  <c r="V3347" i="26"/>
  <c r="A3347" i="26"/>
  <c r="V3346" i="26"/>
  <c r="A3346" i="26"/>
  <c r="V3345" i="26"/>
  <c r="A3345" i="26"/>
  <c r="V3344" i="26"/>
  <c r="A3344" i="26"/>
  <c r="V3343" i="26"/>
  <c r="A3343" i="26"/>
  <c r="V3342" i="26"/>
  <c r="A3342" i="26"/>
  <c r="V3341" i="26"/>
  <c r="A3341" i="26"/>
  <c r="V3340" i="26"/>
  <c r="A3340" i="26"/>
  <c r="V3339" i="26"/>
  <c r="A3339" i="26"/>
  <c r="V3338" i="26"/>
  <c r="A3338" i="26"/>
  <c r="V3337" i="26"/>
  <c r="A3337" i="26"/>
  <c r="V3336" i="26"/>
  <c r="A3336" i="26"/>
  <c r="V3335" i="26"/>
  <c r="A3335" i="26"/>
  <c r="V3334" i="26"/>
  <c r="A3334" i="26"/>
  <c r="V3333" i="26"/>
  <c r="A3333" i="26"/>
  <c r="V3332" i="26"/>
  <c r="A3332" i="26"/>
  <c r="V3331" i="26"/>
  <c r="A3331" i="26"/>
  <c r="V3330" i="26"/>
  <c r="A3330" i="26"/>
  <c r="V3329" i="26"/>
  <c r="A3329" i="26"/>
  <c r="V3328" i="26"/>
  <c r="A3328" i="26"/>
  <c r="V3327" i="26"/>
  <c r="A3327" i="26"/>
  <c r="V3326" i="26"/>
  <c r="A3326" i="26"/>
  <c r="V3325" i="26"/>
  <c r="A3325" i="26"/>
  <c r="V3324" i="26"/>
  <c r="A3324" i="26"/>
  <c r="V3323" i="26"/>
  <c r="A3323" i="26"/>
  <c r="V3322" i="26"/>
  <c r="A3322" i="26"/>
  <c r="V3321" i="26"/>
  <c r="A3321" i="26"/>
  <c r="V3320" i="26"/>
  <c r="A3320" i="26"/>
  <c r="V3319" i="26"/>
  <c r="A3319" i="26"/>
  <c r="V3318" i="26"/>
  <c r="A3318" i="26"/>
  <c r="V3317" i="26"/>
  <c r="A3317" i="26"/>
  <c r="V3316" i="26"/>
  <c r="A3316" i="26"/>
  <c r="V3315" i="26"/>
  <c r="A3315" i="26"/>
  <c r="V3314" i="26"/>
  <c r="A3314" i="26"/>
  <c r="V3313" i="26"/>
  <c r="A3313" i="26"/>
  <c r="V3312" i="26"/>
  <c r="A3312" i="26"/>
  <c r="V3311" i="26"/>
  <c r="A3311" i="26"/>
  <c r="V3310" i="26"/>
  <c r="A3310" i="26"/>
  <c r="V3309" i="26"/>
  <c r="A3309" i="26"/>
  <c r="V3308" i="26"/>
  <c r="A3308" i="26"/>
  <c r="V3307" i="26"/>
  <c r="A3307" i="26"/>
  <c r="V3306" i="26"/>
  <c r="A3306" i="26"/>
  <c r="V3305" i="26"/>
  <c r="A3305" i="26"/>
  <c r="V3304" i="26"/>
  <c r="A3304" i="26"/>
  <c r="V3303" i="26"/>
  <c r="A3303" i="26"/>
  <c r="V3302" i="26"/>
  <c r="A3302" i="26"/>
  <c r="V3301" i="26"/>
  <c r="A3301" i="26"/>
  <c r="V3300" i="26"/>
  <c r="A3300" i="26"/>
  <c r="V3299" i="26"/>
  <c r="A3299" i="26"/>
  <c r="V3298" i="26"/>
  <c r="A3298" i="26"/>
  <c r="V3297" i="26"/>
  <c r="A3297" i="26"/>
  <c r="V3296" i="26"/>
  <c r="A3296" i="26"/>
  <c r="V3295" i="26"/>
  <c r="A3295" i="26"/>
  <c r="V3294" i="26"/>
  <c r="A3294" i="26"/>
  <c r="V3293" i="26"/>
  <c r="A3293" i="26"/>
  <c r="V3292" i="26"/>
  <c r="A3292" i="26"/>
  <c r="V3291" i="26"/>
  <c r="A3291" i="26"/>
  <c r="V3290" i="26"/>
  <c r="A3290" i="26"/>
  <c r="V3289" i="26"/>
  <c r="A3289" i="26"/>
  <c r="V3288" i="26"/>
  <c r="A3288" i="26"/>
  <c r="V3287" i="26"/>
  <c r="A3287" i="26"/>
  <c r="V3286" i="26"/>
  <c r="A3286" i="26"/>
  <c r="V3285" i="26"/>
  <c r="A3285" i="26"/>
  <c r="V3284" i="26"/>
  <c r="A3284" i="26"/>
  <c r="V3283" i="26"/>
  <c r="A3283" i="26"/>
  <c r="V3282" i="26"/>
  <c r="A3282" i="26"/>
  <c r="V3281" i="26"/>
  <c r="A3281" i="26"/>
  <c r="V3280" i="26"/>
  <c r="A3280" i="26"/>
  <c r="V3279" i="26"/>
  <c r="A3279" i="26"/>
  <c r="V3278" i="26"/>
  <c r="A3278" i="26"/>
  <c r="V3277" i="26"/>
  <c r="A3277" i="26"/>
  <c r="V3276" i="26"/>
  <c r="A3276" i="26"/>
  <c r="V3275" i="26"/>
  <c r="A3275" i="26"/>
  <c r="V3274" i="26"/>
  <c r="A3274" i="26"/>
  <c r="V3273" i="26"/>
  <c r="A3273" i="26"/>
  <c r="V3272" i="26"/>
  <c r="A3272" i="26"/>
  <c r="V3271" i="26"/>
  <c r="A3271" i="26"/>
  <c r="V3270" i="26"/>
  <c r="A3270" i="26"/>
  <c r="V3269" i="26"/>
  <c r="A3269" i="26"/>
  <c r="V3268" i="26"/>
  <c r="A3268" i="26"/>
  <c r="V3267" i="26"/>
  <c r="A3267" i="26"/>
  <c r="V3266" i="26"/>
  <c r="A3266" i="26"/>
  <c r="V3265" i="26"/>
  <c r="A3265" i="26"/>
  <c r="V3264" i="26"/>
  <c r="A3264" i="26"/>
  <c r="V3263" i="26"/>
  <c r="A3263" i="26"/>
  <c r="V3262" i="26"/>
  <c r="A3262" i="26"/>
  <c r="V3261" i="26"/>
  <c r="A3261" i="26"/>
  <c r="V3260" i="26"/>
  <c r="A3260" i="26"/>
  <c r="V3259" i="26"/>
  <c r="A3259" i="26"/>
  <c r="V3258" i="26"/>
  <c r="A3258" i="26"/>
  <c r="V3257" i="26"/>
  <c r="A3257" i="26"/>
  <c r="V3256" i="26"/>
  <c r="A3256" i="26"/>
  <c r="V3255" i="26"/>
  <c r="A3255" i="26"/>
  <c r="V3254" i="26"/>
  <c r="A3254" i="26"/>
  <c r="V3253" i="26"/>
  <c r="A3253" i="26"/>
  <c r="V3252" i="26"/>
  <c r="A3252" i="26"/>
  <c r="V3251" i="26"/>
  <c r="A3251" i="26"/>
  <c r="V3250" i="26"/>
  <c r="A3250" i="26"/>
  <c r="V3249" i="26"/>
  <c r="A3249" i="26"/>
  <c r="V3248" i="26"/>
  <c r="A3248" i="26"/>
  <c r="V3247" i="26"/>
  <c r="A3247" i="26"/>
  <c r="V3246" i="26"/>
  <c r="A3246" i="26"/>
  <c r="V3245" i="26"/>
  <c r="A3245" i="26"/>
  <c r="V3244" i="26"/>
  <c r="A3244" i="26"/>
  <c r="V3243" i="26"/>
  <c r="A3243" i="26"/>
  <c r="V3242" i="26"/>
  <c r="A3242" i="26"/>
  <c r="V3241" i="26"/>
  <c r="A3241" i="26"/>
  <c r="V3240" i="26"/>
  <c r="A3240" i="26"/>
  <c r="V3239" i="26"/>
  <c r="A3239" i="26"/>
  <c r="V3238" i="26"/>
  <c r="A3238" i="26"/>
  <c r="V3237" i="26"/>
  <c r="A3237" i="26"/>
  <c r="V3236" i="26"/>
  <c r="A3236" i="26"/>
  <c r="V3235" i="26"/>
  <c r="A3235" i="26"/>
  <c r="V3234" i="26"/>
  <c r="A3234" i="26"/>
  <c r="V3233" i="26"/>
  <c r="A3233" i="26"/>
  <c r="V3232" i="26"/>
  <c r="A3232" i="26"/>
  <c r="V3231" i="26"/>
  <c r="A3231" i="26"/>
  <c r="V3230" i="26"/>
  <c r="A3230" i="26"/>
  <c r="V3229" i="26"/>
  <c r="A3229" i="26"/>
  <c r="V3228" i="26"/>
  <c r="A3228" i="26"/>
  <c r="V3227" i="26"/>
  <c r="A3227" i="26"/>
  <c r="V3226" i="26"/>
  <c r="A3226" i="26"/>
  <c r="V3225" i="26"/>
  <c r="A3225" i="26"/>
  <c r="V3224" i="26"/>
  <c r="A3224" i="26"/>
  <c r="V3223" i="26"/>
  <c r="A3223" i="26"/>
  <c r="V3222" i="26"/>
  <c r="A3222" i="26"/>
  <c r="V3221" i="26"/>
  <c r="A3221" i="26"/>
  <c r="V3220" i="26"/>
  <c r="A3220" i="26"/>
  <c r="V3219" i="26"/>
  <c r="A3219" i="26"/>
  <c r="V3218" i="26"/>
  <c r="A3218" i="26"/>
  <c r="V3217" i="26"/>
  <c r="A3217" i="26"/>
  <c r="V3216" i="26"/>
  <c r="A3216" i="26"/>
  <c r="V3215" i="26"/>
  <c r="A3215" i="26"/>
  <c r="V3214" i="26"/>
  <c r="A3214" i="26"/>
  <c r="V3213" i="26"/>
  <c r="A3213" i="26"/>
  <c r="V3212" i="26"/>
  <c r="A3212" i="26"/>
  <c r="V3211" i="26"/>
  <c r="A3211" i="26"/>
  <c r="V3210" i="26"/>
  <c r="A3210" i="26"/>
  <c r="V3209" i="26"/>
  <c r="A3209" i="26"/>
  <c r="V3208" i="26"/>
  <c r="A3208" i="26"/>
  <c r="V3207" i="26"/>
  <c r="A3207" i="26"/>
  <c r="V3206" i="26"/>
  <c r="A3206" i="26"/>
  <c r="V3205" i="26"/>
  <c r="A3205" i="26"/>
  <c r="V3204" i="26"/>
  <c r="A3204" i="26"/>
  <c r="V3203" i="26"/>
  <c r="A3203" i="26"/>
  <c r="V3202" i="26"/>
  <c r="A3202" i="26"/>
  <c r="V3201" i="26"/>
  <c r="A3201" i="26"/>
  <c r="V3200" i="26"/>
  <c r="A3200" i="26"/>
  <c r="V3199" i="26"/>
  <c r="A3199" i="26"/>
  <c r="V3198" i="26"/>
  <c r="A3198" i="26"/>
  <c r="V3197" i="26"/>
  <c r="A3197" i="26"/>
  <c r="V3196" i="26"/>
  <c r="A3196" i="26"/>
  <c r="V3195" i="26"/>
  <c r="A3195" i="26"/>
  <c r="V3194" i="26"/>
  <c r="A3194" i="26"/>
  <c r="V3193" i="26"/>
  <c r="A3193" i="26"/>
  <c r="V3192" i="26"/>
  <c r="A3192" i="26"/>
  <c r="V3191" i="26"/>
  <c r="A3191" i="26"/>
  <c r="V3190" i="26"/>
  <c r="A3190" i="26"/>
  <c r="V3189" i="26"/>
  <c r="A3189" i="26"/>
  <c r="V3188" i="26"/>
  <c r="A3188" i="26"/>
  <c r="V3187" i="26"/>
  <c r="A3187" i="26"/>
  <c r="V3186" i="26"/>
  <c r="A3186" i="26"/>
  <c r="V3185" i="26"/>
  <c r="A3185" i="26"/>
  <c r="V3183" i="26"/>
  <c r="A3183" i="26"/>
  <c r="V3182" i="26"/>
  <c r="A3182" i="26"/>
  <c r="V3181" i="26"/>
  <c r="A3181" i="26"/>
  <c r="V3180" i="26"/>
  <c r="A3180" i="26"/>
  <c r="V3179" i="26"/>
  <c r="A3179" i="26"/>
  <c r="V3178" i="26"/>
  <c r="A3178" i="26"/>
  <c r="V3177" i="26"/>
  <c r="A3177" i="26"/>
  <c r="V3176" i="26"/>
  <c r="A3176" i="26"/>
  <c r="V3175" i="26"/>
  <c r="A3175" i="26"/>
  <c r="V3174" i="26"/>
  <c r="A3174" i="26"/>
  <c r="V3173" i="26"/>
  <c r="A3173" i="26"/>
  <c r="V3172" i="26"/>
  <c r="A3172" i="26"/>
  <c r="V3171" i="26"/>
  <c r="A3171" i="26"/>
  <c r="V3170" i="26"/>
  <c r="A3170" i="26"/>
  <c r="V3169" i="26"/>
  <c r="A3169" i="26"/>
  <c r="V3168" i="26"/>
  <c r="A3168" i="26"/>
  <c r="V3167" i="26"/>
  <c r="A3167" i="26"/>
  <c r="V3166" i="26"/>
  <c r="A3166" i="26"/>
  <c r="V3165" i="26"/>
  <c r="A3165" i="26"/>
  <c r="V3164" i="26"/>
  <c r="A3164" i="26"/>
  <c r="V3163" i="26"/>
  <c r="A3163" i="26"/>
  <c r="V3162" i="26"/>
  <c r="A3162" i="26"/>
  <c r="V3161" i="26"/>
  <c r="A3161" i="26"/>
  <c r="V3160" i="26"/>
  <c r="A3160" i="26"/>
  <c r="V3159" i="26"/>
  <c r="A3159" i="26"/>
  <c r="V3158" i="26"/>
  <c r="A3158" i="26"/>
  <c r="V3157" i="26"/>
  <c r="A3157" i="26"/>
  <c r="V3156" i="26"/>
  <c r="A3156" i="26"/>
  <c r="V3155" i="26"/>
  <c r="A3155" i="26"/>
  <c r="V3154" i="26"/>
  <c r="A3154" i="26"/>
  <c r="V3153" i="26"/>
  <c r="A3153" i="26"/>
  <c r="V3152" i="26"/>
  <c r="A3152" i="26"/>
  <c r="V3151" i="26"/>
  <c r="A3151" i="26"/>
  <c r="V3150" i="26"/>
  <c r="A3150" i="26"/>
  <c r="V3149" i="26"/>
  <c r="A3149" i="26"/>
  <c r="V3148" i="26"/>
  <c r="A3148" i="26"/>
  <c r="V3147" i="26"/>
  <c r="A3147" i="26"/>
  <c r="V3146" i="26"/>
  <c r="A3146" i="26"/>
  <c r="AA3145" i="26"/>
  <c r="B3145" i="26"/>
  <c r="A3145" i="26"/>
  <c r="AA3144" i="26"/>
  <c r="B3144" i="26"/>
  <c r="A3144" i="26"/>
  <c r="AA3143" i="26"/>
  <c r="B3143" i="26"/>
  <c r="A3143" i="26"/>
  <c r="AA3142" i="26"/>
  <c r="B3142" i="26"/>
  <c r="A3142" i="26"/>
  <c r="AA3141" i="26"/>
  <c r="B3141" i="26"/>
  <c r="A3141" i="26"/>
  <c r="AA3140" i="26"/>
  <c r="B3140" i="26"/>
  <c r="A3140" i="26"/>
  <c r="Q3139" i="26"/>
  <c r="AA3138" i="26"/>
  <c r="B3138" i="26"/>
  <c r="A3138" i="26"/>
  <c r="AA3137" i="26"/>
  <c r="B3137" i="26"/>
  <c r="A3137" i="26"/>
  <c r="AA3136" i="26"/>
  <c r="B3136" i="26"/>
  <c r="A3136" i="26"/>
  <c r="AA3135" i="26"/>
  <c r="B3135" i="26"/>
  <c r="A3135" i="26"/>
  <c r="AA3134" i="26"/>
  <c r="B3134" i="26"/>
  <c r="A3134" i="26"/>
  <c r="AA3133" i="26"/>
  <c r="B3133" i="26"/>
  <c r="A3133" i="26"/>
  <c r="AA3132" i="26"/>
  <c r="B3132" i="26"/>
  <c r="A3132" i="26"/>
  <c r="AA3131" i="26"/>
  <c r="B3131" i="26"/>
  <c r="A3131" i="26"/>
  <c r="AA3130" i="26"/>
  <c r="B3130" i="26"/>
  <c r="A3130" i="26"/>
  <c r="AA3129" i="26"/>
  <c r="B3129" i="26"/>
  <c r="A3129" i="26"/>
  <c r="AA3128" i="26"/>
  <c r="B3128" i="26"/>
  <c r="A3128" i="26"/>
  <c r="AA3127" i="26"/>
  <c r="B3127" i="26"/>
  <c r="A3127" i="26"/>
  <c r="AA3126" i="26"/>
  <c r="B3126" i="26"/>
  <c r="A3126" i="26"/>
  <c r="AA3125" i="26"/>
  <c r="B3125" i="26"/>
  <c r="A3125" i="26"/>
  <c r="AA3124" i="26"/>
  <c r="B3124" i="26"/>
  <c r="A3124" i="26"/>
  <c r="V3123" i="26"/>
  <c r="A3123" i="26"/>
  <c r="AA3122" i="26"/>
  <c r="B3122" i="26"/>
  <c r="A3122" i="26"/>
  <c r="V3121" i="26"/>
  <c r="A3121" i="26"/>
  <c r="AA3120" i="26"/>
  <c r="B3120" i="26"/>
  <c r="A3120" i="26"/>
  <c r="AA3119" i="26"/>
  <c r="B3119" i="26"/>
  <c r="A3119" i="26"/>
  <c r="AA3118" i="26"/>
  <c r="B3118" i="26"/>
  <c r="A3118" i="26"/>
  <c r="AA3117" i="26"/>
  <c r="B3117" i="26"/>
  <c r="A3117" i="26"/>
  <c r="AA3116" i="26"/>
  <c r="B3116" i="26"/>
  <c r="A3116" i="26"/>
  <c r="AA3115" i="26"/>
  <c r="B3115" i="26"/>
  <c r="A3115" i="26"/>
  <c r="AA3114" i="26"/>
  <c r="B3114" i="26"/>
  <c r="A3114" i="26"/>
  <c r="V3113" i="26"/>
  <c r="A3113" i="26"/>
  <c r="V3112" i="26"/>
  <c r="A3112" i="26"/>
  <c r="AA3111" i="26"/>
  <c r="B3111" i="26"/>
  <c r="A3111" i="26"/>
  <c r="AA3110" i="26"/>
  <c r="B3110" i="26"/>
  <c r="A3110" i="26"/>
  <c r="AA3109" i="26"/>
  <c r="B3109" i="26"/>
  <c r="A3109" i="26"/>
  <c r="AA3108" i="26"/>
  <c r="B3108" i="26"/>
  <c r="A3108" i="26"/>
  <c r="AA3107" i="26"/>
  <c r="B3107" i="26"/>
  <c r="A3107" i="26"/>
  <c r="V3106" i="26"/>
  <c r="A3106" i="26"/>
  <c r="AA3105" i="26"/>
  <c r="B3105" i="26"/>
  <c r="A3105" i="26"/>
  <c r="AA3104" i="26"/>
  <c r="B3104" i="26"/>
  <c r="A3104" i="26"/>
  <c r="AA3103" i="26"/>
  <c r="B3103" i="26"/>
  <c r="A3103" i="26"/>
  <c r="AA3101" i="26"/>
  <c r="B3101" i="26"/>
  <c r="A3101" i="26"/>
  <c r="V3100" i="26"/>
  <c r="A3100" i="26"/>
  <c r="AA3099" i="26"/>
  <c r="B3099" i="26"/>
  <c r="A3099" i="26"/>
  <c r="AA3098" i="26"/>
  <c r="B3098" i="26"/>
  <c r="A3098" i="26"/>
  <c r="V3097" i="26"/>
  <c r="A3097" i="26"/>
  <c r="AA3096" i="26"/>
  <c r="B3096" i="26"/>
  <c r="A3096" i="26"/>
  <c r="AA3095" i="26"/>
  <c r="B3095" i="26"/>
  <c r="A3095" i="26"/>
  <c r="AA3094" i="26"/>
  <c r="B3094" i="26"/>
  <c r="A3094" i="26"/>
  <c r="V3093" i="26"/>
  <c r="A3093" i="26"/>
  <c r="AA3092" i="26"/>
  <c r="B3092" i="26"/>
  <c r="A3092" i="26"/>
  <c r="AA3091" i="26"/>
  <c r="B3091" i="26"/>
  <c r="A3091" i="26"/>
  <c r="V3090" i="26"/>
  <c r="A3090" i="26"/>
  <c r="Q3089" i="26"/>
  <c r="AA3088" i="26"/>
  <c r="B3088" i="26"/>
  <c r="A3088" i="26"/>
  <c r="AA3087" i="26"/>
  <c r="B3087" i="26"/>
  <c r="A3087" i="26"/>
  <c r="AA3086" i="26"/>
  <c r="B3086" i="26"/>
  <c r="A3086" i="26"/>
  <c r="V3085" i="26"/>
  <c r="A3085" i="26"/>
  <c r="AA3084" i="26"/>
  <c r="B3084" i="26"/>
  <c r="A3084" i="26"/>
  <c r="AA3083" i="26"/>
  <c r="B3083" i="26"/>
  <c r="A3083" i="26"/>
  <c r="Q3082" i="26"/>
  <c r="AA3081" i="26"/>
  <c r="B3081" i="26"/>
  <c r="A3081" i="26"/>
  <c r="AA3080" i="26"/>
  <c r="B3080" i="26"/>
  <c r="A3080" i="26"/>
  <c r="AA3079" i="26"/>
  <c r="B3079" i="26"/>
  <c r="A3079" i="26"/>
  <c r="AA3078" i="26"/>
  <c r="B3078" i="26"/>
  <c r="A3078" i="26"/>
  <c r="AA3077" i="26"/>
  <c r="B3077" i="26"/>
  <c r="A3077" i="26"/>
  <c r="AA3076" i="26"/>
  <c r="B3076" i="26"/>
  <c r="A3076" i="26"/>
  <c r="AA3075" i="26"/>
  <c r="B3075" i="26"/>
  <c r="A3075" i="26"/>
  <c r="AA3074" i="26"/>
  <c r="B3074" i="26"/>
  <c r="A3074" i="26"/>
  <c r="AA3073" i="26"/>
  <c r="B3073" i="26"/>
  <c r="A3073" i="26"/>
  <c r="AA3072" i="26"/>
  <c r="B3072" i="26"/>
  <c r="A3072" i="26"/>
  <c r="AA3071" i="26"/>
  <c r="B3071" i="26"/>
  <c r="A3071" i="26"/>
  <c r="V3070" i="26"/>
  <c r="A3070" i="26"/>
  <c r="V3069" i="26"/>
  <c r="A3069" i="26"/>
  <c r="AA3068" i="26"/>
  <c r="B3068" i="26"/>
  <c r="A3068" i="26"/>
  <c r="AA3067" i="26"/>
  <c r="B3067" i="26"/>
  <c r="A3067" i="26"/>
  <c r="AA3066" i="26"/>
  <c r="B3066" i="26"/>
  <c r="A3066" i="26"/>
  <c r="V3065" i="26"/>
  <c r="A3065" i="26"/>
  <c r="V3064" i="26"/>
  <c r="A3064" i="26"/>
  <c r="V3063" i="26"/>
  <c r="A3063" i="26"/>
  <c r="AA3062" i="26"/>
  <c r="B3062" i="26"/>
  <c r="A3062" i="26"/>
  <c r="AA3061" i="26"/>
  <c r="B3061" i="26"/>
  <c r="A3061" i="26"/>
  <c r="Q3060" i="26"/>
  <c r="AA3059" i="26"/>
  <c r="B3059" i="26"/>
  <c r="A3059" i="26"/>
  <c r="V3058" i="26"/>
  <c r="A3058" i="26"/>
  <c r="AA3057" i="26"/>
  <c r="B3057" i="26"/>
  <c r="A3057" i="26"/>
  <c r="AA3056" i="26"/>
  <c r="B3056" i="26"/>
  <c r="A3056" i="26"/>
  <c r="AA3055" i="26"/>
  <c r="B3055" i="26"/>
  <c r="A3055" i="26"/>
  <c r="V3054" i="26"/>
  <c r="A3054" i="26"/>
  <c r="AA3053" i="26"/>
  <c r="B3053" i="26"/>
  <c r="A3053" i="26"/>
  <c r="AA3052" i="26"/>
  <c r="B3052" i="26"/>
  <c r="A3052" i="26"/>
  <c r="AA3051" i="26"/>
  <c r="B3051" i="26"/>
  <c r="A3051" i="26"/>
  <c r="V3050" i="26"/>
  <c r="A3050" i="26"/>
  <c r="V3049" i="26"/>
  <c r="A3049" i="26"/>
  <c r="V3048" i="26"/>
  <c r="A3048" i="26"/>
  <c r="V3047" i="26"/>
  <c r="A3047" i="26"/>
  <c r="AA3046" i="26"/>
  <c r="B3046" i="26"/>
  <c r="A3046" i="26"/>
  <c r="AA3045" i="26"/>
  <c r="B3045" i="26"/>
  <c r="A3045" i="26"/>
  <c r="AA3044" i="26"/>
  <c r="B3044" i="26"/>
  <c r="A3044" i="26"/>
  <c r="AA3043" i="26"/>
  <c r="B3043" i="26"/>
  <c r="A3043" i="26"/>
  <c r="V3042" i="26"/>
  <c r="A3042" i="26"/>
  <c r="B3041" i="26"/>
  <c r="A3041" i="26"/>
  <c r="V3040" i="26"/>
  <c r="A3040" i="26"/>
  <c r="B3039" i="26"/>
  <c r="A3039" i="26"/>
  <c r="V3038" i="26"/>
  <c r="A3038" i="26"/>
  <c r="AA3037" i="26"/>
  <c r="B3037" i="26"/>
  <c r="A3037" i="26"/>
  <c r="AA3036" i="26"/>
  <c r="B3036" i="26"/>
  <c r="A3036" i="26"/>
  <c r="AA3035" i="26"/>
  <c r="B3035" i="26"/>
  <c r="A3035" i="26"/>
  <c r="V3034" i="26"/>
  <c r="A3034" i="26"/>
  <c r="V3033" i="26"/>
  <c r="A3033" i="26"/>
  <c r="AA3032" i="26"/>
  <c r="B3032" i="26"/>
  <c r="A3032" i="26"/>
  <c r="AA3031" i="26"/>
  <c r="B3031" i="26"/>
  <c r="A3031" i="26"/>
  <c r="AA3030" i="26"/>
  <c r="B3030" i="26"/>
  <c r="A3030" i="26"/>
  <c r="AA3029" i="26"/>
  <c r="B3029" i="26"/>
  <c r="A3029" i="26"/>
  <c r="AA3028" i="26"/>
  <c r="B3028" i="26"/>
  <c r="A3028" i="26"/>
  <c r="AA3027" i="26"/>
  <c r="B3027" i="26"/>
  <c r="A3027" i="26"/>
  <c r="AA3026" i="26"/>
  <c r="B3026" i="26"/>
  <c r="A3026" i="26"/>
  <c r="AA3025" i="26"/>
  <c r="B3025" i="26"/>
  <c r="A3025" i="26"/>
  <c r="AA3024" i="26"/>
  <c r="B3024" i="26"/>
  <c r="A3024" i="26"/>
  <c r="AA3023" i="26"/>
  <c r="B3023" i="26"/>
  <c r="A3023" i="26"/>
  <c r="AA3022" i="26"/>
  <c r="B3022" i="26"/>
  <c r="A3022" i="26"/>
  <c r="AA3021" i="26"/>
  <c r="B3021" i="26"/>
  <c r="A3021" i="26"/>
  <c r="V3020" i="26"/>
  <c r="A3020" i="26"/>
  <c r="V3019" i="26"/>
  <c r="A3019" i="26"/>
  <c r="V3018" i="26"/>
  <c r="A3018" i="26"/>
  <c r="AA3017" i="26"/>
  <c r="B3017" i="26"/>
  <c r="A3017" i="26"/>
  <c r="AA3016" i="26"/>
  <c r="B3016" i="26"/>
  <c r="A3016" i="26"/>
  <c r="V3015" i="26"/>
  <c r="A3015" i="26"/>
  <c r="AA3014" i="26"/>
  <c r="B3014" i="26"/>
  <c r="A3014" i="26"/>
  <c r="V3013" i="26"/>
  <c r="A3013" i="26"/>
  <c r="AA3012" i="26"/>
  <c r="B3012" i="26"/>
  <c r="A3012" i="26"/>
  <c r="AA3011" i="26"/>
  <c r="B3011" i="26"/>
  <c r="A3011" i="26"/>
  <c r="AA3010" i="26"/>
  <c r="B3010" i="26"/>
  <c r="A3010" i="26"/>
  <c r="AA3009" i="26"/>
  <c r="B3009" i="26"/>
  <c r="A3009" i="26"/>
  <c r="AA3008" i="26"/>
  <c r="B3008" i="26"/>
  <c r="A3008" i="26"/>
  <c r="AA3007" i="26"/>
  <c r="B3007" i="26"/>
  <c r="A3007" i="26"/>
  <c r="AA3006" i="26"/>
  <c r="B3006" i="26"/>
  <c r="A3006" i="26"/>
  <c r="V3005" i="26"/>
  <c r="A3005" i="26"/>
  <c r="AA3004" i="26"/>
  <c r="B3004" i="26"/>
  <c r="A3004" i="26"/>
  <c r="AA3003" i="26"/>
  <c r="B3003" i="26"/>
  <c r="A3003" i="26"/>
  <c r="V3002" i="26"/>
  <c r="A3002" i="26"/>
  <c r="V3001" i="26"/>
  <c r="A3001" i="26"/>
  <c r="V3000" i="26"/>
  <c r="A3000" i="26"/>
  <c r="AA2999" i="26"/>
  <c r="B2999" i="26"/>
  <c r="A2999" i="26"/>
  <c r="AA2998" i="26"/>
  <c r="B2998" i="26"/>
  <c r="A2998" i="26"/>
  <c r="AA2997" i="26"/>
  <c r="B2997" i="26"/>
  <c r="A2997" i="26"/>
  <c r="AA2996" i="26"/>
  <c r="B2996" i="26"/>
  <c r="A2996" i="26"/>
  <c r="AA2995" i="26"/>
  <c r="B2995" i="26"/>
  <c r="A2995" i="26"/>
  <c r="AA2994" i="26"/>
  <c r="B2994" i="26"/>
  <c r="A2994" i="26"/>
  <c r="AA2993" i="26"/>
  <c r="B2993" i="26"/>
  <c r="A2993" i="26"/>
  <c r="AA2992" i="26"/>
  <c r="B2992" i="26"/>
  <c r="A2992" i="26"/>
  <c r="V2991" i="26"/>
  <c r="A2991" i="26"/>
  <c r="AA2990" i="26"/>
  <c r="B2990" i="26"/>
  <c r="A2990" i="26"/>
  <c r="AA2989" i="26"/>
  <c r="B2989" i="26"/>
  <c r="A2989" i="26"/>
  <c r="AA2988" i="26"/>
  <c r="B2988" i="26"/>
  <c r="A2988" i="26"/>
  <c r="AA2987" i="26"/>
  <c r="B2987" i="26"/>
  <c r="A2987" i="26"/>
  <c r="AA2986" i="26"/>
  <c r="B2986" i="26"/>
  <c r="A2986" i="26"/>
  <c r="AA2985" i="26"/>
  <c r="B2985" i="26"/>
  <c r="A2985" i="26"/>
  <c r="AA2984" i="26"/>
  <c r="B2984" i="26"/>
  <c r="A2984" i="26"/>
  <c r="AA2983" i="26"/>
  <c r="B2983" i="26"/>
  <c r="A2983" i="26"/>
  <c r="V2982" i="26"/>
  <c r="A2982" i="26"/>
  <c r="AA2981" i="26"/>
  <c r="B2981" i="26"/>
  <c r="A2981" i="26"/>
  <c r="AA2980" i="26"/>
  <c r="B2980" i="26"/>
  <c r="A2980" i="26"/>
  <c r="AA2977" i="26"/>
  <c r="B2977" i="26"/>
  <c r="A2977" i="26"/>
  <c r="AA2976" i="26"/>
  <c r="B2976" i="26"/>
  <c r="A2976" i="26"/>
  <c r="AA2975" i="26"/>
  <c r="B2975" i="26"/>
  <c r="A2975" i="26"/>
  <c r="AA2974" i="26"/>
  <c r="B2974" i="26"/>
  <c r="A2974" i="26"/>
  <c r="AA2973" i="26"/>
  <c r="B2973" i="26"/>
  <c r="A2973" i="26"/>
  <c r="V2972" i="26"/>
  <c r="A2972" i="26"/>
  <c r="Q2971" i="26"/>
  <c r="AA2970" i="26"/>
  <c r="B2970" i="26"/>
  <c r="A2970" i="26"/>
  <c r="AA2969" i="26"/>
  <c r="B2969" i="26"/>
  <c r="A2969" i="26"/>
  <c r="AA2968" i="26"/>
  <c r="B2968" i="26"/>
  <c r="A2968" i="26"/>
  <c r="AA2967" i="26"/>
  <c r="B2967" i="26"/>
  <c r="A2967" i="26"/>
  <c r="AA2966" i="26"/>
  <c r="B2966" i="26"/>
  <c r="A2966" i="26"/>
  <c r="AA2965" i="26"/>
  <c r="B2965" i="26"/>
  <c r="A2965" i="26"/>
  <c r="AA2964" i="26"/>
  <c r="B2964" i="26"/>
  <c r="A2964" i="26"/>
  <c r="AA2963" i="26"/>
  <c r="B2963" i="26"/>
  <c r="A2963" i="26"/>
  <c r="AA2961" i="26"/>
  <c r="B2961" i="26"/>
  <c r="A2961" i="26"/>
  <c r="V2960" i="26"/>
  <c r="A2960" i="26"/>
  <c r="AA2959" i="26"/>
  <c r="B2959" i="26"/>
  <c r="A2959" i="26"/>
  <c r="V2958" i="26"/>
  <c r="A2958" i="26"/>
  <c r="V2957" i="26"/>
  <c r="A2957" i="26"/>
  <c r="V2956" i="26"/>
  <c r="A2956" i="26"/>
  <c r="AA2955" i="26"/>
  <c r="B2955" i="26"/>
  <c r="A2955" i="26"/>
  <c r="V2954" i="26"/>
  <c r="A2954" i="26"/>
  <c r="AA2953" i="26"/>
  <c r="B2953" i="26"/>
  <c r="A2953" i="26"/>
  <c r="AA2952" i="26"/>
  <c r="B2952" i="26"/>
  <c r="A2952" i="26"/>
  <c r="AA2951" i="26"/>
  <c r="B2951" i="26"/>
  <c r="A2951" i="26"/>
  <c r="AA2950" i="26"/>
  <c r="B2950" i="26"/>
  <c r="A2950" i="26"/>
  <c r="AA2949" i="26"/>
  <c r="B2949" i="26"/>
  <c r="A2949" i="26"/>
  <c r="AA2948" i="26"/>
  <c r="B2948" i="26"/>
  <c r="A2948" i="26"/>
  <c r="V2947" i="26"/>
  <c r="A2947" i="26"/>
  <c r="V2946" i="26"/>
  <c r="A2946" i="26"/>
  <c r="AA2945" i="26"/>
  <c r="B2945" i="26"/>
  <c r="A2945" i="26"/>
  <c r="AA2944" i="26"/>
  <c r="B2944" i="26"/>
  <c r="A2944" i="26"/>
  <c r="AA2943" i="26"/>
  <c r="B2943" i="26"/>
  <c r="A2943" i="26"/>
  <c r="AA2941" i="26"/>
  <c r="B2941" i="26"/>
  <c r="A2941" i="26"/>
  <c r="V2940" i="26"/>
  <c r="A2940" i="26"/>
  <c r="V2939" i="26"/>
  <c r="A2939" i="26"/>
  <c r="V2938" i="26"/>
  <c r="A2938" i="26"/>
  <c r="AA2937" i="26"/>
  <c r="B2937" i="26"/>
  <c r="A2937" i="26"/>
  <c r="AA2936" i="26"/>
  <c r="B2936" i="26"/>
  <c r="A2936" i="26"/>
  <c r="AA2935" i="26"/>
  <c r="B2935" i="26"/>
  <c r="A2935" i="26"/>
  <c r="AA2934" i="26"/>
  <c r="B2934" i="26"/>
  <c r="A2934" i="26"/>
  <c r="V2933" i="26"/>
  <c r="A2933" i="26"/>
  <c r="AA2932" i="26"/>
  <c r="B2932" i="26"/>
  <c r="A2932" i="26"/>
  <c r="AA2931" i="26"/>
  <c r="B2931" i="26"/>
  <c r="A2931" i="26"/>
  <c r="AA2930" i="26"/>
  <c r="B2930" i="26"/>
  <c r="A2930" i="26"/>
  <c r="AA2929" i="26"/>
  <c r="B2929" i="26"/>
  <c r="A2929" i="26"/>
  <c r="AA2928" i="26"/>
  <c r="B2928" i="26"/>
  <c r="A2928" i="26"/>
  <c r="AA2927" i="26"/>
  <c r="B2927" i="26"/>
  <c r="A2927" i="26"/>
  <c r="AA2926" i="26"/>
  <c r="B2926" i="26"/>
  <c r="A2926" i="26"/>
  <c r="AA2925" i="26"/>
  <c r="B2925" i="26"/>
  <c r="A2925" i="26"/>
  <c r="AA2923" i="26"/>
  <c r="B2923" i="26"/>
  <c r="A2923" i="26"/>
  <c r="AA2922" i="26"/>
  <c r="B2922" i="26"/>
  <c r="A2922" i="26"/>
  <c r="AA2921" i="26"/>
  <c r="B2921" i="26"/>
  <c r="A2921" i="26"/>
  <c r="V2920" i="26"/>
  <c r="A2920" i="26"/>
  <c r="AA2919" i="26"/>
  <c r="B2919" i="26"/>
  <c r="A2919" i="26"/>
  <c r="AA2918" i="26"/>
  <c r="B2918" i="26"/>
  <c r="A2918" i="26"/>
  <c r="Q2917" i="26"/>
  <c r="AA2916" i="26"/>
  <c r="B2916" i="26"/>
  <c r="A2916" i="26"/>
  <c r="V2915" i="26"/>
  <c r="A2915" i="26"/>
  <c r="AA2914" i="26"/>
  <c r="B2914" i="26"/>
  <c r="A2914" i="26"/>
  <c r="AA2913" i="26"/>
  <c r="B2913" i="26"/>
  <c r="A2913" i="26"/>
  <c r="AA2912" i="26"/>
  <c r="B2912" i="26"/>
  <c r="A2912" i="26"/>
  <c r="V2911" i="26"/>
  <c r="A2911" i="26"/>
  <c r="AA2910" i="26"/>
  <c r="B2910" i="26"/>
  <c r="A2910" i="26"/>
  <c r="V2909" i="26"/>
  <c r="A2909" i="26"/>
  <c r="B2908" i="26"/>
  <c r="A2908" i="26"/>
  <c r="AA2907" i="26"/>
  <c r="B2907" i="26"/>
  <c r="A2907" i="26"/>
  <c r="AA2906" i="26"/>
  <c r="B2906" i="26"/>
  <c r="A2906" i="26"/>
  <c r="AA2905" i="26"/>
  <c r="B2905" i="26"/>
  <c r="A2905" i="26"/>
  <c r="B2904" i="26"/>
  <c r="A2904" i="26"/>
  <c r="AA2903" i="26"/>
  <c r="B2903" i="26"/>
  <c r="A2903" i="26"/>
  <c r="V2902" i="26"/>
  <c r="A2902" i="26"/>
  <c r="V2901" i="26"/>
  <c r="A2901" i="26"/>
  <c r="V2900" i="26"/>
  <c r="A2900" i="26"/>
  <c r="AA2899" i="26"/>
  <c r="B2899" i="26"/>
  <c r="A2899" i="26"/>
  <c r="AA2898" i="26"/>
  <c r="B2898" i="26"/>
  <c r="A2898" i="26"/>
  <c r="AA2897" i="26"/>
  <c r="B2897" i="26"/>
  <c r="A2897" i="26"/>
  <c r="AA2896" i="26"/>
  <c r="B2896" i="26"/>
  <c r="A2896" i="26"/>
  <c r="AA2895" i="26"/>
  <c r="B2895" i="26"/>
  <c r="A2895" i="26"/>
  <c r="AA2894" i="26"/>
  <c r="B2894" i="26"/>
  <c r="A2894" i="26"/>
  <c r="AA2893" i="26"/>
  <c r="B2893" i="26"/>
  <c r="A2893" i="26"/>
  <c r="AA2892" i="26"/>
  <c r="B2892" i="26"/>
  <c r="A2892" i="26"/>
  <c r="V2891" i="26"/>
  <c r="A2891" i="26"/>
  <c r="AA2890" i="26"/>
  <c r="B2890" i="26"/>
  <c r="A2890" i="26"/>
  <c r="AA2889" i="26"/>
  <c r="B2889" i="26"/>
  <c r="A2889" i="26"/>
  <c r="AA2888" i="26"/>
  <c r="B2888" i="26"/>
  <c r="A2888" i="26"/>
  <c r="AA2887" i="26"/>
  <c r="B2887" i="26"/>
  <c r="A2887" i="26"/>
  <c r="AA2886" i="26"/>
  <c r="B2886" i="26"/>
  <c r="A2886" i="26"/>
  <c r="AA2885" i="26"/>
  <c r="B2885" i="26"/>
  <c r="A2885" i="26"/>
  <c r="V2884" i="26"/>
  <c r="A2884" i="26"/>
  <c r="AA2883" i="26"/>
  <c r="B2883" i="26"/>
  <c r="A2883" i="26"/>
  <c r="AA2882" i="26"/>
  <c r="B2882" i="26"/>
  <c r="A2882" i="26"/>
  <c r="AA2881" i="26"/>
  <c r="B2881" i="26"/>
  <c r="A2881" i="26"/>
  <c r="AA2880" i="26"/>
  <c r="B2880" i="26"/>
  <c r="A2880" i="26"/>
  <c r="V2879" i="26"/>
  <c r="A2879" i="26"/>
  <c r="V2878" i="26"/>
  <c r="A2878" i="26"/>
  <c r="V2877" i="26"/>
  <c r="A2877" i="26"/>
  <c r="AA2876" i="26"/>
  <c r="B2876" i="26"/>
  <c r="A2876" i="26"/>
  <c r="AA2875" i="26"/>
  <c r="B2875" i="26"/>
  <c r="A2875" i="26"/>
  <c r="AA2874" i="26"/>
  <c r="B2874" i="26"/>
  <c r="A2874" i="26"/>
  <c r="AA2873" i="26"/>
  <c r="B2873" i="26"/>
  <c r="A2873" i="26"/>
  <c r="V2872" i="26"/>
  <c r="A2872" i="26"/>
  <c r="AA2871" i="26"/>
  <c r="B2871" i="26"/>
  <c r="A2871" i="26"/>
  <c r="AA2870" i="26"/>
  <c r="B2870" i="26"/>
  <c r="A2870" i="26"/>
  <c r="AA2869" i="26"/>
  <c r="B2869" i="26"/>
  <c r="A2869" i="26"/>
  <c r="V2868" i="26"/>
  <c r="A2868" i="26"/>
  <c r="V2867" i="26"/>
  <c r="A2867" i="26"/>
  <c r="AA2866" i="26"/>
  <c r="B2866" i="26"/>
  <c r="A2866" i="26"/>
  <c r="V2865" i="26"/>
  <c r="A2865" i="26"/>
  <c r="V2864" i="26"/>
  <c r="A2864" i="26"/>
  <c r="V2863" i="26"/>
  <c r="A2863" i="26"/>
  <c r="AA2862" i="26"/>
  <c r="B2862" i="26"/>
  <c r="A2862" i="26"/>
  <c r="V2861" i="26"/>
  <c r="A2861" i="26"/>
  <c r="V2860" i="26"/>
  <c r="A2860" i="26"/>
  <c r="V2859" i="26"/>
  <c r="A2859" i="26"/>
  <c r="V2858" i="26"/>
  <c r="A2858" i="26"/>
  <c r="V2857" i="26"/>
  <c r="A2857" i="26"/>
  <c r="V2856" i="26"/>
  <c r="A2856" i="26"/>
  <c r="B2855" i="26"/>
  <c r="A2855" i="26"/>
  <c r="V2854" i="26"/>
  <c r="A2854" i="26"/>
  <c r="V2853" i="26"/>
  <c r="A2853" i="26"/>
  <c r="V2852" i="26"/>
  <c r="A2852" i="26"/>
  <c r="AA2851" i="26"/>
  <c r="B2851" i="26"/>
  <c r="A2851" i="26"/>
  <c r="AA2850" i="26"/>
  <c r="B2850" i="26"/>
  <c r="A2850" i="26"/>
  <c r="AA2849" i="26"/>
  <c r="B2849" i="26"/>
  <c r="A2849" i="26"/>
  <c r="AA2848" i="26"/>
  <c r="B2848" i="26"/>
  <c r="A2848" i="26"/>
  <c r="AA2847" i="26"/>
  <c r="B2847" i="26"/>
  <c r="A2847" i="26"/>
  <c r="AA2846" i="26"/>
  <c r="B2846" i="26"/>
  <c r="A2846" i="26"/>
  <c r="AA2845" i="26"/>
  <c r="B2845" i="26"/>
  <c r="A2845" i="26"/>
  <c r="AA2844" i="26"/>
  <c r="B2844" i="26"/>
  <c r="A2844" i="26"/>
  <c r="AA2843" i="26"/>
  <c r="B2843" i="26"/>
  <c r="A2843" i="26"/>
  <c r="AA2842" i="26"/>
  <c r="B2842" i="26"/>
  <c r="A2842" i="26"/>
  <c r="AA2841" i="26"/>
  <c r="B2841" i="26"/>
  <c r="A2841" i="26"/>
  <c r="AA2840" i="26"/>
  <c r="B2840" i="26"/>
  <c r="A2840" i="26"/>
  <c r="AA2839" i="26"/>
  <c r="B2839" i="26"/>
  <c r="A2839" i="26"/>
  <c r="V2838" i="26"/>
  <c r="A2838" i="26"/>
  <c r="AA2837" i="26"/>
  <c r="B2837" i="26"/>
  <c r="A2837" i="26"/>
  <c r="AA2836" i="26"/>
  <c r="B2836" i="26"/>
  <c r="A2836" i="26"/>
  <c r="AA2835" i="26"/>
  <c r="B2835" i="26"/>
  <c r="A2835" i="26"/>
  <c r="AA2834" i="26"/>
  <c r="B2834" i="26"/>
  <c r="A2834" i="26"/>
  <c r="V2833" i="26"/>
  <c r="A2833" i="26"/>
  <c r="AA2832" i="26"/>
  <c r="B2832" i="26"/>
  <c r="A2832" i="26"/>
  <c r="AA2831" i="26"/>
  <c r="B2831" i="26"/>
  <c r="A2831" i="26"/>
  <c r="AA2830" i="26"/>
  <c r="B2830" i="26"/>
  <c r="A2830" i="26"/>
  <c r="B2829" i="26"/>
  <c r="A2829" i="26"/>
  <c r="B2828" i="26"/>
  <c r="A2828" i="26"/>
  <c r="V2827" i="26"/>
  <c r="A2827" i="26"/>
  <c r="V2826" i="26"/>
  <c r="A2826" i="26"/>
  <c r="V2825" i="26"/>
  <c r="A2825" i="26"/>
  <c r="V2824" i="26"/>
  <c r="A2824" i="26"/>
  <c r="V2823" i="26"/>
  <c r="A2823" i="26"/>
  <c r="V2822" i="26"/>
  <c r="A2822" i="26"/>
  <c r="AA2821" i="26"/>
  <c r="B2821" i="26"/>
  <c r="A2821" i="26"/>
  <c r="AA2820" i="26"/>
  <c r="B2820" i="26"/>
  <c r="A2820" i="26"/>
  <c r="Q2819" i="26"/>
  <c r="AA2818" i="26"/>
  <c r="B2818" i="26"/>
  <c r="A2818" i="26"/>
  <c r="AA2817" i="26"/>
  <c r="B2817" i="26"/>
  <c r="A2817" i="26"/>
  <c r="AA2816" i="26"/>
  <c r="B2816" i="26"/>
  <c r="A2816" i="26"/>
  <c r="Q2815" i="26"/>
  <c r="V2814" i="26"/>
  <c r="A2814" i="26"/>
  <c r="AA2813" i="26"/>
  <c r="B2813" i="26"/>
  <c r="A2813" i="26"/>
  <c r="V2812" i="26"/>
  <c r="A2812" i="26"/>
  <c r="V2811" i="26"/>
  <c r="A2811" i="26"/>
  <c r="V2810" i="26"/>
  <c r="A2810" i="26"/>
  <c r="V2809" i="26"/>
  <c r="A2809" i="26"/>
  <c r="V2808" i="26"/>
  <c r="A2808" i="26"/>
  <c r="V2807" i="26"/>
  <c r="A2807" i="26"/>
  <c r="V2806" i="26"/>
  <c r="A2806" i="26"/>
  <c r="B2805" i="26"/>
  <c r="A2805" i="26"/>
  <c r="B2804" i="26"/>
  <c r="A2804" i="26"/>
  <c r="V2803" i="26"/>
  <c r="A2803" i="26"/>
  <c r="AA2802" i="26"/>
  <c r="B2802" i="26"/>
  <c r="A2802" i="26"/>
  <c r="V2801" i="26"/>
  <c r="A2801" i="26"/>
  <c r="B2800" i="26"/>
  <c r="A2800" i="26"/>
  <c r="V2799" i="26"/>
  <c r="A2799" i="26"/>
  <c r="AA2798" i="26"/>
  <c r="B2798" i="26"/>
  <c r="A2798" i="26"/>
  <c r="V2797" i="26"/>
  <c r="A2797" i="26"/>
  <c r="AA2796" i="26"/>
  <c r="B2796" i="26"/>
  <c r="A2796" i="26"/>
  <c r="V2795" i="26"/>
  <c r="A2795" i="26"/>
  <c r="AA2794" i="26"/>
  <c r="B2794" i="26"/>
  <c r="A2794" i="26"/>
  <c r="AA2793" i="26"/>
  <c r="B2793" i="26"/>
  <c r="A2793" i="26"/>
  <c r="AA2792" i="26"/>
  <c r="B2792" i="26"/>
  <c r="A2792" i="26"/>
  <c r="AA2791" i="26"/>
  <c r="B2791" i="26"/>
  <c r="A2791" i="26"/>
  <c r="V2790" i="26"/>
  <c r="A2790" i="26"/>
  <c r="AA2789" i="26"/>
  <c r="B2789" i="26"/>
  <c r="A2789" i="26"/>
  <c r="AA2788" i="26"/>
  <c r="B2788" i="26"/>
  <c r="A2788" i="26"/>
  <c r="V2787" i="26"/>
  <c r="A2787" i="26"/>
  <c r="V2786" i="26"/>
  <c r="A2786" i="26"/>
  <c r="V2785" i="26"/>
  <c r="A2785" i="26"/>
  <c r="AA2784" i="26"/>
  <c r="B2784" i="26"/>
  <c r="A2784" i="26"/>
  <c r="AA2783" i="26"/>
  <c r="B2783" i="26"/>
  <c r="A2783" i="26"/>
  <c r="AA2782" i="26"/>
  <c r="B2782" i="26"/>
  <c r="A2782" i="26"/>
  <c r="AA2781" i="26"/>
  <c r="B2781" i="26"/>
  <c r="A2781" i="26"/>
  <c r="AA2780" i="26"/>
  <c r="B2780" i="26"/>
  <c r="A2780" i="26"/>
  <c r="AA2779" i="26"/>
  <c r="B2779" i="26"/>
  <c r="A2779" i="26"/>
  <c r="AA2778" i="26"/>
  <c r="B2778" i="26"/>
  <c r="A2778" i="26"/>
  <c r="V2777" i="26"/>
  <c r="A2777" i="26"/>
  <c r="V2776" i="26"/>
  <c r="A2776" i="26"/>
  <c r="V2775" i="26"/>
  <c r="A2775" i="26"/>
  <c r="V2774" i="26"/>
  <c r="A2774" i="26"/>
  <c r="V2773" i="26"/>
  <c r="A2773" i="26"/>
  <c r="V2772" i="26"/>
  <c r="A2772" i="26"/>
  <c r="V2771" i="26"/>
  <c r="A2771" i="26"/>
  <c r="B2770" i="26"/>
  <c r="A2770" i="26"/>
  <c r="V2769" i="26"/>
  <c r="A2769" i="26"/>
  <c r="V2768" i="26"/>
  <c r="A2768" i="26"/>
  <c r="V2767" i="26"/>
  <c r="A2767" i="26"/>
  <c r="V2766" i="26"/>
  <c r="A2766" i="26"/>
  <c r="V2765" i="26"/>
  <c r="A2765" i="26"/>
  <c r="V2764" i="26"/>
  <c r="A2764" i="26"/>
  <c r="V2763" i="26"/>
  <c r="A2763" i="26"/>
  <c r="V2762" i="26"/>
  <c r="A2762" i="26"/>
  <c r="V2761" i="26"/>
  <c r="A2761" i="26"/>
  <c r="V2760" i="26"/>
  <c r="A2760" i="26"/>
  <c r="V2759" i="26"/>
  <c r="A2759" i="26"/>
  <c r="V2758" i="26"/>
  <c r="A2758" i="26"/>
  <c r="V2757" i="26"/>
  <c r="A2757" i="26"/>
  <c r="V2756" i="26"/>
  <c r="A2756" i="26"/>
  <c r="V2755" i="26"/>
  <c r="A2755" i="26"/>
  <c r="V2754" i="26"/>
  <c r="A2754" i="26"/>
  <c r="V2753" i="26"/>
  <c r="A2753" i="26"/>
  <c r="V2752" i="26"/>
  <c r="A2752" i="26"/>
  <c r="V2751" i="26"/>
  <c r="A2751" i="26"/>
  <c r="V2750" i="26"/>
  <c r="A2750" i="26"/>
  <c r="AA2749" i="26"/>
  <c r="B2749" i="26"/>
  <c r="A2749" i="26"/>
  <c r="V2748" i="26"/>
  <c r="A2748" i="26"/>
  <c r="V2747" i="26"/>
  <c r="A2747" i="26"/>
  <c r="V2746" i="26"/>
  <c r="A2746" i="26"/>
  <c r="AA2745" i="26"/>
  <c r="B2745" i="26"/>
  <c r="A2745" i="26"/>
  <c r="AA2744" i="26"/>
  <c r="B2744" i="26"/>
  <c r="A2744" i="26"/>
  <c r="AA2743" i="26"/>
  <c r="B2743" i="26"/>
  <c r="A2743" i="26"/>
  <c r="AA2742" i="26"/>
  <c r="B2742" i="26"/>
  <c r="A2742" i="26"/>
  <c r="AA2741" i="26"/>
  <c r="B2741" i="26"/>
  <c r="A2741" i="26"/>
  <c r="AA2740" i="26"/>
  <c r="B2740" i="26"/>
  <c r="A2740" i="26"/>
  <c r="AA2739" i="26"/>
  <c r="B2739" i="26"/>
  <c r="A2739" i="26"/>
  <c r="AA2738" i="26"/>
  <c r="B2738" i="26"/>
  <c r="A2738" i="26"/>
  <c r="AA2737" i="26"/>
  <c r="B2737" i="26"/>
  <c r="AA2736" i="26"/>
  <c r="B2736" i="26"/>
  <c r="A2736" i="26"/>
  <c r="AA2735" i="26"/>
  <c r="B2735" i="26"/>
  <c r="A2735" i="26"/>
  <c r="AA2734" i="26"/>
  <c r="B2734" i="26"/>
  <c r="A2734" i="26"/>
  <c r="AA2733" i="26"/>
  <c r="B2733" i="26"/>
  <c r="A2733" i="26"/>
  <c r="AA2732" i="26"/>
  <c r="B2732" i="26"/>
  <c r="A2732" i="26"/>
  <c r="AA2731" i="26"/>
  <c r="B2731" i="26"/>
  <c r="A2731" i="26"/>
  <c r="V2730" i="26"/>
  <c r="A2730" i="26"/>
  <c r="V2729" i="26"/>
  <c r="A2729" i="26"/>
  <c r="AA2728" i="26"/>
  <c r="B2728" i="26"/>
  <c r="A2728" i="26"/>
  <c r="V2727" i="26"/>
  <c r="A2727" i="26"/>
  <c r="AA2726" i="26"/>
  <c r="B2726" i="26"/>
  <c r="A2726" i="26"/>
  <c r="V2725" i="26"/>
  <c r="A2725" i="26"/>
  <c r="Q2724" i="26"/>
  <c r="AA2723" i="26"/>
  <c r="B2723" i="26"/>
  <c r="A2723" i="26"/>
  <c r="AA2722" i="26"/>
  <c r="B2722" i="26"/>
  <c r="A2722" i="26"/>
  <c r="V2721" i="26"/>
  <c r="A2721" i="26"/>
  <c r="AA2720" i="26"/>
  <c r="B2720" i="26"/>
  <c r="A2720" i="26"/>
  <c r="AA2718" i="26"/>
  <c r="B2718" i="26"/>
  <c r="A2718" i="26"/>
  <c r="V2717" i="26"/>
  <c r="A2717" i="26"/>
  <c r="AA2716" i="26"/>
  <c r="B2716" i="26"/>
  <c r="A2716" i="26"/>
  <c r="Q2715" i="26"/>
  <c r="V2714" i="26"/>
  <c r="A2714" i="26"/>
  <c r="AA2713" i="26"/>
  <c r="B2713" i="26"/>
  <c r="A2713" i="26"/>
  <c r="V2712" i="26"/>
  <c r="A2712" i="26"/>
  <c r="AA2711" i="26"/>
  <c r="B2711" i="26"/>
  <c r="A2711" i="26"/>
  <c r="V2710" i="26"/>
  <c r="A2710" i="26"/>
  <c r="AA2709" i="26"/>
  <c r="B2709" i="26"/>
  <c r="A2709" i="26"/>
  <c r="AA2708" i="26"/>
  <c r="B2708" i="26"/>
  <c r="A2708" i="26"/>
  <c r="AA2707" i="26"/>
  <c r="B2707" i="26"/>
  <c r="A2707" i="26"/>
  <c r="V2706" i="26"/>
  <c r="A2706" i="26"/>
  <c r="AA2705" i="26"/>
  <c r="B2705" i="26"/>
  <c r="A2705" i="26"/>
  <c r="AA2704" i="26"/>
  <c r="B2704" i="26"/>
  <c r="A2704" i="26"/>
  <c r="AA2703" i="26"/>
  <c r="B2703" i="26"/>
  <c r="A2703" i="26"/>
  <c r="AA2702" i="26"/>
  <c r="B2702" i="26"/>
  <c r="A2702" i="26"/>
  <c r="AA2701" i="26"/>
  <c r="B2701" i="26"/>
  <c r="A2701" i="26"/>
  <c r="AA2700" i="26"/>
  <c r="B2700" i="26"/>
  <c r="A2700" i="26"/>
  <c r="AA2699" i="26"/>
  <c r="B2699" i="26"/>
  <c r="A2699" i="26"/>
  <c r="AA2698" i="26"/>
  <c r="B2698" i="26"/>
  <c r="A2698" i="26"/>
  <c r="AA2697" i="26"/>
  <c r="B2697" i="26"/>
  <c r="A2697" i="26"/>
  <c r="AA2696" i="26"/>
  <c r="B2696" i="26"/>
  <c r="A2696" i="26"/>
  <c r="AA2695" i="26"/>
  <c r="B2695" i="26"/>
  <c r="A2695" i="26"/>
  <c r="AA2694" i="26"/>
  <c r="B2694" i="26"/>
  <c r="A2694" i="26"/>
  <c r="AA2693" i="26"/>
  <c r="B2693" i="26"/>
  <c r="A2693" i="26"/>
  <c r="AA2692" i="26"/>
  <c r="B2692" i="26"/>
  <c r="A2692" i="26"/>
  <c r="AA2691" i="26"/>
  <c r="B2691" i="26"/>
  <c r="A2691" i="26"/>
  <c r="AA2690" i="26"/>
  <c r="B2690" i="26"/>
  <c r="A2690" i="26"/>
  <c r="V2689" i="26"/>
  <c r="A2689" i="26"/>
  <c r="AA2688" i="26"/>
  <c r="B2688" i="26"/>
  <c r="A2688" i="26"/>
  <c r="AA2687" i="26"/>
  <c r="B2687" i="26"/>
  <c r="A2687" i="26"/>
  <c r="AA2686" i="26"/>
  <c r="B2686" i="26"/>
  <c r="A2686" i="26"/>
  <c r="AA2685" i="26"/>
  <c r="B2685" i="26"/>
  <c r="A2685" i="26"/>
  <c r="AA2684" i="26"/>
  <c r="B2684" i="26"/>
  <c r="A2684" i="26"/>
  <c r="AA2683" i="26"/>
  <c r="B2683" i="26"/>
  <c r="A2683" i="26"/>
  <c r="AA2682" i="26"/>
  <c r="B2682" i="26"/>
  <c r="A2682" i="26"/>
  <c r="AA2681" i="26"/>
  <c r="B2681" i="26"/>
  <c r="A2681" i="26"/>
  <c r="AA2680" i="26"/>
  <c r="B2680" i="26"/>
  <c r="A2680" i="26"/>
  <c r="AA2679" i="26"/>
  <c r="B2679" i="26"/>
  <c r="A2679" i="26"/>
  <c r="AA2678" i="26"/>
  <c r="B2678" i="26"/>
  <c r="A2678" i="26"/>
  <c r="V2677" i="26"/>
  <c r="A2677" i="26"/>
  <c r="V2676" i="26"/>
  <c r="A2676" i="26"/>
  <c r="V2675" i="26"/>
  <c r="A2675" i="26"/>
  <c r="V2674" i="26"/>
  <c r="A2674" i="26"/>
  <c r="AA2673" i="26"/>
  <c r="B2673" i="26"/>
  <c r="A2673" i="26"/>
  <c r="AA2672" i="26"/>
  <c r="B2672" i="26"/>
  <c r="A2672" i="26"/>
  <c r="AA2671" i="26"/>
  <c r="B2671" i="26"/>
  <c r="A2671" i="26"/>
  <c r="AA2670" i="26"/>
  <c r="B2670" i="26"/>
  <c r="A2670" i="26"/>
  <c r="AA2669" i="26"/>
  <c r="B2669" i="26"/>
  <c r="A2669" i="26"/>
  <c r="AA2668" i="26"/>
  <c r="B2668" i="26"/>
  <c r="A2668" i="26"/>
  <c r="AA2667" i="26"/>
  <c r="B2667" i="26"/>
  <c r="A2667" i="26"/>
  <c r="AA2666" i="26"/>
  <c r="B2666" i="26"/>
  <c r="A2666" i="26"/>
  <c r="AA2665" i="26"/>
  <c r="B2665" i="26"/>
  <c r="A2665" i="26"/>
  <c r="AA2664" i="26"/>
  <c r="B2664" i="26"/>
  <c r="A2664" i="26"/>
  <c r="AA2663" i="26"/>
  <c r="B2663" i="26"/>
  <c r="A2663" i="26"/>
  <c r="AA2662" i="26"/>
  <c r="B2662" i="26"/>
  <c r="A2662" i="26"/>
  <c r="AA2661" i="26"/>
  <c r="B2661" i="26"/>
  <c r="A2661" i="26"/>
  <c r="AA2660" i="26"/>
  <c r="B2660" i="26"/>
  <c r="A2660" i="26"/>
  <c r="AA2659" i="26"/>
  <c r="B2659" i="26"/>
  <c r="A2659" i="26"/>
  <c r="AA2658" i="26"/>
  <c r="B2658" i="26"/>
  <c r="A2658" i="26"/>
  <c r="AA2657" i="26"/>
  <c r="B2657" i="26"/>
  <c r="A2657" i="26"/>
  <c r="AA2656" i="26"/>
  <c r="B2656" i="26"/>
  <c r="A2656" i="26"/>
  <c r="AA2655" i="26"/>
  <c r="B2655" i="26"/>
  <c r="A2655" i="26"/>
  <c r="AA2654" i="26"/>
  <c r="B2654" i="26"/>
  <c r="A2654" i="26"/>
  <c r="AA2653" i="26"/>
  <c r="B2653" i="26"/>
  <c r="A2653" i="26"/>
  <c r="V2652" i="26"/>
  <c r="A2652" i="26"/>
  <c r="AA2651" i="26"/>
  <c r="B2651" i="26"/>
  <c r="A2651" i="26"/>
  <c r="AA2650" i="26"/>
  <c r="B2650" i="26"/>
  <c r="A2650" i="26"/>
  <c r="B2649" i="26"/>
  <c r="A2649" i="26"/>
  <c r="V2648" i="26"/>
  <c r="A2648" i="26"/>
  <c r="B2647" i="26"/>
  <c r="A2647" i="26"/>
  <c r="V2646" i="26"/>
  <c r="A2646" i="26"/>
  <c r="V2645" i="26"/>
  <c r="A2645" i="26"/>
  <c r="V2644" i="26"/>
  <c r="A2644" i="26"/>
  <c r="AA2643" i="26"/>
  <c r="B2643" i="26"/>
  <c r="A2643" i="26"/>
  <c r="V2642" i="26"/>
  <c r="A2642" i="26"/>
  <c r="V2641" i="26"/>
  <c r="A2641" i="26"/>
  <c r="AA2640" i="26"/>
  <c r="B2640" i="26"/>
  <c r="A2640" i="26"/>
  <c r="V2639" i="26"/>
  <c r="A2639" i="26"/>
  <c r="AA2638" i="26"/>
  <c r="B2638" i="26"/>
  <c r="A2638" i="26"/>
  <c r="AA2637" i="26"/>
  <c r="B2637" i="26"/>
  <c r="A2637" i="26"/>
  <c r="V2636" i="26"/>
  <c r="A2636" i="26"/>
  <c r="V2635" i="26"/>
  <c r="A2635" i="26"/>
  <c r="V2634" i="26"/>
  <c r="A2634" i="26"/>
  <c r="V2633" i="26"/>
  <c r="A2633" i="26"/>
  <c r="AA2632" i="26"/>
  <c r="B2632" i="26"/>
  <c r="A2632" i="26"/>
  <c r="AA2631" i="26"/>
  <c r="B2631" i="26"/>
  <c r="A2631" i="26"/>
  <c r="AA2630" i="26"/>
  <c r="B2630" i="26"/>
  <c r="A2630" i="26"/>
  <c r="AA2629" i="26"/>
  <c r="B2629" i="26"/>
  <c r="A2629" i="26"/>
  <c r="AA2628" i="26"/>
  <c r="B2628" i="26"/>
  <c r="A2628" i="26"/>
  <c r="AA2627" i="26"/>
  <c r="B2627" i="26"/>
  <c r="A2627" i="26"/>
  <c r="V2626" i="26"/>
  <c r="A2626" i="26"/>
  <c r="V2625" i="26"/>
  <c r="A2625" i="26"/>
  <c r="V2624" i="26"/>
  <c r="A2624" i="26"/>
  <c r="AA2623" i="26"/>
  <c r="B2623" i="26"/>
  <c r="A2623" i="26"/>
  <c r="AA2622" i="26"/>
  <c r="B2622" i="26"/>
  <c r="A2622" i="26"/>
  <c r="AA2621" i="26"/>
  <c r="B2621" i="26"/>
  <c r="A2621" i="26"/>
  <c r="V2620" i="26"/>
  <c r="A2620" i="26"/>
  <c r="AA2619" i="26"/>
  <c r="B2619" i="26"/>
  <c r="A2619" i="26"/>
  <c r="AA2618" i="26"/>
  <c r="B2618" i="26"/>
  <c r="A2618" i="26"/>
  <c r="AA2617" i="26"/>
  <c r="B2617" i="26"/>
  <c r="A2617" i="26"/>
  <c r="AA2616" i="26"/>
  <c r="B2616" i="26"/>
  <c r="A2616" i="26"/>
  <c r="AA2615" i="26"/>
  <c r="B2615" i="26"/>
  <c r="A2615" i="26"/>
  <c r="AA2614" i="26"/>
  <c r="B2614" i="26"/>
  <c r="A2614" i="26"/>
  <c r="AA2613" i="26"/>
  <c r="B2613" i="26"/>
  <c r="A2613" i="26"/>
  <c r="AA2612" i="26"/>
  <c r="B2612" i="26"/>
  <c r="A2612" i="26"/>
  <c r="AA2611" i="26"/>
  <c r="B2611" i="26"/>
  <c r="A2611" i="26"/>
  <c r="AA2610" i="26"/>
  <c r="B2610" i="26"/>
  <c r="A2610" i="26"/>
  <c r="AA2609" i="26"/>
  <c r="B2609" i="26"/>
  <c r="A2609" i="26"/>
  <c r="AA2608" i="26"/>
  <c r="B2608" i="26"/>
  <c r="A2608" i="26"/>
  <c r="AA2607" i="26"/>
  <c r="B2607" i="26"/>
  <c r="A2607" i="26"/>
  <c r="AA2606" i="26"/>
  <c r="B2606" i="26"/>
  <c r="A2606" i="26"/>
  <c r="V2605" i="26"/>
  <c r="A2605" i="26"/>
  <c r="AA2603" i="26"/>
  <c r="B2603" i="26"/>
  <c r="A2603" i="26"/>
  <c r="AA2602" i="26"/>
  <c r="B2602" i="26"/>
  <c r="A2602" i="26"/>
  <c r="AA2601" i="26"/>
  <c r="B2601" i="26"/>
  <c r="A2601" i="26"/>
  <c r="AA2600" i="26"/>
  <c r="B2600" i="26"/>
  <c r="A2600" i="26"/>
  <c r="V2599" i="26"/>
  <c r="A2599" i="26"/>
  <c r="AA2598" i="26"/>
  <c r="B2598" i="26"/>
  <c r="A2598" i="26"/>
  <c r="V2597" i="26"/>
  <c r="A2597" i="26"/>
  <c r="AA2596" i="26"/>
  <c r="B2596" i="26"/>
  <c r="A2596" i="26"/>
  <c r="V2595" i="26"/>
  <c r="A2595" i="26"/>
  <c r="AA2594" i="26"/>
  <c r="B2594" i="26"/>
  <c r="A2594" i="26"/>
  <c r="AA2593" i="26"/>
  <c r="B2593" i="26"/>
  <c r="A2593" i="26"/>
  <c r="AA2592" i="26"/>
  <c r="B2592" i="26"/>
  <c r="A2592" i="26"/>
  <c r="AA2591" i="26"/>
  <c r="B2591" i="26"/>
  <c r="A2591" i="26"/>
  <c r="AA2590" i="26"/>
  <c r="B2590" i="26"/>
  <c r="A2590" i="26"/>
  <c r="AA2589" i="26"/>
  <c r="B2589" i="26"/>
  <c r="AA2588" i="26"/>
  <c r="B2588" i="26"/>
  <c r="A2588" i="26"/>
  <c r="AA2587" i="26"/>
  <c r="B2587" i="26"/>
  <c r="A2587" i="26"/>
  <c r="AA2586" i="26"/>
  <c r="B2586" i="26"/>
  <c r="A2586" i="26"/>
  <c r="AA2585" i="26"/>
  <c r="B2585" i="26"/>
  <c r="A2585" i="26"/>
  <c r="AA2584" i="26"/>
  <c r="B2584" i="26"/>
  <c r="A2584" i="26"/>
  <c r="AA2583" i="26"/>
  <c r="B2583" i="26"/>
  <c r="A2583" i="26"/>
  <c r="AA2582" i="26"/>
  <c r="B2582" i="26"/>
  <c r="A2582" i="26"/>
  <c r="V2581" i="26"/>
  <c r="A2581" i="26"/>
  <c r="AA2580" i="26"/>
  <c r="B2580" i="26"/>
  <c r="A2580" i="26"/>
  <c r="AA2579" i="26"/>
  <c r="B2579" i="26"/>
  <c r="A2579" i="26"/>
  <c r="AA2578" i="26"/>
  <c r="B2578" i="26"/>
  <c r="A2578" i="26"/>
  <c r="AA2577" i="26"/>
  <c r="B2577" i="26"/>
  <c r="A2577" i="26"/>
  <c r="AA2576" i="26"/>
  <c r="B2576" i="26"/>
  <c r="A2576" i="26"/>
  <c r="AA2575" i="26"/>
  <c r="B2575" i="26"/>
  <c r="A2575" i="26"/>
  <c r="AA2574" i="26"/>
  <c r="B2574" i="26"/>
  <c r="A2574" i="26"/>
  <c r="AA2573" i="26"/>
  <c r="B2573" i="26"/>
  <c r="A2573" i="26"/>
  <c r="AA2572" i="26"/>
  <c r="B2572" i="26"/>
  <c r="A2572" i="26"/>
  <c r="AA2571" i="26"/>
  <c r="B2571" i="26"/>
  <c r="A2571" i="26"/>
  <c r="AA2570" i="26"/>
  <c r="B2570" i="26"/>
  <c r="A2570" i="26"/>
  <c r="AA2569" i="26"/>
  <c r="B2569" i="26"/>
  <c r="A2569" i="26"/>
  <c r="AA2568" i="26"/>
  <c r="B2568" i="26"/>
  <c r="A2568" i="26"/>
  <c r="AA2567" i="26"/>
  <c r="B2567" i="26"/>
  <c r="A2567" i="26"/>
  <c r="AA2566" i="26"/>
  <c r="B2566" i="26"/>
  <c r="A2566" i="26"/>
  <c r="AA2565" i="26"/>
  <c r="B2565" i="26"/>
  <c r="A2565" i="26"/>
  <c r="AA2564" i="26"/>
  <c r="B2564" i="26"/>
  <c r="A2564" i="26"/>
  <c r="AA2563" i="26"/>
  <c r="B2563" i="26"/>
  <c r="A2563" i="26"/>
  <c r="AA2562" i="26"/>
  <c r="B2562" i="26"/>
  <c r="A2562" i="26"/>
  <c r="AA2561" i="26"/>
  <c r="B2561" i="26"/>
  <c r="A2561" i="26"/>
  <c r="AA2560" i="26"/>
  <c r="B2560" i="26"/>
  <c r="A2560" i="26"/>
  <c r="AA2559" i="26"/>
  <c r="B2559" i="26"/>
  <c r="A2559" i="26"/>
  <c r="AA2558" i="26"/>
  <c r="B2558" i="26"/>
  <c r="A2558" i="26"/>
  <c r="AA2557" i="26"/>
  <c r="B2557" i="26"/>
  <c r="A2557" i="26"/>
  <c r="AA2556" i="26"/>
  <c r="B2556" i="26"/>
  <c r="A2556" i="26"/>
  <c r="V2555" i="26"/>
  <c r="A2555" i="26"/>
  <c r="V2554" i="26"/>
  <c r="A2554" i="26"/>
  <c r="V2553" i="26"/>
  <c r="A2553" i="26"/>
  <c r="B2552" i="26"/>
  <c r="A2552" i="26"/>
  <c r="V2551" i="26"/>
  <c r="A2551" i="26"/>
  <c r="V2550" i="26"/>
  <c r="A2550" i="26"/>
  <c r="AA2549" i="26"/>
  <c r="B2549" i="26"/>
  <c r="A2549" i="26"/>
  <c r="AA2548" i="26"/>
  <c r="B2548" i="26"/>
  <c r="A2548" i="26"/>
  <c r="AA2547" i="26"/>
  <c r="B2547" i="26"/>
  <c r="A2547" i="26"/>
  <c r="AA2546" i="26"/>
  <c r="B2546" i="26"/>
  <c r="A2546" i="26"/>
  <c r="AA2545" i="26"/>
  <c r="B2545" i="26"/>
  <c r="A2545" i="26"/>
  <c r="AA2544" i="26"/>
  <c r="B2544" i="26"/>
  <c r="A2544" i="26"/>
  <c r="AA2543" i="26"/>
  <c r="B2543" i="26"/>
  <c r="A2543" i="26"/>
  <c r="AA2542" i="26"/>
  <c r="B2542" i="26"/>
  <c r="A2542" i="26"/>
  <c r="AA2541" i="26"/>
  <c r="B2541" i="26"/>
  <c r="A2541" i="26"/>
  <c r="AA2540" i="26"/>
  <c r="B2540" i="26"/>
  <c r="A2540" i="26"/>
  <c r="AA2539" i="26"/>
  <c r="B2539" i="26"/>
  <c r="A2539" i="26"/>
  <c r="AA2538" i="26"/>
  <c r="B2538" i="26"/>
  <c r="A2538" i="26"/>
  <c r="AA2537" i="26"/>
  <c r="B2537" i="26"/>
  <c r="A2537" i="26"/>
  <c r="AA2536" i="26"/>
  <c r="B2536" i="26"/>
  <c r="A2536" i="26"/>
  <c r="AA2535" i="26"/>
  <c r="B2535" i="26"/>
  <c r="A2535" i="26"/>
  <c r="AA2534" i="26"/>
  <c r="B2534" i="26"/>
  <c r="A2534" i="26"/>
  <c r="AA2533" i="26"/>
  <c r="B2533" i="26"/>
  <c r="A2533" i="26"/>
  <c r="AA2532" i="26"/>
  <c r="B2532" i="26"/>
  <c r="A2532" i="26"/>
  <c r="AA2531" i="26"/>
  <c r="B2531" i="26"/>
  <c r="A2531" i="26"/>
  <c r="AA2530" i="26"/>
  <c r="B2530" i="26"/>
  <c r="A2530" i="26"/>
  <c r="AA2529" i="26"/>
  <c r="B2529" i="26"/>
  <c r="A2529" i="26"/>
  <c r="AA2528" i="26"/>
  <c r="B2528" i="26"/>
  <c r="A2528" i="26"/>
  <c r="AA2527" i="26"/>
  <c r="B2527" i="26"/>
  <c r="A2527" i="26"/>
  <c r="AA2526" i="26"/>
  <c r="B2526" i="26"/>
  <c r="A2526" i="26"/>
  <c r="V2525" i="26"/>
  <c r="A2525" i="26"/>
  <c r="AA2524" i="26"/>
  <c r="B2524" i="26"/>
  <c r="A2524" i="26"/>
  <c r="AA2523" i="26"/>
  <c r="B2523" i="26"/>
  <c r="A2523" i="26"/>
  <c r="V2522" i="26"/>
  <c r="A2522" i="26"/>
  <c r="AA2521" i="26"/>
  <c r="B2521" i="26"/>
  <c r="A2521" i="26"/>
  <c r="V2520" i="26"/>
  <c r="A2520" i="26"/>
  <c r="AA2519" i="26"/>
  <c r="B2519" i="26"/>
  <c r="A2519" i="26"/>
  <c r="AA2518" i="26"/>
  <c r="B2518" i="26"/>
  <c r="A2518" i="26"/>
  <c r="AA2517" i="26"/>
  <c r="B2517" i="26"/>
  <c r="A2517" i="26"/>
  <c r="AA2516" i="26"/>
  <c r="B2516" i="26"/>
  <c r="A2516" i="26"/>
  <c r="AA2515" i="26"/>
  <c r="B2515" i="26"/>
  <c r="A2515" i="26"/>
  <c r="AA2514" i="26"/>
  <c r="B2514" i="26"/>
  <c r="A2514" i="26"/>
  <c r="AA2513" i="26"/>
  <c r="B2513" i="26"/>
  <c r="A2513" i="26"/>
  <c r="AA2512" i="26"/>
  <c r="B2512" i="26"/>
  <c r="A2512" i="26"/>
  <c r="AA2511" i="26"/>
  <c r="B2511" i="26"/>
  <c r="A2511" i="26"/>
  <c r="AA2510" i="26"/>
  <c r="B2510" i="26"/>
  <c r="A2510" i="26"/>
  <c r="B2509" i="26"/>
  <c r="A2509" i="26"/>
  <c r="V2508" i="26"/>
  <c r="A2508" i="26"/>
  <c r="V2507" i="26"/>
  <c r="A2507" i="26"/>
  <c r="AA2506" i="26"/>
  <c r="B2506" i="26"/>
  <c r="A2506" i="26"/>
  <c r="AA2505" i="26"/>
  <c r="B2505" i="26"/>
  <c r="A2505" i="26"/>
  <c r="AA2504" i="26"/>
  <c r="B2504" i="26"/>
  <c r="A2504" i="26"/>
  <c r="AA2503" i="26"/>
  <c r="B2503" i="26"/>
  <c r="A2503" i="26"/>
  <c r="AA2502" i="26"/>
  <c r="B2502" i="26"/>
  <c r="A2502" i="26"/>
  <c r="AA2501" i="26"/>
  <c r="B2501" i="26"/>
  <c r="A2501" i="26"/>
  <c r="AA2500" i="26"/>
  <c r="B2500" i="26"/>
  <c r="A2500" i="26"/>
  <c r="AA2499" i="26"/>
  <c r="B2499" i="26"/>
  <c r="A2499" i="26"/>
  <c r="AA2498" i="26"/>
  <c r="B2498" i="26"/>
  <c r="A2498" i="26"/>
  <c r="V2497" i="26"/>
  <c r="A2497" i="26"/>
  <c r="AA2496" i="26"/>
  <c r="B2496" i="26"/>
  <c r="A2496" i="26"/>
  <c r="AA2495" i="26"/>
  <c r="B2495" i="26"/>
  <c r="A2495" i="26"/>
  <c r="AA2494" i="26"/>
  <c r="B2494" i="26"/>
  <c r="A2494" i="26"/>
  <c r="AA2493" i="26"/>
  <c r="B2493" i="26"/>
  <c r="A2493" i="26"/>
  <c r="AA2492" i="26"/>
  <c r="B2492" i="26"/>
  <c r="A2492" i="26"/>
  <c r="AA2491" i="26"/>
  <c r="B2491" i="26"/>
  <c r="A2491" i="26"/>
  <c r="AA2490" i="26"/>
  <c r="B2490" i="26"/>
  <c r="A2490" i="26"/>
  <c r="AA2489" i="26"/>
  <c r="B2489" i="26"/>
  <c r="A2489" i="26"/>
  <c r="AA2488" i="26"/>
  <c r="B2488" i="26"/>
  <c r="A2488" i="26"/>
  <c r="AA2487" i="26"/>
  <c r="B2487" i="26"/>
  <c r="A2487" i="26"/>
  <c r="AA2486" i="26"/>
  <c r="B2486" i="26"/>
  <c r="A2486" i="26"/>
  <c r="AA2485" i="26"/>
  <c r="B2485" i="26"/>
  <c r="A2485" i="26"/>
  <c r="AA2484" i="26"/>
  <c r="B2484" i="26"/>
  <c r="A2484" i="26"/>
  <c r="AA2483" i="26"/>
  <c r="B2483" i="26"/>
  <c r="A2483" i="26"/>
  <c r="AA2482" i="26"/>
  <c r="B2482" i="26"/>
  <c r="A2482" i="26"/>
  <c r="AA2481" i="26"/>
  <c r="B2481" i="26"/>
  <c r="A2481" i="26"/>
  <c r="V2480" i="26"/>
  <c r="A2480" i="26"/>
  <c r="AA2479" i="26"/>
  <c r="B2479" i="26"/>
  <c r="A2479" i="26"/>
  <c r="AA2478" i="26"/>
  <c r="B2478" i="26"/>
  <c r="A2478" i="26"/>
  <c r="AA2477" i="26"/>
  <c r="B2477" i="26"/>
  <c r="A2477" i="26"/>
  <c r="B2476" i="26"/>
  <c r="A2476" i="26"/>
  <c r="AA2475" i="26"/>
  <c r="B2475" i="26"/>
  <c r="A2475" i="26"/>
  <c r="AA2474" i="26"/>
  <c r="B2474" i="26"/>
  <c r="A2474" i="26"/>
  <c r="AA2473" i="26"/>
  <c r="B2473" i="26"/>
  <c r="A2473" i="26"/>
  <c r="AA2472" i="26"/>
  <c r="B2472" i="26"/>
  <c r="A2472" i="26"/>
  <c r="V2471" i="26"/>
  <c r="A2471" i="26"/>
  <c r="V2470" i="26"/>
  <c r="A2470" i="26"/>
  <c r="AA2469" i="26"/>
  <c r="B2469" i="26"/>
  <c r="A2469" i="26"/>
  <c r="AA2468" i="26"/>
  <c r="B2468" i="26"/>
  <c r="A2468" i="26"/>
  <c r="V2467" i="26"/>
  <c r="A2467" i="26"/>
  <c r="V2466" i="26"/>
  <c r="A2466" i="26"/>
  <c r="V2465" i="26"/>
  <c r="A2465" i="26"/>
  <c r="V2464" i="26"/>
  <c r="A2464" i="26"/>
  <c r="V2463" i="26"/>
  <c r="A2463" i="26"/>
  <c r="V2462" i="26"/>
  <c r="A2462" i="26"/>
  <c r="V2461" i="26"/>
  <c r="A2461" i="26"/>
  <c r="AA2460" i="26"/>
  <c r="B2460" i="26"/>
  <c r="A2460" i="26"/>
  <c r="V2458" i="26"/>
  <c r="A2458" i="26"/>
  <c r="AA2457" i="26"/>
  <c r="B2457" i="26"/>
  <c r="A2457" i="26"/>
  <c r="AA2456" i="26"/>
  <c r="B2456" i="26"/>
  <c r="A2456" i="26"/>
  <c r="AA2455" i="26"/>
  <c r="B2455" i="26"/>
  <c r="A2455" i="26"/>
  <c r="AA2454" i="26"/>
  <c r="B2454" i="26"/>
  <c r="A2454" i="26"/>
  <c r="AA2453" i="26"/>
  <c r="B2453" i="26"/>
  <c r="A2453" i="26"/>
  <c r="AA2452" i="26"/>
  <c r="B2452" i="26"/>
  <c r="A2452" i="26"/>
  <c r="AA2451" i="26"/>
  <c r="B2451" i="26"/>
  <c r="A2451" i="26"/>
  <c r="AA2450" i="26"/>
  <c r="B2450" i="26"/>
  <c r="A2450" i="26"/>
  <c r="AA2449" i="26"/>
  <c r="B2449" i="26"/>
  <c r="A2449" i="26"/>
  <c r="AA2448" i="26"/>
  <c r="B2448" i="26"/>
  <c r="A2448" i="26"/>
  <c r="AA2447" i="26"/>
  <c r="B2447" i="26"/>
  <c r="A2447" i="26"/>
  <c r="AA2446" i="26"/>
  <c r="B2446" i="26"/>
  <c r="A2446" i="26"/>
  <c r="V2445" i="26"/>
  <c r="A2445" i="26"/>
  <c r="AA2444" i="26"/>
  <c r="B2444" i="26"/>
  <c r="A2444" i="26"/>
  <c r="AA2443" i="26"/>
  <c r="B2443" i="26"/>
  <c r="A2443" i="26"/>
  <c r="AA2442" i="26"/>
  <c r="B2442" i="26"/>
  <c r="A2442" i="26"/>
  <c r="AA2441" i="26"/>
  <c r="B2441" i="26"/>
  <c r="A2441" i="26"/>
  <c r="AA2440" i="26"/>
  <c r="B2440" i="26"/>
  <c r="A2440" i="26"/>
  <c r="AA2439" i="26"/>
  <c r="B2439" i="26"/>
  <c r="A2439" i="26"/>
  <c r="AA2438" i="26"/>
  <c r="B2438" i="26"/>
  <c r="A2438" i="26"/>
  <c r="AA2437" i="26"/>
  <c r="B2437" i="26"/>
  <c r="A2437" i="26"/>
  <c r="AA2435" i="26"/>
  <c r="B2435" i="26"/>
  <c r="A2435" i="26"/>
  <c r="AA2434" i="26"/>
  <c r="B2434" i="26"/>
  <c r="A2434" i="26"/>
  <c r="AA2433" i="26"/>
  <c r="B2433" i="26"/>
  <c r="A2433" i="26"/>
  <c r="AA2432" i="26"/>
  <c r="B2432" i="26"/>
  <c r="A2432" i="26"/>
  <c r="AA2431" i="26"/>
  <c r="B2431" i="26"/>
  <c r="A2431" i="26"/>
  <c r="V2430" i="26"/>
  <c r="A2430" i="26"/>
  <c r="AA2429" i="26"/>
  <c r="B2429" i="26"/>
  <c r="A2429" i="26"/>
  <c r="AA2428" i="26"/>
  <c r="B2428" i="26"/>
  <c r="A2428" i="26"/>
  <c r="AA2427" i="26"/>
  <c r="B2427" i="26"/>
  <c r="A2427" i="26"/>
  <c r="AA2426" i="26"/>
  <c r="B2426" i="26"/>
  <c r="A2426" i="26"/>
  <c r="V2425" i="26"/>
  <c r="A2425" i="26"/>
  <c r="V2424" i="26"/>
  <c r="A2424" i="26"/>
  <c r="V2423" i="26"/>
  <c r="A2423" i="26"/>
  <c r="V2422" i="26"/>
  <c r="A2422" i="26"/>
  <c r="V2421" i="26"/>
  <c r="A2421" i="26"/>
  <c r="V2420" i="26"/>
  <c r="A2420" i="26"/>
  <c r="V2419" i="26"/>
  <c r="A2419" i="26"/>
  <c r="V2418" i="26"/>
  <c r="A2418" i="26"/>
  <c r="V2417" i="26"/>
  <c r="A2417" i="26"/>
  <c r="V2416" i="26"/>
  <c r="A2416" i="26"/>
  <c r="V2415" i="26"/>
  <c r="A2415" i="26"/>
  <c r="V2414" i="26"/>
  <c r="A2414" i="26"/>
  <c r="V2413" i="26"/>
  <c r="A2413" i="26"/>
  <c r="AA2412" i="26"/>
  <c r="B2412" i="26"/>
  <c r="A2412" i="26"/>
  <c r="AA2411" i="26"/>
  <c r="B2411" i="26"/>
  <c r="A2411" i="26"/>
  <c r="AA2408" i="26"/>
  <c r="B2408" i="26"/>
  <c r="A2408" i="26"/>
  <c r="AA2407" i="26"/>
  <c r="B2407" i="26"/>
  <c r="A2407" i="26"/>
  <c r="AA2406" i="26"/>
  <c r="B2406" i="26"/>
  <c r="A2406" i="26"/>
  <c r="AA2405" i="26"/>
  <c r="B2405" i="26"/>
  <c r="A2405" i="26"/>
  <c r="AA2404" i="26"/>
  <c r="B2404" i="26"/>
  <c r="A2404" i="26"/>
  <c r="V2403" i="26"/>
  <c r="A2403" i="26"/>
  <c r="AA2402" i="26"/>
  <c r="B2402" i="26"/>
  <c r="A2402" i="26"/>
  <c r="AA2401" i="26"/>
  <c r="B2401" i="26"/>
  <c r="A2401" i="26"/>
  <c r="AA2400" i="26"/>
  <c r="B2400" i="26"/>
  <c r="A2400" i="26"/>
  <c r="AA2399" i="26"/>
  <c r="B2399" i="26"/>
  <c r="A2399" i="26"/>
  <c r="AA2398" i="26"/>
  <c r="B2398" i="26"/>
  <c r="A2398" i="26"/>
  <c r="AA2397" i="26"/>
  <c r="B2397" i="26"/>
  <c r="A2397" i="26"/>
  <c r="AA2396" i="26"/>
  <c r="B2396" i="26"/>
  <c r="A2396" i="26"/>
  <c r="AA2395" i="26"/>
  <c r="B2395" i="26"/>
  <c r="A2395" i="26"/>
  <c r="AA2394" i="26"/>
  <c r="B2394" i="26"/>
  <c r="A2394" i="26"/>
  <c r="AA2393" i="26"/>
  <c r="B2393" i="26"/>
  <c r="A2393" i="26"/>
  <c r="AA2392" i="26"/>
  <c r="B2392" i="26"/>
  <c r="A2392" i="26"/>
  <c r="AA2391" i="26"/>
  <c r="B2391" i="26"/>
  <c r="A2391" i="26"/>
  <c r="AA2390" i="26"/>
  <c r="B2390" i="26"/>
  <c r="A2390" i="26"/>
  <c r="AA2389" i="26"/>
  <c r="B2389" i="26"/>
  <c r="A2389" i="26"/>
  <c r="AA2388" i="26"/>
  <c r="B2388" i="26"/>
  <c r="A2388" i="26"/>
  <c r="AA2387" i="26"/>
  <c r="B2387" i="26"/>
  <c r="A2387" i="26"/>
  <c r="AA2386" i="26"/>
  <c r="B2386" i="26"/>
  <c r="A2386" i="26"/>
  <c r="V2385" i="26"/>
  <c r="A2385" i="26"/>
  <c r="V2384" i="26"/>
  <c r="A2384" i="26"/>
  <c r="V2383" i="26"/>
  <c r="A2383" i="26"/>
  <c r="V2382" i="26"/>
  <c r="A2382" i="26"/>
  <c r="V2381" i="26"/>
  <c r="A2381" i="26"/>
  <c r="AA2380" i="26"/>
  <c r="B2380" i="26"/>
  <c r="A2380" i="26"/>
  <c r="V2379" i="26"/>
  <c r="A2379" i="26"/>
  <c r="V2378" i="26"/>
  <c r="A2378" i="26"/>
  <c r="V2377" i="26"/>
  <c r="A2377" i="26"/>
  <c r="V2376" i="26"/>
  <c r="A2376" i="26"/>
  <c r="V2375" i="26"/>
  <c r="A2375" i="26"/>
  <c r="V2374" i="26"/>
  <c r="A2374" i="26"/>
  <c r="V2373" i="26"/>
  <c r="A2373" i="26"/>
  <c r="AA2372" i="26"/>
  <c r="B2372" i="26"/>
  <c r="A2372" i="26"/>
  <c r="V2371" i="26"/>
  <c r="A2371" i="26"/>
  <c r="AA2370" i="26"/>
  <c r="B2370" i="26"/>
  <c r="A2370" i="26"/>
  <c r="V2369" i="26"/>
  <c r="A2369" i="26"/>
  <c r="V2368" i="26"/>
  <c r="A2368" i="26"/>
  <c r="V2367" i="26"/>
  <c r="A2367" i="26"/>
  <c r="V2366" i="26"/>
  <c r="A2366" i="26"/>
  <c r="V2365" i="26"/>
  <c r="A2365" i="26"/>
  <c r="AA2364" i="26"/>
  <c r="B2364" i="26"/>
  <c r="A2364" i="26"/>
  <c r="V2363" i="26"/>
  <c r="A2363" i="26"/>
  <c r="AA2362" i="26"/>
  <c r="B2362" i="26"/>
  <c r="A2362" i="26"/>
  <c r="V2361" i="26"/>
  <c r="A2361" i="26"/>
  <c r="AA2360" i="26"/>
  <c r="B2360" i="26"/>
  <c r="A2360" i="26"/>
  <c r="V2359" i="26"/>
  <c r="A2359" i="26"/>
  <c r="V2358" i="26"/>
  <c r="A2358" i="26"/>
  <c r="V2357" i="26"/>
  <c r="A2357" i="26"/>
  <c r="V2356" i="26"/>
  <c r="A2356" i="26"/>
  <c r="V2355" i="26"/>
  <c r="A2355" i="26"/>
  <c r="V2354" i="26"/>
  <c r="A2354" i="26"/>
  <c r="V2353" i="26"/>
  <c r="A2353" i="26"/>
  <c r="AA2352" i="26"/>
  <c r="B2352" i="26"/>
  <c r="A2352" i="26"/>
  <c r="V2351" i="26"/>
  <c r="A2351" i="26"/>
  <c r="AA2350" i="26"/>
  <c r="B2350" i="26"/>
  <c r="A2350" i="26"/>
  <c r="AA2349" i="26"/>
  <c r="B2349" i="26"/>
  <c r="A2349" i="26"/>
  <c r="AA2348" i="26"/>
  <c r="B2348" i="26"/>
  <c r="A2348" i="26"/>
  <c r="AA2347" i="26"/>
  <c r="B2347" i="26"/>
  <c r="A2347" i="26"/>
  <c r="AA2346" i="26"/>
  <c r="B2346" i="26"/>
  <c r="A2346" i="26"/>
  <c r="AA2345" i="26"/>
  <c r="B2345" i="26"/>
  <c r="A2345" i="26"/>
  <c r="AA2344" i="26"/>
  <c r="B2344" i="26"/>
  <c r="A2344" i="26"/>
  <c r="AA2343" i="26"/>
  <c r="B2343" i="26"/>
  <c r="A2343" i="26"/>
  <c r="AA2342" i="26"/>
  <c r="B2342" i="26"/>
  <c r="A2342" i="26"/>
  <c r="AA2341" i="26"/>
  <c r="B2341" i="26"/>
  <c r="A2341" i="26"/>
  <c r="AA2340" i="26"/>
  <c r="B2340" i="26"/>
  <c r="A2340" i="26"/>
  <c r="AA2339" i="26"/>
  <c r="B2339" i="26"/>
  <c r="A2339" i="26"/>
  <c r="AA2338" i="26"/>
  <c r="B2338" i="26"/>
  <c r="A2338" i="26"/>
  <c r="AA2337" i="26"/>
  <c r="B2337" i="26"/>
  <c r="A2337" i="26"/>
  <c r="AA2336" i="26"/>
  <c r="B2336" i="26"/>
  <c r="A2336" i="26"/>
  <c r="AA2335" i="26"/>
  <c r="B2335" i="26"/>
  <c r="A2335" i="26"/>
  <c r="AA2334" i="26"/>
  <c r="B2334" i="26"/>
  <c r="A2334" i="26"/>
  <c r="AA2333" i="26"/>
  <c r="B2333" i="26"/>
  <c r="A2333" i="26"/>
  <c r="AA2332" i="26"/>
  <c r="B2332" i="26"/>
  <c r="A2332" i="26"/>
  <c r="AA2331" i="26"/>
  <c r="B2331" i="26"/>
  <c r="A2331" i="26"/>
  <c r="AA2330" i="26"/>
  <c r="B2330" i="26"/>
  <c r="A2330" i="26"/>
  <c r="AA2329" i="26"/>
  <c r="B2329" i="26"/>
  <c r="A2329" i="26"/>
  <c r="AA2328" i="26"/>
  <c r="B2328" i="26"/>
  <c r="A2328" i="26"/>
  <c r="AA2327" i="26"/>
  <c r="B2327" i="26"/>
  <c r="A2327" i="26"/>
  <c r="AA2326" i="26"/>
  <c r="B2326" i="26"/>
  <c r="A2326" i="26"/>
  <c r="AA2325" i="26"/>
  <c r="B2325" i="26"/>
  <c r="A2325" i="26"/>
  <c r="AA2324" i="26"/>
  <c r="B2324" i="26"/>
  <c r="A2324" i="26"/>
  <c r="AA2323" i="26"/>
  <c r="B2323" i="26"/>
  <c r="A2323" i="26"/>
  <c r="AA2322" i="26"/>
  <c r="B2322" i="26"/>
  <c r="A2322" i="26"/>
  <c r="AA2321" i="26"/>
  <c r="B2321" i="26"/>
  <c r="A2321" i="26"/>
  <c r="AA2320" i="26"/>
  <c r="B2320" i="26"/>
  <c r="A2320" i="26"/>
  <c r="AA2319" i="26"/>
  <c r="B2319" i="26"/>
  <c r="A2319" i="26"/>
  <c r="AA2318" i="26"/>
  <c r="B2318" i="26"/>
  <c r="A2318" i="26"/>
  <c r="AA2317" i="26"/>
  <c r="B2317" i="26"/>
  <c r="A2317" i="26"/>
  <c r="AA2316" i="26"/>
  <c r="B2316" i="26"/>
  <c r="A2316" i="26"/>
  <c r="AA2315" i="26"/>
  <c r="B2315" i="26"/>
  <c r="A2315" i="26"/>
  <c r="AA2314" i="26"/>
  <c r="B2314" i="26"/>
  <c r="A2314" i="26"/>
  <c r="AA2313" i="26"/>
  <c r="B2313" i="26"/>
  <c r="A2313" i="26"/>
  <c r="AA2312" i="26"/>
  <c r="B2312" i="26"/>
  <c r="A2312" i="26"/>
  <c r="AA2311" i="26"/>
  <c r="B2311" i="26"/>
  <c r="A2311" i="26"/>
  <c r="AA2310" i="26"/>
  <c r="B2310" i="26"/>
  <c r="A2310" i="26"/>
  <c r="AA2309" i="26"/>
  <c r="B2309" i="26"/>
  <c r="A2309" i="26"/>
  <c r="AA2308" i="26"/>
  <c r="B2308" i="26"/>
  <c r="A2308" i="26"/>
  <c r="AA2307" i="26"/>
  <c r="B2307" i="26"/>
  <c r="A2307" i="26"/>
  <c r="AA2306" i="26"/>
  <c r="B2306" i="26"/>
  <c r="A2306" i="26"/>
  <c r="AA2305" i="26"/>
  <c r="B2305" i="26"/>
  <c r="A2305" i="26"/>
  <c r="AA2304" i="26"/>
  <c r="B2304" i="26"/>
  <c r="A2304" i="26"/>
  <c r="V2303" i="26"/>
  <c r="A2303" i="26"/>
  <c r="V2302" i="26"/>
  <c r="A2302" i="26"/>
  <c r="V2301" i="26"/>
  <c r="A2301" i="26"/>
  <c r="V2300" i="26"/>
  <c r="A2300" i="26"/>
  <c r="V2299" i="26"/>
  <c r="A2299" i="26"/>
  <c r="Q2298" i="26"/>
  <c r="V2297" i="26"/>
  <c r="A2297" i="26"/>
  <c r="V2296" i="26"/>
  <c r="A2296" i="26"/>
  <c r="V2295" i="26"/>
  <c r="A2295" i="26"/>
  <c r="V2294" i="26"/>
  <c r="A2294" i="26"/>
  <c r="V2293" i="26"/>
  <c r="A2293" i="26"/>
  <c r="V2292" i="26"/>
  <c r="A2292" i="26"/>
  <c r="V2291" i="26"/>
  <c r="A2291" i="26"/>
  <c r="AA2290" i="26"/>
  <c r="B2290" i="26"/>
  <c r="A2290" i="26"/>
  <c r="V2289" i="26"/>
  <c r="A2289" i="26"/>
  <c r="AA2288" i="26"/>
  <c r="B2288" i="26"/>
  <c r="A2288" i="26"/>
  <c r="AA2287" i="26"/>
  <c r="B2287" i="26"/>
  <c r="A2287" i="26"/>
  <c r="AA2286" i="26"/>
  <c r="B2286" i="26"/>
  <c r="A2286" i="26"/>
  <c r="AA2285" i="26"/>
  <c r="B2285" i="26"/>
  <c r="A2285" i="26"/>
  <c r="AA2284" i="26"/>
  <c r="B2284" i="26"/>
  <c r="A2284" i="26"/>
  <c r="AA2283" i="26"/>
  <c r="B2283" i="26"/>
  <c r="A2283" i="26"/>
  <c r="AA2282" i="26"/>
  <c r="B2282" i="26"/>
  <c r="A2282" i="26"/>
  <c r="AA2281" i="26"/>
  <c r="B2281" i="26"/>
  <c r="A2281" i="26"/>
  <c r="AA2280" i="26"/>
  <c r="B2280" i="26"/>
  <c r="A2280" i="26"/>
  <c r="AA2279" i="26"/>
  <c r="B2279" i="26"/>
  <c r="A2279" i="26"/>
  <c r="AA2278" i="26"/>
  <c r="B2278" i="26"/>
  <c r="A2278" i="26"/>
  <c r="AA2277" i="26"/>
  <c r="B2277" i="26"/>
  <c r="A2277" i="26"/>
  <c r="AA2276" i="26"/>
  <c r="B2276" i="26"/>
  <c r="A2276" i="26"/>
  <c r="V2275" i="26"/>
  <c r="A2275" i="26"/>
  <c r="V2274" i="26"/>
  <c r="A2274" i="26"/>
  <c r="AA2273" i="26"/>
  <c r="B2273" i="26"/>
  <c r="A2273" i="26"/>
  <c r="V2272" i="26"/>
  <c r="A2272" i="26"/>
  <c r="V2271" i="26"/>
  <c r="A2271" i="26"/>
  <c r="V2270" i="26"/>
  <c r="A2270" i="26"/>
  <c r="AA2269" i="26"/>
  <c r="B2269" i="26"/>
  <c r="A2269" i="26"/>
  <c r="V2268" i="26"/>
  <c r="A2268" i="26"/>
  <c r="V2267" i="26"/>
  <c r="A2267" i="26"/>
  <c r="AA2266" i="26"/>
  <c r="B2266" i="26"/>
  <c r="A2266" i="26"/>
  <c r="AA2265" i="26"/>
  <c r="B2265" i="26"/>
  <c r="A2265" i="26"/>
  <c r="AA2264" i="26"/>
  <c r="B2264" i="26"/>
  <c r="A2264" i="26"/>
  <c r="B2263" i="26"/>
  <c r="A2263" i="26"/>
  <c r="V2262" i="26"/>
  <c r="A2262" i="26"/>
  <c r="V2261" i="26"/>
  <c r="A2261" i="26"/>
  <c r="V2260" i="26"/>
  <c r="A2260" i="26"/>
  <c r="B2259" i="26"/>
  <c r="A2259" i="26"/>
  <c r="AA2258" i="26"/>
  <c r="B2258" i="26"/>
  <c r="A2258" i="26"/>
  <c r="V2257" i="26"/>
  <c r="A2257" i="26"/>
  <c r="AA2256" i="26"/>
  <c r="B2256" i="26"/>
  <c r="A2256" i="26"/>
  <c r="V2255" i="26"/>
  <c r="A2255" i="26"/>
  <c r="V2254" i="26"/>
  <c r="A2254" i="26"/>
  <c r="V2253" i="26"/>
  <c r="A2253" i="26"/>
  <c r="AA2252" i="26"/>
  <c r="B2252" i="26"/>
  <c r="A2252" i="26"/>
  <c r="V2251" i="26"/>
  <c r="A2251" i="26"/>
  <c r="V2250" i="26"/>
  <c r="A2250" i="26"/>
  <c r="V2249" i="26"/>
  <c r="A2249" i="26"/>
  <c r="V2248" i="26"/>
  <c r="A2248" i="26"/>
  <c r="V2247" i="26"/>
  <c r="A2247" i="26"/>
  <c r="Q2246" i="26"/>
  <c r="AA2245" i="26"/>
  <c r="B2245" i="26"/>
  <c r="A2245" i="26"/>
  <c r="A2244" i="26"/>
  <c r="V2243" i="26"/>
  <c r="A2243" i="26"/>
  <c r="AA2242" i="26"/>
  <c r="B2242" i="26"/>
  <c r="A2242" i="26"/>
  <c r="V2241" i="26"/>
  <c r="A2241" i="26"/>
  <c r="V2240" i="26"/>
  <c r="A2240" i="26"/>
  <c r="V2239" i="26"/>
  <c r="A2239" i="26"/>
  <c r="V2238" i="26"/>
  <c r="A2238" i="26"/>
  <c r="V2237" i="26"/>
  <c r="A2237" i="26"/>
  <c r="V2236" i="26"/>
  <c r="A2236" i="26"/>
  <c r="V2235" i="26"/>
  <c r="A2235" i="26"/>
  <c r="V2234" i="26"/>
  <c r="A2234" i="26"/>
  <c r="AA2233" i="26"/>
  <c r="B2233" i="26"/>
  <c r="A2233" i="26"/>
  <c r="AA2232" i="26"/>
  <c r="B2232" i="26"/>
  <c r="A2232" i="26"/>
  <c r="V2231" i="26"/>
  <c r="A2231" i="26"/>
  <c r="V2230" i="26"/>
  <c r="A2230" i="26"/>
  <c r="V2229" i="26"/>
  <c r="A2229" i="26"/>
  <c r="V2228" i="26"/>
  <c r="A2228" i="26"/>
  <c r="V2227" i="26"/>
  <c r="A2227" i="26"/>
  <c r="V2226" i="26"/>
  <c r="A2226" i="26"/>
  <c r="B2225" i="26"/>
  <c r="A2225" i="26"/>
  <c r="AA2224" i="26"/>
  <c r="B2224" i="26"/>
  <c r="A2224" i="26"/>
  <c r="V2223" i="26"/>
  <c r="A2223" i="26"/>
  <c r="AA2222" i="26"/>
  <c r="B2222" i="26"/>
  <c r="A2222" i="26"/>
  <c r="AA2221" i="26"/>
  <c r="B2221" i="26"/>
  <c r="A2221" i="26"/>
  <c r="V2220" i="26"/>
  <c r="A2220" i="26"/>
  <c r="AA2219" i="26"/>
  <c r="B2219" i="26"/>
  <c r="A2219" i="26"/>
  <c r="AA2218" i="26"/>
  <c r="B2218" i="26"/>
  <c r="A2218" i="26"/>
  <c r="AA2217" i="26"/>
  <c r="B2217" i="26"/>
  <c r="A2217" i="26"/>
  <c r="AA2216" i="26"/>
  <c r="B2216" i="26"/>
  <c r="A2216" i="26"/>
  <c r="AA2215" i="26"/>
  <c r="B2215" i="26"/>
  <c r="A2215" i="26"/>
  <c r="AA2214" i="26"/>
  <c r="B2214" i="26"/>
  <c r="A2214" i="26"/>
  <c r="AA2213" i="26"/>
  <c r="B2213" i="26"/>
  <c r="A2213" i="26"/>
  <c r="AA2212" i="26"/>
  <c r="B2212" i="26"/>
  <c r="A2212" i="26"/>
  <c r="AA2211" i="26"/>
  <c r="B2211" i="26"/>
  <c r="A2211" i="26"/>
  <c r="AA2210" i="26"/>
  <c r="B2210" i="26"/>
  <c r="A2210" i="26"/>
  <c r="AA2209" i="26"/>
  <c r="B2209" i="26"/>
  <c r="A2209" i="26"/>
  <c r="V2208" i="26"/>
  <c r="A2208" i="26"/>
  <c r="AA2207" i="26"/>
  <c r="B2207" i="26"/>
  <c r="A2207" i="26"/>
  <c r="AA2206" i="26"/>
  <c r="B2206" i="26"/>
  <c r="A2206" i="26"/>
  <c r="AA2205" i="26"/>
  <c r="B2205" i="26"/>
  <c r="A2205" i="26"/>
  <c r="AA2204" i="26"/>
  <c r="B2204" i="26"/>
  <c r="A2204" i="26"/>
  <c r="AA2203" i="26"/>
  <c r="B2203" i="26"/>
  <c r="A2203" i="26"/>
  <c r="AA2202" i="26"/>
  <c r="B2202" i="26"/>
  <c r="A2202" i="26"/>
  <c r="V2201" i="26"/>
  <c r="A2201" i="26"/>
  <c r="V2200" i="26"/>
  <c r="A2200" i="26"/>
  <c r="AA2199" i="26"/>
  <c r="B2199" i="26"/>
  <c r="A2199" i="26"/>
  <c r="V2198" i="26"/>
  <c r="A2198" i="26"/>
  <c r="V2197" i="26"/>
  <c r="A2197" i="26"/>
  <c r="V2196" i="26"/>
  <c r="A2196" i="26"/>
  <c r="AA2195" i="26"/>
  <c r="B2195" i="26"/>
  <c r="A2195" i="26"/>
  <c r="AA2194" i="26"/>
  <c r="B2194" i="26"/>
  <c r="A2194" i="26"/>
  <c r="AA2193" i="26"/>
  <c r="B2193" i="26"/>
  <c r="A2193" i="26"/>
  <c r="AA2192" i="26"/>
  <c r="B2192" i="26"/>
  <c r="A2192" i="26"/>
  <c r="AA2191" i="26"/>
  <c r="B2191" i="26"/>
  <c r="A2191" i="26"/>
  <c r="AA2190" i="26"/>
  <c r="B2190" i="26"/>
  <c r="A2190" i="26"/>
  <c r="AA2189" i="26"/>
  <c r="B2189" i="26"/>
  <c r="A2189" i="26"/>
  <c r="AA2188" i="26"/>
  <c r="B2188" i="26"/>
  <c r="A2188" i="26"/>
  <c r="AA2187" i="26"/>
  <c r="B2187" i="26"/>
  <c r="A2187" i="26"/>
  <c r="AA2186" i="26"/>
  <c r="B2186" i="26"/>
  <c r="A2186" i="26"/>
  <c r="V2185" i="26"/>
  <c r="A2185" i="26"/>
  <c r="AA2184" i="26"/>
  <c r="B2184" i="26"/>
  <c r="A2184" i="26"/>
  <c r="AA2183" i="26"/>
  <c r="B2183" i="26"/>
  <c r="A2183" i="26"/>
  <c r="AA2182" i="26"/>
  <c r="B2182" i="26"/>
  <c r="A2182" i="26"/>
  <c r="AA2181" i="26"/>
  <c r="B2181" i="26"/>
  <c r="A2181" i="26"/>
  <c r="V2180" i="26"/>
  <c r="A2180" i="26"/>
  <c r="AA2179" i="26"/>
  <c r="B2179" i="26"/>
  <c r="A2179" i="26"/>
  <c r="AA2178" i="26"/>
  <c r="B2178" i="26"/>
  <c r="A2178" i="26"/>
  <c r="AA2177" i="26"/>
  <c r="B2177" i="26"/>
  <c r="A2177" i="26"/>
  <c r="AA2176" i="26"/>
  <c r="B2176" i="26"/>
  <c r="A2176" i="26"/>
  <c r="AA2175" i="26"/>
  <c r="B2175" i="26"/>
  <c r="A2175" i="26"/>
  <c r="AA2174" i="26"/>
  <c r="B2174" i="26"/>
  <c r="A2174" i="26"/>
  <c r="AA2173" i="26"/>
  <c r="B2173" i="26"/>
  <c r="A2173" i="26"/>
  <c r="AA2172" i="26"/>
  <c r="B2172" i="26"/>
  <c r="A2172" i="26"/>
  <c r="AA2171" i="26"/>
  <c r="B2171" i="26"/>
  <c r="A2171" i="26"/>
  <c r="AA2170" i="26"/>
  <c r="B2170" i="26"/>
  <c r="A2170" i="26"/>
  <c r="AA2169" i="26"/>
  <c r="B2169" i="26"/>
  <c r="A2169" i="26"/>
  <c r="AA2168" i="26"/>
  <c r="B2168" i="26"/>
  <c r="A2168" i="26"/>
  <c r="V2167" i="26"/>
  <c r="A2167" i="26"/>
  <c r="AA2166" i="26"/>
  <c r="B2166" i="26"/>
  <c r="A2166" i="26"/>
  <c r="V2165" i="26"/>
  <c r="A2165" i="26"/>
  <c r="V2164" i="26"/>
  <c r="A2164" i="26"/>
  <c r="V2163" i="26"/>
  <c r="A2163" i="26"/>
  <c r="B2162" i="26"/>
  <c r="A2162" i="26"/>
  <c r="V2161" i="26"/>
  <c r="A2161" i="26"/>
  <c r="AA2160" i="26"/>
  <c r="B2160" i="26"/>
  <c r="A2160" i="26"/>
  <c r="V2159" i="26"/>
  <c r="A2159" i="26"/>
  <c r="V2158" i="26"/>
  <c r="A2158" i="26"/>
  <c r="V2157" i="26"/>
  <c r="A2157" i="26"/>
  <c r="V2156" i="26"/>
  <c r="A2156" i="26"/>
  <c r="V2155" i="26"/>
  <c r="A2155" i="26"/>
  <c r="V2154" i="26"/>
  <c r="A2154" i="26"/>
  <c r="V2153" i="26"/>
  <c r="A2153" i="26"/>
  <c r="V2152" i="26"/>
  <c r="A2152" i="26"/>
  <c r="V2151" i="26"/>
  <c r="A2151" i="26"/>
  <c r="AA2150" i="26"/>
  <c r="B2150" i="26"/>
  <c r="A2150" i="26"/>
  <c r="AA2149" i="26"/>
  <c r="B2149" i="26"/>
  <c r="A2149" i="26"/>
  <c r="AA2148" i="26"/>
  <c r="B2148" i="26"/>
  <c r="A2148" i="26"/>
  <c r="AA2146" i="26"/>
  <c r="B2146" i="26"/>
  <c r="A2146" i="26"/>
  <c r="AA2145" i="26"/>
  <c r="B2145" i="26"/>
  <c r="A2145" i="26"/>
  <c r="AA2144" i="26"/>
  <c r="B2144" i="26"/>
  <c r="A2144" i="26"/>
  <c r="AA2143" i="26"/>
  <c r="B2143" i="26"/>
  <c r="A2143" i="26"/>
  <c r="AA2142" i="26"/>
  <c r="B2142" i="26"/>
  <c r="A2142" i="26"/>
  <c r="AA2141" i="26"/>
  <c r="B2141" i="26"/>
  <c r="A2141" i="26"/>
  <c r="AA2140" i="26"/>
  <c r="B2140" i="26"/>
  <c r="A2140" i="26"/>
  <c r="V2139" i="26"/>
  <c r="A2139" i="26"/>
  <c r="AA2138" i="26"/>
  <c r="B2138" i="26"/>
  <c r="A2138" i="26"/>
  <c r="AA2137" i="26"/>
  <c r="B2137" i="26"/>
  <c r="A2137" i="26"/>
  <c r="AA2136" i="26"/>
  <c r="B2136" i="26"/>
  <c r="A2136" i="26"/>
  <c r="V2135" i="26"/>
  <c r="A2135" i="26"/>
  <c r="AA2134" i="26"/>
  <c r="B2134" i="26"/>
  <c r="A2134" i="26"/>
  <c r="AA2133" i="26"/>
  <c r="B2133" i="26"/>
  <c r="A2133" i="26"/>
  <c r="AA2132" i="26"/>
  <c r="B2132" i="26"/>
  <c r="A2132" i="26"/>
  <c r="AA2131" i="26"/>
  <c r="B2131" i="26"/>
  <c r="A2131" i="26"/>
  <c r="V2130" i="26"/>
  <c r="A2130" i="26"/>
  <c r="V2129" i="26"/>
  <c r="A2129" i="26"/>
  <c r="V2128" i="26"/>
  <c r="A2128" i="26"/>
  <c r="V2127" i="26"/>
  <c r="A2127" i="26"/>
  <c r="V2126" i="26"/>
  <c r="A2126" i="26"/>
  <c r="AA2125" i="26"/>
  <c r="B2125" i="26"/>
  <c r="A2125" i="26"/>
  <c r="AA2124" i="26"/>
  <c r="B2124" i="26"/>
  <c r="A2124" i="26"/>
  <c r="AA2123" i="26"/>
  <c r="B2123" i="26"/>
  <c r="A2123" i="26"/>
  <c r="AA2122" i="26"/>
  <c r="B2122" i="26"/>
  <c r="A2122" i="26"/>
  <c r="AA2121" i="26"/>
  <c r="B2121" i="26"/>
  <c r="A2121" i="26"/>
  <c r="AA2120" i="26"/>
  <c r="B2120" i="26"/>
  <c r="A2120" i="26"/>
  <c r="AA2119" i="26"/>
  <c r="B2119" i="26"/>
  <c r="A2119" i="26"/>
  <c r="AA2118" i="26"/>
  <c r="B2118" i="26"/>
  <c r="A2118" i="26"/>
  <c r="AA2117" i="26"/>
  <c r="B2117" i="26"/>
  <c r="A2117" i="26"/>
  <c r="AA2116" i="26"/>
  <c r="B2116" i="26"/>
  <c r="A2116" i="26"/>
  <c r="AA2115" i="26"/>
  <c r="B2115" i="26"/>
  <c r="A2115" i="26"/>
  <c r="AA2114" i="26"/>
  <c r="B2114" i="26"/>
  <c r="A2114" i="26"/>
  <c r="V2113" i="26"/>
  <c r="A2113" i="26"/>
  <c r="AA2112" i="26"/>
  <c r="B2112" i="26"/>
  <c r="A2112" i="26"/>
  <c r="AA2111" i="26"/>
  <c r="B2111" i="26"/>
  <c r="A2111" i="26"/>
  <c r="AA2110" i="26"/>
  <c r="B2110" i="26"/>
  <c r="A2110" i="26"/>
  <c r="AA2109" i="26"/>
  <c r="B2109" i="26"/>
  <c r="A2109" i="26"/>
  <c r="AA2108" i="26"/>
  <c r="B2108" i="26"/>
  <c r="A2108" i="26"/>
  <c r="AA2107" i="26"/>
  <c r="B2107" i="26"/>
  <c r="A2107" i="26"/>
  <c r="AA2106" i="26"/>
  <c r="B2106" i="26"/>
  <c r="A2106" i="26"/>
  <c r="AA2105" i="26"/>
  <c r="B2105" i="26"/>
  <c r="A2105" i="26"/>
  <c r="AA2104" i="26"/>
  <c r="B2104" i="26"/>
  <c r="A2104" i="26"/>
  <c r="AA2103" i="26"/>
  <c r="B2103" i="26"/>
  <c r="A2103" i="26"/>
  <c r="AA2102" i="26"/>
  <c r="B2102" i="26"/>
  <c r="A2102" i="26"/>
  <c r="AA2101" i="26"/>
  <c r="B2101" i="26"/>
  <c r="A2101" i="26"/>
  <c r="AA2100" i="26"/>
  <c r="B2100" i="26"/>
  <c r="A2100" i="26"/>
  <c r="AA2099" i="26"/>
  <c r="B2099" i="26"/>
  <c r="A2099" i="26"/>
  <c r="AA2098" i="26"/>
  <c r="B2098" i="26"/>
  <c r="A2098" i="26"/>
  <c r="AA2097" i="26"/>
  <c r="B2097" i="26"/>
  <c r="A2097" i="26"/>
  <c r="AA2096" i="26"/>
  <c r="B2096" i="26"/>
  <c r="A2096" i="26"/>
  <c r="AA2095" i="26"/>
  <c r="B2095" i="26"/>
  <c r="A2095" i="26"/>
  <c r="AA2094" i="26"/>
  <c r="B2094" i="26"/>
  <c r="A2094" i="26"/>
  <c r="AA2093" i="26"/>
  <c r="B2093" i="26"/>
  <c r="A2093" i="26"/>
  <c r="AA2092" i="26"/>
  <c r="B2092" i="26"/>
  <c r="A2092" i="26"/>
  <c r="AA2091" i="26"/>
  <c r="B2091" i="26"/>
  <c r="A2091" i="26"/>
  <c r="AA2090" i="26"/>
  <c r="B2090" i="26"/>
  <c r="A2090" i="26"/>
  <c r="AA2089" i="26"/>
  <c r="B2089" i="26"/>
  <c r="A2089" i="26"/>
  <c r="AA2088" i="26"/>
  <c r="B2088" i="26"/>
  <c r="A2088" i="26"/>
  <c r="AA2087" i="26"/>
  <c r="B2087" i="26"/>
  <c r="A2087" i="26"/>
  <c r="AA2086" i="26"/>
  <c r="B2086" i="26"/>
  <c r="A2086" i="26"/>
  <c r="AA2085" i="26"/>
  <c r="B2085" i="26"/>
  <c r="A2085" i="26"/>
  <c r="AA2084" i="26"/>
  <c r="B2084" i="26"/>
  <c r="A2084" i="26"/>
  <c r="AA2083" i="26"/>
  <c r="B2083" i="26"/>
  <c r="A2083" i="26"/>
  <c r="AA2082" i="26"/>
  <c r="B2082" i="26"/>
  <c r="A2082" i="26"/>
  <c r="V2079" i="26"/>
  <c r="A2079" i="26"/>
  <c r="AA2078" i="26"/>
  <c r="B2078" i="26"/>
  <c r="A2078" i="26"/>
  <c r="AA2077" i="26"/>
  <c r="B2077" i="26"/>
  <c r="A2077" i="26"/>
  <c r="AA2076" i="26"/>
  <c r="B2076" i="26"/>
  <c r="A2076" i="26"/>
  <c r="AA2075" i="26"/>
  <c r="B2075" i="26"/>
  <c r="A2075" i="26"/>
  <c r="AA2074" i="26"/>
  <c r="B2074" i="26"/>
  <c r="A2074" i="26"/>
  <c r="AA2073" i="26"/>
  <c r="B2073" i="26"/>
  <c r="A2073" i="26"/>
  <c r="V2072" i="26"/>
  <c r="A2072" i="26"/>
  <c r="AA2071" i="26"/>
  <c r="B2071" i="26"/>
  <c r="A2071" i="26"/>
  <c r="AA2070" i="26"/>
  <c r="B2070" i="26"/>
  <c r="A2070" i="26"/>
  <c r="AA2069" i="26"/>
  <c r="B2069" i="26"/>
  <c r="A2069" i="26"/>
  <c r="AA2068" i="26"/>
  <c r="B2068" i="26"/>
  <c r="A2068" i="26"/>
  <c r="AA2067" i="26"/>
  <c r="B2067" i="26"/>
  <c r="A2067" i="26"/>
  <c r="AA2066" i="26"/>
  <c r="B2066" i="26"/>
  <c r="A2066" i="26"/>
  <c r="AA2065" i="26"/>
  <c r="B2065" i="26"/>
  <c r="A2065" i="26"/>
  <c r="V2064" i="26"/>
  <c r="A2064" i="26"/>
  <c r="AA2063" i="26"/>
  <c r="B2063" i="26"/>
  <c r="A2063" i="26"/>
  <c r="V2062" i="26"/>
  <c r="A2062" i="26"/>
  <c r="AA2061" i="26"/>
  <c r="B2061" i="26"/>
  <c r="A2061" i="26"/>
  <c r="AA2060" i="26"/>
  <c r="B2060" i="26"/>
  <c r="A2060" i="26"/>
  <c r="AA2059" i="26"/>
  <c r="B2059" i="26"/>
  <c r="A2059" i="26"/>
  <c r="AA2058" i="26"/>
  <c r="B2058" i="26"/>
  <c r="A2058" i="26"/>
  <c r="AA2057" i="26"/>
  <c r="B2057" i="26"/>
  <c r="A2057" i="26"/>
  <c r="AA2056" i="26"/>
  <c r="B2056" i="26"/>
  <c r="A2056" i="26"/>
  <c r="AA2055" i="26"/>
  <c r="B2055" i="26"/>
  <c r="A2055" i="26"/>
  <c r="AA2054" i="26"/>
  <c r="B2054" i="26"/>
  <c r="A2054" i="26"/>
  <c r="AA2053" i="26"/>
  <c r="B2053" i="26"/>
  <c r="A2053" i="26"/>
  <c r="V2052" i="26"/>
  <c r="A2052" i="26"/>
  <c r="V2051" i="26"/>
  <c r="A2051" i="26"/>
  <c r="AA2050" i="26"/>
  <c r="B2050" i="26"/>
  <c r="A2050" i="26"/>
  <c r="AA2049" i="26"/>
  <c r="B2049" i="26"/>
  <c r="A2049" i="26"/>
  <c r="AA2048" i="26"/>
  <c r="B2048" i="26"/>
  <c r="A2048" i="26"/>
  <c r="V2047" i="26"/>
  <c r="A2047" i="26"/>
  <c r="AA2046" i="26"/>
  <c r="B2046" i="26"/>
  <c r="A2046" i="26"/>
  <c r="AA2045" i="26"/>
  <c r="B2045" i="26"/>
  <c r="A2045" i="26"/>
  <c r="AA2044" i="26"/>
  <c r="B2044" i="26"/>
  <c r="A2044" i="26"/>
  <c r="AA2043" i="26"/>
  <c r="B2043" i="26"/>
  <c r="A2043" i="26"/>
  <c r="AA2042" i="26"/>
  <c r="B2042" i="26"/>
  <c r="A2042" i="26"/>
  <c r="AA2041" i="26"/>
  <c r="B2041" i="26"/>
  <c r="A2041" i="26"/>
  <c r="AA2040" i="26"/>
  <c r="B2040" i="26"/>
  <c r="A2040" i="26"/>
  <c r="V2039" i="26"/>
  <c r="A2039" i="26"/>
  <c r="AA2038" i="26"/>
  <c r="B2038" i="26"/>
  <c r="A2038" i="26"/>
  <c r="Q2037" i="26"/>
  <c r="AA2036" i="26"/>
  <c r="B2036" i="26"/>
  <c r="A2036" i="26"/>
  <c r="AA2035" i="26"/>
  <c r="B2035" i="26"/>
  <c r="A2035" i="26"/>
  <c r="AA2034" i="26"/>
  <c r="B2034" i="26"/>
  <c r="A2034" i="26"/>
  <c r="V2033" i="26"/>
  <c r="A2033" i="26"/>
  <c r="AA2032" i="26"/>
  <c r="B2032" i="26"/>
  <c r="A2032" i="26"/>
  <c r="AA2031" i="26"/>
  <c r="B2031" i="26"/>
  <c r="A2031" i="26"/>
  <c r="AA2030" i="26"/>
  <c r="B2030" i="26"/>
  <c r="A2030" i="26"/>
  <c r="AA2029" i="26"/>
  <c r="B2029" i="26"/>
  <c r="A2029" i="26"/>
  <c r="AA2028" i="26"/>
  <c r="B2028" i="26"/>
  <c r="A2028" i="26"/>
  <c r="AA2027" i="26"/>
  <c r="B2027" i="26"/>
  <c r="A2027" i="26"/>
  <c r="AA2026" i="26"/>
  <c r="B2026" i="26"/>
  <c r="A2026" i="26"/>
  <c r="AA2025" i="26"/>
  <c r="B2025" i="26"/>
  <c r="A2025" i="26"/>
  <c r="AA2024" i="26"/>
  <c r="B2024" i="26"/>
  <c r="A2024" i="26"/>
  <c r="AA2023" i="26"/>
  <c r="B2023" i="26"/>
  <c r="A2023" i="26"/>
  <c r="AA2022" i="26"/>
  <c r="B2022" i="26"/>
  <c r="A2022" i="26"/>
  <c r="AA2021" i="26"/>
  <c r="B2021" i="26"/>
  <c r="A2021" i="26"/>
  <c r="AA2020" i="26"/>
  <c r="B2020" i="26"/>
  <c r="A2020" i="26"/>
  <c r="AA2019" i="26"/>
  <c r="B2019" i="26"/>
  <c r="A2019" i="26"/>
  <c r="AA2018" i="26"/>
  <c r="B2018" i="26"/>
  <c r="A2018" i="26"/>
  <c r="AA2017" i="26"/>
  <c r="B2017" i="26"/>
  <c r="A2017" i="26"/>
  <c r="AA2016" i="26"/>
  <c r="B2016" i="26"/>
  <c r="A2016" i="26"/>
  <c r="AA2015" i="26"/>
  <c r="B2015" i="26"/>
  <c r="A2015" i="26"/>
  <c r="AA2014" i="26"/>
  <c r="B2014" i="26"/>
  <c r="A2014" i="26"/>
  <c r="AA2013" i="26"/>
  <c r="B2013" i="26"/>
  <c r="A2013" i="26"/>
  <c r="AA2012" i="26"/>
  <c r="B2012" i="26"/>
  <c r="A2012" i="26"/>
  <c r="AA2011" i="26"/>
  <c r="B2011" i="26"/>
  <c r="A2011" i="26"/>
  <c r="AA2010" i="26"/>
  <c r="B2010" i="26"/>
  <c r="A2010" i="26"/>
  <c r="AA2009" i="26"/>
  <c r="B2009" i="26"/>
  <c r="A2009" i="26"/>
  <c r="AA2008" i="26"/>
  <c r="B2008" i="26"/>
  <c r="A2008" i="26"/>
  <c r="AA2007" i="26"/>
  <c r="B2007" i="26"/>
  <c r="A2007" i="26"/>
  <c r="AA2006" i="26"/>
  <c r="B2006" i="26"/>
  <c r="A2006" i="26"/>
  <c r="AA2005" i="26"/>
  <c r="B2005" i="26"/>
  <c r="A2005" i="26"/>
  <c r="AA2004" i="26"/>
  <c r="B2004" i="26"/>
  <c r="A2004" i="26"/>
  <c r="AA2003" i="26"/>
  <c r="B2003" i="26"/>
  <c r="A2003" i="26"/>
  <c r="AA2002" i="26"/>
  <c r="B2002" i="26"/>
  <c r="A2002" i="26"/>
  <c r="AA2001" i="26"/>
  <c r="B2001" i="26"/>
  <c r="A2001" i="26"/>
  <c r="AA2000" i="26"/>
  <c r="B2000" i="26"/>
  <c r="A2000" i="26"/>
  <c r="AA1999" i="26"/>
  <c r="B1999" i="26"/>
  <c r="A1999" i="26"/>
  <c r="AA1998" i="26"/>
  <c r="B1998" i="26"/>
  <c r="A1998" i="26"/>
  <c r="AA1997" i="26"/>
  <c r="B1997" i="26"/>
  <c r="A1997" i="26"/>
  <c r="AA1996" i="26"/>
  <c r="B1996" i="26"/>
  <c r="A1996" i="26"/>
  <c r="V1995" i="26"/>
  <c r="A1995" i="26"/>
  <c r="AA1994" i="26"/>
  <c r="B1994" i="26"/>
  <c r="A1994" i="26"/>
  <c r="AA1993" i="26"/>
  <c r="B1993" i="26"/>
  <c r="A1993" i="26"/>
  <c r="Q1992" i="26"/>
  <c r="Q1991" i="26"/>
  <c r="Q1990" i="26"/>
  <c r="V1989" i="26"/>
  <c r="A1989" i="26"/>
  <c r="V1988" i="26"/>
  <c r="A1988" i="26"/>
  <c r="V1987" i="26"/>
  <c r="A1987" i="26"/>
  <c r="V1986" i="26"/>
  <c r="A1986" i="26"/>
  <c r="V1985" i="26"/>
  <c r="A1985" i="26"/>
  <c r="Q1984" i="26"/>
  <c r="V1983" i="26"/>
  <c r="A1983" i="26"/>
  <c r="V1982" i="26"/>
  <c r="A1982" i="26"/>
  <c r="V1981" i="26"/>
  <c r="A1981" i="26"/>
  <c r="AA1980" i="26"/>
  <c r="B1980" i="26"/>
  <c r="A1980" i="26"/>
  <c r="AA1979" i="26"/>
  <c r="B1979" i="26"/>
  <c r="A1979" i="26"/>
  <c r="AA1977" i="26"/>
  <c r="B1977" i="26"/>
  <c r="A1977" i="26"/>
  <c r="AA1976" i="26"/>
  <c r="B1976" i="26"/>
  <c r="A1976" i="26"/>
  <c r="AA1975" i="26"/>
  <c r="B1975" i="26"/>
  <c r="A1975" i="26"/>
  <c r="B1974" i="26"/>
  <c r="A1974" i="26"/>
  <c r="AA1973" i="26"/>
  <c r="B1973" i="26"/>
  <c r="A1973" i="26"/>
  <c r="AA1972" i="26"/>
  <c r="B1972" i="26"/>
  <c r="A1972" i="26"/>
  <c r="AA1971" i="26"/>
  <c r="B1971" i="26"/>
  <c r="A1971" i="26"/>
  <c r="AA1970" i="26"/>
  <c r="B1970" i="26"/>
  <c r="A1970" i="26"/>
  <c r="V1969" i="26"/>
  <c r="A1969" i="26"/>
  <c r="AA1968" i="26"/>
  <c r="B1968" i="26"/>
  <c r="A1968" i="26"/>
  <c r="B1967" i="26"/>
  <c r="A1967" i="26"/>
  <c r="AA1966" i="26"/>
  <c r="B1966" i="26"/>
  <c r="A1966" i="26"/>
  <c r="AA1965" i="26"/>
  <c r="B1965" i="26"/>
  <c r="A1965" i="26"/>
  <c r="AA1964" i="26"/>
  <c r="B1964" i="26"/>
  <c r="A1964" i="26"/>
  <c r="AA1963" i="26"/>
  <c r="B1963" i="26"/>
  <c r="A1963" i="26"/>
  <c r="AA1962" i="26"/>
  <c r="B1962" i="26"/>
  <c r="A1962" i="26"/>
  <c r="AA1961" i="26"/>
  <c r="B1961" i="26"/>
  <c r="A1961" i="26"/>
  <c r="AA1960" i="26"/>
  <c r="B1960" i="26"/>
  <c r="A1960" i="26"/>
  <c r="AA1959" i="26"/>
  <c r="B1959" i="26"/>
  <c r="A1959" i="26"/>
  <c r="V1958" i="26"/>
  <c r="A1958" i="26"/>
  <c r="V1957" i="26"/>
  <c r="A1957" i="26"/>
  <c r="V1956" i="26"/>
  <c r="A1956" i="26"/>
  <c r="V1955" i="26"/>
  <c r="A1955" i="26"/>
  <c r="V1954" i="26"/>
  <c r="A1954" i="26"/>
  <c r="V1953" i="26"/>
  <c r="A1953" i="26"/>
  <c r="AA1952" i="26"/>
  <c r="B1952" i="26"/>
  <c r="A1952" i="26"/>
  <c r="AA1951" i="26"/>
  <c r="B1951" i="26"/>
  <c r="A1951" i="26"/>
  <c r="AA1950" i="26"/>
  <c r="B1950" i="26"/>
  <c r="A1950" i="26"/>
  <c r="AA1949" i="26"/>
  <c r="B1949" i="26"/>
  <c r="A1949" i="26"/>
  <c r="AA1948" i="26"/>
  <c r="B1948" i="26"/>
  <c r="A1948" i="26"/>
  <c r="AA1947" i="26"/>
  <c r="B1947" i="26"/>
  <c r="A1947" i="26"/>
  <c r="AA1946" i="26"/>
  <c r="B1946" i="26"/>
  <c r="AA1945" i="26"/>
  <c r="B1945" i="26"/>
  <c r="A1945" i="26"/>
  <c r="AA1944" i="26"/>
  <c r="B1944" i="26"/>
  <c r="A1944" i="26"/>
  <c r="V1943" i="26"/>
  <c r="A1943" i="26"/>
  <c r="V1942" i="26"/>
  <c r="A1942" i="26"/>
  <c r="V1941" i="26"/>
  <c r="A1941" i="26"/>
  <c r="V1940" i="26"/>
  <c r="A1940" i="26"/>
  <c r="AA1939" i="26"/>
  <c r="B1939" i="26"/>
  <c r="A1939" i="26"/>
  <c r="B1938" i="26"/>
  <c r="A1938" i="26"/>
  <c r="V1937" i="26"/>
  <c r="A1937" i="26"/>
  <c r="B1936" i="26"/>
  <c r="A1936" i="26"/>
  <c r="B1935" i="26"/>
  <c r="A1935" i="26"/>
  <c r="V1934" i="26"/>
  <c r="A1934" i="26"/>
  <c r="V1933" i="26"/>
  <c r="A1933" i="26"/>
  <c r="V1932" i="26"/>
  <c r="A1932" i="26"/>
  <c r="V1931" i="26"/>
  <c r="A1931" i="26"/>
  <c r="V1930" i="26"/>
  <c r="A1930" i="26"/>
  <c r="B1929" i="26"/>
  <c r="A1929" i="26"/>
  <c r="V1928" i="26"/>
  <c r="A1928" i="26"/>
  <c r="B1927" i="26"/>
  <c r="A1927" i="26"/>
  <c r="AA1926" i="26"/>
  <c r="B1926" i="26"/>
  <c r="A1926" i="26"/>
  <c r="B1925" i="26"/>
  <c r="A1925" i="26"/>
  <c r="V1924" i="26"/>
  <c r="A1924" i="26"/>
  <c r="V1923" i="26"/>
  <c r="A1923" i="26"/>
  <c r="AA1922" i="26"/>
  <c r="B1922" i="26"/>
  <c r="A1922" i="26"/>
  <c r="V1921" i="26"/>
  <c r="A1921" i="26"/>
  <c r="V1920" i="26"/>
  <c r="A1920" i="26"/>
  <c r="V1919" i="26"/>
  <c r="A1919" i="26"/>
  <c r="B1918" i="26"/>
  <c r="A1918" i="26"/>
  <c r="V1917" i="26"/>
  <c r="A1917" i="26"/>
  <c r="B1916" i="26"/>
  <c r="A1916" i="26"/>
  <c r="V1915" i="26"/>
  <c r="A1915" i="26"/>
  <c r="B1914" i="26"/>
  <c r="A1914" i="26"/>
  <c r="V1913" i="26"/>
  <c r="A1913" i="26"/>
  <c r="V1912" i="26"/>
  <c r="A1912" i="26"/>
  <c r="V1911" i="26"/>
  <c r="A1911" i="26"/>
  <c r="V1910" i="26"/>
  <c r="A1910" i="26"/>
  <c r="V1909" i="26"/>
  <c r="A1909" i="26"/>
  <c r="AA1908" i="26"/>
  <c r="B1908" i="26"/>
  <c r="A1908" i="26"/>
  <c r="AA1907" i="26"/>
  <c r="B1907" i="26"/>
  <c r="A1907" i="26"/>
  <c r="AA1906" i="26"/>
  <c r="B1906" i="26"/>
  <c r="A1906" i="26"/>
  <c r="AA1905" i="26"/>
  <c r="B1905" i="26"/>
  <c r="A1905" i="26"/>
  <c r="AA1904" i="26"/>
  <c r="B1904" i="26"/>
  <c r="A1904" i="26"/>
  <c r="AA1903" i="26"/>
  <c r="B1903" i="26"/>
  <c r="A1903" i="26"/>
  <c r="AA1902" i="26"/>
  <c r="B1902" i="26"/>
  <c r="AA1901" i="26"/>
  <c r="B1901" i="26"/>
  <c r="A1901" i="26"/>
  <c r="AA1900" i="26"/>
  <c r="B1900" i="26"/>
  <c r="A1900" i="26"/>
  <c r="AA1899" i="26"/>
  <c r="B1899" i="26"/>
  <c r="A1899" i="26"/>
  <c r="V1898" i="26"/>
  <c r="A1898" i="26"/>
  <c r="V1897" i="26"/>
  <c r="A1897" i="26"/>
  <c r="AA1896" i="26"/>
  <c r="B1896" i="26"/>
  <c r="A1896" i="26"/>
  <c r="AA1895" i="26"/>
  <c r="B1895" i="26"/>
  <c r="A1895" i="26"/>
  <c r="AA1894" i="26"/>
  <c r="B1894" i="26"/>
  <c r="A1894" i="26"/>
  <c r="AA1893" i="26"/>
  <c r="B1893" i="26"/>
  <c r="A1893" i="26"/>
  <c r="AA1892" i="26"/>
  <c r="B1892" i="26"/>
  <c r="A1892" i="26"/>
  <c r="AA1891" i="26"/>
  <c r="B1891" i="26"/>
  <c r="A1891" i="26"/>
  <c r="AA1890" i="26"/>
  <c r="B1890" i="26"/>
  <c r="A1890" i="26"/>
  <c r="AA1889" i="26"/>
  <c r="B1889" i="26"/>
  <c r="A1889" i="26"/>
  <c r="AA1888" i="26"/>
  <c r="B1888" i="26"/>
  <c r="A1888" i="26"/>
  <c r="AA1887" i="26"/>
  <c r="B1887" i="26"/>
  <c r="A1887" i="26"/>
  <c r="AA1886" i="26"/>
  <c r="B1886" i="26"/>
  <c r="A1886" i="26"/>
  <c r="AA1885" i="26"/>
  <c r="B1885" i="26"/>
  <c r="A1885" i="26"/>
  <c r="AA1884" i="26"/>
  <c r="B1884" i="26"/>
  <c r="A1884" i="26"/>
  <c r="AA1883" i="26"/>
  <c r="B1883" i="26"/>
  <c r="A1883" i="26"/>
  <c r="AA1882" i="26"/>
  <c r="B1882" i="26"/>
  <c r="A1882" i="26"/>
  <c r="AA1881" i="26"/>
  <c r="B1881" i="26"/>
  <c r="A1881" i="26"/>
  <c r="AA1880" i="26"/>
  <c r="B1880" i="26"/>
  <c r="A1880" i="26"/>
  <c r="AA1879" i="26"/>
  <c r="B1879" i="26"/>
  <c r="A1879" i="26"/>
  <c r="AA1878" i="26"/>
  <c r="B1878" i="26"/>
  <c r="A1878" i="26"/>
  <c r="AA1877" i="26"/>
  <c r="B1877" i="26"/>
  <c r="A1877" i="26"/>
  <c r="AA1876" i="26"/>
  <c r="B1876" i="26"/>
  <c r="A1876" i="26"/>
  <c r="AA1875" i="26"/>
  <c r="B1875" i="26"/>
  <c r="A1875" i="26"/>
  <c r="AA1874" i="26"/>
  <c r="B1874" i="26"/>
  <c r="A1874" i="26"/>
  <c r="AA1873" i="26"/>
  <c r="B1873" i="26"/>
  <c r="A1873" i="26"/>
  <c r="V1872" i="26"/>
  <c r="A1872" i="26"/>
  <c r="V1871" i="26"/>
  <c r="A1871" i="26"/>
  <c r="V1870" i="26"/>
  <c r="A1870" i="26"/>
  <c r="V1869" i="26"/>
  <c r="A1869" i="26"/>
  <c r="V1868" i="26"/>
  <c r="A1868" i="26"/>
  <c r="V1867" i="26"/>
  <c r="A1867" i="26"/>
  <c r="B1866" i="26"/>
  <c r="A1866" i="26"/>
  <c r="V1865" i="26"/>
  <c r="A1865" i="26"/>
  <c r="V1864" i="26"/>
  <c r="A1864" i="26"/>
  <c r="V1863" i="26"/>
  <c r="A1863" i="26"/>
  <c r="AA1862" i="26"/>
  <c r="B1862" i="26"/>
  <c r="A1862" i="26"/>
  <c r="V1861" i="26"/>
  <c r="A1861" i="26"/>
  <c r="B1860" i="26"/>
  <c r="A1860" i="26"/>
  <c r="V1859" i="26"/>
  <c r="A1859" i="26"/>
  <c r="V1858" i="26"/>
  <c r="A1858" i="26"/>
  <c r="V1857" i="26"/>
  <c r="A1857" i="26"/>
  <c r="V1856" i="26"/>
  <c r="A1856" i="26"/>
  <c r="V1855" i="26"/>
  <c r="A1855" i="26"/>
  <c r="V1854" i="26"/>
  <c r="A1854" i="26"/>
  <c r="AA1853" i="26"/>
  <c r="B1853" i="26"/>
  <c r="A1853" i="26"/>
  <c r="V1852" i="26"/>
  <c r="A1852" i="26"/>
  <c r="V1851" i="26"/>
  <c r="A1851" i="26"/>
  <c r="V1850" i="26"/>
  <c r="A1850" i="26"/>
  <c r="V1849" i="26"/>
  <c r="A1849" i="26"/>
  <c r="V1848" i="26"/>
  <c r="A1848" i="26"/>
  <c r="V1847" i="26"/>
  <c r="A1847" i="26"/>
  <c r="V1846" i="26"/>
  <c r="A1846" i="26"/>
  <c r="V1845" i="26"/>
  <c r="A1845" i="26"/>
  <c r="AA1844" i="26"/>
  <c r="B1844" i="26"/>
  <c r="A1844" i="26"/>
  <c r="V1843" i="26"/>
  <c r="A1843" i="26"/>
  <c r="V1842" i="26"/>
  <c r="A1842" i="26"/>
  <c r="V1841" i="26"/>
  <c r="A1841" i="26"/>
  <c r="V1840" i="26"/>
  <c r="A1840" i="26"/>
  <c r="V1839" i="26"/>
  <c r="A1839" i="26"/>
  <c r="V1838" i="26"/>
  <c r="A1838" i="26"/>
  <c r="V1837" i="26"/>
  <c r="A1837" i="26"/>
  <c r="V1836" i="26"/>
  <c r="A1836" i="26"/>
  <c r="V1835" i="26"/>
  <c r="A1835" i="26"/>
  <c r="V1834" i="26"/>
  <c r="A1834" i="26"/>
  <c r="B1833" i="26"/>
  <c r="A1833" i="26"/>
  <c r="V1832" i="26"/>
  <c r="A1832" i="26"/>
  <c r="V1831" i="26"/>
  <c r="A1831" i="26"/>
  <c r="V1830" i="26"/>
  <c r="A1830" i="26"/>
  <c r="AA1829" i="26"/>
  <c r="B1829" i="26"/>
  <c r="A1829" i="26"/>
  <c r="AA1828" i="26"/>
  <c r="B1828" i="26"/>
  <c r="A1828" i="26"/>
  <c r="AA1827" i="26"/>
  <c r="B1827" i="26"/>
  <c r="A1827" i="26"/>
  <c r="AA1826" i="26"/>
  <c r="B1826" i="26"/>
  <c r="A1826" i="26"/>
  <c r="AA1825" i="26"/>
  <c r="B1825" i="26"/>
  <c r="A1825" i="26"/>
  <c r="AA1824" i="26"/>
  <c r="B1824" i="26"/>
  <c r="A1824" i="26"/>
  <c r="AA1823" i="26"/>
  <c r="B1823" i="26"/>
  <c r="A1823" i="26"/>
  <c r="AA1822" i="26"/>
  <c r="B1822" i="26"/>
  <c r="A1822" i="26"/>
  <c r="AA1821" i="26"/>
  <c r="B1821" i="26"/>
  <c r="A1821" i="26"/>
  <c r="AA1820" i="26"/>
  <c r="B1820" i="26"/>
  <c r="A1820" i="26"/>
  <c r="AA1819" i="26"/>
  <c r="B1819" i="26"/>
  <c r="A1819" i="26"/>
  <c r="V1818" i="26"/>
  <c r="A1818" i="26"/>
  <c r="AA1817" i="26"/>
  <c r="B1817" i="26"/>
  <c r="A1817" i="26"/>
  <c r="AA1816" i="26"/>
  <c r="B1816" i="26"/>
  <c r="A1816" i="26"/>
  <c r="AA1815" i="26"/>
  <c r="B1815" i="26"/>
  <c r="A1815" i="26"/>
  <c r="V1814" i="26"/>
  <c r="A1814" i="26"/>
  <c r="AA1813" i="26"/>
  <c r="B1813" i="26"/>
  <c r="A1813" i="26"/>
  <c r="AA1812" i="26"/>
  <c r="B1812" i="26"/>
  <c r="A1812" i="26"/>
  <c r="AA1811" i="26"/>
  <c r="B1811" i="26"/>
  <c r="A1811" i="26"/>
  <c r="V1810" i="26"/>
  <c r="A1810" i="26"/>
  <c r="AA1809" i="26"/>
  <c r="B1809" i="26"/>
  <c r="A1809" i="26"/>
  <c r="V1808" i="26"/>
  <c r="A1808" i="26"/>
  <c r="AA1807" i="26"/>
  <c r="B1807" i="26"/>
  <c r="A1807" i="26"/>
  <c r="AA1806" i="26"/>
  <c r="B1806" i="26"/>
  <c r="A1806" i="26"/>
  <c r="AA1805" i="26"/>
  <c r="B1805" i="26"/>
  <c r="A1805" i="26"/>
  <c r="B1804" i="26"/>
  <c r="A1804" i="26"/>
  <c r="AA1803" i="26"/>
  <c r="B1803" i="26"/>
  <c r="A1803" i="26"/>
  <c r="AA1802" i="26"/>
  <c r="B1802" i="26"/>
  <c r="A1802" i="26"/>
  <c r="AA1800" i="26"/>
  <c r="B1800" i="26"/>
  <c r="A1800" i="26"/>
  <c r="AA1799" i="26"/>
  <c r="B1799" i="26"/>
  <c r="A1799" i="26"/>
  <c r="AA1798" i="26"/>
  <c r="B1798" i="26"/>
  <c r="A1798" i="26"/>
  <c r="AA1797" i="26"/>
  <c r="B1797" i="26"/>
  <c r="A1797" i="26"/>
  <c r="AA1796" i="26"/>
  <c r="B1796" i="26"/>
  <c r="A1796" i="26"/>
  <c r="AA1795" i="26"/>
  <c r="B1795" i="26"/>
  <c r="A1795" i="26"/>
  <c r="AA1794" i="26"/>
  <c r="B1794" i="26"/>
  <c r="A1794" i="26"/>
  <c r="AA1793" i="26"/>
  <c r="B1793" i="26"/>
  <c r="A1793" i="26"/>
  <c r="AA1792" i="26"/>
  <c r="B1792" i="26"/>
  <c r="A1792" i="26"/>
  <c r="V1791" i="26"/>
  <c r="A1791" i="26"/>
  <c r="AA1790" i="26"/>
  <c r="B1790" i="26"/>
  <c r="A1790" i="26"/>
  <c r="AA1789" i="26"/>
  <c r="B1789" i="26"/>
  <c r="A1789" i="26"/>
  <c r="AA1788" i="26"/>
  <c r="B1788" i="26"/>
  <c r="A1788" i="26"/>
  <c r="AA1787" i="26"/>
  <c r="B1787" i="26"/>
  <c r="A1787" i="26"/>
  <c r="AA1786" i="26"/>
  <c r="B1786" i="26"/>
  <c r="A1786" i="26"/>
  <c r="AA1785" i="26"/>
  <c r="B1785" i="26"/>
  <c r="A1785" i="26"/>
  <c r="AA1784" i="26"/>
  <c r="B1784" i="26"/>
  <c r="A1784" i="26"/>
  <c r="AA1783" i="26"/>
  <c r="B1783" i="26"/>
  <c r="A1783" i="26"/>
  <c r="AA1782" i="26"/>
  <c r="B1782" i="26"/>
  <c r="A1782" i="26"/>
  <c r="V1781" i="26"/>
  <c r="A1781" i="26"/>
  <c r="V1780" i="26"/>
  <c r="A1780" i="26"/>
  <c r="V1779" i="26"/>
  <c r="A1779" i="26"/>
  <c r="AA1778" i="26"/>
  <c r="B1778" i="26"/>
  <c r="A1778" i="26"/>
  <c r="V1777" i="26"/>
  <c r="A1777" i="26"/>
  <c r="V1776" i="26"/>
  <c r="A1776" i="26"/>
  <c r="V1775" i="26"/>
  <c r="A1775" i="26"/>
  <c r="V1774" i="26"/>
  <c r="A1774" i="26"/>
  <c r="AA1773" i="26"/>
  <c r="B1773" i="26"/>
  <c r="A1773" i="26"/>
  <c r="AA1772" i="26"/>
  <c r="B1772" i="26"/>
  <c r="A1772" i="26"/>
  <c r="V1771" i="26"/>
  <c r="A1771" i="26"/>
  <c r="V1770" i="26"/>
  <c r="A1770" i="26"/>
  <c r="B1769" i="26"/>
  <c r="A1769" i="26"/>
  <c r="V1768" i="26"/>
  <c r="A1768" i="26"/>
  <c r="AA1767" i="26"/>
  <c r="B1767" i="26"/>
  <c r="A1767" i="26"/>
  <c r="V1766" i="26"/>
  <c r="A1766" i="26"/>
  <c r="V1765" i="26"/>
  <c r="A1765" i="26"/>
  <c r="AA1764" i="26"/>
  <c r="B1764" i="26"/>
  <c r="A1764" i="26"/>
  <c r="AA1763" i="26"/>
  <c r="B1763" i="26"/>
  <c r="A1763" i="26"/>
  <c r="AA1762" i="26"/>
  <c r="B1762" i="26"/>
  <c r="A1762" i="26"/>
  <c r="AA1761" i="26"/>
  <c r="B1761" i="26"/>
  <c r="AA1760" i="26"/>
  <c r="B1760" i="26"/>
  <c r="A1760" i="26"/>
  <c r="V1759" i="26"/>
  <c r="A1759" i="26"/>
  <c r="AA1758" i="26"/>
  <c r="B1758" i="26"/>
  <c r="A1758" i="26"/>
  <c r="V1757" i="26"/>
  <c r="A1757" i="26"/>
  <c r="AA1756" i="26"/>
  <c r="B1756" i="26"/>
  <c r="A1756" i="26"/>
  <c r="AA1755" i="26"/>
  <c r="B1755" i="26"/>
  <c r="A1755" i="26"/>
  <c r="V1754" i="26"/>
  <c r="A1754" i="26"/>
  <c r="V1753" i="26"/>
  <c r="A1753" i="26"/>
  <c r="V1752" i="26"/>
  <c r="A1752" i="26"/>
  <c r="V1751" i="26"/>
  <c r="A1751" i="26"/>
  <c r="AA1750" i="26"/>
  <c r="B1750" i="26"/>
  <c r="A1750" i="26"/>
  <c r="AA1749" i="26"/>
  <c r="B1749" i="26"/>
  <c r="A1749" i="26"/>
  <c r="V1748" i="26"/>
  <c r="A1748" i="26"/>
  <c r="AA1747" i="26"/>
  <c r="B1747" i="26"/>
  <c r="A1747" i="26"/>
  <c r="AA1746" i="26"/>
  <c r="B1746" i="26"/>
  <c r="A1746" i="26"/>
  <c r="AA1745" i="26"/>
  <c r="B1745" i="26"/>
  <c r="A1745" i="26"/>
  <c r="AA1744" i="26"/>
  <c r="B1744" i="26"/>
  <c r="A1744" i="26"/>
  <c r="AA1743" i="26"/>
  <c r="B1743" i="26"/>
  <c r="A1743" i="26"/>
  <c r="AA1742" i="26"/>
  <c r="B1742" i="26"/>
  <c r="A1742" i="26"/>
  <c r="AA1741" i="26"/>
  <c r="B1741" i="26"/>
  <c r="A1741" i="26"/>
  <c r="V1740" i="26"/>
  <c r="A1740" i="26"/>
  <c r="V1739" i="26"/>
  <c r="A1739" i="26"/>
  <c r="V1738" i="26"/>
  <c r="A1738" i="26"/>
  <c r="AA1737" i="26"/>
  <c r="B1737" i="26"/>
  <c r="A1737" i="26"/>
  <c r="V1736" i="26"/>
  <c r="A1736" i="26"/>
  <c r="V1735" i="26"/>
  <c r="A1735" i="26"/>
  <c r="V1734" i="26"/>
  <c r="A1734" i="26"/>
  <c r="AA1733" i="26"/>
  <c r="B1733" i="26"/>
  <c r="A1733" i="26"/>
  <c r="AA1732" i="26"/>
  <c r="B1732" i="26"/>
  <c r="A1732" i="26"/>
  <c r="AA1731" i="26"/>
  <c r="B1731" i="26"/>
  <c r="A1731" i="26"/>
  <c r="AA1730" i="26"/>
  <c r="B1730" i="26"/>
  <c r="A1730" i="26"/>
  <c r="AA1729" i="26"/>
  <c r="B1729" i="26"/>
  <c r="A1729" i="26"/>
  <c r="AA1728" i="26"/>
  <c r="B1728" i="26"/>
  <c r="A1728" i="26"/>
  <c r="V1727" i="26"/>
  <c r="A1727" i="26"/>
  <c r="AA1726" i="26"/>
  <c r="B1726" i="26"/>
  <c r="A1726" i="26"/>
  <c r="AA1725" i="26"/>
  <c r="B1725" i="26"/>
  <c r="A1725" i="26"/>
  <c r="V1724" i="26"/>
  <c r="A1724" i="26"/>
  <c r="AA1723" i="26"/>
  <c r="B1723" i="26"/>
  <c r="A1723" i="26"/>
  <c r="V1722" i="26"/>
  <c r="A1722" i="26"/>
  <c r="B1721" i="26"/>
  <c r="A1721" i="26"/>
  <c r="AA1720" i="26"/>
  <c r="B1720" i="26"/>
  <c r="A1720" i="26"/>
  <c r="A1719" i="26"/>
  <c r="Q1718" i="26"/>
  <c r="AA1717" i="26"/>
  <c r="B1717" i="26"/>
  <c r="A1717" i="26"/>
  <c r="V1716" i="26"/>
  <c r="A1716" i="26"/>
  <c r="V1715" i="26"/>
  <c r="A1715" i="26"/>
  <c r="V1714" i="26"/>
  <c r="A1714" i="26"/>
  <c r="AA1713" i="26"/>
  <c r="B1713" i="26"/>
  <c r="A1713" i="26"/>
  <c r="AA1712" i="26"/>
  <c r="B1712" i="26"/>
  <c r="A1712" i="26"/>
  <c r="AA1711" i="26"/>
  <c r="B1711" i="26"/>
  <c r="A1711" i="26"/>
  <c r="AA1710" i="26"/>
  <c r="B1710" i="26"/>
  <c r="A1710" i="26"/>
  <c r="AA1709" i="26"/>
  <c r="B1709" i="26"/>
  <c r="A1709" i="26"/>
  <c r="AA1708" i="26"/>
  <c r="B1708" i="26"/>
  <c r="A1708" i="26"/>
  <c r="AA1707" i="26"/>
  <c r="B1707" i="26"/>
  <c r="A1707" i="26"/>
  <c r="AA1706" i="26"/>
  <c r="B1706" i="26"/>
  <c r="A1706" i="26"/>
  <c r="AA1705" i="26"/>
  <c r="B1705" i="26"/>
  <c r="A1705" i="26"/>
  <c r="AA1704" i="26"/>
  <c r="B1704" i="26"/>
  <c r="A1704" i="26"/>
  <c r="V1703" i="26"/>
  <c r="A1703" i="26"/>
  <c r="AA1702" i="26"/>
  <c r="B1702" i="26"/>
  <c r="A1702" i="26"/>
  <c r="V1701" i="26"/>
  <c r="A1701" i="26"/>
  <c r="AA1700" i="26"/>
  <c r="B1700" i="26"/>
  <c r="A1700" i="26"/>
  <c r="AA1699" i="26"/>
  <c r="B1699" i="26"/>
  <c r="A1699" i="26"/>
  <c r="AA1698" i="26"/>
  <c r="B1698" i="26"/>
  <c r="A1698" i="26"/>
  <c r="AA1697" i="26"/>
  <c r="B1697" i="26"/>
  <c r="A1697" i="26"/>
  <c r="AA1696" i="26"/>
  <c r="B1696" i="26"/>
  <c r="A1696" i="26"/>
  <c r="AA1695" i="26"/>
  <c r="B1695" i="26"/>
  <c r="A1695" i="26"/>
  <c r="AA1694" i="26"/>
  <c r="B1694" i="26"/>
  <c r="A1694" i="26"/>
  <c r="AA1693" i="26"/>
  <c r="B1693" i="26"/>
  <c r="A1693" i="26"/>
  <c r="AA1692" i="26"/>
  <c r="B1692" i="26"/>
  <c r="A1692" i="26"/>
  <c r="V1691" i="26"/>
  <c r="A1691" i="26"/>
  <c r="AA1690" i="26"/>
  <c r="B1690" i="26"/>
  <c r="A1690" i="26"/>
  <c r="AA1689" i="26"/>
  <c r="B1689" i="26"/>
  <c r="A1689" i="26"/>
  <c r="V1688" i="26"/>
  <c r="A1688" i="26"/>
  <c r="V1687" i="26"/>
  <c r="A1687" i="26"/>
  <c r="V1686" i="26"/>
  <c r="A1686" i="26"/>
  <c r="AA1685" i="26"/>
  <c r="B1685" i="26"/>
  <c r="A1685" i="26"/>
  <c r="AA1684" i="26"/>
  <c r="B1684" i="26"/>
  <c r="A1684" i="26"/>
  <c r="AA1683" i="26"/>
  <c r="B1683" i="26"/>
  <c r="A1683" i="26"/>
  <c r="AA1682" i="26"/>
  <c r="B1682" i="26"/>
  <c r="A1682" i="26"/>
  <c r="V1681" i="26"/>
  <c r="A1681" i="26"/>
  <c r="AA1680" i="26"/>
  <c r="B1680" i="26"/>
  <c r="A1680" i="26"/>
  <c r="AA1679" i="26"/>
  <c r="B1679" i="26"/>
  <c r="A1679" i="26"/>
  <c r="AA1678" i="26"/>
  <c r="B1678" i="26"/>
  <c r="A1678" i="26"/>
  <c r="AA1677" i="26"/>
  <c r="B1677" i="26"/>
  <c r="A1677" i="26"/>
  <c r="AA1676" i="26"/>
  <c r="B1676" i="26"/>
  <c r="A1676" i="26"/>
  <c r="AA1675" i="26"/>
  <c r="B1675" i="26"/>
  <c r="A1675" i="26"/>
  <c r="AA1674" i="26"/>
  <c r="B1674" i="26"/>
  <c r="A1674" i="26"/>
  <c r="AA1673" i="26"/>
  <c r="B1673" i="26"/>
  <c r="A1673" i="26"/>
  <c r="AA1672" i="26"/>
  <c r="B1672" i="26"/>
  <c r="A1672" i="26"/>
  <c r="AA1671" i="26"/>
  <c r="B1671" i="26"/>
  <c r="A1671" i="26"/>
  <c r="AA1670" i="26"/>
  <c r="B1670" i="26"/>
  <c r="A1670" i="26"/>
  <c r="AA1669" i="26"/>
  <c r="B1669" i="26"/>
  <c r="A1669" i="26"/>
  <c r="AA1668" i="26"/>
  <c r="B1668" i="26"/>
  <c r="A1668" i="26"/>
  <c r="AA1667" i="26"/>
  <c r="B1667" i="26"/>
  <c r="A1667" i="26"/>
  <c r="AA1666" i="26"/>
  <c r="B1666" i="26"/>
  <c r="A1666" i="26"/>
  <c r="AA1665" i="26"/>
  <c r="B1665" i="26"/>
  <c r="A1665" i="26"/>
  <c r="AA1664" i="26"/>
  <c r="B1664" i="26"/>
  <c r="A1664" i="26"/>
  <c r="AA1663" i="26"/>
  <c r="B1663" i="26"/>
  <c r="A1663" i="26"/>
  <c r="AA1662" i="26"/>
  <c r="B1662" i="26"/>
  <c r="A1662" i="26"/>
  <c r="V1661" i="26"/>
  <c r="A1661" i="26"/>
  <c r="B1660" i="26"/>
  <c r="A1660" i="26"/>
  <c r="V1659" i="26"/>
  <c r="A1659" i="26"/>
  <c r="V1658" i="26"/>
  <c r="A1658" i="26"/>
  <c r="V1657" i="26"/>
  <c r="A1657" i="26"/>
  <c r="AA1656" i="26"/>
  <c r="B1656" i="26"/>
  <c r="A1656" i="26"/>
  <c r="AA1655" i="26"/>
  <c r="B1655" i="26"/>
  <c r="A1655" i="26"/>
  <c r="AA1654" i="26"/>
  <c r="B1654" i="26"/>
  <c r="A1654" i="26"/>
  <c r="AA1653" i="26"/>
  <c r="B1653" i="26"/>
  <c r="A1653" i="26"/>
  <c r="V1652" i="26"/>
  <c r="A1652" i="26"/>
  <c r="AA1651" i="26"/>
  <c r="B1651" i="26"/>
  <c r="A1651" i="26"/>
  <c r="Q1650" i="26"/>
  <c r="V1649" i="26"/>
  <c r="A1649" i="26"/>
  <c r="AA1648" i="26"/>
  <c r="B1648" i="26"/>
  <c r="A1648" i="26"/>
  <c r="AA1647" i="26"/>
  <c r="B1647" i="26"/>
  <c r="A1647" i="26"/>
  <c r="B1646" i="26"/>
  <c r="A1646" i="26"/>
  <c r="AA1645" i="26"/>
  <c r="B1645" i="26"/>
  <c r="A1645" i="26"/>
  <c r="AA1644" i="26"/>
  <c r="B1644" i="26"/>
  <c r="A1644" i="26"/>
  <c r="V1643" i="26"/>
  <c r="A1643" i="26"/>
  <c r="V1642" i="26"/>
  <c r="A1642" i="26"/>
  <c r="AA1641" i="26"/>
  <c r="B1641" i="26"/>
  <c r="A1641" i="26"/>
  <c r="AA1640" i="26"/>
  <c r="B1640" i="26"/>
  <c r="A1640" i="26"/>
  <c r="AA1639" i="26"/>
  <c r="B1639" i="26"/>
  <c r="A1639" i="26"/>
  <c r="AA1638" i="26"/>
  <c r="B1638" i="26"/>
  <c r="A1638" i="26"/>
  <c r="AA1637" i="26"/>
  <c r="B1637" i="26"/>
  <c r="A1637" i="26"/>
  <c r="AA1636" i="26"/>
  <c r="B1636" i="26"/>
  <c r="A1636" i="26"/>
  <c r="V1635" i="26"/>
  <c r="A1635" i="26"/>
  <c r="V1634" i="26"/>
  <c r="A1634" i="26"/>
  <c r="AA1633" i="26"/>
  <c r="B1633" i="26"/>
  <c r="A1633" i="26"/>
  <c r="AA1632" i="26"/>
  <c r="B1632" i="26"/>
  <c r="A1632" i="26"/>
  <c r="AA1631" i="26"/>
  <c r="B1631" i="26"/>
  <c r="A1631" i="26"/>
  <c r="AA1630" i="26"/>
  <c r="B1630" i="26"/>
  <c r="A1630" i="26"/>
  <c r="V1629" i="26"/>
  <c r="A1629" i="26"/>
  <c r="AA1628" i="26"/>
  <c r="B1628" i="26"/>
  <c r="A1628" i="26"/>
  <c r="V1627" i="26"/>
  <c r="A1627" i="26"/>
  <c r="AA1626" i="26"/>
  <c r="B1626" i="26"/>
  <c r="A1626" i="26"/>
  <c r="AA1625" i="26"/>
  <c r="B1625" i="26"/>
  <c r="A1625" i="26"/>
  <c r="AA1624" i="26"/>
  <c r="B1624" i="26"/>
  <c r="A1624" i="26"/>
  <c r="AA1623" i="26"/>
  <c r="B1623" i="26"/>
  <c r="A1623" i="26"/>
  <c r="AA1622" i="26"/>
  <c r="B1622" i="26"/>
  <c r="A1622" i="26"/>
  <c r="AA1621" i="26"/>
  <c r="B1621" i="26"/>
  <c r="A1621" i="26"/>
  <c r="AA1620" i="26"/>
  <c r="B1620" i="26"/>
  <c r="A1620" i="26"/>
  <c r="AA1619" i="26"/>
  <c r="B1619" i="26"/>
  <c r="A1619" i="26"/>
  <c r="AA1618" i="26"/>
  <c r="B1618" i="26"/>
  <c r="A1618" i="26"/>
  <c r="AA1617" i="26"/>
  <c r="B1617" i="26"/>
  <c r="A1617" i="26"/>
  <c r="V1616" i="26"/>
  <c r="A1616" i="26"/>
  <c r="AA1615" i="26"/>
  <c r="B1615" i="26"/>
  <c r="A1615" i="26"/>
  <c r="AA1614" i="26"/>
  <c r="B1614" i="26"/>
  <c r="A1614" i="26"/>
  <c r="AA1613" i="26"/>
  <c r="B1613" i="26"/>
  <c r="A1613" i="26"/>
  <c r="AA1612" i="26"/>
  <c r="B1612" i="26"/>
  <c r="A1612" i="26"/>
  <c r="AA1611" i="26"/>
  <c r="B1611" i="26"/>
  <c r="A1611" i="26"/>
  <c r="AA1610" i="26"/>
  <c r="B1610" i="26"/>
  <c r="A1610" i="26"/>
  <c r="AA1609" i="26"/>
  <c r="B1609" i="26"/>
  <c r="A1609" i="26"/>
  <c r="AA1608" i="26"/>
  <c r="B1608" i="26"/>
  <c r="A1608" i="26"/>
  <c r="V1607" i="26"/>
  <c r="A1607" i="26"/>
  <c r="V1606" i="26"/>
  <c r="A1606" i="26"/>
  <c r="V1605" i="26"/>
  <c r="A1605" i="26"/>
  <c r="AA1604" i="26"/>
  <c r="B1604" i="26"/>
  <c r="A1604" i="26"/>
  <c r="V1603" i="26"/>
  <c r="A1603" i="26"/>
  <c r="AA1602" i="26"/>
  <c r="B1602" i="26"/>
  <c r="A1602" i="26"/>
  <c r="AA1601" i="26"/>
  <c r="B1601" i="26"/>
  <c r="A1601" i="26"/>
  <c r="AA1600" i="26"/>
  <c r="B1600" i="26"/>
  <c r="A1600" i="26"/>
  <c r="AA1599" i="26"/>
  <c r="B1599" i="26"/>
  <c r="A1599" i="26"/>
  <c r="AA1598" i="26"/>
  <c r="B1598" i="26"/>
  <c r="A1598" i="26"/>
  <c r="V1597" i="26"/>
  <c r="A1597" i="26"/>
  <c r="V1596" i="26"/>
  <c r="A1596" i="26"/>
  <c r="AA1595" i="26"/>
  <c r="B1595" i="26"/>
  <c r="A1595" i="26"/>
  <c r="AA1594" i="26"/>
  <c r="B1594" i="26"/>
  <c r="A1594" i="26"/>
  <c r="AA1593" i="26"/>
  <c r="B1593" i="26"/>
  <c r="A1593" i="26"/>
  <c r="AA1592" i="26"/>
  <c r="B1592" i="26"/>
  <c r="A1592" i="26"/>
  <c r="AA1591" i="26"/>
  <c r="B1591" i="26"/>
  <c r="A1591" i="26"/>
  <c r="AA1590" i="26"/>
  <c r="B1590" i="26"/>
  <c r="A1590" i="26"/>
  <c r="AA1589" i="26"/>
  <c r="B1589" i="26"/>
  <c r="A1589" i="26"/>
  <c r="AA1588" i="26"/>
  <c r="B1588" i="26"/>
  <c r="A1588" i="26"/>
  <c r="AA1587" i="26"/>
  <c r="B1587" i="26"/>
  <c r="A1587" i="26"/>
  <c r="AA1586" i="26"/>
  <c r="B1586" i="26"/>
  <c r="A1586" i="26"/>
  <c r="AA1585" i="26"/>
  <c r="B1585" i="26"/>
  <c r="A1585" i="26"/>
  <c r="V1584" i="26"/>
  <c r="A1584" i="26"/>
  <c r="AA1583" i="26"/>
  <c r="B1583" i="26"/>
  <c r="A1583" i="26"/>
  <c r="AA1582" i="26"/>
  <c r="B1582" i="26"/>
  <c r="A1582" i="26"/>
  <c r="AA1581" i="26"/>
  <c r="B1581" i="26"/>
  <c r="A1581" i="26"/>
  <c r="AA1580" i="26"/>
  <c r="B1580" i="26"/>
  <c r="A1580" i="26"/>
  <c r="AA1579" i="26"/>
  <c r="B1579" i="26"/>
  <c r="A1579" i="26"/>
  <c r="AA1578" i="26"/>
  <c r="B1578" i="26"/>
  <c r="A1578" i="26"/>
  <c r="AA1577" i="26"/>
  <c r="B1577" i="26"/>
  <c r="A1577" i="26"/>
  <c r="AA1576" i="26"/>
  <c r="B1576" i="26"/>
  <c r="A1576" i="26"/>
  <c r="AA1575" i="26"/>
  <c r="B1575" i="26"/>
  <c r="A1575" i="26"/>
  <c r="AA1574" i="26"/>
  <c r="B1574" i="26"/>
  <c r="A1574" i="26"/>
  <c r="AA1573" i="26"/>
  <c r="B1573" i="26"/>
  <c r="A1573" i="26"/>
  <c r="AA1572" i="26"/>
  <c r="B1572" i="26"/>
  <c r="A1572" i="26"/>
  <c r="AA1571" i="26"/>
  <c r="B1571" i="26"/>
  <c r="A1571" i="26"/>
  <c r="AA1570" i="26"/>
  <c r="B1570" i="26"/>
  <c r="A1570" i="26"/>
  <c r="V1569" i="26"/>
  <c r="A1569" i="26"/>
  <c r="AA1568" i="26"/>
  <c r="B1568" i="26"/>
  <c r="A1568" i="26"/>
  <c r="AA1567" i="26"/>
  <c r="B1567" i="26"/>
  <c r="A1567" i="26"/>
  <c r="AA1566" i="26"/>
  <c r="B1566" i="26"/>
  <c r="A1566" i="26"/>
  <c r="AA1565" i="26"/>
  <c r="B1565" i="26"/>
  <c r="A1565" i="26"/>
  <c r="AA1564" i="26"/>
  <c r="B1564" i="26"/>
  <c r="A1564" i="26"/>
  <c r="AA1563" i="26"/>
  <c r="B1563" i="26"/>
  <c r="A1563" i="26"/>
  <c r="AA1562" i="26"/>
  <c r="B1562" i="26"/>
  <c r="A1562" i="26"/>
  <c r="AA1561" i="26"/>
  <c r="B1561" i="26"/>
  <c r="A1561" i="26"/>
  <c r="AA1560" i="26"/>
  <c r="B1560" i="26"/>
  <c r="A1560" i="26"/>
  <c r="AA1559" i="26"/>
  <c r="B1559" i="26"/>
  <c r="A1559" i="26"/>
  <c r="AA1558" i="26"/>
  <c r="B1558" i="26"/>
  <c r="A1558" i="26"/>
  <c r="AA1557" i="26"/>
  <c r="B1557" i="26"/>
  <c r="A1557" i="26"/>
  <c r="AA1556" i="26"/>
  <c r="B1556" i="26"/>
  <c r="A1556" i="26"/>
  <c r="AA1555" i="26"/>
  <c r="B1555" i="26"/>
  <c r="A1555" i="26"/>
  <c r="AA1554" i="26"/>
  <c r="B1554" i="26"/>
  <c r="A1554" i="26"/>
  <c r="AA1553" i="26"/>
  <c r="B1553" i="26"/>
  <c r="A1553" i="26"/>
  <c r="AA1552" i="26"/>
  <c r="B1552" i="26"/>
  <c r="A1552" i="26"/>
  <c r="AA1551" i="26"/>
  <c r="B1551" i="26"/>
  <c r="A1551" i="26"/>
  <c r="AA1550" i="26"/>
  <c r="B1550" i="26"/>
  <c r="A1550" i="26"/>
  <c r="AA1549" i="26"/>
  <c r="B1549" i="26"/>
  <c r="A1549" i="26"/>
  <c r="AA1548" i="26"/>
  <c r="B1548" i="26"/>
  <c r="A1548" i="26"/>
  <c r="AA1547" i="26"/>
  <c r="B1547" i="26"/>
  <c r="A1547" i="26"/>
  <c r="AA1546" i="26"/>
  <c r="B1546" i="26"/>
  <c r="A1546" i="26"/>
  <c r="AA1545" i="26"/>
  <c r="B1545" i="26"/>
  <c r="A1545" i="26"/>
  <c r="AA1544" i="26"/>
  <c r="B1544" i="26"/>
  <c r="A1544" i="26"/>
  <c r="V1543" i="26"/>
  <c r="A1543" i="26"/>
  <c r="V1542" i="26"/>
  <c r="A1542" i="26"/>
  <c r="V1541" i="26"/>
  <c r="A1541" i="26"/>
  <c r="V1540" i="26"/>
  <c r="A1540" i="26"/>
  <c r="V1539" i="26"/>
  <c r="A1539" i="26"/>
  <c r="V1538" i="26"/>
  <c r="A1538" i="26"/>
  <c r="V1537" i="26"/>
  <c r="A1537" i="26"/>
  <c r="V1536" i="26"/>
  <c r="A1536" i="26"/>
  <c r="V1535" i="26"/>
  <c r="A1535" i="26"/>
  <c r="V1534" i="26"/>
  <c r="A1534" i="26"/>
  <c r="V1533" i="26"/>
  <c r="A1533" i="26"/>
  <c r="V1532" i="26"/>
  <c r="A1532" i="26"/>
  <c r="V1531" i="26"/>
  <c r="A1531" i="26"/>
  <c r="AA1530" i="26"/>
  <c r="B1530" i="26"/>
  <c r="A1530" i="26"/>
  <c r="AA1529" i="26"/>
  <c r="B1529" i="26"/>
  <c r="A1529" i="26"/>
  <c r="AA1528" i="26"/>
  <c r="B1528" i="26"/>
  <c r="A1528" i="26"/>
  <c r="V1527" i="26"/>
  <c r="A1527" i="26"/>
  <c r="V1526" i="26"/>
  <c r="A1526" i="26"/>
  <c r="AA1525" i="26"/>
  <c r="B1525" i="26"/>
  <c r="A1525" i="26"/>
  <c r="AA1524" i="26"/>
  <c r="B1524" i="26"/>
  <c r="A1524" i="26"/>
  <c r="AA1523" i="26"/>
  <c r="B1523" i="26"/>
  <c r="A1523" i="26"/>
  <c r="AA1522" i="26"/>
  <c r="B1522" i="26"/>
  <c r="A1522" i="26"/>
  <c r="AA1521" i="26"/>
  <c r="B1521" i="26"/>
  <c r="A1521" i="26"/>
  <c r="AA1520" i="26"/>
  <c r="B1520" i="26"/>
  <c r="A1520" i="26"/>
  <c r="AA1519" i="26"/>
  <c r="B1519" i="26"/>
  <c r="A1519" i="26"/>
  <c r="AA1518" i="26"/>
  <c r="B1518" i="26"/>
  <c r="A1518" i="26"/>
  <c r="AA1517" i="26"/>
  <c r="B1517" i="26"/>
  <c r="A1517" i="26"/>
  <c r="AA1516" i="26"/>
  <c r="B1516" i="26"/>
  <c r="A1516" i="26"/>
  <c r="AA1515" i="26"/>
  <c r="B1515" i="26"/>
  <c r="A1515" i="26"/>
  <c r="AA1514" i="26"/>
  <c r="B1514" i="26"/>
  <c r="A1514" i="26"/>
  <c r="AA1513" i="26"/>
  <c r="B1513" i="26"/>
  <c r="A1513" i="26"/>
  <c r="AA1512" i="26"/>
  <c r="B1512" i="26"/>
  <c r="A1512" i="26"/>
  <c r="AA1511" i="26"/>
  <c r="B1511" i="26"/>
  <c r="A1511" i="26"/>
  <c r="V1510" i="26"/>
  <c r="A1510" i="26"/>
  <c r="AA1509" i="26"/>
  <c r="B1509" i="26"/>
  <c r="A1509" i="26"/>
  <c r="V1508" i="26"/>
  <c r="A1508" i="26"/>
  <c r="B1507" i="26"/>
  <c r="A1507" i="26"/>
  <c r="V1506" i="26"/>
  <c r="A1506" i="26"/>
  <c r="V1505" i="26"/>
  <c r="A1505" i="26"/>
  <c r="V1504" i="26"/>
  <c r="A1504" i="26"/>
  <c r="V1503" i="26"/>
  <c r="A1503" i="26"/>
  <c r="V1502" i="26"/>
  <c r="A1502" i="26"/>
  <c r="V1501" i="26"/>
  <c r="A1501" i="26"/>
  <c r="V1500" i="26"/>
  <c r="A1500" i="26"/>
  <c r="AA1499" i="26"/>
  <c r="B1499" i="26"/>
  <c r="A1499" i="26"/>
  <c r="AA1498" i="26"/>
  <c r="B1498" i="26"/>
  <c r="A1498" i="26"/>
  <c r="V1497" i="26"/>
  <c r="A1497" i="26"/>
  <c r="B1496" i="26"/>
  <c r="A1496" i="26"/>
  <c r="V1495" i="26"/>
  <c r="A1495" i="26"/>
  <c r="V1494" i="26"/>
  <c r="A1494" i="26"/>
  <c r="V1493" i="26"/>
  <c r="A1493" i="26"/>
  <c r="V1492" i="26"/>
  <c r="A1492" i="26"/>
  <c r="V1491" i="26"/>
  <c r="A1491" i="26"/>
  <c r="V1490" i="26"/>
  <c r="A1490" i="26"/>
  <c r="V1489" i="26"/>
  <c r="A1489" i="26"/>
  <c r="V1488" i="26"/>
  <c r="A1488" i="26"/>
  <c r="V1487" i="26"/>
  <c r="A1487" i="26"/>
  <c r="V1486" i="26"/>
  <c r="A1486" i="26"/>
  <c r="AA1485" i="26"/>
  <c r="B1485" i="26"/>
  <c r="A1485" i="26"/>
  <c r="V1484" i="26"/>
  <c r="A1484" i="26"/>
  <c r="V1483" i="26"/>
  <c r="A1483" i="26"/>
  <c r="AA1482" i="26"/>
  <c r="B1482" i="26"/>
  <c r="A1482" i="26"/>
  <c r="V1481" i="26"/>
  <c r="A1481" i="26"/>
  <c r="V1480" i="26"/>
  <c r="A1480" i="26"/>
  <c r="AA1479" i="26"/>
  <c r="B1479" i="26"/>
  <c r="A1479" i="26"/>
  <c r="AA1478" i="26"/>
  <c r="B1478" i="26"/>
  <c r="A1478" i="26"/>
  <c r="AA1477" i="26"/>
  <c r="B1477" i="26"/>
  <c r="A1477" i="26"/>
  <c r="AA1476" i="26"/>
  <c r="B1476" i="26"/>
  <c r="A1476" i="26"/>
  <c r="AA1475" i="26"/>
  <c r="B1475" i="26"/>
  <c r="A1475" i="26"/>
  <c r="AA1474" i="26"/>
  <c r="B1474" i="26"/>
  <c r="A1474" i="26"/>
  <c r="V1473" i="26"/>
  <c r="A1473" i="26"/>
  <c r="AA1472" i="26"/>
  <c r="B1472" i="26"/>
  <c r="A1472" i="26"/>
  <c r="AA1471" i="26"/>
  <c r="B1471" i="26"/>
  <c r="A1471" i="26"/>
  <c r="AA1470" i="26"/>
  <c r="B1470" i="26"/>
  <c r="A1470" i="26"/>
  <c r="AA1469" i="26"/>
  <c r="B1469" i="26"/>
  <c r="A1469" i="26"/>
  <c r="AA1468" i="26"/>
  <c r="B1468" i="26"/>
  <c r="A1468" i="26"/>
  <c r="AA1467" i="26"/>
  <c r="B1467" i="26"/>
  <c r="A1467" i="26"/>
  <c r="AA1466" i="26"/>
  <c r="B1466" i="26"/>
  <c r="A1466" i="26"/>
  <c r="AA1465" i="26"/>
  <c r="B1465" i="26"/>
  <c r="A1465" i="26"/>
  <c r="AA1464" i="26"/>
  <c r="B1464" i="26"/>
  <c r="A1464" i="26"/>
  <c r="AA1463" i="26"/>
  <c r="B1463" i="26"/>
  <c r="A1463" i="26"/>
  <c r="AA1462" i="26"/>
  <c r="B1462" i="26"/>
  <c r="A1462" i="26"/>
  <c r="AA1461" i="26"/>
  <c r="B1461" i="26"/>
  <c r="A1461" i="26"/>
  <c r="AA1460" i="26"/>
  <c r="B1460" i="26"/>
  <c r="A1460" i="26"/>
  <c r="AA1459" i="26"/>
  <c r="B1459" i="26"/>
  <c r="A1459" i="26"/>
  <c r="AA1458" i="26"/>
  <c r="B1458" i="26"/>
  <c r="A1458" i="26"/>
  <c r="AA1457" i="26"/>
  <c r="B1457" i="26"/>
  <c r="A1457" i="26"/>
  <c r="AA1456" i="26"/>
  <c r="B1456" i="26"/>
  <c r="A1456" i="26"/>
  <c r="AA1455" i="26"/>
  <c r="B1455" i="26"/>
  <c r="A1455" i="26"/>
  <c r="AA1454" i="26"/>
  <c r="B1454" i="26"/>
  <c r="A1454" i="26"/>
  <c r="AA1453" i="26"/>
  <c r="B1453" i="26"/>
  <c r="A1453" i="26"/>
  <c r="AA1452" i="26"/>
  <c r="B1452" i="26"/>
  <c r="A1452" i="26"/>
  <c r="AA1451" i="26"/>
  <c r="B1451" i="26"/>
  <c r="A1451" i="26"/>
  <c r="AA1450" i="26"/>
  <c r="B1450" i="26"/>
  <c r="A1450" i="26"/>
  <c r="AA1449" i="26"/>
  <c r="B1449" i="26"/>
  <c r="A1449" i="26"/>
  <c r="AA1448" i="26"/>
  <c r="B1448" i="26"/>
  <c r="A1448" i="26"/>
  <c r="AA1447" i="26"/>
  <c r="B1447" i="26"/>
  <c r="A1447" i="26"/>
  <c r="V1446" i="26"/>
  <c r="A1446" i="26"/>
  <c r="V1445" i="26"/>
  <c r="A1445" i="26"/>
  <c r="V1444" i="26"/>
  <c r="A1444" i="26"/>
  <c r="V1443" i="26"/>
  <c r="A1443" i="26"/>
  <c r="V1442" i="26"/>
  <c r="A1442" i="26"/>
  <c r="V1441" i="26"/>
  <c r="A1441" i="26"/>
  <c r="AA1440" i="26"/>
  <c r="B1440" i="26"/>
  <c r="A1440" i="26"/>
  <c r="AA1439" i="26"/>
  <c r="B1439" i="26"/>
  <c r="A1439" i="26"/>
  <c r="V1438" i="26"/>
  <c r="A1438" i="26"/>
  <c r="V1437" i="26"/>
  <c r="A1437" i="26"/>
  <c r="AA1436" i="26"/>
  <c r="B1436" i="26"/>
  <c r="A1436" i="26"/>
  <c r="V1435" i="26"/>
  <c r="A1435" i="26"/>
  <c r="AA1434" i="26"/>
  <c r="B1434" i="26"/>
  <c r="A1434" i="26"/>
  <c r="AA1433" i="26"/>
  <c r="B1433" i="26"/>
  <c r="A1433" i="26"/>
  <c r="AA1432" i="26"/>
  <c r="B1432" i="26"/>
  <c r="A1432" i="26"/>
  <c r="AA1431" i="26"/>
  <c r="B1431" i="26"/>
  <c r="A1431" i="26"/>
  <c r="AA1430" i="26"/>
  <c r="B1430" i="26"/>
  <c r="A1430" i="26"/>
  <c r="AA1429" i="26"/>
  <c r="B1429" i="26"/>
  <c r="A1429" i="26"/>
  <c r="AA1428" i="26"/>
  <c r="B1428" i="26"/>
  <c r="A1428" i="26"/>
  <c r="AA1427" i="26"/>
  <c r="B1427" i="26"/>
  <c r="A1427" i="26"/>
  <c r="AA1426" i="26"/>
  <c r="B1426" i="26"/>
  <c r="A1426" i="26"/>
  <c r="AA1425" i="26"/>
  <c r="B1425" i="26"/>
  <c r="A1425" i="26"/>
  <c r="AA1424" i="26"/>
  <c r="B1424" i="26"/>
  <c r="A1424" i="26"/>
  <c r="AA1423" i="26"/>
  <c r="B1423" i="26"/>
  <c r="A1423" i="26"/>
  <c r="V1422" i="26"/>
  <c r="A1422" i="26"/>
  <c r="AA1421" i="26"/>
  <c r="B1421" i="26"/>
  <c r="A1421" i="26"/>
  <c r="V1420" i="26"/>
  <c r="A1420" i="26"/>
  <c r="AA1419" i="26"/>
  <c r="B1419" i="26"/>
  <c r="A1419" i="26"/>
  <c r="AA1418" i="26"/>
  <c r="B1418" i="26"/>
  <c r="A1418" i="26"/>
  <c r="V1417" i="26"/>
  <c r="A1417" i="26"/>
  <c r="AA1416" i="26"/>
  <c r="B1416" i="26"/>
  <c r="A1416" i="26"/>
  <c r="AA1415" i="26"/>
  <c r="B1415" i="26"/>
  <c r="A1415" i="26"/>
  <c r="V1414" i="26"/>
  <c r="A1414" i="26"/>
  <c r="AA1413" i="26"/>
  <c r="B1413" i="26"/>
  <c r="A1413" i="26"/>
  <c r="AA1412" i="26"/>
  <c r="B1412" i="26"/>
  <c r="A1412" i="26"/>
  <c r="AA1411" i="26"/>
  <c r="B1411" i="26"/>
  <c r="A1411" i="26"/>
  <c r="AA1410" i="26"/>
  <c r="B1410" i="26"/>
  <c r="A1410" i="26"/>
  <c r="AA1409" i="26"/>
  <c r="B1409" i="26"/>
  <c r="A1409" i="26"/>
  <c r="AA1408" i="26"/>
  <c r="B1408" i="26"/>
  <c r="A1408" i="26"/>
  <c r="AA1407" i="26"/>
  <c r="B1407" i="26"/>
  <c r="A1407" i="26"/>
  <c r="V1406" i="26"/>
  <c r="A1406" i="26"/>
  <c r="V1405" i="26"/>
  <c r="A1405" i="26"/>
  <c r="V1404" i="26"/>
  <c r="A1404" i="26"/>
  <c r="V1403" i="26"/>
  <c r="A1403" i="26"/>
  <c r="Q1402" i="26"/>
  <c r="V1401" i="26"/>
  <c r="A1401" i="26"/>
  <c r="V1400" i="26"/>
  <c r="A1400" i="26"/>
  <c r="V1399" i="26"/>
  <c r="A1399" i="26"/>
  <c r="V1398" i="26"/>
  <c r="A1398" i="26"/>
  <c r="B1397" i="26"/>
  <c r="A1397" i="26"/>
  <c r="AA1396" i="26"/>
  <c r="B1396" i="26"/>
  <c r="A1396" i="26"/>
  <c r="AA1395" i="26"/>
  <c r="B1395" i="26"/>
  <c r="A1395" i="26"/>
  <c r="AA1394" i="26"/>
  <c r="B1394" i="26"/>
  <c r="A1394" i="26"/>
  <c r="B1393" i="26"/>
  <c r="A1393" i="26"/>
  <c r="V1392" i="26"/>
  <c r="A1392" i="26"/>
  <c r="AA1391" i="26"/>
  <c r="B1391" i="26"/>
  <c r="A1391" i="26"/>
  <c r="AA1390" i="26"/>
  <c r="B1390" i="26"/>
  <c r="A1390" i="26"/>
  <c r="AA1389" i="26"/>
  <c r="B1389" i="26"/>
  <c r="A1389" i="26"/>
  <c r="AA1388" i="26"/>
  <c r="B1388" i="26"/>
  <c r="A1388" i="26"/>
  <c r="AA1387" i="26"/>
  <c r="B1387" i="26"/>
  <c r="A1387" i="26"/>
  <c r="AA1386" i="26"/>
  <c r="B1386" i="26"/>
  <c r="A1386" i="26"/>
  <c r="AA1385" i="26"/>
  <c r="B1385" i="26"/>
  <c r="A1385" i="26"/>
  <c r="AA1384" i="26"/>
  <c r="B1384" i="26"/>
  <c r="A1384" i="26"/>
  <c r="AA1383" i="26"/>
  <c r="B1383" i="26"/>
  <c r="A1383" i="26"/>
  <c r="AA1382" i="26"/>
  <c r="B1382" i="26"/>
  <c r="A1382" i="26"/>
  <c r="AA1381" i="26"/>
  <c r="B1381" i="26"/>
  <c r="A1381" i="26"/>
  <c r="AA1380" i="26"/>
  <c r="B1380" i="26"/>
  <c r="A1380" i="26"/>
  <c r="AA1379" i="26"/>
  <c r="B1379" i="26"/>
  <c r="A1379" i="26"/>
  <c r="AA1378" i="26"/>
  <c r="B1378" i="26"/>
  <c r="A1378" i="26"/>
  <c r="AA1377" i="26"/>
  <c r="B1377" i="26"/>
  <c r="A1377" i="26"/>
  <c r="AA1376" i="26"/>
  <c r="B1376" i="26"/>
  <c r="A1376" i="26"/>
  <c r="AA1375" i="26"/>
  <c r="B1375" i="26"/>
  <c r="A1375" i="26"/>
  <c r="AA1374" i="26"/>
  <c r="B1374" i="26"/>
  <c r="A1374" i="26"/>
  <c r="AA1373" i="26"/>
  <c r="B1373" i="26"/>
  <c r="A1373" i="26"/>
  <c r="AA1372" i="26"/>
  <c r="B1372" i="26"/>
  <c r="A1372" i="26"/>
  <c r="AA1371" i="26"/>
  <c r="B1371" i="26"/>
  <c r="A1371" i="26"/>
  <c r="AA1370" i="26"/>
  <c r="B1370" i="26"/>
  <c r="A1370" i="26"/>
  <c r="AA1369" i="26"/>
  <c r="B1369" i="26"/>
  <c r="A1369" i="26"/>
  <c r="AA1368" i="26"/>
  <c r="B1368" i="26"/>
  <c r="A1368" i="26"/>
  <c r="AA1367" i="26"/>
  <c r="B1367" i="26"/>
  <c r="A1367" i="26"/>
  <c r="AA1366" i="26"/>
  <c r="B1366" i="26"/>
  <c r="A1366" i="26"/>
  <c r="AA1365" i="26"/>
  <c r="B1365" i="26"/>
  <c r="A1365" i="26"/>
  <c r="AA1364" i="26"/>
  <c r="B1364" i="26"/>
  <c r="A1364" i="26"/>
  <c r="AA1363" i="26"/>
  <c r="B1363" i="26"/>
  <c r="A1363" i="26"/>
  <c r="AA1362" i="26"/>
  <c r="B1362" i="26"/>
  <c r="A1362" i="26"/>
  <c r="AA1361" i="26"/>
  <c r="B1361" i="26"/>
  <c r="A1361" i="26"/>
  <c r="AA1360" i="26"/>
  <c r="B1360" i="26"/>
  <c r="A1360" i="26"/>
  <c r="AA1359" i="26"/>
  <c r="B1359" i="26"/>
  <c r="A1359" i="26"/>
  <c r="AA1358" i="26"/>
  <c r="B1358" i="26"/>
  <c r="A1358" i="26"/>
  <c r="AA1357" i="26"/>
  <c r="B1357" i="26"/>
  <c r="A1357" i="26"/>
  <c r="V1356" i="26"/>
  <c r="A1356" i="26"/>
  <c r="AA1355" i="26"/>
  <c r="B1355" i="26"/>
  <c r="A1355" i="26"/>
  <c r="AA1354" i="26"/>
  <c r="B1354" i="26"/>
  <c r="A1354" i="26"/>
  <c r="AA1353" i="26"/>
  <c r="B1353" i="26"/>
  <c r="A1353" i="26"/>
  <c r="V1352" i="26"/>
  <c r="A1352" i="26"/>
  <c r="AA1351" i="26"/>
  <c r="B1351" i="26"/>
  <c r="A1351" i="26"/>
  <c r="AA1350" i="26"/>
  <c r="B1350" i="26"/>
  <c r="A1350" i="26"/>
  <c r="V1349" i="26"/>
  <c r="A1349" i="26"/>
  <c r="V1348" i="26"/>
  <c r="A1348" i="26"/>
  <c r="AA1347" i="26"/>
  <c r="B1347" i="26"/>
  <c r="A1347" i="26"/>
  <c r="AA1346" i="26"/>
  <c r="B1346" i="26"/>
  <c r="A1346" i="26"/>
  <c r="AA1345" i="26"/>
  <c r="B1345" i="26"/>
  <c r="A1345" i="26"/>
  <c r="AA1344" i="26"/>
  <c r="B1344" i="26"/>
  <c r="A1344" i="26"/>
  <c r="V1343" i="26"/>
  <c r="A1343" i="26"/>
  <c r="AA1342" i="26"/>
  <c r="B1342" i="26"/>
  <c r="A1342" i="26"/>
  <c r="AA1341" i="26"/>
  <c r="B1341" i="26"/>
  <c r="A1341" i="26"/>
  <c r="AA1340" i="26"/>
  <c r="B1340" i="26"/>
  <c r="A1340" i="26"/>
  <c r="AA1339" i="26"/>
  <c r="B1339" i="26"/>
  <c r="A1339" i="26"/>
  <c r="AA1338" i="26"/>
  <c r="B1338" i="26"/>
  <c r="A1338" i="26"/>
  <c r="AA1337" i="26"/>
  <c r="B1337" i="26"/>
  <c r="A1337" i="26"/>
  <c r="V1336" i="26"/>
  <c r="A1336" i="26"/>
  <c r="V1335" i="26"/>
  <c r="A1335" i="26"/>
  <c r="AA1334" i="26"/>
  <c r="B1334" i="26"/>
  <c r="A1334" i="26"/>
  <c r="V1333" i="26"/>
  <c r="A1333" i="26"/>
  <c r="V1332" i="26"/>
  <c r="A1332" i="26"/>
  <c r="V1331" i="26"/>
  <c r="A1331" i="26"/>
  <c r="V1330" i="26"/>
  <c r="A1330" i="26"/>
  <c r="AA1329" i="26"/>
  <c r="B1329" i="26"/>
  <c r="A1329" i="26"/>
  <c r="AA1328" i="26"/>
  <c r="B1328" i="26"/>
  <c r="A1328" i="26"/>
  <c r="AA1327" i="26"/>
  <c r="B1327" i="26"/>
  <c r="A1327" i="26"/>
  <c r="AA1326" i="26"/>
  <c r="B1326" i="26"/>
  <c r="A1326" i="26"/>
  <c r="AA1325" i="26"/>
  <c r="B1325" i="26"/>
  <c r="A1325" i="26"/>
  <c r="AA1324" i="26"/>
  <c r="B1324" i="26"/>
  <c r="A1324" i="26"/>
  <c r="AA1323" i="26"/>
  <c r="B1323" i="26"/>
  <c r="A1323" i="26"/>
  <c r="AA1322" i="26"/>
  <c r="B1322" i="26"/>
  <c r="A1322" i="26"/>
  <c r="AA1321" i="26"/>
  <c r="B1321" i="26"/>
  <c r="A1321" i="26"/>
  <c r="AA1320" i="26"/>
  <c r="B1320" i="26"/>
  <c r="A1320" i="26"/>
  <c r="AA1319" i="26"/>
  <c r="B1319" i="26"/>
  <c r="A1319" i="26"/>
  <c r="AA1318" i="26"/>
  <c r="B1318" i="26"/>
  <c r="A1318" i="26"/>
  <c r="AA1317" i="26"/>
  <c r="B1317" i="26"/>
  <c r="A1317" i="26"/>
  <c r="AA1316" i="26"/>
  <c r="B1316" i="26"/>
  <c r="A1316" i="26"/>
  <c r="AA1315" i="26"/>
  <c r="B1315" i="26"/>
  <c r="A1315" i="26"/>
  <c r="AA1314" i="26"/>
  <c r="B1314" i="26"/>
  <c r="A1314" i="26"/>
  <c r="AA1313" i="26"/>
  <c r="B1313" i="26"/>
  <c r="A1313" i="26"/>
  <c r="AA1312" i="26"/>
  <c r="B1312" i="26"/>
  <c r="A1312" i="26"/>
  <c r="AA1311" i="26"/>
  <c r="B1311" i="26"/>
  <c r="A1311" i="26"/>
  <c r="AA1310" i="26"/>
  <c r="B1310" i="26"/>
  <c r="A1310" i="26"/>
  <c r="AA1309" i="26"/>
  <c r="B1309" i="26"/>
  <c r="A1309" i="26"/>
  <c r="AA1308" i="26"/>
  <c r="B1308" i="26"/>
  <c r="A1308" i="26"/>
  <c r="V1307" i="26"/>
  <c r="A1307" i="26"/>
  <c r="AA1306" i="26"/>
  <c r="B1306" i="26"/>
  <c r="A1306" i="26"/>
  <c r="AA1305" i="26"/>
  <c r="B1305" i="26"/>
  <c r="A1305" i="26"/>
  <c r="AA1304" i="26"/>
  <c r="B1304" i="26"/>
  <c r="A1304" i="26"/>
  <c r="AA1303" i="26"/>
  <c r="B1303" i="26"/>
  <c r="A1303" i="26"/>
  <c r="AA1302" i="26"/>
  <c r="B1302" i="26"/>
  <c r="A1302" i="26"/>
  <c r="V1301" i="26"/>
  <c r="A1301" i="26"/>
  <c r="AA1300" i="26"/>
  <c r="B1300" i="26"/>
  <c r="A1300" i="26"/>
  <c r="AA1299" i="26"/>
  <c r="B1299" i="26"/>
  <c r="A1299" i="26"/>
  <c r="AA1298" i="26"/>
  <c r="B1298" i="26"/>
  <c r="A1298" i="26"/>
  <c r="AA1297" i="26"/>
  <c r="B1297" i="26"/>
  <c r="A1297" i="26"/>
  <c r="AA1296" i="26"/>
  <c r="B1296" i="26"/>
  <c r="A1296" i="26"/>
  <c r="AA1295" i="26"/>
  <c r="B1295" i="26"/>
  <c r="A1295" i="26"/>
  <c r="AA1294" i="26"/>
  <c r="B1294" i="26"/>
  <c r="A1294" i="26"/>
  <c r="V1293" i="26"/>
  <c r="A1293" i="26"/>
  <c r="V1292" i="26"/>
  <c r="A1292" i="26"/>
  <c r="AA1291" i="26"/>
  <c r="B1291" i="26"/>
  <c r="A1291" i="26"/>
  <c r="AA1290" i="26"/>
  <c r="B1290" i="26"/>
  <c r="A1290" i="26"/>
  <c r="AA1289" i="26"/>
  <c r="B1289" i="26"/>
  <c r="A1289" i="26"/>
  <c r="AA1288" i="26"/>
  <c r="B1288" i="26"/>
  <c r="A1288" i="26"/>
  <c r="AA1287" i="26"/>
  <c r="B1287" i="26"/>
  <c r="A1287" i="26"/>
  <c r="AA1286" i="26"/>
  <c r="B1286" i="26"/>
  <c r="A1286" i="26"/>
  <c r="AA1285" i="26"/>
  <c r="B1285" i="26"/>
  <c r="A1285" i="26"/>
  <c r="AA1284" i="26"/>
  <c r="B1284" i="26"/>
  <c r="A1284" i="26"/>
  <c r="V1283" i="26"/>
  <c r="A1283" i="26"/>
  <c r="AA1282" i="26"/>
  <c r="B1282" i="26"/>
  <c r="A1282" i="26"/>
  <c r="V1281" i="26"/>
  <c r="A1281" i="26"/>
  <c r="AA1280" i="26"/>
  <c r="B1280" i="26"/>
  <c r="A1280" i="26"/>
  <c r="AA1279" i="26"/>
  <c r="B1279" i="26"/>
  <c r="A1279" i="26"/>
  <c r="V1278" i="26"/>
  <c r="A1278" i="26"/>
  <c r="AA1277" i="26"/>
  <c r="B1277" i="26"/>
  <c r="A1277" i="26"/>
  <c r="AA1276" i="26"/>
  <c r="B1276" i="26"/>
  <c r="A1276" i="26"/>
  <c r="AA1275" i="26"/>
  <c r="B1275" i="26"/>
  <c r="A1275" i="26"/>
  <c r="AA1274" i="26"/>
  <c r="B1274" i="26"/>
  <c r="A1274" i="26"/>
  <c r="AA1273" i="26"/>
  <c r="B1273" i="26"/>
  <c r="A1273" i="26"/>
  <c r="AA1272" i="26"/>
  <c r="B1272" i="26"/>
  <c r="A1272" i="26"/>
  <c r="V1271" i="26"/>
  <c r="A1271" i="26"/>
  <c r="AA1270" i="26"/>
  <c r="B1270" i="26"/>
  <c r="A1270" i="26"/>
  <c r="AA1269" i="26"/>
  <c r="B1269" i="26"/>
  <c r="A1269" i="26"/>
  <c r="AA1268" i="26"/>
  <c r="B1268" i="26"/>
  <c r="A1268" i="26"/>
  <c r="AA1267" i="26"/>
  <c r="B1267" i="26"/>
  <c r="A1267" i="26"/>
  <c r="AA1266" i="26"/>
  <c r="B1266" i="26"/>
  <c r="A1266" i="26"/>
  <c r="AA1265" i="26"/>
  <c r="B1265" i="26"/>
  <c r="A1265" i="26"/>
  <c r="AA1264" i="26"/>
  <c r="B1264" i="26"/>
  <c r="A1264" i="26"/>
  <c r="AA1263" i="26"/>
  <c r="B1263" i="26"/>
  <c r="A1263" i="26"/>
  <c r="AA1262" i="26"/>
  <c r="B1262" i="26"/>
  <c r="A1262" i="26"/>
  <c r="AA1261" i="26"/>
  <c r="B1261" i="26"/>
  <c r="A1261" i="26"/>
  <c r="AA1260" i="26"/>
  <c r="B1260" i="26"/>
  <c r="A1260" i="26"/>
  <c r="AA1259" i="26"/>
  <c r="B1259" i="26"/>
  <c r="A1259" i="26"/>
  <c r="AA1258" i="26"/>
  <c r="B1258" i="26"/>
  <c r="A1258" i="26"/>
  <c r="AA1257" i="26"/>
  <c r="B1257" i="26"/>
  <c r="A1257" i="26"/>
  <c r="AA1256" i="26"/>
  <c r="B1256" i="26"/>
  <c r="A1256" i="26"/>
  <c r="AA1255" i="26"/>
  <c r="B1255" i="26"/>
  <c r="A1255" i="26"/>
  <c r="AA1254" i="26"/>
  <c r="B1254" i="26"/>
  <c r="A1254" i="26"/>
  <c r="AA1253" i="26"/>
  <c r="B1253" i="26"/>
  <c r="A1253" i="26"/>
  <c r="AA1252" i="26"/>
  <c r="B1252" i="26"/>
  <c r="A1252" i="26"/>
  <c r="AA1251" i="26"/>
  <c r="B1251" i="26"/>
  <c r="A1251" i="26"/>
  <c r="AA1250" i="26"/>
  <c r="B1250" i="26"/>
  <c r="A1250" i="26"/>
  <c r="AA1249" i="26"/>
  <c r="B1249" i="26"/>
  <c r="A1249" i="26"/>
  <c r="AA1248" i="26"/>
  <c r="B1248" i="26"/>
  <c r="A1248" i="26"/>
  <c r="AA1247" i="26"/>
  <c r="B1247" i="26"/>
  <c r="A1247" i="26"/>
  <c r="AA1246" i="26"/>
  <c r="B1246" i="26"/>
  <c r="A1246" i="26"/>
  <c r="AA1245" i="26"/>
  <c r="B1245" i="26"/>
  <c r="A1245" i="26"/>
  <c r="AA1244" i="26"/>
  <c r="B1244" i="26"/>
  <c r="A1244" i="26"/>
  <c r="AA1243" i="26"/>
  <c r="B1243" i="26"/>
  <c r="A1243" i="26"/>
  <c r="AA1242" i="26"/>
  <c r="B1242" i="26"/>
  <c r="A1242" i="26"/>
  <c r="AA1241" i="26"/>
  <c r="B1241" i="26"/>
  <c r="A1241" i="26"/>
  <c r="AA1240" i="26"/>
  <c r="B1240" i="26"/>
  <c r="A1240" i="26"/>
  <c r="AA1238" i="26"/>
  <c r="B1238" i="26"/>
  <c r="A1238" i="26"/>
  <c r="V1237" i="26"/>
  <c r="A1237" i="26"/>
  <c r="AA1236" i="26"/>
  <c r="B1236" i="26"/>
  <c r="A1236" i="26"/>
  <c r="AA1235" i="26"/>
  <c r="B1235" i="26"/>
  <c r="A1235" i="26"/>
  <c r="V1234" i="26"/>
  <c r="A1234" i="26"/>
  <c r="AA1233" i="26"/>
  <c r="B1233" i="26"/>
  <c r="A1233" i="26"/>
  <c r="V1232" i="26"/>
  <c r="A1232" i="26"/>
  <c r="AA1231" i="26"/>
  <c r="B1231" i="26"/>
  <c r="A1231" i="26"/>
  <c r="AA1230" i="26"/>
  <c r="B1230" i="26"/>
  <c r="A1230" i="26"/>
  <c r="AA1229" i="26"/>
  <c r="B1229" i="26"/>
  <c r="A1229" i="26"/>
  <c r="V1228" i="26"/>
  <c r="A1228" i="26"/>
  <c r="AA1227" i="26"/>
  <c r="B1227" i="26"/>
  <c r="A1227" i="26"/>
  <c r="V1226" i="26"/>
  <c r="A1226" i="26"/>
  <c r="AA1225" i="26"/>
  <c r="B1225" i="26"/>
  <c r="A1225" i="26"/>
  <c r="AA1224" i="26"/>
  <c r="B1224" i="26"/>
  <c r="A1224" i="26"/>
  <c r="AA1223" i="26"/>
  <c r="B1223" i="26"/>
  <c r="A1223" i="26"/>
  <c r="V1222" i="26"/>
  <c r="A1222" i="26"/>
  <c r="AA1218" i="26"/>
  <c r="B1218" i="26"/>
  <c r="A1218" i="26"/>
  <c r="AA1217" i="26"/>
  <c r="B1217" i="26"/>
  <c r="A1217" i="26"/>
  <c r="AA1216" i="26"/>
  <c r="B1216" i="26"/>
  <c r="A1216" i="26"/>
  <c r="AA1215" i="26"/>
  <c r="B1215" i="26"/>
  <c r="A1215" i="26"/>
  <c r="AA1214" i="26"/>
  <c r="B1214" i="26"/>
  <c r="A1214" i="26"/>
  <c r="AA1213" i="26"/>
  <c r="B1213" i="26"/>
  <c r="A1213" i="26"/>
  <c r="AA1212" i="26"/>
  <c r="B1212" i="26"/>
  <c r="A1212" i="26"/>
  <c r="AA1211" i="26"/>
  <c r="B1211" i="26"/>
  <c r="A1211" i="26"/>
  <c r="AA1210" i="26"/>
  <c r="B1210" i="26"/>
  <c r="A1210" i="26"/>
  <c r="AA1209" i="26"/>
  <c r="B1209" i="26"/>
  <c r="A1209" i="26"/>
  <c r="AA1208" i="26"/>
  <c r="B1208" i="26"/>
  <c r="A1208" i="26"/>
  <c r="AA1207" i="26"/>
  <c r="B1207" i="26"/>
  <c r="A1207" i="26"/>
  <c r="AA1206" i="26"/>
  <c r="B1206" i="26"/>
  <c r="A1206" i="26"/>
  <c r="AA1205" i="26"/>
  <c r="B1205" i="26"/>
  <c r="A1205" i="26"/>
  <c r="AA1204" i="26"/>
  <c r="B1204" i="26"/>
  <c r="A1204" i="26"/>
  <c r="AA1203" i="26"/>
  <c r="B1203" i="26"/>
  <c r="A1203" i="26"/>
  <c r="AA1202" i="26"/>
  <c r="B1202" i="26"/>
  <c r="A1202" i="26"/>
  <c r="AA1201" i="26"/>
  <c r="B1201" i="26"/>
  <c r="A1201" i="26"/>
  <c r="V1200" i="26"/>
  <c r="A1200" i="26"/>
  <c r="B1199" i="26"/>
  <c r="A1199" i="26"/>
  <c r="V1198" i="26"/>
  <c r="A1198" i="26"/>
  <c r="V1197" i="26"/>
  <c r="A1197" i="26"/>
  <c r="V1196" i="26"/>
  <c r="A1196" i="26"/>
  <c r="V1195" i="26"/>
  <c r="A1195" i="26"/>
  <c r="V1194" i="26"/>
  <c r="A1194" i="26"/>
  <c r="V1193" i="26"/>
  <c r="A1193" i="26"/>
  <c r="AA1192" i="26"/>
  <c r="B1192" i="26"/>
  <c r="A1192" i="26"/>
  <c r="AA1191" i="26"/>
  <c r="B1191" i="26"/>
  <c r="A1191" i="26"/>
  <c r="AA1190" i="26"/>
  <c r="B1190" i="26"/>
  <c r="A1190" i="26"/>
  <c r="AA1189" i="26"/>
  <c r="B1189" i="26"/>
  <c r="A1189" i="26"/>
  <c r="AA1188" i="26"/>
  <c r="B1188" i="26"/>
  <c r="A1188" i="26"/>
  <c r="AA1187" i="26"/>
  <c r="B1187" i="26"/>
  <c r="A1187" i="26"/>
  <c r="AA1186" i="26"/>
  <c r="B1186" i="26"/>
  <c r="A1186" i="26"/>
  <c r="AA1185" i="26"/>
  <c r="B1185" i="26"/>
  <c r="A1185" i="26"/>
  <c r="AA1184" i="26"/>
  <c r="B1184" i="26"/>
  <c r="A1184" i="26"/>
  <c r="AA1183" i="26"/>
  <c r="B1183" i="26"/>
  <c r="A1183" i="26"/>
  <c r="AA1182" i="26"/>
  <c r="B1182" i="26"/>
  <c r="A1182" i="26"/>
  <c r="AA1181" i="26"/>
  <c r="B1181" i="26"/>
  <c r="A1181" i="26"/>
  <c r="AA1180" i="26"/>
  <c r="B1180" i="26"/>
  <c r="A1180" i="26"/>
  <c r="AA1179" i="26"/>
  <c r="B1179" i="26"/>
  <c r="A1179" i="26"/>
  <c r="AA1178" i="26"/>
  <c r="B1178" i="26"/>
  <c r="A1178" i="26"/>
  <c r="AA1177" i="26"/>
  <c r="B1177" i="26"/>
  <c r="A1177" i="26"/>
  <c r="AA1176" i="26"/>
  <c r="B1176" i="26"/>
  <c r="A1176" i="26"/>
  <c r="V1175" i="26"/>
  <c r="A1175" i="26"/>
  <c r="AA1173" i="26"/>
  <c r="B1173" i="26"/>
  <c r="A1173" i="26"/>
  <c r="AA1172" i="26"/>
  <c r="B1172" i="26"/>
  <c r="A1172" i="26"/>
  <c r="AA1171" i="26"/>
  <c r="B1171" i="26"/>
  <c r="A1171" i="26"/>
  <c r="AA1170" i="26"/>
  <c r="B1170" i="26"/>
  <c r="A1170" i="26"/>
  <c r="V1169" i="26"/>
  <c r="A1169" i="26"/>
  <c r="AA1168" i="26"/>
  <c r="B1168" i="26"/>
  <c r="A1168" i="26"/>
  <c r="AA1167" i="26"/>
  <c r="B1167" i="26"/>
  <c r="A1167" i="26"/>
  <c r="AA1166" i="26"/>
  <c r="B1166" i="26"/>
  <c r="A1166" i="26"/>
  <c r="AA1165" i="26"/>
  <c r="B1165" i="26"/>
  <c r="A1165" i="26"/>
  <c r="V1164" i="26"/>
  <c r="A1164" i="26"/>
  <c r="V1163" i="26"/>
  <c r="A1163" i="26"/>
  <c r="V1162" i="26"/>
  <c r="A1162" i="26"/>
  <c r="V1161" i="26"/>
  <c r="A1161" i="26"/>
  <c r="AA1160" i="26"/>
  <c r="B1160" i="26"/>
  <c r="A1160" i="26"/>
  <c r="AA1159" i="26"/>
  <c r="B1159" i="26"/>
  <c r="A1159" i="26"/>
  <c r="AA1158" i="26"/>
  <c r="B1158" i="26"/>
  <c r="A1158" i="26"/>
  <c r="AA1157" i="26"/>
  <c r="B1157" i="26"/>
  <c r="A1157" i="26"/>
  <c r="AA1156" i="26"/>
  <c r="B1156" i="26"/>
  <c r="A1156" i="26"/>
  <c r="AA1155" i="26"/>
  <c r="B1155" i="26"/>
  <c r="A1155" i="26"/>
  <c r="AA1154" i="26"/>
  <c r="B1154" i="26"/>
  <c r="A1154" i="26"/>
  <c r="Q1153" i="26"/>
  <c r="V1152" i="26"/>
  <c r="A1152" i="26"/>
  <c r="AA1151" i="26"/>
  <c r="B1151" i="26"/>
  <c r="A1151" i="26"/>
  <c r="AA1150" i="26"/>
  <c r="B1150" i="26"/>
  <c r="A1150" i="26"/>
  <c r="AA1149" i="26"/>
  <c r="B1149" i="26"/>
  <c r="A1149" i="26"/>
  <c r="AA1148" i="26"/>
  <c r="B1148" i="26"/>
  <c r="A1148" i="26"/>
  <c r="V1147" i="26"/>
  <c r="A1147" i="26"/>
  <c r="AA1146" i="26"/>
  <c r="B1146" i="26"/>
  <c r="A1146" i="26"/>
  <c r="AA1145" i="26"/>
  <c r="B1145" i="26"/>
  <c r="A1145" i="26"/>
  <c r="AA1144" i="26"/>
  <c r="B1144" i="26"/>
  <c r="A1144" i="26"/>
  <c r="AA1143" i="26"/>
  <c r="B1143" i="26"/>
  <c r="A1143" i="26"/>
  <c r="AA1142" i="26"/>
  <c r="B1142" i="26"/>
  <c r="A1142" i="26"/>
  <c r="AA1141" i="26"/>
  <c r="B1141" i="26"/>
  <c r="A1141" i="26"/>
  <c r="AA1140" i="26"/>
  <c r="B1140" i="26"/>
  <c r="A1140" i="26"/>
  <c r="AA1139" i="26"/>
  <c r="B1139" i="26"/>
  <c r="A1139" i="26"/>
  <c r="V1138" i="26"/>
  <c r="A1138" i="26"/>
  <c r="AA1137" i="26"/>
  <c r="B1137" i="26"/>
  <c r="A1137" i="26"/>
  <c r="AA1136" i="26"/>
  <c r="B1136" i="26"/>
  <c r="A1136" i="26"/>
  <c r="AA1135" i="26"/>
  <c r="B1135" i="26"/>
  <c r="A1135" i="26"/>
  <c r="AA1134" i="26"/>
  <c r="B1134" i="26"/>
  <c r="A1134" i="26"/>
  <c r="AA1133" i="26"/>
  <c r="B1133" i="26"/>
  <c r="A1133" i="26"/>
  <c r="AA1132" i="26"/>
  <c r="B1132" i="26"/>
  <c r="A1132" i="26"/>
  <c r="AA1131" i="26"/>
  <c r="B1131" i="26"/>
  <c r="A1131" i="26"/>
  <c r="AA1130" i="26"/>
  <c r="B1130" i="26"/>
  <c r="A1130" i="26"/>
  <c r="AA1129" i="26"/>
  <c r="B1129" i="26"/>
  <c r="A1129" i="26"/>
  <c r="AA1128" i="26"/>
  <c r="B1128" i="26"/>
  <c r="A1128" i="26"/>
  <c r="AA1127" i="26"/>
  <c r="B1127" i="26"/>
  <c r="A1127" i="26"/>
  <c r="AA1126" i="26"/>
  <c r="B1126" i="26"/>
  <c r="A1126" i="26"/>
  <c r="AA1125" i="26"/>
  <c r="B1125" i="26"/>
  <c r="A1125" i="26"/>
  <c r="AA1124" i="26"/>
  <c r="B1124" i="26"/>
  <c r="A1124" i="26"/>
  <c r="AA1123" i="26"/>
  <c r="B1123" i="26"/>
  <c r="A1123" i="26"/>
  <c r="AA1122" i="26"/>
  <c r="B1122" i="26"/>
  <c r="A1122" i="26"/>
  <c r="AA1121" i="26"/>
  <c r="B1121" i="26"/>
  <c r="A1121" i="26"/>
  <c r="AA1120" i="26"/>
  <c r="B1120" i="26"/>
  <c r="A1120" i="26"/>
  <c r="AA1119" i="26"/>
  <c r="B1119" i="26"/>
  <c r="A1119" i="26"/>
  <c r="AA1118" i="26"/>
  <c r="B1118" i="26"/>
  <c r="A1118" i="26"/>
  <c r="AA1117" i="26"/>
  <c r="B1117" i="26"/>
  <c r="A1117" i="26"/>
  <c r="AA1116" i="26"/>
  <c r="B1116" i="26"/>
  <c r="A1116" i="26"/>
  <c r="AA1115" i="26"/>
  <c r="B1115" i="26"/>
  <c r="A1115" i="26"/>
  <c r="AA1114" i="26"/>
  <c r="B1114" i="26"/>
  <c r="A1114" i="26"/>
  <c r="V1113" i="26"/>
  <c r="A1113" i="26"/>
  <c r="AA1112" i="26"/>
  <c r="B1112" i="26"/>
  <c r="A1112" i="26"/>
  <c r="AA1111" i="26"/>
  <c r="B1111" i="26"/>
  <c r="A1111" i="26"/>
  <c r="AA1110" i="26"/>
  <c r="B1110" i="26"/>
  <c r="A1110" i="26"/>
  <c r="AA1109" i="26"/>
  <c r="B1109" i="26"/>
  <c r="A1109" i="26"/>
  <c r="V1108" i="26"/>
  <c r="A1108" i="26"/>
  <c r="AA1107" i="26"/>
  <c r="B1107" i="26"/>
  <c r="A1107" i="26"/>
  <c r="AA1106" i="26"/>
  <c r="B1106" i="26"/>
  <c r="A1106" i="26"/>
  <c r="AA1105" i="26"/>
  <c r="B1105" i="26"/>
  <c r="A1105" i="26"/>
  <c r="AA1104" i="26"/>
  <c r="B1104" i="26"/>
  <c r="A1104" i="26"/>
  <c r="V1103" i="26"/>
  <c r="A1103" i="26"/>
  <c r="AA1102" i="26"/>
  <c r="B1102" i="26"/>
  <c r="A1102" i="26"/>
  <c r="AA1101" i="26"/>
  <c r="B1101" i="26"/>
  <c r="A1101" i="26"/>
  <c r="AA1100" i="26"/>
  <c r="B1100" i="26"/>
  <c r="A1100" i="26"/>
  <c r="AA1099" i="26"/>
  <c r="B1099" i="26"/>
  <c r="A1099" i="26"/>
  <c r="AA1098" i="26"/>
  <c r="B1098" i="26"/>
  <c r="A1098" i="26"/>
  <c r="AA1097" i="26"/>
  <c r="B1097" i="26"/>
  <c r="A1097" i="26"/>
  <c r="AA1096" i="26"/>
  <c r="B1096" i="26"/>
  <c r="A1096" i="26"/>
  <c r="AA1095" i="26"/>
  <c r="B1095" i="26"/>
  <c r="A1095" i="26"/>
  <c r="AA1094" i="26"/>
  <c r="B1094" i="26"/>
  <c r="A1094" i="26"/>
  <c r="AA1093" i="26"/>
  <c r="B1093" i="26"/>
  <c r="A1093" i="26"/>
  <c r="AA1092" i="26"/>
  <c r="B1092" i="26"/>
  <c r="A1092" i="26"/>
  <c r="AA1091" i="26"/>
  <c r="B1091" i="26"/>
  <c r="A1091" i="26"/>
  <c r="AA1090" i="26"/>
  <c r="B1090" i="26"/>
  <c r="A1090" i="26"/>
  <c r="AA1089" i="26"/>
  <c r="B1089" i="26"/>
  <c r="A1089" i="26"/>
  <c r="AA1088" i="26"/>
  <c r="B1088" i="26"/>
  <c r="A1088" i="26"/>
  <c r="AA1087" i="26"/>
  <c r="B1087" i="26"/>
  <c r="A1087" i="26"/>
  <c r="AA1086" i="26"/>
  <c r="B1086" i="26"/>
  <c r="A1086" i="26"/>
  <c r="AA1085" i="26"/>
  <c r="B1085" i="26"/>
  <c r="A1085" i="26"/>
  <c r="AA1084" i="26"/>
  <c r="B1084" i="26"/>
  <c r="A1084" i="26"/>
  <c r="AA1083" i="26"/>
  <c r="B1083" i="26"/>
  <c r="A1083" i="26"/>
  <c r="AA1082" i="26"/>
  <c r="B1082" i="26"/>
  <c r="A1082" i="26"/>
  <c r="AA1081" i="26"/>
  <c r="B1081" i="26"/>
  <c r="A1081" i="26"/>
  <c r="AA1080" i="26"/>
  <c r="B1080" i="26"/>
  <c r="A1080" i="26"/>
  <c r="AA1079" i="26"/>
  <c r="B1079" i="26"/>
  <c r="A1079" i="26"/>
  <c r="AA1078" i="26"/>
  <c r="B1078" i="26"/>
  <c r="A1078" i="26"/>
  <c r="V1077" i="26"/>
  <c r="A1077" i="26"/>
  <c r="AA1076" i="26"/>
  <c r="B1076" i="26"/>
  <c r="A1076" i="26"/>
  <c r="AA1075" i="26"/>
  <c r="B1075" i="26"/>
  <c r="A1075" i="26"/>
  <c r="AA1074" i="26"/>
  <c r="B1074" i="26"/>
  <c r="A1074" i="26"/>
  <c r="AA1073" i="26"/>
  <c r="B1073" i="26"/>
  <c r="A1073" i="26"/>
  <c r="AA1072" i="26"/>
  <c r="B1072" i="26"/>
  <c r="A1072" i="26"/>
  <c r="AA1071" i="26"/>
  <c r="B1071" i="26"/>
  <c r="A1071" i="26"/>
  <c r="AA1070" i="26"/>
  <c r="B1070" i="26"/>
  <c r="A1070" i="26"/>
  <c r="AA1069" i="26"/>
  <c r="B1069" i="26"/>
  <c r="A1069" i="26"/>
  <c r="V1068" i="26"/>
  <c r="A1068" i="26"/>
  <c r="AA1067" i="26"/>
  <c r="B1067" i="26"/>
  <c r="A1067" i="26"/>
  <c r="V1066" i="26"/>
  <c r="A1066" i="26"/>
  <c r="AA1065" i="26"/>
  <c r="B1065" i="26"/>
  <c r="A1065" i="26"/>
  <c r="AA1064" i="26"/>
  <c r="B1064" i="26"/>
  <c r="A1064" i="26"/>
  <c r="AA1063" i="26"/>
  <c r="B1063" i="26"/>
  <c r="A1063" i="26"/>
  <c r="AA1062" i="26"/>
  <c r="B1062" i="26"/>
  <c r="A1062" i="26"/>
  <c r="AA1061" i="26"/>
  <c r="B1061" i="26"/>
  <c r="A1061" i="26"/>
  <c r="AA1060" i="26"/>
  <c r="B1060" i="26"/>
  <c r="A1060" i="26"/>
  <c r="AA1059" i="26"/>
  <c r="B1059" i="26"/>
  <c r="A1059" i="26"/>
  <c r="AA1058" i="26"/>
  <c r="B1058" i="26"/>
  <c r="A1058" i="26"/>
  <c r="AA1057" i="26"/>
  <c r="B1057" i="26"/>
  <c r="A1057" i="26"/>
  <c r="AA1056" i="26"/>
  <c r="B1056" i="26"/>
  <c r="A1056" i="26"/>
  <c r="AA1054" i="26"/>
  <c r="B1054" i="26"/>
  <c r="A1054" i="26"/>
  <c r="AA1053" i="26"/>
  <c r="B1053" i="26"/>
  <c r="A1053" i="26"/>
  <c r="AA1052" i="26"/>
  <c r="B1052" i="26"/>
  <c r="A1052" i="26"/>
  <c r="AA1051" i="26"/>
  <c r="B1051" i="26"/>
  <c r="A1051" i="26"/>
  <c r="AA1050" i="26"/>
  <c r="B1050" i="26"/>
  <c r="A1050" i="26"/>
  <c r="AA1049" i="26"/>
  <c r="B1049" i="26"/>
  <c r="A1049" i="26"/>
  <c r="AA1048" i="26"/>
  <c r="B1048" i="26"/>
  <c r="A1048" i="26"/>
  <c r="AA1047" i="26"/>
  <c r="B1047" i="26"/>
  <c r="A1047" i="26"/>
  <c r="AA1046" i="26"/>
  <c r="B1046" i="26"/>
  <c r="A1046" i="26"/>
  <c r="AA1045" i="26"/>
  <c r="B1045" i="26"/>
  <c r="A1045" i="26"/>
  <c r="AA1044" i="26"/>
  <c r="B1044" i="26"/>
  <c r="A1044" i="26"/>
  <c r="AA1043" i="26"/>
  <c r="B1043" i="26"/>
  <c r="A1043" i="26"/>
  <c r="AA1042" i="26"/>
  <c r="B1042" i="26"/>
  <c r="A1042" i="26"/>
  <c r="AA1041" i="26"/>
  <c r="B1041" i="26"/>
  <c r="A1041" i="26"/>
  <c r="AA1040" i="26"/>
  <c r="B1040" i="26"/>
  <c r="A1040" i="26"/>
  <c r="AA1039" i="26"/>
  <c r="B1039" i="26"/>
  <c r="A1039" i="26"/>
  <c r="AA1038" i="26"/>
  <c r="B1038" i="26"/>
  <c r="A1038" i="26"/>
  <c r="AA1037" i="26"/>
  <c r="B1037" i="26"/>
  <c r="A1037" i="26"/>
  <c r="AA1036" i="26"/>
  <c r="B1036" i="26"/>
  <c r="A1036" i="26"/>
  <c r="AA1035" i="26"/>
  <c r="B1035" i="26"/>
  <c r="A1035" i="26"/>
  <c r="AA1034" i="26"/>
  <c r="B1034" i="26"/>
  <c r="A1034" i="26"/>
  <c r="AA1033" i="26"/>
  <c r="B1033" i="26"/>
  <c r="A1033" i="26"/>
  <c r="AA1032" i="26"/>
  <c r="B1032" i="26"/>
  <c r="A1032" i="26"/>
  <c r="V1031" i="26"/>
  <c r="A1031" i="26"/>
  <c r="AA1030" i="26"/>
  <c r="B1030" i="26"/>
  <c r="A1030" i="26"/>
  <c r="AA1029" i="26"/>
  <c r="B1029" i="26"/>
  <c r="A1029" i="26"/>
  <c r="AA1028" i="26"/>
  <c r="B1028" i="26"/>
  <c r="A1028" i="26"/>
  <c r="AA1027" i="26"/>
  <c r="B1027" i="26"/>
  <c r="A1027" i="26"/>
  <c r="AA1026" i="26"/>
  <c r="B1026" i="26"/>
  <c r="A1026" i="26"/>
  <c r="AA1025" i="26"/>
  <c r="B1025" i="26"/>
  <c r="A1025" i="26"/>
  <c r="AA1024" i="26"/>
  <c r="B1024" i="26"/>
  <c r="A1024" i="26"/>
  <c r="V1023" i="26"/>
  <c r="A1023" i="26"/>
  <c r="AA1022" i="26"/>
  <c r="B1022" i="26"/>
  <c r="A1022" i="26"/>
  <c r="V1021" i="26"/>
  <c r="A1021" i="26"/>
  <c r="AA1020" i="26"/>
  <c r="B1020" i="26"/>
  <c r="A1020" i="26"/>
  <c r="AA1019" i="26"/>
  <c r="B1019" i="26"/>
  <c r="A1019" i="26"/>
  <c r="AA1018" i="26"/>
  <c r="B1018" i="26"/>
  <c r="A1018" i="26"/>
  <c r="AA1017" i="26"/>
  <c r="B1017" i="26"/>
  <c r="A1017" i="26"/>
  <c r="AA1016" i="26"/>
  <c r="B1016" i="26"/>
  <c r="A1016" i="26"/>
  <c r="AA1015" i="26"/>
  <c r="B1015" i="26"/>
  <c r="A1015" i="26"/>
  <c r="AA1014" i="26"/>
  <c r="B1014" i="26"/>
  <c r="A1014" i="26"/>
  <c r="AA1013" i="26"/>
  <c r="B1013" i="26"/>
  <c r="A1013" i="26"/>
  <c r="AA1012" i="26"/>
  <c r="B1012" i="26"/>
  <c r="A1012" i="26"/>
  <c r="AA1011" i="26"/>
  <c r="B1011" i="26"/>
  <c r="A1011" i="26"/>
  <c r="AA1010" i="26"/>
  <c r="B1010" i="26"/>
  <c r="A1010" i="26"/>
  <c r="AA1009" i="26"/>
  <c r="B1009" i="26"/>
  <c r="A1009" i="26"/>
  <c r="AA1008" i="26"/>
  <c r="B1008" i="26"/>
  <c r="A1008" i="26"/>
  <c r="AA1007" i="26"/>
  <c r="B1007" i="26"/>
  <c r="A1007" i="26"/>
  <c r="AA1006" i="26"/>
  <c r="B1006" i="26"/>
  <c r="A1006" i="26"/>
  <c r="AA1005" i="26"/>
  <c r="B1005" i="26"/>
  <c r="A1005" i="26"/>
  <c r="AA1004" i="26"/>
  <c r="B1004" i="26"/>
  <c r="A1004" i="26"/>
  <c r="AA1003" i="26"/>
  <c r="B1003" i="26"/>
  <c r="A1003" i="26"/>
  <c r="V1002" i="26"/>
  <c r="A1002" i="26"/>
  <c r="AA1001" i="26"/>
  <c r="B1001" i="26"/>
  <c r="A1001" i="26"/>
  <c r="AA1000" i="26"/>
  <c r="B1000" i="26"/>
  <c r="A1000" i="26"/>
  <c r="AA999" i="26"/>
  <c r="B999" i="26"/>
  <c r="A999" i="26"/>
  <c r="AA998" i="26"/>
  <c r="B998" i="26"/>
  <c r="A998" i="26"/>
  <c r="AA997" i="26"/>
  <c r="B997" i="26"/>
  <c r="A997" i="26"/>
  <c r="AA996" i="26"/>
  <c r="B996" i="26"/>
  <c r="A996" i="26"/>
  <c r="AA995" i="26"/>
  <c r="B995" i="26"/>
  <c r="A995" i="26"/>
  <c r="AA994" i="26"/>
  <c r="B994" i="26"/>
  <c r="A994" i="26"/>
  <c r="AA993" i="26"/>
  <c r="B993" i="26"/>
  <c r="A993" i="26"/>
  <c r="AA991" i="26"/>
  <c r="B991" i="26"/>
  <c r="A991" i="26"/>
  <c r="AA990" i="26"/>
  <c r="B990" i="26"/>
  <c r="A990" i="26"/>
  <c r="AA989" i="26"/>
  <c r="B989" i="26"/>
  <c r="A989" i="26"/>
  <c r="AA988" i="26"/>
  <c r="B988" i="26"/>
  <c r="A988" i="26"/>
  <c r="AA987" i="26"/>
  <c r="B987" i="26"/>
  <c r="A987" i="26"/>
  <c r="AA986" i="26"/>
  <c r="B986" i="26"/>
  <c r="A986" i="26"/>
  <c r="AA985" i="26"/>
  <c r="B985" i="26"/>
  <c r="A985" i="26"/>
  <c r="AA984" i="26"/>
  <c r="B984" i="26"/>
  <c r="A984" i="26"/>
  <c r="V983" i="26"/>
  <c r="A983" i="26"/>
  <c r="AA982" i="26"/>
  <c r="B982" i="26"/>
  <c r="A982" i="26"/>
  <c r="AA981" i="26"/>
  <c r="B981" i="26"/>
  <c r="A981" i="26"/>
  <c r="AA980" i="26"/>
  <c r="B980" i="26"/>
  <c r="A980" i="26"/>
  <c r="AA979" i="26"/>
  <c r="B979" i="26"/>
  <c r="A979" i="26"/>
  <c r="AA978" i="26"/>
  <c r="B978" i="26"/>
  <c r="A978" i="26"/>
  <c r="AA977" i="26"/>
  <c r="B977" i="26"/>
  <c r="A977" i="26"/>
  <c r="AA976" i="26"/>
  <c r="B976" i="26"/>
  <c r="A976" i="26"/>
  <c r="AA975" i="26"/>
  <c r="B975" i="26"/>
  <c r="A975" i="26"/>
  <c r="AA974" i="26"/>
  <c r="B974" i="26"/>
  <c r="A974" i="26"/>
  <c r="AA973" i="26"/>
  <c r="B973" i="26"/>
  <c r="A973" i="26"/>
  <c r="V972" i="26"/>
  <c r="A972" i="26"/>
  <c r="AA971" i="26"/>
  <c r="B971" i="26"/>
  <c r="A971" i="26"/>
  <c r="AA970" i="26"/>
  <c r="B970" i="26"/>
  <c r="A970" i="26"/>
  <c r="AA969" i="26"/>
  <c r="B969" i="26"/>
  <c r="A969" i="26"/>
  <c r="AA968" i="26"/>
  <c r="B968" i="26"/>
  <c r="A968" i="26"/>
  <c r="AA967" i="26"/>
  <c r="B967" i="26"/>
  <c r="A967" i="26"/>
  <c r="AA966" i="26"/>
  <c r="B966" i="26"/>
  <c r="A966" i="26"/>
  <c r="AA965" i="26"/>
  <c r="B965" i="26"/>
  <c r="A965" i="26"/>
  <c r="AA964" i="26"/>
  <c r="B964" i="26"/>
  <c r="A964" i="26"/>
  <c r="AA963" i="26"/>
  <c r="B963" i="26"/>
  <c r="A963" i="26"/>
  <c r="AA962" i="26"/>
  <c r="B962" i="26"/>
  <c r="A962" i="26"/>
  <c r="AA961" i="26"/>
  <c r="B961" i="26"/>
  <c r="A961" i="26"/>
  <c r="B960" i="26"/>
  <c r="A960" i="26"/>
  <c r="V959" i="26"/>
  <c r="A959" i="26"/>
  <c r="V958" i="26"/>
  <c r="A958" i="26"/>
  <c r="AA957" i="26"/>
  <c r="B957" i="26"/>
  <c r="A957" i="26"/>
  <c r="AA956" i="26"/>
  <c r="B956" i="26"/>
  <c r="A956" i="26"/>
  <c r="AA955" i="26"/>
  <c r="B955" i="26"/>
  <c r="A955" i="26"/>
  <c r="AA954" i="26"/>
  <c r="B954" i="26"/>
  <c r="A954" i="26"/>
  <c r="AA953" i="26"/>
  <c r="B953" i="26"/>
  <c r="A953" i="26"/>
  <c r="AA952" i="26"/>
  <c r="B952" i="26"/>
  <c r="A952" i="26"/>
  <c r="AA951" i="26"/>
  <c r="B951" i="26"/>
  <c r="A951" i="26"/>
  <c r="AA950" i="26"/>
  <c r="B950" i="26"/>
  <c r="A950" i="26"/>
  <c r="AA949" i="26"/>
  <c r="B949" i="26"/>
  <c r="A949" i="26"/>
  <c r="AA948" i="26"/>
  <c r="B948" i="26"/>
  <c r="A948" i="26"/>
  <c r="AA947" i="26"/>
  <c r="B947" i="26"/>
  <c r="A947" i="26"/>
  <c r="AA945" i="26"/>
  <c r="B945" i="26"/>
  <c r="A945" i="26"/>
  <c r="AA944" i="26"/>
  <c r="B944" i="26"/>
  <c r="A944" i="26"/>
  <c r="AA943" i="26"/>
  <c r="B943" i="26"/>
  <c r="A943" i="26"/>
  <c r="AA942" i="26"/>
  <c r="B942" i="26"/>
  <c r="A942" i="26"/>
  <c r="AA941" i="26"/>
  <c r="B941" i="26"/>
  <c r="A941" i="26"/>
  <c r="AA940" i="26"/>
  <c r="B940" i="26"/>
  <c r="A940" i="26"/>
  <c r="AA939" i="26"/>
  <c r="B939" i="26"/>
  <c r="A939" i="26"/>
  <c r="AA938" i="26"/>
  <c r="B938" i="26"/>
  <c r="A938" i="26"/>
  <c r="AA937" i="26"/>
  <c r="B937" i="26"/>
  <c r="A937" i="26"/>
  <c r="AA936" i="26"/>
  <c r="B936" i="26"/>
  <c r="A936" i="26"/>
  <c r="AA935" i="26"/>
  <c r="B935" i="26"/>
  <c r="A935" i="26"/>
  <c r="V934" i="26"/>
  <c r="A934" i="26"/>
  <c r="V933" i="26"/>
  <c r="A933" i="26"/>
  <c r="V932" i="26"/>
  <c r="A932" i="26"/>
  <c r="V931" i="26"/>
  <c r="A931" i="26"/>
  <c r="AA930" i="26"/>
  <c r="B930" i="26"/>
  <c r="A930" i="26"/>
  <c r="AA929" i="26"/>
  <c r="B929" i="26"/>
  <c r="A929" i="26"/>
  <c r="AA928" i="26"/>
  <c r="B928" i="26"/>
  <c r="A928" i="26"/>
  <c r="AA927" i="26"/>
  <c r="B927" i="26"/>
  <c r="A927" i="26"/>
  <c r="AA926" i="26"/>
  <c r="B926" i="26"/>
  <c r="A926" i="26"/>
  <c r="AA925" i="26"/>
  <c r="B925" i="26"/>
  <c r="A925" i="26"/>
  <c r="AA924" i="26"/>
  <c r="B924" i="26"/>
  <c r="A924" i="26"/>
  <c r="V923" i="26"/>
  <c r="A923" i="26"/>
  <c r="AA922" i="26"/>
  <c r="B922" i="26"/>
  <c r="A922" i="26"/>
  <c r="AA921" i="26"/>
  <c r="B921" i="26"/>
  <c r="A921" i="26"/>
  <c r="AA920" i="26"/>
  <c r="B920" i="26"/>
  <c r="A920" i="26"/>
  <c r="AA919" i="26"/>
  <c r="B919" i="26"/>
  <c r="A919" i="26"/>
  <c r="AA918" i="26"/>
  <c r="B918" i="26"/>
  <c r="A918" i="26"/>
  <c r="AA917" i="26"/>
  <c r="B917" i="26"/>
  <c r="A917" i="26"/>
  <c r="AA916" i="26"/>
  <c r="B916" i="26"/>
  <c r="A916" i="26"/>
  <c r="AA915" i="26"/>
  <c r="B915" i="26"/>
  <c r="A915" i="26"/>
  <c r="AA914" i="26"/>
  <c r="B914" i="26"/>
  <c r="A914" i="26"/>
  <c r="AA913" i="26"/>
  <c r="B913" i="26"/>
  <c r="A913" i="26"/>
  <c r="AA912" i="26"/>
  <c r="B912" i="26"/>
  <c r="A912" i="26"/>
  <c r="AA911" i="26"/>
  <c r="B911" i="26"/>
  <c r="A911" i="26"/>
  <c r="AA910" i="26"/>
  <c r="B910" i="26"/>
  <c r="A910" i="26"/>
  <c r="AA909" i="26"/>
  <c r="B909" i="26"/>
  <c r="A909" i="26"/>
  <c r="AA908" i="26"/>
  <c r="B908" i="26"/>
  <c r="A908" i="26"/>
  <c r="AA907" i="26"/>
  <c r="B907" i="26"/>
  <c r="A907" i="26"/>
  <c r="AA906" i="26"/>
  <c r="B906" i="26"/>
  <c r="A906" i="26"/>
  <c r="AA905" i="26"/>
  <c r="B905" i="26"/>
  <c r="A905" i="26"/>
  <c r="AA904" i="26"/>
  <c r="B904" i="26"/>
  <c r="A904" i="26"/>
  <c r="AA903" i="26"/>
  <c r="B903" i="26"/>
  <c r="A903" i="26"/>
  <c r="AA902" i="26"/>
  <c r="B902" i="26"/>
  <c r="A902" i="26"/>
  <c r="AA901" i="26"/>
  <c r="B901" i="26"/>
  <c r="A901" i="26"/>
  <c r="AA900" i="26"/>
  <c r="B900" i="26"/>
  <c r="A900" i="26"/>
  <c r="AA899" i="26"/>
  <c r="B899" i="26"/>
  <c r="A899" i="26"/>
  <c r="V898" i="26"/>
  <c r="A898" i="26"/>
  <c r="AA897" i="26"/>
  <c r="B897" i="26"/>
  <c r="A897" i="26"/>
  <c r="V896" i="26"/>
  <c r="A896" i="26"/>
  <c r="AA895" i="26"/>
  <c r="B895" i="26"/>
  <c r="A895" i="26"/>
  <c r="AA894" i="26"/>
  <c r="B894" i="26"/>
  <c r="A894" i="26"/>
  <c r="AA893" i="26"/>
  <c r="B893" i="26"/>
  <c r="A893" i="26"/>
  <c r="AA892" i="26"/>
  <c r="B892" i="26"/>
  <c r="A892" i="26"/>
  <c r="AA891" i="26"/>
  <c r="B891" i="26"/>
  <c r="A891" i="26"/>
  <c r="AA890" i="26"/>
  <c r="B890" i="26"/>
  <c r="A890" i="26"/>
  <c r="AA889" i="26"/>
  <c r="B889" i="26"/>
  <c r="A889" i="26"/>
  <c r="AA888" i="26"/>
  <c r="B888" i="26"/>
  <c r="A888" i="26"/>
  <c r="AA887" i="26"/>
  <c r="B887" i="26"/>
  <c r="A887" i="26"/>
  <c r="AA886" i="26"/>
  <c r="B886" i="26"/>
  <c r="A886" i="26"/>
  <c r="AA885" i="26"/>
  <c r="B885" i="26"/>
  <c r="A885" i="26"/>
  <c r="AA884" i="26"/>
  <c r="B884" i="26"/>
  <c r="AA883" i="26"/>
  <c r="B883" i="26"/>
  <c r="A883" i="26"/>
  <c r="AA882" i="26"/>
  <c r="B882" i="26"/>
  <c r="A882" i="26"/>
  <c r="AA881" i="26"/>
  <c r="B881" i="26"/>
  <c r="A881" i="26"/>
  <c r="AA880" i="26"/>
  <c r="B880" i="26"/>
  <c r="A880" i="26"/>
  <c r="AA879" i="26"/>
  <c r="B879" i="26"/>
  <c r="A879" i="26"/>
  <c r="AA878" i="26"/>
  <c r="B878" i="26"/>
  <c r="A878" i="26"/>
  <c r="AA877" i="26"/>
  <c r="B877" i="26"/>
  <c r="A877" i="26"/>
  <c r="AA876" i="26"/>
  <c r="B876" i="26"/>
  <c r="A876" i="26"/>
  <c r="AA875" i="26"/>
  <c r="B875" i="26"/>
  <c r="A875" i="26"/>
  <c r="AA874" i="26"/>
  <c r="B874" i="26"/>
  <c r="A874" i="26"/>
  <c r="AA873" i="26"/>
  <c r="B873" i="26"/>
  <c r="A873" i="26"/>
  <c r="AA872" i="26"/>
  <c r="B872" i="26"/>
  <c r="A872" i="26"/>
  <c r="AA871" i="26"/>
  <c r="B871" i="26"/>
  <c r="A871" i="26"/>
  <c r="V870" i="26"/>
  <c r="A870" i="26"/>
  <c r="V869" i="26"/>
  <c r="A869" i="26"/>
  <c r="AA868" i="26"/>
  <c r="B868" i="26"/>
  <c r="A868" i="26"/>
  <c r="AA867" i="26"/>
  <c r="B867" i="26"/>
  <c r="AA866" i="26"/>
  <c r="B866" i="26"/>
  <c r="A866" i="26"/>
  <c r="AA865" i="26"/>
  <c r="B865" i="26"/>
  <c r="A865" i="26"/>
  <c r="AA864" i="26"/>
  <c r="B864" i="26"/>
  <c r="A864" i="26"/>
  <c r="AA863" i="26"/>
  <c r="B863" i="26"/>
  <c r="A863" i="26"/>
  <c r="AA862" i="26"/>
  <c r="B862" i="26"/>
  <c r="A862" i="26"/>
  <c r="V861" i="26"/>
  <c r="A861" i="26"/>
  <c r="AA860" i="26"/>
  <c r="B860" i="26"/>
  <c r="A860" i="26"/>
  <c r="AA859" i="26"/>
  <c r="B859" i="26"/>
  <c r="A859" i="26"/>
  <c r="AA858" i="26"/>
  <c r="B858" i="26"/>
  <c r="A858" i="26"/>
  <c r="AA857" i="26"/>
  <c r="B857" i="26"/>
  <c r="A857" i="26"/>
  <c r="V856" i="26"/>
  <c r="A856" i="26"/>
  <c r="V854" i="26"/>
  <c r="A854" i="26"/>
  <c r="AA853" i="26"/>
  <c r="B853" i="26"/>
  <c r="A853" i="26"/>
  <c r="AA852" i="26"/>
  <c r="B852" i="26"/>
  <c r="A852" i="26"/>
  <c r="AA851" i="26"/>
  <c r="B851" i="26"/>
  <c r="A851" i="26"/>
  <c r="AA850" i="26"/>
  <c r="B850" i="26"/>
  <c r="A850" i="26"/>
  <c r="AA849" i="26"/>
  <c r="B849" i="26"/>
  <c r="A849" i="26"/>
  <c r="AA848" i="26"/>
  <c r="B848" i="26"/>
  <c r="A848" i="26"/>
  <c r="AA847" i="26"/>
  <c r="B847" i="26"/>
  <c r="A847" i="26"/>
  <c r="AA846" i="26"/>
  <c r="B846" i="26"/>
  <c r="A846" i="26"/>
  <c r="AA844" i="26"/>
  <c r="B844" i="26"/>
  <c r="A844" i="26"/>
  <c r="AA843" i="26"/>
  <c r="B843" i="26"/>
  <c r="A843" i="26"/>
  <c r="V842" i="26"/>
  <c r="A842" i="26"/>
  <c r="V841" i="26"/>
  <c r="A841" i="26"/>
  <c r="V840" i="26"/>
  <c r="A840" i="26"/>
  <c r="AA839" i="26"/>
  <c r="B839" i="26"/>
  <c r="A839" i="26"/>
  <c r="AA838" i="26"/>
  <c r="B838" i="26"/>
  <c r="A838" i="26"/>
  <c r="AA837" i="26"/>
  <c r="B837" i="26"/>
  <c r="A837" i="26"/>
  <c r="AA836" i="26"/>
  <c r="B836" i="26"/>
  <c r="A836" i="26"/>
  <c r="AA835" i="26"/>
  <c r="B835" i="26"/>
  <c r="A835" i="26"/>
  <c r="AA834" i="26"/>
  <c r="B834" i="26"/>
  <c r="A834" i="26"/>
  <c r="AA833" i="26"/>
  <c r="B833" i="26"/>
  <c r="A833" i="26"/>
  <c r="AA832" i="26"/>
  <c r="B832" i="26"/>
  <c r="A832" i="26"/>
  <c r="AA831" i="26"/>
  <c r="B831" i="26"/>
  <c r="A831" i="26"/>
  <c r="V830" i="26"/>
  <c r="A830" i="26"/>
  <c r="AA829" i="26"/>
  <c r="B829" i="26"/>
  <c r="A829" i="26"/>
  <c r="V828" i="26"/>
  <c r="A828" i="26"/>
  <c r="AA827" i="26"/>
  <c r="B827" i="26"/>
  <c r="A827" i="26"/>
  <c r="AA826" i="26"/>
  <c r="B826" i="26"/>
  <c r="A826" i="26"/>
  <c r="V825" i="26"/>
  <c r="A825" i="26"/>
  <c r="AA824" i="26"/>
  <c r="B824" i="26"/>
  <c r="A824" i="26"/>
  <c r="V823" i="26"/>
  <c r="A823" i="26"/>
  <c r="AA822" i="26"/>
  <c r="B822" i="26"/>
  <c r="A822" i="26"/>
  <c r="AA821" i="26"/>
  <c r="B821" i="26"/>
  <c r="A821" i="26"/>
  <c r="AA820" i="26"/>
  <c r="B820" i="26"/>
  <c r="A820" i="26"/>
  <c r="AA819" i="26"/>
  <c r="B819" i="26"/>
  <c r="A819" i="26"/>
  <c r="V818" i="26"/>
  <c r="A818" i="26"/>
  <c r="V817" i="26"/>
  <c r="A817" i="26"/>
  <c r="V816" i="26"/>
  <c r="A816" i="26"/>
  <c r="AA815" i="26"/>
  <c r="B815" i="26"/>
  <c r="A815" i="26"/>
  <c r="AA814" i="26"/>
  <c r="B814" i="26"/>
  <c r="A814" i="26"/>
  <c r="AA813" i="26"/>
  <c r="B813" i="26"/>
  <c r="A813" i="26"/>
  <c r="AA812" i="26"/>
  <c r="B812" i="26"/>
  <c r="A812" i="26"/>
  <c r="AA811" i="26"/>
  <c r="B811" i="26"/>
  <c r="A811" i="26"/>
  <c r="AA810" i="26"/>
  <c r="B810" i="26"/>
  <c r="A810" i="26"/>
  <c r="AA809" i="26"/>
  <c r="B809" i="26"/>
  <c r="A809" i="26"/>
  <c r="AA808" i="26"/>
  <c r="B808" i="26"/>
  <c r="A808" i="26"/>
  <c r="AA807" i="26"/>
  <c r="B807" i="26"/>
  <c r="A807" i="26"/>
  <c r="AA806" i="26"/>
  <c r="B806" i="26"/>
  <c r="A806" i="26"/>
  <c r="AA805" i="26"/>
  <c r="B805" i="26"/>
  <c r="A805" i="26"/>
  <c r="AA804" i="26"/>
  <c r="B804" i="26"/>
  <c r="A804" i="26"/>
  <c r="AA803" i="26"/>
  <c r="B803" i="26"/>
  <c r="A803" i="26"/>
  <c r="AA802" i="26"/>
  <c r="B802" i="26"/>
  <c r="A802" i="26"/>
  <c r="AA801" i="26"/>
  <c r="B801" i="26"/>
  <c r="A801" i="26"/>
  <c r="AA800" i="26"/>
  <c r="B800" i="26"/>
  <c r="A800" i="26"/>
  <c r="AA799" i="26"/>
  <c r="B799" i="26"/>
  <c r="A799" i="26"/>
  <c r="AA798" i="26"/>
  <c r="B798" i="26"/>
  <c r="A798" i="26"/>
  <c r="AA797" i="26"/>
  <c r="B797" i="26"/>
  <c r="A797" i="26"/>
  <c r="AA796" i="26"/>
  <c r="B796" i="26"/>
  <c r="A796" i="26"/>
  <c r="AA795" i="26"/>
  <c r="B795" i="26"/>
  <c r="A795" i="26"/>
  <c r="AA794" i="26"/>
  <c r="B794" i="26"/>
  <c r="A794" i="26"/>
  <c r="V793" i="26"/>
  <c r="A793" i="26"/>
  <c r="V792" i="26"/>
  <c r="A792" i="26"/>
  <c r="AA791" i="26"/>
  <c r="B791" i="26"/>
  <c r="A791" i="26"/>
  <c r="AA790" i="26"/>
  <c r="B790" i="26"/>
  <c r="A790" i="26"/>
  <c r="AA789" i="26"/>
  <c r="B789" i="26"/>
  <c r="A789" i="26"/>
  <c r="V788" i="26"/>
  <c r="A788" i="26"/>
  <c r="V787" i="26"/>
  <c r="A787" i="26"/>
  <c r="V786" i="26"/>
  <c r="A786" i="26"/>
  <c r="AA785" i="26"/>
  <c r="B785" i="26"/>
  <c r="A785" i="26"/>
  <c r="AA784" i="26"/>
  <c r="B784" i="26"/>
  <c r="A784" i="26"/>
  <c r="V783" i="26"/>
  <c r="A783" i="26"/>
  <c r="AA782" i="26"/>
  <c r="B782" i="26"/>
  <c r="A782" i="26"/>
  <c r="AA781" i="26"/>
  <c r="B781" i="26"/>
  <c r="A781" i="26"/>
  <c r="AA780" i="26"/>
  <c r="B780" i="26"/>
  <c r="A780" i="26"/>
  <c r="AA779" i="26"/>
  <c r="B779" i="26"/>
  <c r="A779" i="26"/>
  <c r="AA778" i="26"/>
  <c r="B778" i="26"/>
  <c r="A778" i="26"/>
  <c r="AA777" i="26"/>
  <c r="B777" i="26"/>
  <c r="A777" i="26"/>
  <c r="AA776" i="26"/>
  <c r="B776" i="26"/>
  <c r="A776" i="26"/>
  <c r="AA775" i="26"/>
  <c r="B775" i="26"/>
  <c r="A775" i="26"/>
  <c r="AA774" i="26"/>
  <c r="B774" i="26"/>
  <c r="A774" i="26"/>
  <c r="AA773" i="26"/>
  <c r="B773" i="26"/>
  <c r="A773" i="26"/>
  <c r="AA772" i="26"/>
  <c r="B772" i="26"/>
  <c r="A772" i="26"/>
  <c r="AA771" i="26"/>
  <c r="B771" i="26"/>
  <c r="A771" i="26"/>
  <c r="AA770" i="26"/>
  <c r="B770" i="26"/>
  <c r="A770" i="26"/>
  <c r="AA769" i="26"/>
  <c r="B769" i="26"/>
  <c r="A769" i="26"/>
  <c r="AA768" i="26"/>
  <c r="B768" i="26"/>
  <c r="A768" i="26"/>
  <c r="AA767" i="26"/>
  <c r="B767" i="26"/>
  <c r="A767" i="26"/>
  <c r="AA766" i="26"/>
  <c r="B766" i="26"/>
  <c r="A766" i="26"/>
  <c r="AA765" i="26"/>
  <c r="B765" i="26"/>
  <c r="A765" i="26"/>
  <c r="V763" i="26"/>
  <c r="A763" i="26"/>
  <c r="AA762" i="26"/>
  <c r="B762" i="26"/>
  <c r="A762" i="26"/>
  <c r="AA761" i="26"/>
  <c r="B761" i="26"/>
  <c r="A761" i="26"/>
  <c r="AA760" i="26"/>
  <c r="B760" i="26"/>
  <c r="A760" i="26"/>
  <c r="AA759" i="26"/>
  <c r="B759" i="26"/>
  <c r="A759" i="26"/>
  <c r="AA758" i="26"/>
  <c r="B758" i="26"/>
  <c r="A758" i="26"/>
  <c r="AA757" i="26"/>
  <c r="B757" i="26"/>
  <c r="A757" i="26"/>
  <c r="AA756" i="26"/>
  <c r="B756" i="26"/>
  <c r="A756" i="26"/>
  <c r="AA755" i="26"/>
  <c r="B755" i="26"/>
  <c r="A755" i="26"/>
  <c r="AA754" i="26"/>
  <c r="B754" i="26"/>
  <c r="A754" i="26"/>
  <c r="AA753" i="26"/>
  <c r="B753" i="26"/>
  <c r="A753" i="26"/>
  <c r="AA752" i="26"/>
  <c r="B752" i="26"/>
  <c r="A752" i="26"/>
  <c r="AA751" i="26"/>
  <c r="B751" i="26"/>
  <c r="A751" i="26"/>
  <c r="AA750" i="26"/>
  <c r="B750" i="26"/>
  <c r="A750" i="26"/>
  <c r="AA749" i="26"/>
  <c r="B749" i="26"/>
  <c r="A749" i="26"/>
  <c r="AA748" i="26"/>
  <c r="B748" i="26"/>
  <c r="A748" i="26"/>
  <c r="AA747" i="26"/>
  <c r="B747" i="26"/>
  <c r="A747" i="26"/>
  <c r="AA746" i="26"/>
  <c r="B746" i="26"/>
  <c r="A746" i="26"/>
  <c r="AA745" i="26"/>
  <c r="B745" i="26"/>
  <c r="A745" i="26"/>
  <c r="AA744" i="26"/>
  <c r="B744" i="26"/>
  <c r="A744" i="26"/>
  <c r="AA743" i="26"/>
  <c r="B743" i="26"/>
  <c r="A743" i="26"/>
  <c r="AA742" i="26"/>
  <c r="B742" i="26"/>
  <c r="A742" i="26"/>
  <c r="AA741" i="26"/>
  <c r="B741" i="26"/>
  <c r="A741" i="26"/>
  <c r="AA740" i="26"/>
  <c r="B740" i="26"/>
  <c r="A740" i="26"/>
  <c r="AA739" i="26"/>
  <c r="B739" i="26"/>
  <c r="A739" i="26"/>
  <c r="V738" i="26"/>
  <c r="A738" i="26"/>
  <c r="AA737" i="26"/>
  <c r="B737" i="26"/>
  <c r="A737" i="26"/>
  <c r="AA736" i="26"/>
  <c r="B736" i="26"/>
  <c r="A736" i="26"/>
  <c r="AA735" i="26"/>
  <c r="B735" i="26"/>
  <c r="A735" i="26"/>
  <c r="AA734" i="26"/>
  <c r="B734" i="26"/>
  <c r="A734" i="26"/>
  <c r="AA733" i="26"/>
  <c r="B733" i="26"/>
  <c r="A733" i="26"/>
  <c r="V732" i="26"/>
  <c r="A732" i="26"/>
  <c r="AA731" i="26"/>
  <c r="B731" i="26"/>
  <c r="A731" i="26"/>
  <c r="AA730" i="26"/>
  <c r="B730" i="26"/>
  <c r="A730" i="26"/>
  <c r="AA729" i="26"/>
  <c r="B729" i="26"/>
  <c r="A729" i="26"/>
  <c r="AA728" i="26"/>
  <c r="B728" i="26"/>
  <c r="A728" i="26"/>
  <c r="V727" i="26"/>
  <c r="A727" i="26"/>
  <c r="V726" i="26"/>
  <c r="A726" i="26"/>
  <c r="AA725" i="26"/>
  <c r="B725" i="26"/>
  <c r="A725" i="26"/>
  <c r="AA724" i="26"/>
  <c r="B724" i="26"/>
  <c r="A724" i="26"/>
  <c r="AA723" i="26"/>
  <c r="B723" i="26"/>
  <c r="A723" i="26"/>
  <c r="AA722" i="26"/>
  <c r="B722" i="26"/>
  <c r="A722" i="26"/>
  <c r="AA721" i="26"/>
  <c r="B721" i="26"/>
  <c r="A721" i="26"/>
  <c r="AA720" i="26"/>
  <c r="B720" i="26"/>
  <c r="A720" i="26"/>
  <c r="AA719" i="26"/>
  <c r="B719" i="26"/>
  <c r="A719" i="26"/>
  <c r="AA718" i="26"/>
  <c r="B718" i="26"/>
  <c r="A718" i="26"/>
  <c r="AA717" i="26"/>
  <c r="B717" i="26"/>
  <c r="A717" i="26"/>
  <c r="AA716" i="26"/>
  <c r="B716" i="26"/>
  <c r="A716" i="26"/>
  <c r="AA715" i="26"/>
  <c r="B715" i="26"/>
  <c r="A715" i="26"/>
  <c r="AA714" i="26"/>
  <c r="B714" i="26"/>
  <c r="A714" i="26"/>
  <c r="AA713" i="26"/>
  <c r="B713" i="26"/>
  <c r="A713" i="26"/>
  <c r="AA712" i="26"/>
  <c r="B712" i="26"/>
  <c r="A712" i="26"/>
  <c r="AA711" i="26"/>
  <c r="B711" i="26"/>
  <c r="A711" i="26"/>
  <c r="AA710" i="26"/>
  <c r="B710" i="26"/>
  <c r="A710" i="26"/>
  <c r="AA709" i="26"/>
  <c r="B709" i="26"/>
  <c r="A709" i="26"/>
  <c r="AA708" i="26"/>
  <c r="B708" i="26"/>
  <c r="A708" i="26"/>
  <c r="AA707" i="26"/>
  <c r="B707" i="26"/>
  <c r="A707" i="26"/>
  <c r="AA706" i="26"/>
  <c r="B706" i="26"/>
  <c r="A706" i="26"/>
  <c r="AA705" i="26"/>
  <c r="B705" i="26"/>
  <c r="A705" i="26"/>
  <c r="AA704" i="26"/>
  <c r="B704" i="26"/>
  <c r="A704" i="26"/>
  <c r="AA703" i="26"/>
  <c r="B703" i="26"/>
  <c r="A703" i="26"/>
  <c r="AA702" i="26"/>
  <c r="B702" i="26"/>
  <c r="A702" i="26"/>
  <c r="AA701" i="26"/>
  <c r="B701" i="26"/>
  <c r="A701" i="26"/>
  <c r="AA700" i="26"/>
  <c r="B700" i="26"/>
  <c r="A700" i="26"/>
  <c r="AA699" i="26"/>
  <c r="B699" i="26"/>
  <c r="A699" i="26"/>
  <c r="AA698" i="26"/>
  <c r="B698" i="26"/>
  <c r="A698" i="26"/>
  <c r="AA697" i="26"/>
  <c r="B697" i="26"/>
  <c r="A697" i="26"/>
  <c r="AA696" i="26"/>
  <c r="B696" i="26"/>
  <c r="A696" i="26"/>
  <c r="AA695" i="26"/>
  <c r="B695" i="26"/>
  <c r="A695" i="26"/>
  <c r="V694" i="26"/>
  <c r="A694" i="26"/>
  <c r="V693" i="26"/>
  <c r="A693" i="26"/>
  <c r="V692" i="26"/>
  <c r="A692" i="26"/>
  <c r="V691" i="26"/>
  <c r="A691" i="26"/>
  <c r="AA690" i="26"/>
  <c r="B690" i="26"/>
  <c r="A690" i="26"/>
  <c r="V689" i="26"/>
  <c r="A689" i="26"/>
  <c r="V688" i="26"/>
  <c r="A688" i="26"/>
  <c r="AA687" i="26"/>
  <c r="B687" i="26"/>
  <c r="A687" i="26"/>
  <c r="AA686" i="26"/>
  <c r="B686" i="26"/>
  <c r="A686" i="26"/>
  <c r="AA685" i="26"/>
  <c r="B685" i="26"/>
  <c r="A685" i="26"/>
  <c r="AA684" i="26"/>
  <c r="B684" i="26"/>
  <c r="A684" i="26"/>
  <c r="AA683" i="26"/>
  <c r="B683" i="26"/>
  <c r="A683" i="26"/>
  <c r="AA682" i="26"/>
  <c r="B682" i="26"/>
  <c r="A682" i="26"/>
  <c r="AA681" i="26"/>
  <c r="B681" i="26"/>
  <c r="A681" i="26"/>
  <c r="AA680" i="26"/>
  <c r="B680" i="26"/>
  <c r="A680" i="26"/>
  <c r="AA679" i="26"/>
  <c r="B679" i="26"/>
  <c r="A679" i="26"/>
  <c r="AA678" i="26"/>
  <c r="B678" i="26"/>
  <c r="A678" i="26"/>
  <c r="AA677" i="26"/>
  <c r="B677" i="26"/>
  <c r="A677" i="26"/>
  <c r="AA676" i="26"/>
  <c r="B676" i="26"/>
  <c r="A676" i="26"/>
  <c r="AA675" i="26"/>
  <c r="B675" i="26"/>
  <c r="A675" i="26"/>
  <c r="AA674" i="26"/>
  <c r="B674" i="26"/>
  <c r="A674" i="26"/>
  <c r="AA673" i="26"/>
  <c r="B673" i="26"/>
  <c r="A673" i="26"/>
  <c r="AA672" i="26"/>
  <c r="B672" i="26"/>
  <c r="A672" i="26"/>
  <c r="AA671" i="26"/>
  <c r="B671" i="26"/>
  <c r="A671" i="26"/>
  <c r="AA670" i="26"/>
  <c r="B670" i="26"/>
  <c r="A670" i="26"/>
  <c r="AA669" i="26"/>
  <c r="B669" i="26"/>
  <c r="A669" i="26"/>
  <c r="AA668" i="26"/>
  <c r="B668" i="26"/>
  <c r="A668" i="26"/>
  <c r="AA667" i="26"/>
  <c r="B667" i="26"/>
  <c r="A667" i="26"/>
  <c r="AA666" i="26"/>
  <c r="B666" i="26"/>
  <c r="A666" i="26"/>
  <c r="AA665" i="26"/>
  <c r="B665" i="26"/>
  <c r="A665" i="26"/>
  <c r="AA664" i="26"/>
  <c r="B664" i="26"/>
  <c r="A664" i="26"/>
  <c r="AA663" i="26"/>
  <c r="B663" i="26"/>
  <c r="A663" i="26"/>
  <c r="AA662" i="26"/>
  <c r="B662" i="26"/>
  <c r="A662" i="26"/>
  <c r="V661" i="26"/>
  <c r="A661" i="26"/>
  <c r="AA660" i="26"/>
  <c r="B660" i="26"/>
  <c r="A660" i="26"/>
  <c r="V659" i="26"/>
  <c r="A659" i="26"/>
  <c r="V658" i="26"/>
  <c r="A658" i="26"/>
  <c r="V657" i="26"/>
  <c r="A657" i="26"/>
  <c r="V656" i="26"/>
  <c r="A656" i="26"/>
  <c r="B655" i="26"/>
  <c r="A655" i="26"/>
  <c r="AA654" i="26"/>
  <c r="B654" i="26"/>
  <c r="A654" i="26"/>
  <c r="AA653" i="26"/>
  <c r="B653" i="26"/>
  <c r="A653" i="26"/>
  <c r="AA652" i="26"/>
  <c r="B652" i="26"/>
  <c r="A652" i="26"/>
  <c r="AA651" i="26"/>
  <c r="B651" i="26"/>
  <c r="A651" i="26"/>
  <c r="AA650" i="26"/>
  <c r="B650" i="26"/>
  <c r="A650" i="26"/>
  <c r="V649" i="26"/>
  <c r="A649" i="26"/>
  <c r="V648" i="26"/>
  <c r="A648" i="26"/>
  <c r="V647" i="26"/>
  <c r="A647" i="26"/>
  <c r="V646" i="26"/>
  <c r="A646" i="26"/>
  <c r="V645" i="26"/>
  <c r="A645" i="26"/>
  <c r="AA644" i="26"/>
  <c r="B644" i="26"/>
  <c r="A644" i="26"/>
  <c r="AA643" i="26"/>
  <c r="B643" i="26"/>
  <c r="A643" i="26"/>
  <c r="B642" i="26"/>
  <c r="A642" i="26"/>
  <c r="V641" i="26"/>
  <c r="A641" i="26"/>
  <c r="V640" i="26"/>
  <c r="A640" i="26"/>
  <c r="AA639" i="26"/>
  <c r="B639" i="26"/>
  <c r="A639" i="26"/>
  <c r="AA638" i="26"/>
  <c r="B638" i="26"/>
  <c r="A638" i="26"/>
  <c r="AA637" i="26"/>
  <c r="B637" i="26"/>
  <c r="A637" i="26"/>
  <c r="AA636" i="26"/>
  <c r="B636" i="26"/>
  <c r="A636" i="26"/>
  <c r="AA635" i="26"/>
  <c r="B635" i="26"/>
  <c r="A635" i="26"/>
  <c r="AA634" i="26"/>
  <c r="B634" i="26"/>
  <c r="A634" i="26"/>
  <c r="AA633" i="26"/>
  <c r="B633" i="26"/>
  <c r="A633" i="26"/>
  <c r="AA632" i="26"/>
  <c r="B632" i="26"/>
  <c r="A632" i="26"/>
  <c r="AA631" i="26"/>
  <c r="B631" i="26"/>
  <c r="A631" i="26"/>
  <c r="AA630" i="26"/>
  <c r="B630" i="26"/>
  <c r="A630" i="26"/>
  <c r="AA629" i="26"/>
  <c r="B629" i="26"/>
  <c r="A629" i="26"/>
  <c r="AA628" i="26"/>
  <c r="B628" i="26"/>
  <c r="A628" i="26"/>
  <c r="AA627" i="26"/>
  <c r="B627" i="26"/>
  <c r="A627" i="26"/>
  <c r="AA626" i="26"/>
  <c r="B626" i="26"/>
  <c r="A626" i="26"/>
  <c r="AA625" i="26"/>
  <c r="B625" i="26"/>
  <c r="A625" i="26"/>
  <c r="V624" i="26"/>
  <c r="A624" i="26"/>
  <c r="V623" i="26"/>
  <c r="A623" i="26"/>
  <c r="V622" i="26"/>
  <c r="A622" i="26"/>
  <c r="B621" i="26"/>
  <c r="A621" i="26"/>
  <c r="V620" i="26"/>
  <c r="A620" i="26"/>
  <c r="AA619" i="26"/>
  <c r="B619" i="26"/>
  <c r="A619" i="26"/>
  <c r="AA618" i="26"/>
  <c r="B618" i="26"/>
  <c r="A618" i="26"/>
  <c r="AA617" i="26"/>
  <c r="B617" i="26"/>
  <c r="A617" i="26"/>
  <c r="AA616" i="26"/>
  <c r="B616" i="26"/>
  <c r="A616" i="26"/>
  <c r="AA615" i="26"/>
  <c r="B615" i="26"/>
  <c r="A615" i="26"/>
  <c r="AA614" i="26"/>
  <c r="B614" i="26"/>
  <c r="A614" i="26"/>
  <c r="AA613" i="26"/>
  <c r="B613" i="26"/>
  <c r="A613" i="26"/>
  <c r="AA612" i="26"/>
  <c r="B612" i="26"/>
  <c r="A612" i="26"/>
  <c r="AA611" i="26"/>
  <c r="B611" i="26"/>
  <c r="A611" i="26"/>
  <c r="V610" i="26"/>
  <c r="A610" i="26"/>
  <c r="AA609" i="26"/>
  <c r="B609" i="26"/>
  <c r="A609" i="26"/>
  <c r="AA608" i="26"/>
  <c r="B608" i="26"/>
  <c r="A608" i="26"/>
  <c r="AA607" i="26"/>
  <c r="B607" i="26"/>
  <c r="A607" i="26"/>
  <c r="AA606" i="26"/>
  <c r="B606" i="26"/>
  <c r="A606" i="26"/>
  <c r="AA605" i="26"/>
  <c r="B605" i="26"/>
  <c r="A605" i="26"/>
  <c r="AA604" i="26"/>
  <c r="B604" i="26"/>
  <c r="A604" i="26"/>
  <c r="AA603" i="26"/>
  <c r="B603" i="26"/>
  <c r="A603" i="26"/>
  <c r="AA602" i="26"/>
  <c r="B602" i="26"/>
  <c r="A602" i="26"/>
  <c r="AA601" i="26"/>
  <c r="B601" i="26"/>
  <c r="A601" i="26"/>
  <c r="AA600" i="26"/>
  <c r="B600" i="26"/>
  <c r="A600" i="26"/>
  <c r="AA599" i="26"/>
  <c r="B599" i="26"/>
  <c r="A599" i="26"/>
  <c r="AA598" i="26"/>
  <c r="B598" i="26"/>
  <c r="A598" i="26"/>
  <c r="V597" i="26"/>
  <c r="A597" i="26"/>
  <c r="AA596" i="26"/>
  <c r="B596" i="26"/>
  <c r="A596" i="26"/>
  <c r="AA595" i="26"/>
  <c r="B595" i="26"/>
  <c r="A595" i="26"/>
  <c r="AA594" i="26"/>
  <c r="B594" i="26"/>
  <c r="A594" i="26"/>
  <c r="AA593" i="26"/>
  <c r="B593" i="26"/>
  <c r="A593" i="26"/>
  <c r="AA592" i="26"/>
  <c r="B592" i="26"/>
  <c r="A592" i="26"/>
  <c r="V591" i="26"/>
  <c r="A591" i="26"/>
  <c r="AA590" i="26"/>
  <c r="B590" i="26"/>
  <c r="AA589" i="26"/>
  <c r="B589" i="26"/>
  <c r="A589" i="26"/>
  <c r="AA588" i="26"/>
  <c r="B588" i="26"/>
  <c r="A588" i="26"/>
  <c r="AA587" i="26"/>
  <c r="B587" i="26"/>
  <c r="A587" i="26"/>
  <c r="AA586" i="26"/>
  <c r="B586" i="26"/>
  <c r="A586" i="26"/>
  <c r="AA585" i="26"/>
  <c r="B585" i="26"/>
  <c r="A585" i="26"/>
  <c r="AA584" i="26"/>
  <c r="B584" i="26"/>
  <c r="A584" i="26"/>
  <c r="AA583" i="26"/>
  <c r="B583" i="26"/>
  <c r="A583" i="26"/>
  <c r="AA582" i="26"/>
  <c r="B582" i="26"/>
  <c r="A582" i="26"/>
  <c r="AA581" i="26"/>
  <c r="B581" i="26"/>
  <c r="A581" i="26"/>
  <c r="AA580" i="26"/>
  <c r="B580" i="26"/>
  <c r="A580" i="26"/>
  <c r="AA579" i="26"/>
  <c r="B579" i="26"/>
  <c r="A579" i="26"/>
  <c r="AA578" i="26"/>
  <c r="B578" i="26"/>
  <c r="A578" i="26"/>
  <c r="AA577" i="26"/>
  <c r="B577" i="26"/>
  <c r="A577" i="26"/>
  <c r="AA576" i="26"/>
  <c r="B576" i="26"/>
  <c r="A576" i="26"/>
  <c r="AA575" i="26"/>
  <c r="B575" i="26"/>
  <c r="A575" i="26"/>
  <c r="AA574" i="26"/>
  <c r="B574" i="26"/>
  <c r="A574" i="26"/>
  <c r="AA573" i="26"/>
  <c r="B573" i="26"/>
  <c r="A573" i="26"/>
  <c r="AA572" i="26"/>
  <c r="B572" i="26"/>
  <c r="A572" i="26"/>
  <c r="AA571" i="26"/>
  <c r="B571" i="26"/>
  <c r="A571" i="26"/>
  <c r="AA570" i="26"/>
  <c r="B570" i="26"/>
  <c r="A570" i="26"/>
  <c r="AA569" i="26"/>
  <c r="B569" i="26"/>
  <c r="A569" i="26"/>
  <c r="AA568" i="26"/>
  <c r="B568" i="26"/>
  <c r="A568" i="26"/>
  <c r="AA567" i="26"/>
  <c r="B567" i="26"/>
  <c r="A567" i="26"/>
  <c r="AA566" i="26"/>
  <c r="B566" i="26"/>
  <c r="A566" i="26"/>
  <c r="AA565" i="26"/>
  <c r="B565" i="26"/>
  <c r="A565" i="26"/>
  <c r="AA564" i="26"/>
  <c r="B564" i="26"/>
  <c r="A564" i="26"/>
  <c r="AA563" i="26"/>
  <c r="B563" i="26"/>
  <c r="A563" i="26"/>
  <c r="AA562" i="26"/>
  <c r="B562" i="26"/>
  <c r="A562" i="26"/>
  <c r="AA561" i="26"/>
  <c r="B561" i="26"/>
  <c r="A561" i="26"/>
  <c r="AA560" i="26"/>
  <c r="B560" i="26"/>
  <c r="A560" i="26"/>
  <c r="AA559" i="26"/>
  <c r="B559" i="26"/>
  <c r="A559" i="26"/>
  <c r="AA558" i="26"/>
  <c r="B558" i="26"/>
  <c r="A558" i="26"/>
  <c r="AA557" i="26"/>
  <c r="B557" i="26"/>
  <c r="A557" i="26"/>
  <c r="AA556" i="26"/>
  <c r="B556" i="26"/>
  <c r="A556" i="26"/>
  <c r="AA555" i="26"/>
  <c r="B555" i="26"/>
  <c r="A555" i="26"/>
  <c r="AA553" i="26"/>
  <c r="B553" i="26"/>
  <c r="A553" i="26"/>
  <c r="AA552" i="26"/>
  <c r="B552" i="26"/>
  <c r="A552" i="26"/>
  <c r="AA551" i="26"/>
  <c r="B551" i="26"/>
  <c r="A551" i="26"/>
  <c r="AA550" i="26"/>
  <c r="B550" i="26"/>
  <c r="A550" i="26"/>
  <c r="V549" i="26"/>
  <c r="A549" i="26"/>
  <c r="V548" i="26"/>
  <c r="A548" i="26"/>
  <c r="V547" i="26"/>
  <c r="A547" i="26"/>
  <c r="AA546" i="26"/>
  <c r="B546" i="26"/>
  <c r="A546" i="26"/>
  <c r="AA545" i="26"/>
  <c r="B545" i="26"/>
  <c r="A545" i="26"/>
  <c r="AA544" i="26"/>
  <c r="B544" i="26"/>
  <c r="A544" i="26"/>
  <c r="V543" i="26"/>
  <c r="A543" i="26"/>
  <c r="AA542" i="26"/>
  <c r="B542" i="26"/>
  <c r="A542" i="26"/>
  <c r="AA541" i="26"/>
  <c r="B541" i="26"/>
  <c r="A541" i="26"/>
  <c r="AA540" i="26"/>
  <c r="B540" i="26"/>
  <c r="A540" i="26"/>
  <c r="AA539" i="26"/>
  <c r="B539" i="26"/>
  <c r="A539" i="26"/>
  <c r="AA538" i="26"/>
  <c r="B538" i="26"/>
  <c r="A538" i="26"/>
  <c r="AA537" i="26"/>
  <c r="B537" i="26"/>
  <c r="A537" i="26"/>
  <c r="AA536" i="26"/>
  <c r="B536" i="26"/>
  <c r="A536" i="26"/>
  <c r="AA535" i="26"/>
  <c r="B535" i="26"/>
  <c r="A535" i="26"/>
  <c r="AA534" i="26"/>
  <c r="B534" i="26"/>
  <c r="A534" i="26"/>
  <c r="AA533" i="26"/>
  <c r="B533" i="26"/>
  <c r="A533" i="26"/>
  <c r="AA532" i="26"/>
  <c r="B532" i="26"/>
  <c r="A532" i="26"/>
  <c r="AA531" i="26"/>
  <c r="B531" i="26"/>
  <c r="A531" i="26"/>
  <c r="V530" i="26"/>
  <c r="A530" i="26"/>
  <c r="AA529" i="26"/>
  <c r="B529" i="26"/>
  <c r="A529" i="26"/>
  <c r="AA528" i="26"/>
  <c r="B528" i="26"/>
  <c r="A528" i="26"/>
  <c r="AA527" i="26"/>
  <c r="B527" i="26"/>
  <c r="A527" i="26"/>
  <c r="AA526" i="26"/>
  <c r="B526" i="26"/>
  <c r="A526" i="26"/>
  <c r="AA525" i="26"/>
  <c r="B525" i="26"/>
  <c r="A525" i="26"/>
  <c r="V524" i="26"/>
  <c r="A524" i="26"/>
  <c r="AA523" i="26"/>
  <c r="B523" i="26"/>
  <c r="A523" i="26"/>
  <c r="AA522" i="26"/>
  <c r="B522" i="26"/>
  <c r="A522" i="26"/>
  <c r="AA521" i="26"/>
  <c r="B521" i="26"/>
  <c r="A521" i="26"/>
  <c r="AA520" i="26"/>
  <c r="B520" i="26"/>
  <c r="A520" i="26"/>
  <c r="AA519" i="26"/>
  <c r="B519" i="26"/>
  <c r="A519" i="26"/>
  <c r="AA518" i="26"/>
  <c r="B518" i="26"/>
  <c r="A518" i="26"/>
  <c r="AA517" i="26"/>
  <c r="B517" i="26"/>
  <c r="A517" i="26"/>
  <c r="AA516" i="26"/>
  <c r="B516" i="26"/>
  <c r="A516" i="26"/>
  <c r="AA515" i="26"/>
  <c r="B515" i="26"/>
  <c r="A515" i="26"/>
  <c r="AA514" i="26"/>
  <c r="B514" i="26"/>
  <c r="A514" i="26"/>
  <c r="AA513" i="26"/>
  <c r="B513" i="26"/>
  <c r="A513" i="26"/>
  <c r="AA512" i="26"/>
  <c r="B512" i="26"/>
  <c r="A512" i="26"/>
  <c r="AA511" i="26"/>
  <c r="B511" i="26"/>
  <c r="A511" i="26"/>
  <c r="AA510" i="26"/>
  <c r="B510" i="26"/>
  <c r="A510" i="26"/>
  <c r="AA509" i="26"/>
  <c r="B509" i="26"/>
  <c r="A509" i="26"/>
  <c r="AA508" i="26"/>
  <c r="B508" i="26"/>
  <c r="A508" i="26"/>
  <c r="AA507" i="26"/>
  <c r="B507" i="26"/>
  <c r="A507" i="26"/>
  <c r="AA506" i="26"/>
  <c r="B506" i="26"/>
  <c r="A506" i="26"/>
  <c r="V505" i="26"/>
  <c r="A505" i="26"/>
  <c r="AA504" i="26"/>
  <c r="B504" i="26"/>
  <c r="A504" i="26"/>
  <c r="AA503" i="26"/>
  <c r="B503" i="26"/>
  <c r="A503" i="26"/>
  <c r="AA502" i="26"/>
  <c r="B502" i="26"/>
  <c r="A502" i="26"/>
  <c r="AA501" i="26"/>
  <c r="B501" i="26"/>
  <c r="A501" i="26"/>
  <c r="AA500" i="26"/>
  <c r="B500" i="26"/>
  <c r="A500" i="26"/>
  <c r="AA499" i="26"/>
  <c r="B499" i="26"/>
  <c r="A499" i="26"/>
  <c r="AA498" i="26"/>
  <c r="B498" i="26"/>
  <c r="A498" i="26"/>
  <c r="AA497" i="26"/>
  <c r="B497" i="26"/>
  <c r="A497" i="26"/>
  <c r="V496" i="26"/>
  <c r="A496" i="26"/>
  <c r="V495" i="26"/>
  <c r="A495" i="26"/>
  <c r="AA494" i="26"/>
  <c r="B494" i="26"/>
  <c r="A494" i="26"/>
  <c r="AA493" i="26"/>
  <c r="B493" i="26"/>
  <c r="A493" i="26"/>
  <c r="AA492" i="26"/>
  <c r="B492" i="26"/>
  <c r="A492" i="26"/>
  <c r="AA491" i="26"/>
  <c r="B491" i="26"/>
  <c r="A491" i="26"/>
  <c r="AA490" i="26"/>
  <c r="B490" i="26"/>
  <c r="A490" i="26"/>
  <c r="AA489" i="26"/>
  <c r="B489" i="26"/>
  <c r="A489" i="26"/>
  <c r="B488" i="26"/>
  <c r="A488" i="26"/>
  <c r="AA487" i="26"/>
  <c r="B487" i="26"/>
  <c r="A487" i="26"/>
  <c r="AA486" i="26"/>
  <c r="B486" i="26"/>
  <c r="A486" i="26"/>
  <c r="AA485" i="26"/>
  <c r="B485" i="26"/>
  <c r="A485" i="26"/>
  <c r="AA484" i="26"/>
  <c r="B484" i="26"/>
  <c r="A484" i="26"/>
  <c r="AA483" i="26"/>
  <c r="B483" i="26"/>
  <c r="A483" i="26"/>
  <c r="AA482" i="26"/>
  <c r="B482" i="26"/>
  <c r="A482" i="26"/>
  <c r="AA481" i="26"/>
  <c r="B481" i="26"/>
  <c r="A481" i="26"/>
  <c r="AA480" i="26"/>
  <c r="B480" i="26"/>
  <c r="A480" i="26"/>
  <c r="AA479" i="26"/>
  <c r="B479" i="26"/>
  <c r="A479" i="26"/>
  <c r="AA478" i="26"/>
  <c r="B478" i="26"/>
  <c r="A478" i="26"/>
  <c r="B477" i="26"/>
  <c r="A477" i="26"/>
  <c r="V476" i="26"/>
  <c r="A476" i="26"/>
  <c r="V475" i="26"/>
  <c r="A475" i="26"/>
  <c r="V474" i="26"/>
  <c r="A474" i="26"/>
  <c r="V473" i="26"/>
  <c r="A473" i="26"/>
  <c r="V472" i="26"/>
  <c r="A472" i="26"/>
  <c r="V471" i="26"/>
  <c r="A471" i="26"/>
  <c r="V470" i="26"/>
  <c r="A470" i="26"/>
  <c r="B469" i="26"/>
  <c r="A469" i="26"/>
  <c r="V468" i="26"/>
  <c r="A468" i="26"/>
  <c r="AA467" i="26"/>
  <c r="B467" i="26"/>
  <c r="A467" i="26"/>
  <c r="AA466" i="26"/>
  <c r="B466" i="26"/>
  <c r="A466" i="26"/>
  <c r="AA465" i="26"/>
  <c r="B465" i="26"/>
  <c r="A465" i="26"/>
  <c r="V464" i="26"/>
  <c r="A464" i="26"/>
  <c r="V463" i="26"/>
  <c r="A463" i="26"/>
  <c r="V462" i="26"/>
  <c r="A462" i="26"/>
  <c r="V461" i="26"/>
  <c r="A461" i="26"/>
  <c r="V460" i="26"/>
  <c r="A460" i="26"/>
  <c r="AA459" i="26"/>
  <c r="B459" i="26"/>
  <c r="A459" i="26"/>
  <c r="AA458" i="26"/>
  <c r="B458" i="26"/>
  <c r="A458" i="26"/>
  <c r="AA457" i="26"/>
  <c r="B457" i="26"/>
  <c r="A457" i="26"/>
  <c r="AA456" i="26"/>
  <c r="B456" i="26"/>
  <c r="A456" i="26"/>
  <c r="V455" i="26"/>
  <c r="A455" i="26"/>
  <c r="AA454" i="26"/>
  <c r="B454" i="26"/>
  <c r="A454" i="26"/>
  <c r="AA453" i="26"/>
  <c r="B453" i="26"/>
  <c r="A453" i="26"/>
  <c r="AA452" i="26"/>
  <c r="B452" i="26"/>
  <c r="A452" i="26"/>
  <c r="AA451" i="26"/>
  <c r="B451" i="26"/>
  <c r="A451" i="26"/>
  <c r="AA450" i="26"/>
  <c r="B450" i="26"/>
  <c r="A450" i="26"/>
  <c r="AA449" i="26"/>
  <c r="B449" i="26"/>
  <c r="A449" i="26"/>
  <c r="AA448" i="26"/>
  <c r="B448" i="26"/>
  <c r="A448" i="26"/>
  <c r="AA447" i="26"/>
  <c r="B447" i="26"/>
  <c r="A447" i="26"/>
  <c r="AA446" i="26"/>
  <c r="B446" i="26"/>
  <c r="A446" i="26"/>
  <c r="V445" i="26"/>
  <c r="A445" i="26"/>
  <c r="AA444" i="26"/>
  <c r="B444" i="26"/>
  <c r="A444" i="26"/>
  <c r="AA443" i="26"/>
  <c r="B443" i="26"/>
  <c r="A443" i="26"/>
  <c r="AA442" i="26"/>
  <c r="B442" i="26"/>
  <c r="A442" i="26"/>
  <c r="V441" i="26"/>
  <c r="A441" i="26"/>
  <c r="AA440" i="26"/>
  <c r="B440" i="26"/>
  <c r="A440" i="26"/>
  <c r="AA439" i="26"/>
  <c r="B439" i="26"/>
  <c r="A439" i="26"/>
  <c r="AA438" i="26"/>
  <c r="B438" i="26"/>
  <c r="A438" i="26"/>
  <c r="AA437" i="26"/>
  <c r="B437" i="26"/>
  <c r="A437" i="26"/>
  <c r="AA436" i="26"/>
  <c r="B436" i="26"/>
  <c r="A436" i="26"/>
  <c r="AA435" i="26"/>
  <c r="B435" i="26"/>
  <c r="A435" i="26"/>
  <c r="AA434" i="26"/>
  <c r="B434" i="26"/>
  <c r="A434" i="26"/>
  <c r="AA433" i="26"/>
  <c r="B433" i="26"/>
  <c r="A433" i="26"/>
  <c r="AA432" i="26"/>
  <c r="B432" i="26"/>
  <c r="A432" i="26"/>
  <c r="AA431" i="26"/>
  <c r="B431" i="26"/>
  <c r="A431" i="26"/>
  <c r="AA430" i="26"/>
  <c r="B430" i="26"/>
  <c r="A430" i="26"/>
  <c r="AA429" i="26"/>
  <c r="B429" i="26"/>
  <c r="A429" i="26"/>
  <c r="AA428" i="26"/>
  <c r="B428" i="26"/>
  <c r="A428" i="26"/>
  <c r="AA427" i="26"/>
  <c r="B427" i="26"/>
  <c r="A427" i="26"/>
  <c r="AA426" i="26"/>
  <c r="B426" i="26"/>
  <c r="A426" i="26"/>
  <c r="AA425" i="26"/>
  <c r="B425" i="26"/>
  <c r="A425" i="26"/>
  <c r="AA424" i="26"/>
  <c r="B424" i="26"/>
  <c r="A424" i="26"/>
  <c r="AA423" i="26"/>
  <c r="B423" i="26"/>
  <c r="A423" i="26"/>
  <c r="AA422" i="26"/>
  <c r="B422" i="26"/>
  <c r="A422" i="26"/>
  <c r="AA421" i="26"/>
  <c r="B421" i="26"/>
  <c r="A421" i="26"/>
  <c r="AA420" i="26"/>
  <c r="B420" i="26"/>
  <c r="A420" i="26"/>
  <c r="AA419" i="26"/>
  <c r="B419" i="26"/>
  <c r="A419" i="26"/>
  <c r="AA418" i="26"/>
  <c r="B418" i="26"/>
  <c r="A418" i="26"/>
  <c r="AA417" i="26"/>
  <c r="B417" i="26"/>
  <c r="A417" i="26"/>
  <c r="AA416" i="26"/>
  <c r="B416" i="26"/>
  <c r="A416" i="26"/>
  <c r="V415" i="26"/>
  <c r="A415" i="26"/>
  <c r="V414" i="26"/>
  <c r="A414" i="26"/>
  <c r="AA413" i="26"/>
  <c r="B413" i="26"/>
  <c r="A413" i="26"/>
  <c r="AA412" i="26"/>
  <c r="B412" i="26"/>
  <c r="A412" i="26"/>
  <c r="AA411" i="26"/>
  <c r="B411" i="26"/>
  <c r="A411" i="26"/>
  <c r="AA410" i="26"/>
  <c r="B410" i="26"/>
  <c r="A410" i="26"/>
  <c r="AA409" i="26"/>
  <c r="B409" i="26"/>
  <c r="A409" i="26"/>
  <c r="AA408" i="26"/>
  <c r="B408" i="26"/>
  <c r="A408" i="26"/>
  <c r="B407" i="26"/>
  <c r="A407" i="26"/>
  <c r="V406" i="26"/>
  <c r="A406" i="26"/>
  <c r="V405" i="26"/>
  <c r="A405" i="26"/>
  <c r="V404" i="26"/>
  <c r="A404" i="26"/>
  <c r="V403" i="26"/>
  <c r="A403" i="26"/>
  <c r="V402" i="26"/>
  <c r="A402" i="26"/>
  <c r="AA401" i="26"/>
  <c r="B401" i="26"/>
  <c r="A401" i="26"/>
  <c r="AA400" i="26"/>
  <c r="B400" i="26"/>
  <c r="A400" i="26"/>
  <c r="AA399" i="26"/>
  <c r="B399" i="26"/>
  <c r="A399" i="26"/>
  <c r="AA398" i="26"/>
  <c r="B398" i="26"/>
  <c r="A398" i="26"/>
  <c r="AA397" i="26"/>
  <c r="B397" i="26"/>
  <c r="A397" i="26"/>
  <c r="AA396" i="26"/>
  <c r="B396" i="26"/>
  <c r="A396" i="26"/>
  <c r="AA395" i="26"/>
  <c r="B395" i="26"/>
  <c r="A395" i="26"/>
  <c r="AA394" i="26"/>
  <c r="B394" i="26"/>
  <c r="A394" i="26"/>
  <c r="AA393" i="26"/>
  <c r="B393" i="26"/>
  <c r="A393" i="26"/>
  <c r="AA392" i="26"/>
  <c r="B392" i="26"/>
  <c r="A392" i="26"/>
  <c r="AA391" i="26"/>
  <c r="B391" i="26"/>
  <c r="A391" i="26"/>
  <c r="AA390" i="26"/>
  <c r="B390" i="26"/>
  <c r="A390" i="26"/>
  <c r="AA389" i="26"/>
  <c r="B389" i="26"/>
  <c r="A389" i="26"/>
  <c r="AA388" i="26"/>
  <c r="B388" i="26"/>
  <c r="A388" i="26"/>
  <c r="AA387" i="26"/>
  <c r="B387" i="26"/>
  <c r="A387" i="26"/>
  <c r="AA386" i="26"/>
  <c r="B386" i="26"/>
  <c r="A386" i="26"/>
  <c r="AA385" i="26"/>
  <c r="B385" i="26"/>
  <c r="A385" i="26"/>
  <c r="AA384" i="26"/>
  <c r="B384" i="26"/>
  <c r="A384" i="26"/>
  <c r="V383" i="26"/>
  <c r="A383" i="26"/>
  <c r="AA382" i="26"/>
  <c r="B382" i="26"/>
  <c r="A382" i="26"/>
  <c r="AA381" i="26"/>
  <c r="B381" i="26"/>
  <c r="A381" i="26"/>
  <c r="AA380" i="26"/>
  <c r="B380" i="26"/>
  <c r="A380" i="26"/>
  <c r="AA379" i="26"/>
  <c r="B379" i="26"/>
  <c r="A379" i="26"/>
  <c r="AA378" i="26"/>
  <c r="B378" i="26"/>
  <c r="A378" i="26"/>
  <c r="AA377" i="26"/>
  <c r="B377" i="26"/>
  <c r="A377" i="26"/>
  <c r="AA376" i="26"/>
  <c r="B376" i="26"/>
  <c r="A376" i="26"/>
  <c r="AA375" i="26"/>
  <c r="B375" i="26"/>
  <c r="A375" i="26"/>
  <c r="AA374" i="26"/>
  <c r="B374" i="26"/>
  <c r="A374" i="26"/>
  <c r="V373" i="26"/>
  <c r="A373" i="26"/>
  <c r="AA372" i="26"/>
  <c r="B372" i="26"/>
  <c r="A372" i="26"/>
  <c r="AA371" i="26"/>
  <c r="B371" i="26"/>
  <c r="A371" i="26"/>
  <c r="V370" i="26"/>
  <c r="A370" i="26"/>
  <c r="V369" i="26"/>
  <c r="A369" i="26"/>
  <c r="V368" i="26"/>
  <c r="A368" i="26"/>
  <c r="AA367" i="26"/>
  <c r="B367" i="26"/>
  <c r="A367" i="26"/>
  <c r="V366" i="26"/>
  <c r="A366" i="26"/>
  <c r="V365" i="26"/>
  <c r="A365" i="26"/>
  <c r="AA364" i="26"/>
  <c r="B364" i="26"/>
  <c r="A364" i="26"/>
  <c r="AA363" i="26"/>
  <c r="B363" i="26"/>
  <c r="A363" i="26"/>
  <c r="AA362" i="26"/>
  <c r="B362" i="26"/>
  <c r="A362" i="26"/>
  <c r="AA361" i="26"/>
  <c r="B361" i="26"/>
  <c r="A361" i="26"/>
  <c r="AA360" i="26"/>
  <c r="B360" i="26"/>
  <c r="A360" i="26"/>
  <c r="AA359" i="26"/>
  <c r="B359" i="26"/>
  <c r="A359" i="26"/>
  <c r="AA358" i="26"/>
  <c r="B358" i="26"/>
  <c r="A358" i="26"/>
  <c r="V357" i="26"/>
  <c r="A357" i="26"/>
  <c r="V356" i="26"/>
  <c r="A356" i="26"/>
  <c r="V355" i="26"/>
  <c r="A355" i="26"/>
  <c r="V354" i="26"/>
  <c r="A354" i="26"/>
  <c r="V353" i="26"/>
  <c r="A353" i="26"/>
  <c r="V352" i="26"/>
  <c r="A352" i="26"/>
  <c r="AA351" i="26"/>
  <c r="B351" i="26"/>
  <c r="A351" i="26"/>
  <c r="AA350" i="26"/>
  <c r="B350" i="26"/>
  <c r="A350" i="26"/>
  <c r="V349" i="26"/>
  <c r="A349" i="26"/>
  <c r="V348" i="26"/>
  <c r="A348" i="26"/>
  <c r="AA347" i="26"/>
  <c r="B347" i="26"/>
  <c r="A347" i="26"/>
  <c r="AA346" i="26"/>
  <c r="B346" i="26"/>
  <c r="A346" i="26"/>
  <c r="V345" i="26"/>
  <c r="A345" i="26"/>
  <c r="AA344" i="26"/>
  <c r="B344" i="26"/>
  <c r="A344" i="26"/>
  <c r="AA343" i="26"/>
  <c r="B343" i="26"/>
  <c r="A343" i="26"/>
  <c r="AA342" i="26"/>
  <c r="B342" i="26"/>
  <c r="A342" i="26"/>
  <c r="AA341" i="26"/>
  <c r="B341" i="26"/>
  <c r="A341" i="26"/>
  <c r="AA340" i="26"/>
  <c r="B340" i="26"/>
  <c r="A340" i="26"/>
  <c r="AA339" i="26"/>
  <c r="B339" i="26"/>
  <c r="A339" i="26"/>
  <c r="AA338" i="26"/>
  <c r="B338" i="26"/>
  <c r="A338" i="26"/>
  <c r="AA337" i="26"/>
  <c r="B337" i="26"/>
  <c r="A337" i="26"/>
  <c r="AA336" i="26"/>
  <c r="B336" i="26"/>
  <c r="A336" i="26"/>
  <c r="AA335" i="26"/>
  <c r="B335" i="26"/>
  <c r="A335" i="26"/>
  <c r="AA334" i="26"/>
  <c r="B334" i="26"/>
  <c r="A334" i="26"/>
  <c r="AA333" i="26"/>
  <c r="B333" i="26"/>
  <c r="A333" i="26"/>
  <c r="AA332" i="26"/>
  <c r="B332" i="26"/>
  <c r="A332" i="26"/>
  <c r="AA331" i="26"/>
  <c r="B331" i="26"/>
  <c r="A331" i="26"/>
  <c r="AA330" i="26"/>
  <c r="B330" i="26"/>
  <c r="A330" i="26"/>
  <c r="AA329" i="26"/>
  <c r="B329" i="26"/>
  <c r="A329" i="26"/>
  <c r="AA328" i="26"/>
  <c r="B328" i="26"/>
  <c r="A328" i="26"/>
  <c r="AA327" i="26"/>
  <c r="B327" i="26"/>
  <c r="A327" i="26"/>
  <c r="AA326" i="26"/>
  <c r="B326" i="26"/>
  <c r="A326" i="26"/>
  <c r="AA325" i="26"/>
  <c r="B325" i="26"/>
  <c r="A325" i="26"/>
  <c r="AA324" i="26"/>
  <c r="B324" i="26"/>
  <c r="A324" i="26"/>
  <c r="AA323" i="26"/>
  <c r="B323" i="26"/>
  <c r="A323" i="26"/>
  <c r="AA322" i="26"/>
  <c r="B322" i="26"/>
  <c r="A322" i="26"/>
  <c r="AA321" i="26"/>
  <c r="B321" i="26"/>
  <c r="A321" i="26"/>
  <c r="V320" i="26"/>
  <c r="A320" i="26"/>
  <c r="V319" i="26"/>
  <c r="A319" i="26"/>
  <c r="V318" i="26"/>
  <c r="A318" i="26"/>
  <c r="AA317" i="26"/>
  <c r="B317" i="26"/>
  <c r="A317" i="26"/>
  <c r="V316" i="26"/>
  <c r="A316" i="26"/>
  <c r="V315" i="26"/>
  <c r="A315" i="26"/>
  <c r="AA314" i="26"/>
  <c r="B314" i="26"/>
  <c r="A314" i="26"/>
  <c r="AA313" i="26"/>
  <c r="B313" i="26"/>
  <c r="A313" i="26"/>
  <c r="AA312" i="26"/>
  <c r="B312" i="26"/>
  <c r="A312" i="26"/>
  <c r="AA311" i="26"/>
  <c r="B311" i="26"/>
  <c r="A311" i="26"/>
  <c r="AA310" i="26"/>
  <c r="B310" i="26"/>
  <c r="A310" i="26"/>
  <c r="AA309" i="26"/>
  <c r="B309" i="26"/>
  <c r="A309" i="26"/>
  <c r="AA308" i="26"/>
  <c r="B308" i="26"/>
  <c r="A308" i="26"/>
  <c r="AA307" i="26"/>
  <c r="B307" i="26"/>
  <c r="A307" i="26"/>
  <c r="AA306" i="26"/>
  <c r="B306" i="26"/>
  <c r="A306" i="26"/>
  <c r="AA305" i="26"/>
  <c r="B305" i="26"/>
  <c r="A305" i="26"/>
  <c r="AA304" i="26"/>
  <c r="B304" i="26"/>
  <c r="A304" i="26"/>
  <c r="AA303" i="26"/>
  <c r="B303" i="26"/>
  <c r="A303" i="26"/>
  <c r="AA302" i="26"/>
  <c r="B302" i="26"/>
  <c r="A302" i="26"/>
  <c r="AA301" i="26"/>
  <c r="B301" i="26"/>
  <c r="A301" i="26"/>
  <c r="AA300" i="26"/>
  <c r="B300" i="26"/>
  <c r="A300" i="26"/>
  <c r="AA299" i="26"/>
  <c r="B299" i="26"/>
  <c r="A299" i="26"/>
  <c r="V298" i="26"/>
  <c r="A298" i="26"/>
  <c r="AA297" i="26"/>
  <c r="B297" i="26"/>
  <c r="A297" i="26"/>
  <c r="V296" i="26"/>
  <c r="A296" i="26"/>
  <c r="V295" i="26"/>
  <c r="A295" i="26"/>
  <c r="AA294" i="26"/>
  <c r="B294" i="26"/>
  <c r="A294" i="26"/>
  <c r="AA293" i="26"/>
  <c r="B293" i="26"/>
  <c r="A293" i="26"/>
  <c r="AA292" i="26"/>
  <c r="B292" i="26"/>
  <c r="A292" i="26"/>
  <c r="AA291" i="26"/>
  <c r="B291" i="26"/>
  <c r="A291" i="26"/>
  <c r="AA290" i="26"/>
  <c r="B290" i="26"/>
  <c r="A290" i="26"/>
  <c r="AA289" i="26"/>
  <c r="B289" i="26"/>
  <c r="A289" i="26"/>
  <c r="V288" i="26"/>
  <c r="A288" i="26"/>
  <c r="AA287" i="26"/>
  <c r="B287" i="26"/>
  <c r="A287" i="26"/>
  <c r="AA286" i="26"/>
  <c r="B286" i="26"/>
  <c r="A286" i="26"/>
  <c r="AA284" i="26"/>
  <c r="B284" i="26"/>
  <c r="A284" i="26"/>
  <c r="AA283" i="26"/>
  <c r="B283" i="26"/>
  <c r="A283" i="26"/>
  <c r="B282" i="26"/>
  <c r="A282" i="26"/>
  <c r="AA281" i="26"/>
  <c r="B281" i="26"/>
  <c r="A281" i="26"/>
  <c r="AA280" i="26"/>
  <c r="B280" i="26"/>
  <c r="A280" i="26"/>
  <c r="AA279" i="26"/>
  <c r="B279" i="26"/>
  <c r="A279" i="26"/>
  <c r="AA278" i="26"/>
  <c r="B278" i="26"/>
  <c r="A278" i="26"/>
  <c r="AA277" i="26"/>
  <c r="B277" i="26"/>
  <c r="A277" i="26"/>
  <c r="V276" i="26"/>
  <c r="A276" i="26"/>
  <c r="AA275" i="26"/>
  <c r="B275" i="26"/>
  <c r="A275" i="26"/>
  <c r="AA274" i="26"/>
  <c r="B274" i="26"/>
  <c r="A274" i="26"/>
  <c r="AA273" i="26"/>
  <c r="B273" i="26"/>
  <c r="A273" i="26"/>
  <c r="AA272" i="26"/>
  <c r="B272" i="26"/>
  <c r="A272" i="26"/>
  <c r="AA271" i="26"/>
  <c r="B271" i="26"/>
  <c r="A271" i="26"/>
  <c r="AA270" i="26"/>
  <c r="B270" i="26"/>
  <c r="A270" i="26"/>
  <c r="V269" i="26"/>
  <c r="A269" i="26"/>
  <c r="V268" i="26"/>
  <c r="A268" i="26"/>
  <c r="V267" i="26"/>
  <c r="A267" i="26"/>
  <c r="V266" i="26"/>
  <c r="A266" i="26"/>
  <c r="AA265" i="26"/>
  <c r="B265" i="26"/>
  <c r="A265" i="26"/>
  <c r="AA264" i="26"/>
  <c r="B264" i="26"/>
  <c r="A264" i="26"/>
  <c r="AA263" i="26"/>
  <c r="B263" i="26"/>
  <c r="A263" i="26"/>
  <c r="AA262" i="26"/>
  <c r="B262" i="26"/>
  <c r="A262" i="26"/>
  <c r="AA261" i="26"/>
  <c r="B261" i="26"/>
  <c r="A261" i="26"/>
  <c r="AA260" i="26"/>
  <c r="B260" i="26"/>
  <c r="A260" i="26"/>
  <c r="V259" i="26"/>
  <c r="A259" i="26"/>
  <c r="AA258" i="26"/>
  <c r="B258" i="26"/>
  <c r="A258" i="26"/>
  <c r="AA257" i="26"/>
  <c r="B257" i="26"/>
  <c r="A257" i="26"/>
  <c r="AA256" i="26"/>
  <c r="B256" i="26"/>
  <c r="A256" i="26"/>
  <c r="AA255" i="26"/>
  <c r="B255" i="26"/>
  <c r="A255" i="26"/>
  <c r="AA254" i="26"/>
  <c r="B254" i="26"/>
  <c r="A254" i="26"/>
  <c r="AA253" i="26"/>
  <c r="B253" i="26"/>
  <c r="A253" i="26"/>
  <c r="AA252" i="26"/>
  <c r="B252" i="26"/>
  <c r="A252" i="26"/>
  <c r="AA251" i="26"/>
  <c r="B251" i="26"/>
  <c r="A251" i="26"/>
  <c r="AA250" i="26"/>
  <c r="B250" i="26"/>
  <c r="A250" i="26"/>
  <c r="AA249" i="26"/>
  <c r="B249" i="26"/>
  <c r="A249" i="26"/>
  <c r="AA248" i="26"/>
  <c r="B248" i="26"/>
  <c r="A248" i="26"/>
  <c r="AA247" i="26"/>
  <c r="B247" i="26"/>
  <c r="A247" i="26"/>
  <c r="AA246" i="26"/>
  <c r="B246" i="26"/>
  <c r="A246" i="26"/>
  <c r="AA245" i="26"/>
  <c r="B245" i="26"/>
  <c r="A245" i="26"/>
  <c r="AA244" i="26"/>
  <c r="B244" i="26"/>
  <c r="A244" i="26"/>
  <c r="AA243" i="26"/>
  <c r="B243" i="26"/>
  <c r="A243" i="26"/>
  <c r="AA242" i="26"/>
  <c r="B242" i="26"/>
  <c r="A242" i="26"/>
  <c r="AA241" i="26"/>
  <c r="B241" i="26"/>
  <c r="A241" i="26"/>
  <c r="AA240" i="26"/>
  <c r="B240" i="26"/>
  <c r="A240" i="26"/>
  <c r="AA239" i="26"/>
  <c r="B239" i="26"/>
  <c r="A239" i="26"/>
  <c r="AA238" i="26"/>
  <c r="B238" i="26"/>
  <c r="A238" i="26"/>
  <c r="V237" i="26"/>
  <c r="A237" i="26"/>
  <c r="V236" i="26"/>
  <c r="A236" i="26"/>
  <c r="V235" i="26"/>
  <c r="A235" i="26"/>
  <c r="V234" i="26"/>
  <c r="A234" i="26"/>
  <c r="AA233" i="26"/>
  <c r="B233" i="26"/>
  <c r="A233" i="26"/>
  <c r="AA232" i="26"/>
  <c r="B232" i="26"/>
  <c r="A232" i="26"/>
  <c r="AA231" i="26"/>
  <c r="B231" i="26"/>
  <c r="A231" i="26"/>
  <c r="AA230" i="26"/>
  <c r="B230" i="26"/>
  <c r="A230" i="26"/>
  <c r="AA229" i="26"/>
  <c r="B229" i="26"/>
  <c r="A229" i="26"/>
  <c r="AA228" i="26"/>
  <c r="B228" i="26"/>
  <c r="A228" i="26"/>
  <c r="V227" i="26"/>
  <c r="A227" i="26"/>
  <c r="V226" i="26"/>
  <c r="A226" i="26"/>
  <c r="V225" i="26"/>
  <c r="A225" i="26"/>
  <c r="V224" i="26"/>
  <c r="A224" i="26"/>
  <c r="V223" i="26"/>
  <c r="A223" i="26"/>
  <c r="V222" i="26"/>
  <c r="A222" i="26"/>
  <c r="V221" i="26"/>
  <c r="A221" i="26"/>
  <c r="V220" i="26"/>
  <c r="A220" i="26"/>
  <c r="AA219" i="26"/>
  <c r="B219" i="26"/>
  <c r="A219" i="26"/>
  <c r="AA218" i="26"/>
  <c r="B218" i="26"/>
  <c r="A218" i="26"/>
  <c r="AA217" i="26"/>
  <c r="B217" i="26"/>
  <c r="A217" i="26"/>
  <c r="AA216" i="26"/>
  <c r="B216" i="26"/>
  <c r="A216" i="26"/>
  <c r="V215" i="26"/>
  <c r="A215" i="26"/>
  <c r="AA214" i="26"/>
  <c r="B214" i="26"/>
  <c r="A214" i="26"/>
  <c r="V213" i="26"/>
  <c r="A213" i="26"/>
  <c r="AA212" i="26"/>
  <c r="B212" i="26"/>
  <c r="A212" i="26"/>
  <c r="AA211" i="26"/>
  <c r="B211" i="26"/>
  <c r="A211" i="26"/>
  <c r="AA210" i="26"/>
  <c r="B210" i="26"/>
  <c r="A210" i="26"/>
  <c r="AA209" i="26"/>
  <c r="B209" i="26"/>
  <c r="A209" i="26"/>
  <c r="AA208" i="26"/>
  <c r="B208" i="26"/>
  <c r="A208" i="26"/>
  <c r="AA207" i="26"/>
  <c r="B207" i="26"/>
  <c r="A207" i="26"/>
  <c r="AA206" i="26"/>
  <c r="B206" i="26"/>
  <c r="A206" i="26"/>
  <c r="AA205" i="26"/>
  <c r="B205" i="26"/>
  <c r="A205" i="26"/>
  <c r="AA204" i="26"/>
  <c r="B204" i="26"/>
  <c r="A204" i="26"/>
  <c r="AA203" i="26"/>
  <c r="B203" i="26"/>
  <c r="A203" i="26"/>
  <c r="AA202" i="26"/>
  <c r="B202" i="26"/>
  <c r="A202" i="26"/>
  <c r="AA201" i="26"/>
  <c r="B201" i="26"/>
  <c r="A201" i="26"/>
  <c r="AA200" i="26"/>
  <c r="B200" i="26"/>
  <c r="A200" i="26"/>
  <c r="AA199" i="26"/>
  <c r="B199" i="26"/>
  <c r="A199" i="26"/>
  <c r="AA198" i="26"/>
  <c r="B198" i="26"/>
  <c r="A198" i="26"/>
  <c r="AA197" i="26"/>
  <c r="B197" i="26"/>
  <c r="A197" i="26"/>
  <c r="AA196" i="26"/>
  <c r="B196" i="26"/>
  <c r="A196" i="26"/>
  <c r="AA195" i="26"/>
  <c r="B195" i="26"/>
  <c r="A195" i="26"/>
  <c r="AA194" i="26"/>
  <c r="B194" i="26"/>
  <c r="A194" i="26"/>
  <c r="AA192" i="26"/>
  <c r="B192" i="26"/>
  <c r="A192" i="26"/>
  <c r="AA191" i="26"/>
  <c r="B191" i="26"/>
  <c r="A191" i="26"/>
  <c r="AA190" i="26"/>
  <c r="B190" i="26"/>
  <c r="A190" i="26"/>
  <c r="AA189" i="26"/>
  <c r="B189" i="26"/>
  <c r="A189" i="26"/>
  <c r="AA188" i="26"/>
  <c r="B188" i="26"/>
  <c r="A188" i="26"/>
  <c r="AA187" i="26"/>
  <c r="B187" i="26"/>
  <c r="A187" i="26"/>
  <c r="AA186" i="26"/>
  <c r="B186" i="26"/>
  <c r="A186" i="26"/>
  <c r="AA185" i="26"/>
  <c r="B185" i="26"/>
  <c r="A185" i="26"/>
  <c r="AA184" i="26"/>
  <c r="B184" i="26"/>
  <c r="A184" i="26"/>
  <c r="AA183" i="26"/>
  <c r="B183" i="26"/>
  <c r="A183" i="26"/>
  <c r="AA182" i="26"/>
  <c r="B182" i="26"/>
  <c r="A182" i="26"/>
  <c r="AA181" i="26"/>
  <c r="B181" i="26"/>
  <c r="A181" i="26"/>
  <c r="AA180" i="26"/>
  <c r="B180" i="26"/>
  <c r="A180" i="26"/>
  <c r="AA179" i="26"/>
  <c r="B179" i="26"/>
  <c r="A179" i="26"/>
  <c r="AA178" i="26"/>
  <c r="B178" i="26"/>
  <c r="A178" i="26"/>
  <c r="AA177" i="26"/>
  <c r="B177" i="26"/>
  <c r="A177" i="26"/>
  <c r="V176" i="26"/>
  <c r="A176" i="26"/>
  <c r="V175" i="26"/>
  <c r="A175" i="26"/>
  <c r="AA174" i="26"/>
  <c r="B174" i="26"/>
  <c r="A174" i="26"/>
  <c r="V173" i="26"/>
  <c r="A173" i="26"/>
  <c r="A172" i="26"/>
  <c r="V171" i="26"/>
  <c r="A171" i="26"/>
  <c r="AA170" i="26"/>
  <c r="B170" i="26"/>
  <c r="A170" i="26"/>
  <c r="AA169" i="26"/>
  <c r="B169" i="26"/>
  <c r="A169" i="26"/>
  <c r="AA168" i="26"/>
  <c r="B168" i="26"/>
  <c r="A168" i="26"/>
  <c r="AA167" i="26"/>
  <c r="B167" i="26"/>
  <c r="A167" i="26"/>
  <c r="AA166" i="26"/>
  <c r="B166" i="26"/>
  <c r="A166" i="26"/>
  <c r="AA165" i="26"/>
  <c r="B165" i="26"/>
  <c r="A165" i="26"/>
  <c r="AA164" i="26"/>
  <c r="B164" i="26"/>
  <c r="A164" i="26"/>
  <c r="AA163" i="26"/>
  <c r="B163" i="26"/>
  <c r="A163" i="26"/>
  <c r="AA162" i="26"/>
  <c r="B162" i="26"/>
  <c r="A162" i="26"/>
  <c r="AA161" i="26"/>
  <c r="B161" i="26"/>
  <c r="A161" i="26"/>
  <c r="AA160" i="26"/>
  <c r="B160" i="26"/>
  <c r="A160" i="26"/>
  <c r="AA159" i="26"/>
  <c r="B159" i="26"/>
  <c r="A159" i="26"/>
  <c r="AA158" i="26"/>
  <c r="B158" i="26"/>
  <c r="A158" i="26"/>
  <c r="AA157" i="26"/>
  <c r="B157" i="26"/>
  <c r="A157" i="26"/>
  <c r="AA156" i="26"/>
  <c r="B156" i="26"/>
  <c r="A156" i="26"/>
  <c r="AA155" i="26"/>
  <c r="B155" i="26"/>
  <c r="A155" i="26"/>
  <c r="AA154" i="26"/>
  <c r="B154" i="26"/>
  <c r="A154" i="26"/>
  <c r="AA153" i="26"/>
  <c r="B153" i="26"/>
  <c r="A153" i="26"/>
  <c r="AA152" i="26"/>
  <c r="B152" i="26"/>
  <c r="A152" i="26"/>
  <c r="V151" i="26"/>
  <c r="A151" i="26"/>
  <c r="V150" i="26"/>
  <c r="A150" i="26"/>
  <c r="AA149" i="26"/>
  <c r="B149" i="26"/>
  <c r="A149" i="26"/>
  <c r="V148" i="26"/>
  <c r="A148" i="26"/>
  <c r="AA147" i="26"/>
  <c r="B147" i="26"/>
  <c r="A147" i="26"/>
  <c r="AA146" i="26"/>
  <c r="B146" i="26"/>
  <c r="A146" i="26"/>
  <c r="AA145" i="26"/>
  <c r="B145" i="26"/>
  <c r="A145" i="26"/>
  <c r="V144" i="26"/>
  <c r="A144" i="26"/>
  <c r="AA143" i="26"/>
  <c r="B143" i="26"/>
  <c r="A143" i="26"/>
  <c r="AA142" i="26"/>
  <c r="B142" i="26"/>
  <c r="A142" i="26"/>
  <c r="AA141" i="26"/>
  <c r="B141" i="26"/>
  <c r="A141" i="26"/>
  <c r="V140" i="26"/>
  <c r="A140" i="26"/>
  <c r="V139" i="26"/>
  <c r="A139" i="26"/>
  <c r="V138" i="26"/>
  <c r="A138" i="26"/>
  <c r="AA137" i="26"/>
  <c r="B137" i="26"/>
  <c r="A137" i="26"/>
  <c r="V136" i="26"/>
  <c r="A136" i="26"/>
  <c r="AA135" i="26"/>
  <c r="B135" i="26"/>
  <c r="A135" i="26"/>
  <c r="AA134" i="26"/>
  <c r="B134" i="26"/>
  <c r="A134" i="26"/>
  <c r="AA133" i="26"/>
  <c r="B133" i="26"/>
  <c r="A133" i="26"/>
  <c r="AA132" i="26"/>
  <c r="B132" i="26"/>
  <c r="A132" i="26"/>
  <c r="AA131" i="26"/>
  <c r="B131" i="26"/>
  <c r="A131" i="26"/>
  <c r="AA130" i="26"/>
  <c r="B130" i="26"/>
  <c r="A130" i="26"/>
  <c r="AA129" i="26"/>
  <c r="B129" i="26"/>
  <c r="A129" i="26"/>
  <c r="AA128" i="26"/>
  <c r="B128" i="26"/>
  <c r="A128" i="26"/>
  <c r="AA127" i="26"/>
  <c r="B127" i="26"/>
  <c r="A127" i="26"/>
  <c r="V126" i="26"/>
  <c r="A126" i="26"/>
  <c r="AA125" i="26"/>
  <c r="B125" i="26"/>
  <c r="A125" i="26"/>
  <c r="AA124" i="26"/>
  <c r="B124" i="26"/>
  <c r="A124" i="26"/>
  <c r="AA123" i="26"/>
  <c r="B123" i="26"/>
  <c r="A123" i="26"/>
  <c r="AA122" i="26"/>
  <c r="B122" i="26"/>
  <c r="A122" i="26"/>
  <c r="AA121" i="26"/>
  <c r="B121" i="26"/>
  <c r="A121" i="26"/>
  <c r="AA120" i="26"/>
  <c r="B120" i="26"/>
  <c r="A120" i="26"/>
  <c r="AA119" i="26"/>
  <c r="B119" i="26"/>
  <c r="A119" i="26"/>
  <c r="AA118" i="26"/>
  <c r="B118" i="26"/>
  <c r="A118" i="26"/>
  <c r="AA117" i="26"/>
  <c r="B117" i="26"/>
  <c r="A117" i="26"/>
  <c r="AA116" i="26"/>
  <c r="B116" i="26"/>
  <c r="A116" i="26"/>
  <c r="AA115" i="26"/>
  <c r="B115" i="26"/>
  <c r="A115" i="26"/>
  <c r="AA114" i="26"/>
  <c r="B114" i="26"/>
  <c r="A114" i="26"/>
  <c r="AA113" i="26"/>
  <c r="B113" i="26"/>
  <c r="A113" i="26"/>
  <c r="AA112" i="26"/>
  <c r="B112" i="26"/>
  <c r="A112" i="26"/>
  <c r="AA111" i="26"/>
  <c r="B111" i="26"/>
  <c r="A111" i="26"/>
  <c r="AA110" i="26"/>
  <c r="B110" i="26"/>
  <c r="A110" i="26"/>
  <c r="AA109" i="26"/>
  <c r="B109" i="26"/>
  <c r="A109" i="26"/>
  <c r="AA108" i="26"/>
  <c r="B108" i="26"/>
  <c r="A108" i="26"/>
  <c r="AA107" i="26"/>
  <c r="B107" i="26"/>
  <c r="A107" i="26"/>
  <c r="AA106" i="26"/>
  <c r="B106" i="26"/>
  <c r="A106" i="26"/>
  <c r="AA105" i="26"/>
  <c r="B105" i="26"/>
  <c r="A105" i="26"/>
  <c r="AA104" i="26"/>
  <c r="B104" i="26"/>
  <c r="A104" i="26"/>
  <c r="AA103" i="26"/>
  <c r="B103" i="26"/>
  <c r="A103" i="26"/>
  <c r="AA102" i="26"/>
  <c r="B102" i="26"/>
  <c r="A102" i="26"/>
  <c r="AA101" i="26"/>
  <c r="B101" i="26"/>
  <c r="A101" i="26"/>
  <c r="AA100" i="26"/>
  <c r="B100" i="26"/>
  <c r="A100" i="26"/>
  <c r="AA99" i="26"/>
  <c r="B99" i="26"/>
  <c r="A99" i="26"/>
  <c r="AA98" i="26"/>
  <c r="B98" i="26"/>
  <c r="A98" i="26"/>
  <c r="AA97" i="26"/>
  <c r="B97" i="26"/>
  <c r="A97" i="26"/>
  <c r="AA96" i="26"/>
  <c r="B96" i="26"/>
  <c r="A96" i="26"/>
  <c r="B95" i="26"/>
  <c r="A95" i="26"/>
  <c r="V94" i="26"/>
  <c r="A94" i="26"/>
  <c r="AA93" i="26"/>
  <c r="B93" i="26"/>
  <c r="A93" i="26"/>
  <c r="AA92" i="26"/>
  <c r="B92" i="26"/>
  <c r="A92" i="26"/>
  <c r="AA91" i="26"/>
  <c r="B91" i="26"/>
  <c r="A91" i="26"/>
  <c r="AA90" i="26"/>
  <c r="B90" i="26"/>
  <c r="A90" i="26"/>
  <c r="AA89" i="26"/>
  <c r="B89" i="26"/>
  <c r="A89" i="26"/>
  <c r="AA88" i="26"/>
  <c r="B88" i="26"/>
  <c r="A88" i="26"/>
  <c r="V87" i="26"/>
  <c r="A87" i="26"/>
  <c r="V86" i="26"/>
  <c r="A86" i="26"/>
  <c r="AA85" i="26"/>
  <c r="B85" i="26"/>
  <c r="A85" i="26"/>
  <c r="AA84" i="26"/>
  <c r="B84" i="26"/>
  <c r="A84" i="26"/>
  <c r="AA83" i="26"/>
  <c r="B83" i="26"/>
  <c r="A83" i="26"/>
  <c r="AA82" i="26"/>
  <c r="B82" i="26"/>
  <c r="A82" i="26"/>
  <c r="AA81" i="26"/>
  <c r="B81" i="26"/>
  <c r="A81" i="26"/>
  <c r="AA80" i="26"/>
  <c r="B80" i="26"/>
  <c r="A80" i="26"/>
  <c r="AA79" i="26"/>
  <c r="B79" i="26"/>
  <c r="A79" i="26"/>
  <c r="AA78" i="26"/>
  <c r="B78" i="26"/>
  <c r="A78" i="26"/>
  <c r="AA77" i="26"/>
  <c r="B77" i="26"/>
  <c r="A77" i="26"/>
  <c r="AA76" i="26"/>
  <c r="B76" i="26"/>
  <c r="A76" i="26"/>
  <c r="AA75" i="26"/>
  <c r="B75" i="26"/>
  <c r="A75" i="26"/>
  <c r="AA74" i="26"/>
  <c r="B74" i="26"/>
  <c r="A74" i="26"/>
  <c r="AA73" i="26"/>
  <c r="B73" i="26"/>
  <c r="A73" i="26"/>
  <c r="AA72" i="26"/>
  <c r="B72" i="26"/>
  <c r="A72" i="26"/>
  <c r="V71" i="26"/>
  <c r="A71" i="26"/>
  <c r="AA70" i="26"/>
  <c r="B70" i="26"/>
  <c r="A70" i="26"/>
  <c r="AA69" i="26"/>
  <c r="B69" i="26"/>
  <c r="A69" i="26"/>
  <c r="AA68" i="26"/>
  <c r="B68" i="26"/>
  <c r="A68" i="26"/>
  <c r="AA67" i="26"/>
  <c r="B67" i="26"/>
  <c r="A67" i="26"/>
  <c r="AA66" i="26"/>
  <c r="B66" i="26"/>
  <c r="A66" i="26"/>
  <c r="V65" i="26"/>
  <c r="A65" i="26"/>
  <c r="V64" i="26"/>
  <c r="A64" i="26"/>
  <c r="B63" i="26"/>
  <c r="A63" i="26"/>
  <c r="V62" i="26"/>
  <c r="A62" i="26"/>
  <c r="V61" i="26"/>
  <c r="A61" i="26"/>
  <c r="AA60" i="26"/>
  <c r="B60" i="26"/>
  <c r="A60" i="26"/>
  <c r="B59" i="26"/>
  <c r="A59" i="26"/>
  <c r="AA58" i="26"/>
  <c r="B58" i="26"/>
  <c r="A58" i="26"/>
  <c r="AA57" i="26"/>
  <c r="B57" i="26"/>
  <c r="A57" i="26"/>
  <c r="AA56" i="26"/>
  <c r="B56" i="26"/>
  <c r="A56" i="26"/>
  <c r="AA55" i="26"/>
  <c r="B55" i="26"/>
  <c r="A55" i="26"/>
  <c r="AA54" i="26"/>
  <c r="B54" i="26"/>
  <c r="A54" i="26"/>
  <c r="V53" i="26"/>
  <c r="A53" i="26"/>
  <c r="V52" i="26"/>
  <c r="A52" i="26"/>
  <c r="AA51" i="26"/>
  <c r="B51" i="26"/>
  <c r="A51" i="26"/>
  <c r="AA50" i="26"/>
  <c r="B50" i="26"/>
  <c r="A50" i="26"/>
  <c r="V49" i="26"/>
  <c r="A49" i="26"/>
  <c r="AA48" i="26"/>
  <c r="B48" i="26"/>
  <c r="A48" i="26"/>
  <c r="AA47" i="26"/>
  <c r="B47" i="26"/>
  <c r="A47" i="26"/>
  <c r="AA46" i="26"/>
  <c r="B46" i="26"/>
  <c r="A46" i="26"/>
  <c r="AA45" i="26"/>
  <c r="B45" i="26"/>
  <c r="A45" i="26"/>
  <c r="AA44" i="26"/>
  <c r="B44" i="26"/>
  <c r="A44" i="26"/>
  <c r="AA43" i="26"/>
  <c r="B43" i="26"/>
  <c r="A43" i="26"/>
  <c r="AA42" i="26"/>
  <c r="B42" i="26"/>
  <c r="A42" i="26"/>
  <c r="V41" i="26"/>
  <c r="A41" i="26"/>
  <c r="V40" i="26"/>
  <c r="A40" i="26"/>
  <c r="V39" i="26"/>
  <c r="A39" i="26"/>
  <c r="V38" i="26"/>
  <c r="A38" i="26"/>
  <c r="V37" i="26"/>
  <c r="A37" i="26"/>
  <c r="V36" i="26"/>
  <c r="A36" i="26"/>
  <c r="V35" i="26"/>
  <c r="A35" i="26"/>
  <c r="AA34" i="26"/>
  <c r="B34" i="26"/>
  <c r="A34" i="26"/>
  <c r="AA33" i="26"/>
  <c r="B33" i="26"/>
  <c r="A33" i="26"/>
  <c r="V32" i="26"/>
  <c r="A32" i="26"/>
  <c r="AA31" i="26"/>
  <c r="B31" i="26"/>
  <c r="A31" i="26"/>
  <c r="AA30" i="26"/>
  <c r="B30" i="26"/>
  <c r="A30" i="26"/>
  <c r="AA29" i="26"/>
  <c r="B29" i="26"/>
  <c r="A29" i="26"/>
  <c r="AA28" i="26"/>
  <c r="B28" i="26"/>
  <c r="A28" i="26"/>
  <c r="AA27" i="26"/>
  <c r="B27" i="26"/>
  <c r="A27" i="26"/>
  <c r="AA26" i="26"/>
  <c r="B26" i="26"/>
  <c r="A26" i="26"/>
  <c r="AA25" i="26"/>
  <c r="B25" i="26"/>
  <c r="A25" i="26"/>
  <c r="AA24" i="26"/>
  <c r="B24" i="26"/>
  <c r="A24" i="26"/>
  <c r="AA23" i="26"/>
  <c r="B23" i="26"/>
  <c r="A23" i="26"/>
  <c r="AA22" i="26"/>
  <c r="B22" i="26"/>
  <c r="A22" i="26"/>
  <c r="V21" i="26"/>
  <c r="A21" i="26"/>
  <c r="AA20" i="26"/>
  <c r="B20" i="26"/>
  <c r="A20" i="26"/>
  <c r="AA19" i="26"/>
  <c r="B19" i="26"/>
  <c r="A19" i="26"/>
  <c r="AA18" i="26"/>
  <c r="B18" i="26"/>
  <c r="A18" i="26"/>
  <c r="AA17" i="26"/>
  <c r="B17" i="26"/>
  <c r="A17" i="26"/>
  <c r="AA16" i="26"/>
  <c r="B16" i="26"/>
  <c r="A16" i="26"/>
  <c r="AA15" i="26"/>
  <c r="B15" i="26"/>
  <c r="A15" i="26"/>
  <c r="AA14" i="26"/>
  <c r="B14" i="26"/>
  <c r="A14" i="26"/>
  <c r="AA13" i="26"/>
  <c r="B13" i="26"/>
  <c r="A13" i="26"/>
  <c r="AA12" i="26"/>
  <c r="B12" i="26"/>
  <c r="A12" i="26"/>
  <c r="AA11" i="26"/>
  <c r="B11" i="26"/>
  <c r="A11" i="26"/>
  <c r="AA10" i="26"/>
  <c r="B10" i="26"/>
  <c r="A10" i="26"/>
  <c r="AA9" i="26"/>
  <c r="B9" i="26"/>
  <c r="A9" i="26"/>
  <c r="AA8" i="26"/>
  <c r="B8" i="26"/>
  <c r="A8" i="26"/>
  <c r="AA7" i="26"/>
  <c r="B7" i="26"/>
  <c r="A7" i="26"/>
  <c r="AA6" i="26"/>
  <c r="B6" i="26"/>
  <c r="A6" i="26"/>
  <c r="AA5" i="26"/>
  <c r="B5" i="26"/>
  <c r="A5" i="26"/>
  <c r="AA4" i="26"/>
  <c r="B4" i="26"/>
  <c r="A4" i="26"/>
  <c r="AA3" i="26"/>
  <c r="B3" i="26"/>
  <c r="A3" i="26"/>
  <c r="F21" i="2" s="1"/>
  <c r="E5" i="2" l="1"/>
  <c r="D7" i="2"/>
  <c r="E8" i="2"/>
  <c r="F9" i="2"/>
  <c r="D13" i="2"/>
  <c r="E14" i="2"/>
  <c r="F15" i="2"/>
  <c r="D17" i="2"/>
  <c r="E18" i="2"/>
  <c r="D22" i="2"/>
  <c r="E23" i="2"/>
  <c r="F24" i="2"/>
  <c r="D26" i="2"/>
  <c r="E29" i="2"/>
  <c r="F30" i="2"/>
  <c r="D32" i="2"/>
  <c r="E33" i="2"/>
  <c r="F34" i="2"/>
  <c r="D38" i="2"/>
  <c r="E39" i="2"/>
  <c r="F40" i="2"/>
  <c r="D42" i="2"/>
  <c r="E45" i="2"/>
  <c r="F46" i="2"/>
  <c r="D48" i="2"/>
  <c r="E49" i="2"/>
  <c r="F50" i="2"/>
  <c r="D54" i="2"/>
  <c r="E55" i="2"/>
  <c r="F56" i="2"/>
  <c r="D58" i="2"/>
  <c r="E61" i="2"/>
  <c r="F62" i="2"/>
  <c r="D64" i="2"/>
  <c r="E65" i="2"/>
  <c r="F66" i="2"/>
  <c r="D70" i="2"/>
  <c r="E71" i="2"/>
  <c r="F72" i="2"/>
  <c r="D74" i="2"/>
  <c r="E88" i="2"/>
  <c r="F89" i="2"/>
  <c r="D91" i="2"/>
  <c r="E92" i="2"/>
  <c r="F93" i="2"/>
  <c r="D97" i="2"/>
  <c r="E98" i="2"/>
  <c r="F99" i="2"/>
  <c r="D101" i="2"/>
  <c r="E104" i="2"/>
  <c r="F105" i="2"/>
  <c r="D107" i="2"/>
  <c r="E108" i="2"/>
  <c r="F109" i="2"/>
  <c r="D113" i="2"/>
  <c r="E114" i="2"/>
  <c r="F115" i="2"/>
  <c r="D117" i="2"/>
  <c r="E128" i="2"/>
  <c r="F129" i="2"/>
  <c r="D131" i="2"/>
  <c r="E132" i="2"/>
  <c r="F133" i="2"/>
  <c r="D137" i="2"/>
  <c r="E138" i="2"/>
  <c r="F139" i="2"/>
  <c r="D141" i="2"/>
  <c r="E144" i="2"/>
  <c r="F145" i="2"/>
  <c r="D147" i="2"/>
  <c r="E148" i="2"/>
  <c r="F149" i="2"/>
  <c r="D6" i="2"/>
  <c r="E7" i="2"/>
  <c r="F8" i="2"/>
  <c r="D10" i="2"/>
  <c r="E13" i="2"/>
  <c r="F14" i="2"/>
  <c r="D16" i="2"/>
  <c r="E17" i="2"/>
  <c r="F18" i="2"/>
  <c r="E22" i="2"/>
  <c r="F23" i="2"/>
  <c r="D25" i="2"/>
  <c r="E26" i="2"/>
  <c r="F29" i="2"/>
  <c r="D31" i="2"/>
  <c r="E32" i="2"/>
  <c r="F33" i="2"/>
  <c r="E38" i="2"/>
  <c r="F39" i="2"/>
  <c r="D41" i="2"/>
  <c r="E42" i="2"/>
  <c r="F45" i="2"/>
  <c r="D47" i="2"/>
  <c r="E48" i="2"/>
  <c r="F49" i="2"/>
  <c r="D53" i="2"/>
  <c r="E54" i="2"/>
  <c r="F55" i="2"/>
  <c r="D57" i="2"/>
  <c r="E58" i="2"/>
  <c r="F61" i="2"/>
  <c r="D63" i="2"/>
  <c r="E64" i="2"/>
  <c r="F65" i="2"/>
  <c r="D69" i="2"/>
  <c r="E70" i="2"/>
  <c r="F71" i="2"/>
  <c r="D73" i="2"/>
  <c r="E74" i="2"/>
  <c r="F88" i="2"/>
  <c r="D90" i="2"/>
  <c r="E91" i="2"/>
  <c r="F92" i="2"/>
  <c r="D96" i="2"/>
  <c r="E97" i="2"/>
  <c r="F98" i="2"/>
  <c r="D100" i="2"/>
  <c r="E101" i="2"/>
  <c r="F104" i="2"/>
  <c r="D106" i="2"/>
  <c r="E107" i="2"/>
  <c r="F108" i="2"/>
  <c r="D112" i="2"/>
  <c r="E113" i="2"/>
  <c r="F114" i="2"/>
  <c r="D116" i="2"/>
  <c r="E117" i="2"/>
  <c r="F128" i="2"/>
  <c r="D130" i="2"/>
  <c r="E131" i="2"/>
  <c r="F132" i="2"/>
  <c r="D136" i="2"/>
  <c r="E137" i="2"/>
  <c r="F138" i="2"/>
  <c r="D140" i="2"/>
  <c r="E141" i="2"/>
  <c r="F144" i="2"/>
  <c r="D146" i="2"/>
  <c r="E147" i="2"/>
  <c r="F148" i="2"/>
  <c r="D5" i="2"/>
  <c r="E6" i="2"/>
  <c r="F7" i="2"/>
  <c r="D9" i="2"/>
  <c r="E10" i="2"/>
  <c r="F13" i="2"/>
  <c r="D15" i="2"/>
  <c r="E16" i="2"/>
  <c r="F17" i="2"/>
  <c r="D21" i="2"/>
  <c r="F22" i="2"/>
  <c r="D24" i="2"/>
  <c r="E25" i="2"/>
  <c r="F26" i="2"/>
  <c r="D30" i="2"/>
  <c r="E31" i="2"/>
  <c r="F32" i="2"/>
  <c r="D34" i="2"/>
  <c r="F38" i="2"/>
  <c r="D40" i="2"/>
  <c r="E41" i="2"/>
  <c r="F42" i="2"/>
  <c r="D46" i="2"/>
  <c r="E47" i="2"/>
  <c r="F48" i="2"/>
  <c r="D50" i="2"/>
  <c r="E53" i="2"/>
  <c r="F54" i="2"/>
  <c r="D56" i="2"/>
  <c r="E57" i="2"/>
  <c r="F58" i="2"/>
  <c r="D62" i="2"/>
  <c r="E63" i="2"/>
  <c r="F64" i="2"/>
  <c r="D66" i="2"/>
  <c r="E69" i="2"/>
  <c r="F70" i="2"/>
  <c r="D72" i="2"/>
  <c r="E73" i="2"/>
  <c r="F74" i="2"/>
  <c r="D89" i="2"/>
  <c r="E90" i="2"/>
  <c r="F91" i="2"/>
  <c r="D93" i="2"/>
  <c r="E96" i="2"/>
  <c r="F97" i="2"/>
  <c r="D99" i="2"/>
  <c r="E100" i="2"/>
  <c r="F101" i="2"/>
  <c r="D105" i="2"/>
  <c r="E106" i="2"/>
  <c r="F107" i="2"/>
  <c r="D109" i="2"/>
  <c r="E112" i="2"/>
  <c r="F113" i="2"/>
  <c r="D115" i="2"/>
  <c r="E116" i="2"/>
  <c r="F117" i="2"/>
  <c r="D129" i="2"/>
  <c r="E130" i="2"/>
  <c r="F131" i="2"/>
  <c r="D133" i="2"/>
  <c r="E136" i="2"/>
  <c r="F137" i="2"/>
  <c r="D139" i="2"/>
  <c r="E140" i="2"/>
  <c r="F141" i="2"/>
  <c r="D145" i="2"/>
  <c r="E146" i="2"/>
  <c r="F147" i="2"/>
  <c r="D149" i="2"/>
  <c r="F5" i="2"/>
  <c r="F6" i="2"/>
  <c r="D8" i="2"/>
  <c r="E9" i="2"/>
  <c r="F10" i="2"/>
  <c r="D14" i="2"/>
  <c r="E15" i="2"/>
  <c r="F16" i="2"/>
  <c r="D18" i="2"/>
  <c r="E21" i="2"/>
  <c r="D23" i="2"/>
  <c r="E24" i="2"/>
  <c r="F25" i="2"/>
  <c r="D29" i="2"/>
  <c r="E30" i="2"/>
  <c r="F31" i="2"/>
  <c r="D33" i="2"/>
  <c r="E34" i="2"/>
  <c r="D39" i="2"/>
  <c r="E40" i="2"/>
  <c r="F41" i="2"/>
  <c r="D45" i="2"/>
  <c r="E46" i="2"/>
  <c r="F47" i="2"/>
  <c r="D49" i="2"/>
  <c r="E50" i="2"/>
  <c r="F53" i="2"/>
  <c r="D55" i="2"/>
  <c r="E56" i="2"/>
  <c r="F57" i="2"/>
  <c r="D61" i="2"/>
  <c r="E62" i="2"/>
  <c r="F63" i="2"/>
  <c r="D65" i="2"/>
  <c r="E66" i="2"/>
  <c r="F69" i="2"/>
  <c r="D71" i="2"/>
  <c r="E72" i="2"/>
  <c r="F73" i="2"/>
  <c r="D88" i="2"/>
  <c r="E89" i="2"/>
  <c r="F90" i="2"/>
  <c r="D92" i="2"/>
  <c r="E93" i="2"/>
  <c r="F96" i="2"/>
  <c r="D98" i="2"/>
  <c r="E99" i="2"/>
  <c r="F100" i="2"/>
  <c r="D104" i="2"/>
  <c r="E105" i="2"/>
  <c r="F106" i="2"/>
  <c r="D108" i="2"/>
  <c r="E109" i="2"/>
  <c r="F112" i="2"/>
  <c r="D114" i="2"/>
  <c r="E115" i="2"/>
  <c r="F116" i="2"/>
  <c r="D128" i="2"/>
  <c r="E129" i="2"/>
  <c r="F130" i="2"/>
  <c r="D132" i="2"/>
  <c r="E133" i="2"/>
  <c r="F136" i="2"/>
  <c r="D138" i="2"/>
  <c r="E139" i="2"/>
  <c r="F140" i="2"/>
  <c r="D144" i="2"/>
  <c r="E145" i="2"/>
  <c r="F146" i="2"/>
  <c r="D148" i="2"/>
  <c r="E149" i="2"/>
  <c r="E23" i="1"/>
  <c r="I23" i="1" s="1"/>
  <c r="E22" i="1"/>
  <c r="I22" i="1" s="1"/>
  <c r="E20" i="1"/>
  <c r="I20" i="1" s="1"/>
  <c r="E19" i="1"/>
  <c r="E18" i="1"/>
  <c r="I18" i="1" s="1"/>
  <c r="E17" i="1"/>
  <c r="I17" i="1" s="1"/>
  <c r="E16" i="1"/>
  <c r="I16" i="1" s="1"/>
  <c r="E15" i="1"/>
  <c r="I15" i="1" s="1"/>
  <c r="E14" i="1"/>
  <c r="E13" i="1"/>
  <c r="I13" i="1" s="1"/>
  <c r="E12" i="1"/>
  <c r="E11" i="1"/>
  <c r="I11" i="1" s="1"/>
  <c r="E10" i="1"/>
  <c r="E9" i="1"/>
  <c r="E8" i="1"/>
  <c r="E7" i="1"/>
  <c r="E6" i="1"/>
  <c r="H22" i="1"/>
  <c r="H20" i="1"/>
  <c r="H18" i="1"/>
  <c r="H17" i="1"/>
  <c r="H16" i="1"/>
  <c r="H15" i="1"/>
  <c r="H13" i="1"/>
  <c r="H11" i="1"/>
  <c r="H23" i="1"/>
  <c r="G23" i="1"/>
  <c r="G22" i="1"/>
  <c r="G20" i="1"/>
  <c r="G18" i="1"/>
  <c r="G17" i="1"/>
  <c r="G16" i="1"/>
  <c r="G15" i="1"/>
  <c r="G13" i="1"/>
  <c r="G11" i="1"/>
  <c r="G6" i="1"/>
  <c r="D24" i="1"/>
  <c r="H5" i="1" s="1"/>
  <c r="C24" i="1"/>
  <c r="G5" i="1" s="1"/>
  <c r="H10" i="1" l="1"/>
  <c r="G10" i="1"/>
  <c r="G19" i="1"/>
  <c r="H19" i="1"/>
  <c r="H14" i="1"/>
  <c r="G14" i="1"/>
  <c r="G8" i="1"/>
  <c r="H12" i="1"/>
  <c r="G12" i="1"/>
  <c r="H8" i="1"/>
  <c r="H9" i="1"/>
  <c r="G9" i="1"/>
  <c r="H7" i="1"/>
  <c r="G7" i="1"/>
  <c r="H6" i="1"/>
  <c r="I6" i="1"/>
  <c r="E5" i="1"/>
  <c r="G24" i="1" l="1"/>
  <c r="H24" i="1"/>
  <c r="E24" i="1"/>
  <c r="I19" i="1" l="1"/>
  <c r="I10" i="1"/>
  <c r="I12" i="1"/>
  <c r="I14" i="1"/>
  <c r="I8" i="1"/>
  <c r="I9" i="1"/>
  <c r="I5" i="1"/>
  <c r="I7" i="1"/>
  <c r="I24" i="1" l="1"/>
</calcChain>
</file>

<file path=xl/sharedStrings.xml><?xml version="1.0" encoding="utf-8"?>
<sst xmlns="http://schemas.openxmlformats.org/spreadsheetml/2006/main" count="61507" uniqueCount="13771">
  <si>
    <t>Funds Flow - Waiver Dollars</t>
  </si>
  <si>
    <t>Funds Flow - Non-Waiver Dollars</t>
  </si>
  <si>
    <t>Funds Flow - All Dollars</t>
  </si>
  <si>
    <t>Partner Type</t>
  </si>
  <si>
    <t>Practitioner - Primary Care</t>
  </si>
  <si>
    <t>Practitioner - Non-Primary Care</t>
  </si>
  <si>
    <t>Hospital - Inpatient/ED</t>
  </si>
  <si>
    <t>Hospital - Ambulatory</t>
  </si>
  <si>
    <t>Partner Category</t>
  </si>
  <si>
    <t>Clinic</t>
  </si>
  <si>
    <t>Mental Health</t>
  </si>
  <si>
    <t>Substance Abuse</t>
  </si>
  <si>
    <t>Case Management</t>
  </si>
  <si>
    <t>Health Home</t>
  </si>
  <si>
    <t>Community Based Organization (Tier 1)</t>
  </si>
  <si>
    <t>Nursing Home</t>
  </si>
  <si>
    <t>Pharmacy</t>
  </si>
  <si>
    <t>Hospice</t>
  </si>
  <si>
    <t>Home Care</t>
  </si>
  <si>
    <t>Other (Define)</t>
  </si>
  <si>
    <t>Total</t>
  </si>
  <si>
    <t>PPS PMO</t>
  </si>
  <si>
    <t>% of Funds Flow - Waiver Dollars</t>
  </si>
  <si>
    <t>% of Funds Flow - Non-Waiver Dollars</t>
  </si>
  <si>
    <t>% of Funds Flow - All Dollars</t>
  </si>
  <si>
    <t>NPI</t>
  </si>
  <si>
    <t>Safety Net</t>
  </si>
  <si>
    <t>State Assigned Category</t>
  </si>
  <si>
    <t>Partner Information</t>
  </si>
  <si>
    <t>Quarterly Funds Flow Updates - DY2, Q4</t>
  </si>
  <si>
    <t>INSERT ROWS ABOVE FOR ADDITIONAL PARTNERS IN THIS CATEGORY - DO NOT ENTER DATA IN THIS ROW</t>
  </si>
  <si>
    <t>Committed</t>
  </si>
  <si>
    <t>Engaged</t>
  </si>
  <si>
    <t>Hospital</t>
  </si>
  <si>
    <t>Case Management / Health Home</t>
  </si>
  <si>
    <t>Community Based Organizations</t>
  </si>
  <si>
    <t>All Other</t>
  </si>
  <si>
    <t>PPS Funds Flow - Partner Level Detail</t>
  </si>
  <si>
    <t>DSRIP Provider Name</t>
  </si>
  <si>
    <t>Entity ID</t>
  </si>
  <si>
    <t>Entity Name</t>
  </si>
  <si>
    <t>NPI ID</t>
  </si>
  <si>
    <t>MMIS ID</t>
  </si>
  <si>
    <t>OPWDD Tax ID</t>
  </si>
  <si>
    <t>DSRIP Contact Name</t>
  </si>
  <si>
    <t>DSRIP Contact Phone</t>
  </si>
  <si>
    <t>Phone Extension</t>
  </si>
  <si>
    <t>DSRIP Contact Email</t>
  </si>
  <si>
    <t>DSRIP Provider Type</t>
  </si>
  <si>
    <t>Provider Category</t>
  </si>
  <si>
    <t>DSRIP Street</t>
  </si>
  <si>
    <t>DSRIP City</t>
  </si>
  <si>
    <t>DSRIP State</t>
  </si>
  <si>
    <t>DSRIP Postal Code</t>
  </si>
  <si>
    <t>NPI Name</t>
  </si>
  <si>
    <t>NPI Street</t>
  </si>
  <si>
    <t>NPI City</t>
  </si>
  <si>
    <t>NPI State</t>
  </si>
  <si>
    <t>NPI Postal Code</t>
  </si>
  <si>
    <t>MMIS Name</t>
  </si>
  <si>
    <t>MMIS Street</t>
  </si>
  <si>
    <t>MMIS City</t>
  </si>
  <si>
    <t>MMIS State</t>
  </si>
  <si>
    <t>MMIS Postal Code</t>
  </si>
  <si>
    <t>MMIS Provider Type</t>
  </si>
  <si>
    <t>DSRIP Partner Type</t>
  </si>
  <si>
    <t>Public Hospital</t>
  </si>
  <si>
    <t>Provider Status</t>
  </si>
  <si>
    <t>Hub(Short Name)</t>
  </si>
  <si>
    <t>Network Type</t>
  </si>
  <si>
    <t>Errors</t>
  </si>
  <si>
    <t>Warnings</t>
  </si>
  <si>
    <t>Practitioner - Non-Primary Care Provider (PCP)</t>
  </si>
  <si>
    <t>No</t>
  </si>
  <si>
    <t>NY</t>
  </si>
  <si>
    <t>PHYSICIAN</t>
  </si>
  <si>
    <t>M</t>
  </si>
  <si>
    <t>MMIS</t>
  </si>
  <si>
    <t>P</t>
  </si>
  <si>
    <t>DENTIST</t>
  </si>
  <si>
    <t>All Other:: Practitioner - Non-Primary Care Provider (PCP)</t>
  </si>
  <si>
    <t>All Other:: Practitioner - Primary Care Provider (PCP)</t>
  </si>
  <si>
    <t>Yes</t>
  </si>
  <si>
    <t>150 55TH ST</t>
  </si>
  <si>
    <t>BROOKLYN</t>
  </si>
  <si>
    <t>BINGHAMTON</t>
  </si>
  <si>
    <t>ELMHURST</t>
  </si>
  <si>
    <t>MULTI-TYPE</t>
  </si>
  <si>
    <t>Practitioner - Primary Care Provider (PCP)</t>
  </si>
  <si>
    <t>ALBANY</t>
  </si>
  <si>
    <t>HOSPITAL</t>
  </si>
  <si>
    <t>NEW YORK</t>
  </si>
  <si>
    <t>HOME HEALTH AGENCY</t>
  </si>
  <si>
    <t>Unknown</t>
  </si>
  <si>
    <t>CBO</t>
  </si>
  <si>
    <t>No NPI or MMIS</t>
  </si>
  <si>
    <t>Uncategorized</t>
  </si>
  <si>
    <t>NPI only</t>
  </si>
  <si>
    <t>NYS OFFICE OF MENTAL HEALTH</t>
  </si>
  <si>
    <t>All Other:: Mental Health</t>
  </si>
  <si>
    <t>Mental Health:: Practitioner - Non-Primary Care Provider (PCP)</t>
  </si>
  <si>
    <t>All Other:: Nursing Home</t>
  </si>
  <si>
    <t>LONG TERM CARE FACILITY</t>
  </si>
  <si>
    <t>OPTOMETRIST</t>
  </si>
  <si>
    <t>THERAPIST</t>
  </si>
  <si>
    <t>Community Advocacy and Support</t>
  </si>
  <si>
    <t>CLINICAL SOCIAL WORKER (CSW)</t>
  </si>
  <si>
    <t>NURSE</t>
  </si>
  <si>
    <t>All Other:: Clinic</t>
  </si>
  <si>
    <t>All Other:: Substance Abuse</t>
  </si>
  <si>
    <t>DIAGNOSTIC AND TREATMENT CENTER</t>
  </si>
  <si>
    <t>MA</t>
  </si>
  <si>
    <t>ROCHESTER</t>
  </si>
  <si>
    <t>CLINICAL PSYCHOLOGIST</t>
  </si>
  <si>
    <t>PHYSICIANS GROUP</t>
  </si>
  <si>
    <t>PODIATRIST</t>
  </si>
  <si>
    <t>JACKSON HEIGHTS</t>
  </si>
  <si>
    <t>1400 PELHAM PKWY S</t>
  </si>
  <si>
    <t>BRONX</t>
  </si>
  <si>
    <t>PHARMACY</t>
  </si>
  <si>
    <t>Mental Health:: Practitioner - Primary Care Provider (PCP)</t>
  </si>
  <si>
    <t>BUFFALO</t>
  </si>
  <si>
    <t>MEDICAL APPLIANCE DEALER</t>
  </si>
  <si>
    <t>MULTI-TYPE GROUP</t>
  </si>
  <si>
    <t>5645 MAIN ST</t>
  </si>
  <si>
    <t>FLUSHING</t>
  </si>
  <si>
    <t>PATCHOGUE</t>
  </si>
  <si>
    <t>WOODSIDE</t>
  </si>
  <si>
    <t>SYRACUSE</t>
  </si>
  <si>
    <t>All Other:: Mental Health:: Practitioner - Non-Primary Care Provider (PCP)</t>
  </si>
  <si>
    <t>All Other:: Mental Health:: Substance Abuse</t>
  </si>
  <si>
    <t>BAYSIDE</t>
  </si>
  <si>
    <t>VALHALLA</t>
  </si>
  <si>
    <t>All Other:: Clinic:: Hospital</t>
  </si>
  <si>
    <t>All Other:: Hospice</t>
  </si>
  <si>
    <t>1 BROOKDALE PLZ</t>
  </si>
  <si>
    <t>FOREST HILLS</t>
  </si>
  <si>
    <t>POUGHKEEPSIE</t>
  </si>
  <si>
    <t>STATEN ISLAND</t>
  </si>
  <si>
    <t>NJ</t>
  </si>
  <si>
    <t>L</t>
  </si>
  <si>
    <t>PPS Partner Engagement by Project</t>
  </si>
  <si>
    <t>300 COMMUNITY DR</t>
  </si>
  <si>
    <t>MANHASSET</t>
  </si>
  <si>
    <t>NEW HYDE PARK</t>
  </si>
  <si>
    <t>GLEN OAKS</t>
  </si>
  <si>
    <t>New York</t>
  </si>
  <si>
    <t>475 SEAVIEW AVE</t>
  </si>
  <si>
    <t>All Other:: Clinic:: Substance Abuse</t>
  </si>
  <si>
    <t>JAMAICA</t>
  </si>
  <si>
    <t>Sarah Larson</t>
  </si>
  <si>
    <t>4802 10TH AVE</t>
  </si>
  <si>
    <t>1825 EASTCHESTER RD</t>
  </si>
  <si>
    <t>GREAT NECK</t>
  </si>
  <si>
    <t>HEMPSTEAD</t>
  </si>
  <si>
    <t>YONKERS</t>
  </si>
  <si>
    <t>1111 AMSTERDAM AVE</t>
  </si>
  <si>
    <t>MINEOLA</t>
  </si>
  <si>
    <t>1879 MADISON AVE</t>
  </si>
  <si>
    <t>1901 1ST AVE</t>
  </si>
  <si>
    <t>27005 76TH AVE</t>
  </si>
  <si>
    <t>All Other:: Case Management / Health Home:: Clinic</t>
  </si>
  <si>
    <t>LONG ISLAND CITY</t>
  </si>
  <si>
    <t>1000 10TH AVE</t>
  </si>
  <si>
    <t>45 READE PL</t>
  </si>
  <si>
    <t>LEVITTOWN</t>
  </si>
  <si>
    <t>GLEN COVE</t>
  </si>
  <si>
    <t>622 W 168TH ST</t>
  </si>
  <si>
    <t>374 STOCKHOLM ST</t>
  </si>
  <si>
    <t>121 DEKALB AVE</t>
  </si>
  <si>
    <t>525 E 68TH ST</t>
  </si>
  <si>
    <t>Physician</t>
  </si>
  <si>
    <t>STONY BROOK</t>
  </si>
  <si>
    <t>100 NICOLLS RD</t>
  </si>
  <si>
    <t>All Other:: Case Management / Health Home:: Mental Health:: Substance Abuse</t>
  </si>
  <si>
    <t>HICKSVILLE</t>
  </si>
  <si>
    <t>ROCKVILLE CENTRE</t>
  </si>
  <si>
    <t>SELDEN</t>
  </si>
  <si>
    <t>MOUNT VERNON</t>
  </si>
  <si>
    <t>3415 BAINBRIDGE AVE</t>
  </si>
  <si>
    <t>4422 3RD AVE</t>
  </si>
  <si>
    <t>WHITE PLAINS</t>
  </si>
  <si>
    <t>KINGSTON</t>
  </si>
  <si>
    <t>161 FORT WASHINGTON AVE</t>
  </si>
  <si>
    <t>2510 30TH AVE</t>
  </si>
  <si>
    <t>ASTORIA</t>
  </si>
  <si>
    <t>GARDEN CITY</t>
  </si>
  <si>
    <t>69 S BROADWAY</t>
  </si>
  <si>
    <t>765 STEWART AVE</t>
  </si>
  <si>
    <t>OMH</t>
  </si>
  <si>
    <t>585 SCHENECTADY AVE</t>
  </si>
  <si>
    <t>600 E 233RD ST</t>
  </si>
  <si>
    <t>REGO PARK</t>
  </si>
  <si>
    <t>111 E 210TH ST</t>
  </si>
  <si>
    <t>4500 PARSONS BLVD</t>
  </si>
  <si>
    <t>FL 5</t>
  </si>
  <si>
    <t>MT SINAI ELM FAC PRA</t>
  </si>
  <si>
    <t>JACOBI MED CTR</t>
  </si>
  <si>
    <t>7901 BROADWAY</t>
  </si>
  <si>
    <t>LITTLE NECK</t>
  </si>
  <si>
    <t>7559 263RD ST</t>
  </si>
  <si>
    <t>5 E 98TH ST</t>
  </si>
  <si>
    <t>Lab/X-Ray</t>
  </si>
  <si>
    <t>E0271763</t>
  </si>
  <si>
    <t>MEDICAL ARTS SANITARIUM</t>
  </si>
  <si>
    <t>MEDICAL ARTS SANITARIUM, INC.</t>
  </si>
  <si>
    <t>15905 UNION TPKE</t>
  </si>
  <si>
    <t>FRESH MEADOWS</t>
  </si>
  <si>
    <t>RICHMOND HILL</t>
  </si>
  <si>
    <t>IL</t>
  </si>
  <si>
    <t>13303 JAMAICA AVE</t>
  </si>
  <si>
    <t>MO</t>
  </si>
  <si>
    <t>RM 152</t>
  </si>
  <si>
    <t>Home Health</t>
  </si>
  <si>
    <t>QUEENS VILLAGE</t>
  </si>
  <si>
    <t>NEW ROCHELLE</t>
  </si>
  <si>
    <t>ROOSEVELT</t>
  </si>
  <si>
    <t>1650 GRAND CONCOURSE</t>
  </si>
  <si>
    <t>339 HICKS ST</t>
  </si>
  <si>
    <t>2901 216TH ST</t>
  </si>
  <si>
    <t>1 GUSTAVE L LEVY PL</t>
  </si>
  <si>
    <t>17 E 102ND ST</t>
  </si>
  <si>
    <t>462 1ST AVE</t>
  </si>
  <si>
    <t>234 E 149TH ST</t>
  </si>
  <si>
    <t>FL</t>
  </si>
  <si>
    <t>All Other:: Clinic:: Mental Health</t>
  </si>
  <si>
    <t>25-10 30TH AVE</t>
  </si>
  <si>
    <t>5 DAKOTA DR STE 200</t>
  </si>
  <si>
    <t>E0121680</t>
  </si>
  <si>
    <t>ST MARY'S COMM CARE PROF INC</t>
  </si>
  <si>
    <t>ST MARY'S COMMUNITY CARE PROFESSIONAL, CORP.</t>
  </si>
  <si>
    <t>ST MARY'S COMM CARE PROF CORP</t>
  </si>
  <si>
    <t>E0268002</t>
  </si>
  <si>
    <t>ST MARYS HOSPITAL FOR CHILDRE</t>
  </si>
  <si>
    <t>ST MARY'S HOSPITAL FOR CHILDREN</t>
  </si>
  <si>
    <t>DOBBS FERRY</t>
  </si>
  <si>
    <t>5141 BROADWAY</t>
  </si>
  <si>
    <t>Non-PPS Network</t>
  </si>
  <si>
    <t>1275 YORK AVE</t>
  </si>
  <si>
    <t>100 E 77TH ST</t>
  </si>
  <si>
    <t>HOLLIS</t>
  </si>
  <si>
    <t>E0274023</t>
  </si>
  <si>
    <t>RIVERDALE MENTAL HLTH CL</t>
  </si>
  <si>
    <t>RIVERDALE MENTAL HEALTH ASSOCIATION INC</t>
  </si>
  <si>
    <t>RIVERDALE CLN/CDT</t>
  </si>
  <si>
    <t>WORCESTER</t>
  </si>
  <si>
    <t>ALLEN PAVILION</t>
  </si>
  <si>
    <t>Peer Supports</t>
  </si>
  <si>
    <t>(212) 379-6988</t>
  </si>
  <si>
    <t>268 CANAL ST</t>
  </si>
  <si>
    <t>TJH MEDICAL SVCS PC</t>
  </si>
  <si>
    <t>WHITESTONE</t>
  </si>
  <si>
    <t>227 MADISON ST</t>
  </si>
  <si>
    <t>153 W 11TH ST</t>
  </si>
  <si>
    <t>301 E 17TH ST</t>
  </si>
  <si>
    <t>760 BROADWAY</t>
  </si>
  <si>
    <t>E0004693</t>
  </si>
  <si>
    <t>SCHLEIMER HELEN LILLI</t>
  </si>
  <si>
    <t>SCHLEIMER HELEN DR.</t>
  </si>
  <si>
    <t>7925 WINCHESTER BLVD</t>
  </si>
  <si>
    <t>E0201430</t>
  </si>
  <si>
    <t>TIO ARSENIO MIGUEL         MD</t>
  </si>
  <si>
    <t>Arsenio Tio</t>
  </si>
  <si>
    <t>TIO ARSENIO</t>
  </si>
  <si>
    <t>231 SHERMAN AVE</t>
  </si>
  <si>
    <t>215 E 95TH ST</t>
  </si>
  <si>
    <t>COLUMB PRES RAD</t>
  </si>
  <si>
    <t>E0215250</t>
  </si>
  <si>
    <t>JEREZ JOSE R               MD</t>
  </si>
  <si>
    <t>JEREZ JOSE MR.</t>
  </si>
  <si>
    <t>APT 2/COR W 161ST ST</t>
  </si>
  <si>
    <t>4316 215TH ST</t>
  </si>
  <si>
    <t>170 WILLIAM ST</t>
  </si>
  <si>
    <t>13626 37TH AVE</t>
  </si>
  <si>
    <t>(718) 281-8777</t>
  </si>
  <si>
    <t>450 CLARKSON AVE</t>
  </si>
  <si>
    <t>18803 JAMAICA AVE</t>
  </si>
  <si>
    <t>11020 71ST RD # 111</t>
  </si>
  <si>
    <t>7901 BROADWAY # E2-69</t>
  </si>
  <si>
    <t>Charles B. Wang Community Health Center</t>
  </si>
  <si>
    <t>E0263565</t>
  </si>
  <si>
    <t>CHARLES B WANG COMM HTH CTR I</t>
  </si>
  <si>
    <t>Betty Cheng</t>
  </si>
  <si>
    <t>bcheng@cbwchc.org</t>
  </si>
  <si>
    <t>CHARLES B. WANG COMMUNITY HEALTH CENTER, INC.</t>
  </si>
  <si>
    <t>125 WALKER ST FL 2</t>
  </si>
  <si>
    <t>CAPITATION PROVIDER</t>
  </si>
  <si>
    <t>TARRYTOWN</t>
  </si>
  <si>
    <t>420 LEXINGTON AVE STE 1644</t>
  </si>
  <si>
    <t>2015 GRAND CONCOURSE</t>
  </si>
  <si>
    <t>506 MALCOLM X BLVD</t>
  </si>
  <si>
    <t>All Other:: Mental Health:: Practitioner - Primary Care Provider (PCP)</t>
  </si>
  <si>
    <t>RAMARAJU THIPPA DR.</t>
  </si>
  <si>
    <t>E0226639</t>
  </si>
  <si>
    <t>RAMARAJU THIPPA R          MD</t>
  </si>
  <si>
    <t>233 W 72ND ST</t>
  </si>
  <si>
    <t>Metropolitan Center for Mental Health</t>
  </si>
  <si>
    <t>E0273990</t>
  </si>
  <si>
    <t>METROPOLITAN CTR FOR MNTL HLT</t>
  </si>
  <si>
    <t>FAMILIES AND INDIVIDUALS IN RECOVERY</t>
  </si>
  <si>
    <t>OMH CL TRT</t>
  </si>
  <si>
    <t>Andrew Pardo</t>
  </si>
  <si>
    <t>(212) 362-8755</t>
  </si>
  <si>
    <t>apardo@metropolitancenter.com</t>
  </si>
  <si>
    <t>METROPOLITAN CENTER FOR MENTAL HEALTH</t>
  </si>
  <si>
    <t>(212) 294-8171</t>
  </si>
  <si>
    <t>awassung@glwd.org</t>
  </si>
  <si>
    <t>GOD'S LOVE WE DELIVER, INC.</t>
  </si>
  <si>
    <t>166 AVENUE OF THE AMERICAS</t>
  </si>
  <si>
    <t>635 W 165TH ST BSMT</t>
  </si>
  <si>
    <t>SLRH INPATIENT</t>
  </si>
  <si>
    <t>OH</t>
  </si>
  <si>
    <t>ST BARNABAS HOSPITAL</t>
  </si>
  <si>
    <t>E0194920</t>
  </si>
  <si>
    <t>VNS OF NY HOSPICE CARE</t>
  </si>
  <si>
    <t>VISITING NURSE SERVICE OF NEW YORK HOSPICE CARE</t>
  </si>
  <si>
    <t>1250 BROADWAY</t>
  </si>
  <si>
    <t>NYACK</t>
  </si>
  <si>
    <t>E0323153</t>
  </si>
  <si>
    <t>MCPHERSON CHRISTINA</t>
  </si>
  <si>
    <t>(212) 545-2441</t>
  </si>
  <si>
    <t>MCPHERSON CHRISTINA MS.</t>
  </si>
  <si>
    <t>PRICE LINDSAY</t>
  </si>
  <si>
    <t>E0331091</t>
  </si>
  <si>
    <t>LINDSAY N PRICE</t>
  </si>
  <si>
    <t>PRICE LINDSAY NICOLE</t>
  </si>
  <si>
    <t>EMPIRE STATE HM CARE SER</t>
  </si>
  <si>
    <t>E0068352</t>
  </si>
  <si>
    <t>EMPIRE ST HM CARE SER LTHHCP</t>
  </si>
  <si>
    <t>EMPIRE STATE HOME CARE SERVICES INC</t>
  </si>
  <si>
    <t>15 METROTECH CTR FL 10</t>
  </si>
  <si>
    <t>SLRH</t>
  </si>
  <si>
    <t>BRONX LEB HOSP</t>
  </si>
  <si>
    <t>EMERGENCY DEPT</t>
  </si>
  <si>
    <t>550 1ST AVE</t>
  </si>
  <si>
    <t>MJHS Hospice and Palliative Care</t>
  </si>
  <si>
    <t>E0191415</t>
  </si>
  <si>
    <t>JACOB PERLOW HOSPICE</t>
  </si>
  <si>
    <t>(212) 356-5419</t>
  </si>
  <si>
    <t>jgormley@mjhs.org</t>
  </si>
  <si>
    <t>MJHS HOSPICE AND PALLIATIVE CARE INC.</t>
  </si>
  <si>
    <t>MJHS HOSPICE AND PALLIATIVE CARE</t>
  </si>
  <si>
    <t>39 BROADWAY STE 200</t>
  </si>
  <si>
    <t>Local Government Unit (LGU)/Single Point of Access (SPOA)</t>
  </si>
  <si>
    <t>JACOBI MEDICAL CTR</t>
  </si>
  <si>
    <t>YONKERS GENERAL HOSP</t>
  </si>
  <si>
    <t>MAMARONECK</t>
  </si>
  <si>
    <t>COLUMBIA-PRESBY MC</t>
  </si>
  <si>
    <t>BOUCHARD NICOLE</t>
  </si>
  <si>
    <t>E0030746</t>
  </si>
  <si>
    <t>BOUCHARD NICOLE COLETTE MD</t>
  </si>
  <si>
    <t>CUMC 622 WEST 168 ST</t>
  </si>
  <si>
    <t>MOUNT KISCO</t>
  </si>
  <si>
    <t>NEW YORK CITY</t>
  </si>
  <si>
    <t>630 W 168TH ST</t>
  </si>
  <si>
    <t>1305 YORK AVE</t>
  </si>
  <si>
    <t>POMONA</t>
  </si>
  <si>
    <t>CALVARY HOSPITAL INC</t>
  </si>
  <si>
    <t>E0271758</t>
  </si>
  <si>
    <t>(718) 518-2244</t>
  </si>
  <si>
    <t>All Other:: Clinic:: Hospice:: Hospital</t>
  </si>
  <si>
    <t>1740 EASTCHESTER RD</t>
  </si>
  <si>
    <t>TN</t>
  </si>
  <si>
    <t>95 GRASSLANDS RD</t>
  </si>
  <si>
    <t>BIMC RADIOLOGY</t>
  </si>
  <si>
    <t>MCGINTY GERALDINE</t>
  </si>
  <si>
    <t>E0149781</t>
  </si>
  <si>
    <t>MCGINTY GERALDINE MD</t>
  </si>
  <si>
    <t>STE 3B</t>
  </si>
  <si>
    <t>660 S EUCLID AVE</t>
  </si>
  <si>
    <t>SAINT LOUIS</t>
  </si>
  <si>
    <t>325 W 15TH ST</t>
  </si>
  <si>
    <t>LINCOLN HSP</t>
  </si>
  <si>
    <t>JUNG JESSE DR.</t>
  </si>
  <si>
    <t>E0348755</t>
  </si>
  <si>
    <t>JUNG JESSE J</t>
  </si>
  <si>
    <t>FL 2</t>
  </si>
  <si>
    <t>BRIARCLIFF MANOR</t>
  </si>
  <si>
    <t>Metropolitan Jewish Home Care Inc. d/b/a MJHS Home Care</t>
  </si>
  <si>
    <t>E0059364</t>
  </si>
  <si>
    <t>METROPOLITAN JEWISH HM CARE</t>
  </si>
  <si>
    <t>METROPOLITAN JEWISH HOME CARE INC.</t>
  </si>
  <si>
    <t>440 9TH AVE FL 14</t>
  </si>
  <si>
    <t>600 W 150TH ST</t>
  </si>
  <si>
    <t>E0010172</t>
  </si>
  <si>
    <t>KYMISSIS CARISA MAUREEN MD</t>
  </si>
  <si>
    <t>KYMISSIS CARISA DR.</t>
  </si>
  <si>
    <t>1090 AMSTERDAM AVE</t>
  </si>
  <si>
    <t>HAWTHORNE</t>
  </si>
  <si>
    <t>32 W 18TH ST</t>
  </si>
  <si>
    <t>RIVERDALE MENTAL HEALTH ASSOCIATION</t>
  </si>
  <si>
    <t>RIVERDALE MENTAL HEALTH CLINIC</t>
  </si>
  <si>
    <t>EASTCHESTER</t>
  </si>
  <si>
    <t>PATERSON</t>
  </si>
  <si>
    <t>CALVARY HHA &amp; HOSPICE CARE</t>
  </si>
  <si>
    <t>E0097722</t>
  </si>
  <si>
    <t>CALVARY HOSPITAL INC.</t>
  </si>
  <si>
    <t>1249 5TH AVE</t>
  </si>
  <si>
    <t>HUDSON</t>
  </si>
  <si>
    <t>Menorah Home &amp; Hospital for the Aged &amp; Infirm d/b/a Menorah Center for Rehabilitation and Nursing Care</t>
  </si>
  <si>
    <t>E0228886</t>
  </si>
  <si>
    <t>MENORAH HOME &amp; HOSP AGED INF</t>
  </si>
  <si>
    <t>MENORAH HOME AND HOSPITAL FOR THE AGED AND INFIRM</t>
  </si>
  <si>
    <t>1516 ORIENTAL BLVD</t>
  </si>
  <si>
    <t>E0317317</t>
  </si>
  <si>
    <t>MJG NURSING HOME CO INC LTHHCP</t>
  </si>
  <si>
    <t>MJHC HOME CARE, INC.</t>
  </si>
  <si>
    <t>METROPOLITAN JEWISH LTHHCP</t>
  </si>
  <si>
    <t>6405 7TH AVE</t>
  </si>
  <si>
    <t>NC</t>
  </si>
  <si>
    <t>3959 BROADWAY</t>
  </si>
  <si>
    <t>E0131703</t>
  </si>
  <si>
    <t>KERN JEFFREY HOWARD MD</t>
  </si>
  <si>
    <t>KERN JEFFREY</t>
  </si>
  <si>
    <t>FL 3</t>
  </si>
  <si>
    <t>Kim Woods, MD</t>
  </si>
  <si>
    <t>E0201338</t>
  </si>
  <si>
    <t>WOODS KIM BENJAMIN         MD</t>
  </si>
  <si>
    <t>Kim Woods</t>
  </si>
  <si>
    <t>(718) 401-8030</t>
  </si>
  <si>
    <t>WOODS KIM</t>
  </si>
  <si>
    <t>5901 PALISADE AVE</t>
  </si>
  <si>
    <t>Isabel Ching</t>
  </si>
  <si>
    <t>(212) 349-3724</t>
  </si>
  <si>
    <t>isabel@hmhonline.org</t>
  </si>
  <si>
    <t>SANTAMARIA GRACE</t>
  </si>
  <si>
    <t>E0391054</t>
  </si>
  <si>
    <t>SANTAMARIA GRACE M</t>
  </si>
  <si>
    <t>E0320068</t>
  </si>
  <si>
    <t>ZHAO JINGBO</t>
  </si>
  <si>
    <t>E0004967</t>
  </si>
  <si>
    <t>VNSNY COMMUNITY HEALTH SERVICES</t>
  </si>
  <si>
    <t>All Other:: Case Management / Health Home:: Hospice:: Mental Health</t>
  </si>
  <si>
    <t>VISITING NURSE SERVICE OF NEW YORK HOME CARE II</t>
  </si>
  <si>
    <t>VISITING NURSE SERVICE/NY HM CARE</t>
  </si>
  <si>
    <t>489 E 153RD ST # 493</t>
  </si>
  <si>
    <t>E0143723</t>
  </si>
  <si>
    <t>TAN CHYNE C MD</t>
  </si>
  <si>
    <t>TAN CHYNE</t>
  </si>
  <si>
    <t>42-09 28TH ST FL 18</t>
  </si>
  <si>
    <t>E0179035</t>
  </si>
  <si>
    <t>FRANK PAUL MD</t>
  </si>
  <si>
    <t>FRANK PAUL DR.</t>
  </si>
  <si>
    <t>2856 3RD AVE</t>
  </si>
  <si>
    <t>All Other:: Case Management / Health Home:: Clinic:: Hospital:: Mental Health:: Pharmacy:: Substance Abuse</t>
  </si>
  <si>
    <t>YOUNG CHAINLLIE</t>
  </si>
  <si>
    <t>E0357892</t>
  </si>
  <si>
    <t>21 BLOOMINGDALE RD</t>
  </si>
  <si>
    <t>CHEN JIANPING</t>
  </si>
  <si>
    <t>E0124526</t>
  </si>
  <si>
    <t>CHEN JIANPING MD</t>
  </si>
  <si>
    <t>TIAN WENPING</t>
  </si>
  <si>
    <t>E0390058</t>
  </si>
  <si>
    <t>TAYLOR KEVIA</t>
  </si>
  <si>
    <t>E0332075</t>
  </si>
  <si>
    <t>TAYLOR KEVIA DR.</t>
  </si>
  <si>
    <t>TAYLOR KEVIA L</t>
  </si>
  <si>
    <t>506 LENOX AVE</t>
  </si>
  <si>
    <t>E0127411</t>
  </si>
  <si>
    <t>CHAN ANGELA MEI MD</t>
  </si>
  <si>
    <t>CHAN ANGELA DR.</t>
  </si>
  <si>
    <t>948 48TH ST</t>
  </si>
  <si>
    <t>1065 SOUTHERN BLVD</t>
  </si>
  <si>
    <t>1276 FULTON AVE</t>
  </si>
  <si>
    <t>E0188745</t>
  </si>
  <si>
    <t>REALIZATION CENTER INC</t>
  </si>
  <si>
    <t>Dianne Schwartz</t>
  </si>
  <si>
    <t>(212) 627-9600</t>
  </si>
  <si>
    <t>ds@realizationcenternyc.com</t>
  </si>
  <si>
    <t>REALIZATION CENTER, INC.</t>
  </si>
  <si>
    <t>OAS DETOX</t>
  </si>
  <si>
    <t>ELDERPLAN, INC</t>
  </si>
  <si>
    <t>6323 7TH AVE</t>
  </si>
  <si>
    <t>New York City Department of Health &amp; Mental Hygiene</t>
  </si>
  <si>
    <t>(347) 396-4010</t>
  </si>
  <si>
    <t xml:space="preserve">New York </t>
  </si>
  <si>
    <t>ORTIZ YVETTE</t>
  </si>
  <si>
    <t>E0143044</t>
  </si>
  <si>
    <t>ORTIZ YVETTE A MD</t>
  </si>
  <si>
    <t>2737 3RD AVE</t>
  </si>
  <si>
    <t>HOMEFIRST LHCSA INC DBA METROPOLITAN JEWISH LIC. HOME CARE SERV. AGEN</t>
  </si>
  <si>
    <t>RYE</t>
  </si>
  <si>
    <t>E0123923</t>
  </si>
  <si>
    <t>HE CONG MD</t>
  </si>
  <si>
    <t>HE CONG</t>
  </si>
  <si>
    <t>1510 WATERS PL</t>
  </si>
  <si>
    <t>33 W 42ND ST RM 1029</t>
  </si>
  <si>
    <t>525 EAST 68TH STREET</t>
  </si>
  <si>
    <t>E0118864</t>
  </si>
  <si>
    <t>RUIZ PETER R</t>
  </si>
  <si>
    <t>30 DONGAN PL APT 1K</t>
  </si>
  <si>
    <t>16 GUION PL</t>
  </si>
  <si>
    <t>KAREN HORNEY CLINIC, INC.</t>
  </si>
  <si>
    <t>E0274017</t>
  </si>
  <si>
    <t>KAREN HORNEY CLINIC,INC</t>
  </si>
  <si>
    <t>329 E 62ND ST</t>
  </si>
  <si>
    <t>710 W 168TH ST</t>
  </si>
  <si>
    <t>1101 NOTT ST</t>
  </si>
  <si>
    <t>SCHENECTADY</t>
  </si>
  <si>
    <t>GLENS FALLS</t>
  </si>
  <si>
    <t>ELMIRA</t>
  </si>
  <si>
    <t>SPRINGFIELD</t>
  </si>
  <si>
    <t>3 GATES CIR</t>
  </si>
  <si>
    <t>RED HOOK</t>
  </si>
  <si>
    <t>LTHHCP</t>
  </si>
  <si>
    <t>1044 STATE ST</t>
  </si>
  <si>
    <t>71 PROSPECT AVE STE 110</t>
  </si>
  <si>
    <t>Other Practitioners</t>
  </si>
  <si>
    <t>ME</t>
  </si>
  <si>
    <t>Community Center</t>
  </si>
  <si>
    <t>NY MEDICAL COLLEGE</t>
  </si>
  <si>
    <t>OR</t>
  </si>
  <si>
    <t>1 ATWELL RD</t>
  </si>
  <si>
    <t>COOPERSTOWN</t>
  </si>
  <si>
    <t>GARCIA JUAN CARLOS MD</t>
  </si>
  <si>
    <t>OCEANSIDE</t>
  </si>
  <si>
    <t>601 ELMWOOD AVE</t>
  </si>
  <si>
    <t>PORTLAND</t>
  </si>
  <si>
    <t>PHILADELPHIA</t>
  </si>
  <si>
    <t>PA</t>
  </si>
  <si>
    <t>CHICAGO</t>
  </si>
  <si>
    <t>STE 301</t>
  </si>
  <si>
    <t>AMC DEPT FAMILY PRAC</t>
  </si>
  <si>
    <t>PORT CHESTER</t>
  </si>
  <si>
    <t>GREENWICH</t>
  </si>
  <si>
    <t>101 HOSPITAL RD</t>
  </si>
  <si>
    <t>SMITHTOWN</t>
  </si>
  <si>
    <t>MIDDLETOWN</t>
  </si>
  <si>
    <t>WYCKOFF HGTS MED CTR</t>
  </si>
  <si>
    <t>ROME</t>
  </si>
  <si>
    <t>GARRISON</t>
  </si>
  <si>
    <t>UNITED HOSPITAL</t>
  </si>
  <si>
    <t>All Other:: Clinic:: Pharmacy</t>
  </si>
  <si>
    <t>Valerie Brutus</t>
  </si>
  <si>
    <t>BRUTUS VALERIE</t>
  </si>
  <si>
    <t>FISHKILL</t>
  </si>
  <si>
    <t>CT</t>
  </si>
  <si>
    <t>PH 1-137</t>
  </si>
  <si>
    <t>FISH DOUGLAS</t>
  </si>
  <si>
    <t>RIVERHEAD</t>
  </si>
  <si>
    <t>200 LOTHROP ST</t>
  </si>
  <si>
    <t>PITTSBURGH</t>
  </si>
  <si>
    <t>1425 PORTLAND AVE</t>
  </si>
  <si>
    <t>3400 BAINBRIDGE AVE</t>
  </si>
  <si>
    <t>PORT JEFFERSON</t>
  </si>
  <si>
    <t>SCOTTI LORENZO DR.</t>
  </si>
  <si>
    <t>E0225075</t>
  </si>
  <si>
    <t>SCOTTI LORENZO LOUIS DPM</t>
  </si>
  <si>
    <t>SCOTTI LORENZO LOUIS</t>
  </si>
  <si>
    <t>1826 FOWLER AVE</t>
  </si>
  <si>
    <t>MT SINAI HOSP</t>
  </si>
  <si>
    <t>WOODMERE</t>
  </si>
  <si>
    <t>COMMACK</t>
  </si>
  <si>
    <t>CALAMIA VINCENT</t>
  </si>
  <si>
    <t>E0215206</t>
  </si>
  <si>
    <t>CALAMIA VINCENT            MD</t>
  </si>
  <si>
    <t>STATEN ISLAND HOSPT</t>
  </si>
  <si>
    <t>1060 AMSTERDAM AVE</t>
  </si>
  <si>
    <t>MELVILLE</t>
  </si>
  <si>
    <t>PRESBYTERIAN HSP</t>
  </si>
  <si>
    <t>100 PARK ST</t>
  </si>
  <si>
    <t>Housing</t>
  </si>
  <si>
    <t>FLAMER HAROLD DR.</t>
  </si>
  <si>
    <t>E0111705</t>
  </si>
  <si>
    <t>FLAMER HAROLD E MD</t>
  </si>
  <si>
    <t>Rehab/Therapy</t>
  </si>
  <si>
    <t>MONTICELLO</t>
  </si>
  <si>
    <t>BOSTON</t>
  </si>
  <si>
    <t>SCARSDALE</t>
  </si>
  <si>
    <t>MN</t>
  </si>
  <si>
    <t>WOODBURY</t>
  </si>
  <si>
    <t>GOOD SAMARITAN HOSP</t>
  </si>
  <si>
    <t>DANBURY</t>
  </si>
  <si>
    <t>CAMBRIDGE</t>
  </si>
  <si>
    <t>MONTEFIORE MED CTR</t>
  </si>
  <si>
    <t>JERSEY CITY</t>
  </si>
  <si>
    <t>LIN MICHAEL</t>
  </si>
  <si>
    <t>SAN DIEGO</t>
  </si>
  <si>
    <t>CA</t>
  </si>
  <si>
    <t>PORT JERVIS</t>
  </si>
  <si>
    <t>SUFFERN</t>
  </si>
  <si>
    <t>E0145523</t>
  </si>
  <si>
    <t>DUTKOWSKY JOSEPH P MD</t>
  </si>
  <si>
    <t>DUTKOWSKY JOSEPH DR.</t>
  </si>
  <si>
    <t>MORRISVILLE</t>
  </si>
  <si>
    <t>MARKOWITZ DAVID DR.</t>
  </si>
  <si>
    <t>SACRAMENTO</t>
  </si>
  <si>
    <t>Residential Supports in Community Settings</t>
  </si>
  <si>
    <t>VA</t>
  </si>
  <si>
    <t>STAMFORD</t>
  </si>
  <si>
    <t>OK</t>
  </si>
  <si>
    <t>NY PRESBYTERIAN HSP</t>
  </si>
  <si>
    <t>967 N BROADWAY</t>
  </si>
  <si>
    <t>HAMMOND JENNIFER DR.</t>
  </si>
  <si>
    <t>489 STATE ST</t>
  </si>
  <si>
    <t>BANGOR</t>
  </si>
  <si>
    <t>IN</t>
  </si>
  <si>
    <t>WA</t>
  </si>
  <si>
    <t>BALTIMORE</t>
  </si>
  <si>
    <t>MD</t>
  </si>
  <si>
    <t>BROWN CHRISTOPHER</t>
  </si>
  <si>
    <t>E0211352</t>
  </si>
  <si>
    <t>SHERMAN WARREN             MD</t>
  </si>
  <si>
    <t>SHERMAN WARREN DR.</t>
  </si>
  <si>
    <t>DARBY</t>
  </si>
  <si>
    <t>DURHAM</t>
  </si>
  <si>
    <t>Debra Berg</t>
  </si>
  <si>
    <t>E0289275</t>
  </si>
  <si>
    <t>BERG DEBRA</t>
  </si>
  <si>
    <t>BERG DEBRA DR.</t>
  </si>
  <si>
    <t>900 INTERVALE AVE</t>
  </si>
  <si>
    <t>ST.CHRISTOPHER'S INN</t>
  </si>
  <si>
    <t>E0136176</t>
  </si>
  <si>
    <t>ST CHRISTOPHERS INN INC</t>
  </si>
  <si>
    <t>RT 9 GRAYMOOR PO BOX 150</t>
  </si>
  <si>
    <t>160 W 86TH ST</t>
  </si>
  <si>
    <t>E0341563</t>
  </si>
  <si>
    <t>GONZALEZ KATHERNE</t>
  </si>
  <si>
    <t>GONZALEZ KATHERINE</t>
  </si>
  <si>
    <t>GONZALEZ KATHERNE BRENNEMAN</t>
  </si>
  <si>
    <t>150 ESSEX ST</t>
  </si>
  <si>
    <t>E0337819</t>
  </si>
  <si>
    <t>WIESINGER KATHERINE</t>
  </si>
  <si>
    <t>ALEXANDER KATHERINE</t>
  </si>
  <si>
    <t>1996 AMSTERDAM AVE</t>
  </si>
  <si>
    <t>E0086614</t>
  </si>
  <si>
    <t>ROACH KEITH MD</t>
  </si>
  <si>
    <t>ROACH KEITH</t>
  </si>
  <si>
    <t>505 E 70TH ST</t>
  </si>
  <si>
    <t>NEW CITY</t>
  </si>
  <si>
    <t>150 RIVERSIDE DR</t>
  </si>
  <si>
    <t>2604 3RD AVE</t>
  </si>
  <si>
    <t>E0372701</t>
  </si>
  <si>
    <t>ADDO EVELYN</t>
  </si>
  <si>
    <t>ADDO-WALLACE EVELYN</t>
  </si>
  <si>
    <t>ADDO EVELYN ADWOA</t>
  </si>
  <si>
    <t>81 W 115TH ST</t>
  </si>
  <si>
    <t>E0239594</t>
  </si>
  <si>
    <t>ROBOTTI FLAVIA             MD</t>
  </si>
  <si>
    <t>ROBOTTI FLAVIA</t>
  </si>
  <si>
    <t>227 E 19TH ST</t>
  </si>
  <si>
    <t>E0133425</t>
  </si>
  <si>
    <t>PELZMAN FRED NATHAN MD</t>
  </si>
  <si>
    <t>PELZMAN FRED</t>
  </si>
  <si>
    <t>CORNELL INT MED ASC</t>
  </si>
  <si>
    <t>3718 34TH ST</t>
  </si>
  <si>
    <t>E0076985</t>
  </si>
  <si>
    <t>DOOLEY FRANCIS PATRICK</t>
  </si>
  <si>
    <t>DOOLEY FRANCIS MR.</t>
  </si>
  <si>
    <t>E0041841</t>
  </si>
  <si>
    <t>DJEN SIMON</t>
  </si>
  <si>
    <t>DJEN SIMON ZINGWAH</t>
  </si>
  <si>
    <t>150 ESSEX STREET</t>
  </si>
  <si>
    <t>LEUNG STACY</t>
  </si>
  <si>
    <t>3611 21ST ST</t>
  </si>
  <si>
    <t>9704 SUTPHIN BLVD</t>
  </si>
  <si>
    <t>COMMUNITY HEALTHCARE NETWORK, INC</t>
  </si>
  <si>
    <t>4215 3RD AVE, 2ND FLOOR</t>
  </si>
  <si>
    <t>E0099037</t>
  </si>
  <si>
    <t>HERMAN CRAIG</t>
  </si>
  <si>
    <t>HERMAN CRAIG DR.</t>
  </si>
  <si>
    <t>1120 MORRIS PARK AVE</t>
  </si>
  <si>
    <t>E0311063</t>
  </si>
  <si>
    <t>NAPOLITANO DANIEL LOUIS</t>
  </si>
  <si>
    <t>NAPOLITANO DANIEL DR.</t>
  </si>
  <si>
    <t>16 E 16TH ST</t>
  </si>
  <si>
    <t>E0162990</t>
  </si>
  <si>
    <t>JOHN DAVID H A</t>
  </si>
  <si>
    <t>JOHN DAVID DR.</t>
  </si>
  <si>
    <t>MARY IMMACULATE HOSP</t>
  </si>
  <si>
    <t>E0355579</t>
  </si>
  <si>
    <t>HAMPTON ELISA PADILLA</t>
  </si>
  <si>
    <t>HAMPTON ELISA</t>
  </si>
  <si>
    <t>E0303789</t>
  </si>
  <si>
    <t>DUBOIS ELIZABETH MARIE</t>
  </si>
  <si>
    <t>DUBOIS ELIZABETH</t>
  </si>
  <si>
    <t>E0300611</t>
  </si>
  <si>
    <t>HAHN ERICA KYLE</t>
  </si>
  <si>
    <t>HAHN ERICA</t>
  </si>
  <si>
    <t>511 W 157TH ST</t>
  </si>
  <si>
    <t>E0290462</t>
  </si>
  <si>
    <t>BENJAMIN TAISHA LASHON</t>
  </si>
  <si>
    <t>BENJAMIN TAISHA</t>
  </si>
  <si>
    <t>975 WESTCHESTER AVE</t>
  </si>
  <si>
    <t>E0342694</t>
  </si>
  <si>
    <t>HALL TAMI L</t>
  </si>
  <si>
    <t>HALL TAMI</t>
  </si>
  <si>
    <t>540 FULTON AVE</t>
  </si>
  <si>
    <t>E0328305</t>
  </si>
  <si>
    <t>DUNCAN TAMIKA SIMONE</t>
  </si>
  <si>
    <t>DUNCAN TAMIKA MS.</t>
  </si>
  <si>
    <t>94-98 MANHATTAN AVE</t>
  </si>
  <si>
    <t>E0389462</t>
  </si>
  <si>
    <t>625 E FORDHAM RD</t>
  </si>
  <si>
    <t>E0267685</t>
  </si>
  <si>
    <t>SCHERVIER NURSING CARE CENTER</t>
  </si>
  <si>
    <t>Kity Khundkar</t>
  </si>
  <si>
    <t>(718) 548-1700</t>
  </si>
  <si>
    <t>FRANCES SCHERVIER HOME &amp; HOSPITAL</t>
  </si>
  <si>
    <t>2975 INDEPENDENCE AVE</t>
  </si>
  <si>
    <t>Alice Lam</t>
  </si>
  <si>
    <t>E0365342</t>
  </si>
  <si>
    <t>LAM FUNG YI</t>
  </si>
  <si>
    <t>LAM FUNG</t>
  </si>
  <si>
    <t>1432 5TH AVE</t>
  </si>
  <si>
    <t>E0388337</t>
  </si>
  <si>
    <t>BLIDNAYA LANA</t>
  </si>
  <si>
    <t>999 BLAKE AVE</t>
  </si>
  <si>
    <t>E0337845</t>
  </si>
  <si>
    <t>SANDERS LAUREN JACQUELINE</t>
  </si>
  <si>
    <t>SANDERS LAUREN</t>
  </si>
  <si>
    <t>E0382779</t>
  </si>
  <si>
    <t>SMALDONE LAUREN</t>
  </si>
  <si>
    <t>SMALDONE LAUREN MS.</t>
  </si>
  <si>
    <t>SMALDONE LAUREN A</t>
  </si>
  <si>
    <t>E0372261</t>
  </si>
  <si>
    <t>CLOUTIER-CHAMPAGNE LAURENCE</t>
  </si>
  <si>
    <t>E0000475</t>
  </si>
  <si>
    <t>SCHWARTZ-MOSER LAURIE</t>
  </si>
  <si>
    <t>SCHWARTZ-MOSER LAURIE MS.</t>
  </si>
  <si>
    <t>E0215426</t>
  </si>
  <si>
    <t>KRAMER LAWRENCE DAVID      MD</t>
  </si>
  <si>
    <t>KRAMER LAWRENCE DR.</t>
  </si>
  <si>
    <t>CWMC</t>
  </si>
  <si>
    <t>RATLIFF MAEGAN</t>
  </si>
  <si>
    <t>E0038318</t>
  </si>
  <si>
    <t>FIEVRE GARNES MARIE FT MD</t>
  </si>
  <si>
    <t>GARNES MARIE DR.</t>
  </si>
  <si>
    <t>1125 FULTON ST</t>
  </si>
  <si>
    <t>FALLS CHURCH</t>
  </si>
  <si>
    <t>Wendy Brennan</t>
  </si>
  <si>
    <t>(212) 684-3365</t>
  </si>
  <si>
    <t>wbrennan@naminyc.org</t>
  </si>
  <si>
    <t>E0303347</t>
  </si>
  <si>
    <t>CARNEVALE CAROLINE</t>
  </si>
  <si>
    <t>E0335562</t>
  </si>
  <si>
    <t>ARGUS COMMUNITY INC</t>
  </si>
  <si>
    <t>507 W 145TH ST</t>
  </si>
  <si>
    <t>ST BARNABAS HOSP</t>
  </si>
  <si>
    <t>2270 KIMBALL ST</t>
  </si>
  <si>
    <t>1101 PELHAM PKWY N</t>
  </si>
  <si>
    <t>E0373201</t>
  </si>
  <si>
    <t>FRANCOIS MARIE</t>
  </si>
  <si>
    <t>FRANCOIS MARIE MS.</t>
  </si>
  <si>
    <t>FRANCOIS MARIE BEDJOANA</t>
  </si>
  <si>
    <t>259 1ST ST</t>
  </si>
  <si>
    <t>Vincent Calamia</t>
  </si>
  <si>
    <t>E0195415</t>
  </si>
  <si>
    <t>YOUNG CONSTANCE A MD PLLC</t>
  </si>
  <si>
    <t>Corina Sharp</t>
  </si>
  <si>
    <t>csharp@chnnyc.org</t>
  </si>
  <si>
    <t>YOUNG CONSTANCE DR.</t>
  </si>
  <si>
    <t>120 W 57TH ST</t>
  </si>
  <si>
    <t>Visiting Nurse Service of New York Home Care</t>
  </si>
  <si>
    <t>sarah.larson@vnsny.org</t>
  </si>
  <si>
    <t>SLEEPY HOLLOW</t>
  </si>
  <si>
    <t>Elizabeth Dubois</t>
  </si>
  <si>
    <t>ARGUS COMMUNITY, INC.</t>
  </si>
  <si>
    <t>E0026423</t>
  </si>
  <si>
    <t>OAS CL 2FL</t>
  </si>
  <si>
    <t>E0311781</t>
  </si>
  <si>
    <t>760 EAST 160TH ST CELLAR</t>
  </si>
  <si>
    <t>4781 BROADWAY</t>
  </si>
  <si>
    <t>58 E 116TH ST</t>
  </si>
  <si>
    <t>pbeitchman@thebridgeny.org</t>
  </si>
  <si>
    <t>DEPT OF ANESTHESIA</t>
  </si>
  <si>
    <t>Sandra Nieves-Rosado</t>
  </si>
  <si>
    <t>E0313507</t>
  </si>
  <si>
    <t>NIEVES ROSADO SANDRA</t>
  </si>
  <si>
    <t>NIEVES ROSADO SANDRA DR.</t>
  </si>
  <si>
    <t>E0372697</t>
  </si>
  <si>
    <t>ALI AMANDA ELIZABETH</t>
  </si>
  <si>
    <t>ALI AMANDA</t>
  </si>
  <si>
    <t>E0017020</t>
  </si>
  <si>
    <t>CARD ANDREA DIONE MD</t>
  </si>
  <si>
    <t>CARD ANDREA DR.</t>
  </si>
  <si>
    <t>E0155353</t>
  </si>
  <si>
    <t>ST VINCENT DEPAUL RES ADHC</t>
  </si>
  <si>
    <t>ST VINCENT DE PAUL RESIDENCE</t>
  </si>
  <si>
    <t>E0355153</t>
  </si>
  <si>
    <t>MIKHEYEV VYACHESLAV</t>
  </si>
  <si>
    <t>CHEONG WENDY</t>
  </si>
  <si>
    <t>E0382783</t>
  </si>
  <si>
    <t>TREYSTER ZOYA</t>
  </si>
  <si>
    <t>TREYSTER ZOYA DR.</t>
  </si>
  <si>
    <t>E0379086</t>
  </si>
  <si>
    <t>GAUTHIER ANGIE R</t>
  </si>
  <si>
    <t>HYLTON ANGIE</t>
  </si>
  <si>
    <t>HYLTON ANGIE RUTH</t>
  </si>
  <si>
    <t>1167 NOSTRAND AVE</t>
  </si>
  <si>
    <t>E0076578</t>
  </si>
  <si>
    <t>PORIZKOVA ANNA M</t>
  </si>
  <si>
    <t>PORIZKOVA ANNA MS.</t>
  </si>
  <si>
    <t>E0019862</t>
  </si>
  <si>
    <t>JAISWAL ARTI CHANDER MD</t>
  </si>
  <si>
    <t>JAISWAL ARTI</t>
  </si>
  <si>
    <t>104 FULTON AVE</t>
  </si>
  <si>
    <t>E0055628</t>
  </si>
  <si>
    <t>TIMOTHY BEVERLY ANTONIA RN</t>
  </si>
  <si>
    <t>TIMOTHY BEVERLY</t>
  </si>
  <si>
    <t>TIMOTHY BEVERLY ANTONIA</t>
  </si>
  <si>
    <t>E0150259</t>
  </si>
  <si>
    <t>DEMOPOULOS BYRON P MD</t>
  </si>
  <si>
    <t>DEMOPOULOS BYRON</t>
  </si>
  <si>
    <t>E0202020</t>
  </si>
  <si>
    <t>RAMIS CARMEN MARIA MD</t>
  </si>
  <si>
    <t>RAMIS CARMEN DR.</t>
  </si>
  <si>
    <t>36 7TH AVE</t>
  </si>
  <si>
    <t>E0363925</t>
  </si>
  <si>
    <t>KREMPASKY CHANCE NICHOLAS</t>
  </si>
  <si>
    <t>KREMPASKY CHANCE</t>
  </si>
  <si>
    <t>Marvin Teich</t>
  </si>
  <si>
    <t>E0278099</t>
  </si>
  <si>
    <t>TEICH MARVIN L MD</t>
  </si>
  <si>
    <t>TEICH MARVIN</t>
  </si>
  <si>
    <t>665 THWAITES PL</t>
  </si>
  <si>
    <t>E0186265</t>
  </si>
  <si>
    <t>DOMINICAN SISTERS FAMILY LTHH</t>
  </si>
  <si>
    <t>Mary Zagajeski</t>
  </si>
  <si>
    <t>DOMINICAN SISTERS FAMILY HEALTH SERVICE INC</t>
  </si>
  <si>
    <t>OSSINING</t>
  </si>
  <si>
    <t>E0266928</t>
  </si>
  <si>
    <t>DOMINICAN SISTER FAMILY HEALT</t>
  </si>
  <si>
    <t>299 N HIGHLAND AVE</t>
  </si>
  <si>
    <t>E0366373</t>
  </si>
  <si>
    <t>CATHOLIC MANAGED LONG TERM INC</t>
  </si>
  <si>
    <t>CATHOLIC MANAGED LONG TERM CARE INC</t>
  </si>
  <si>
    <t>E0303277</t>
  </si>
  <si>
    <t>MANCHANDA-GERA AKANKSHA</t>
  </si>
  <si>
    <t>GERA AKANKSHA DR.</t>
  </si>
  <si>
    <t>E0189515</t>
  </si>
  <si>
    <t>ARGUS COMMUNITY,INC</t>
  </si>
  <si>
    <t>CONT TRT OMH</t>
  </si>
  <si>
    <t>HARLEM FAC PRCT</t>
  </si>
  <si>
    <t>E0290447</t>
  </si>
  <si>
    <t>JOHNSON SHARON</t>
  </si>
  <si>
    <t>JOHNSON SHARON DENISE</t>
  </si>
  <si>
    <t>PRADHAN SHEENA</t>
  </si>
  <si>
    <t>E0310577</t>
  </si>
  <si>
    <t>MORGAN SHEREE</t>
  </si>
  <si>
    <t>MORGAN SHEREE DR.</t>
  </si>
  <si>
    <t>Toni Otello</t>
  </si>
  <si>
    <t>E0347403</t>
  </si>
  <si>
    <t>OTELLO TONI ANNE</t>
  </si>
  <si>
    <t>OTELLO TONI</t>
  </si>
  <si>
    <t>5030 BROADWAY STE 201</t>
  </si>
  <si>
    <t>E0329926</t>
  </si>
  <si>
    <t>PETROS JESSICA THERESA</t>
  </si>
  <si>
    <t>PETROS JESSICA DR.</t>
  </si>
  <si>
    <t>175 REMSEN ST FL 4</t>
  </si>
  <si>
    <t>E0084889</t>
  </si>
  <si>
    <t>TUNG JUDY MD</t>
  </si>
  <si>
    <t>TUNG JUDY</t>
  </si>
  <si>
    <t># HT-4</t>
  </si>
  <si>
    <t>E0020100</t>
  </si>
  <si>
    <t>ISAACS-CHARLES KAREN ANN MD</t>
  </si>
  <si>
    <t>ISAACS-CHARLES KAREN DR.</t>
  </si>
  <si>
    <t>111 ORBACH AVE</t>
  </si>
  <si>
    <t>MALVERNE</t>
  </si>
  <si>
    <t>E0382767</t>
  </si>
  <si>
    <t>CIMT KARENE</t>
  </si>
  <si>
    <t>CIME KARENE MRS.</t>
  </si>
  <si>
    <t>CIME KARENE</t>
  </si>
  <si>
    <t>4215 3RD AVE FL 2</t>
  </si>
  <si>
    <t>E0267754</t>
  </si>
  <si>
    <t>METHODIST CHURCH HOME FOR THE</t>
  </si>
  <si>
    <t>mperez@mchny.org</t>
  </si>
  <si>
    <t>METHODIST CHURCH HOME FOR THE AGED IN THE CITY OF NEW YORK</t>
  </si>
  <si>
    <t>METHODIST HOME FOR NURSING &amp; REHAB</t>
  </si>
  <si>
    <t>4499 MANHATTAN COLLEGE PKWY</t>
  </si>
  <si>
    <t>E0077036</t>
  </si>
  <si>
    <t>CHRISTOPHE GLADYS</t>
  </si>
  <si>
    <t>E0041545</t>
  </si>
  <si>
    <t>CHOW GRACE A MD</t>
  </si>
  <si>
    <t>CHOW GRACE</t>
  </si>
  <si>
    <t>E0057457</t>
  </si>
  <si>
    <t>TADDEO GREGORY DDS</t>
  </si>
  <si>
    <t>TADDEO GREGORY DR.</t>
  </si>
  <si>
    <t>TADDEO GREGORY ROBERT</t>
  </si>
  <si>
    <t>221 W 21ST ST APT 4A</t>
  </si>
  <si>
    <t>E0060108</t>
  </si>
  <si>
    <t>MAJE HAFIZ</t>
  </si>
  <si>
    <t>E0064949</t>
  </si>
  <si>
    <t>WEINER HOLLY H</t>
  </si>
  <si>
    <t>WEINER HOLLY MS.</t>
  </si>
  <si>
    <t>WEINER HOLLY</t>
  </si>
  <si>
    <t>E0009680</t>
  </si>
  <si>
    <t>SERRANO ILEANA</t>
  </si>
  <si>
    <t>SERRANO ILEANA DR.</t>
  </si>
  <si>
    <t>SERRANO ILEANA MARIE</t>
  </si>
  <si>
    <t>E0142811</t>
  </si>
  <si>
    <t>BIEN-AIME JEAN L MD</t>
  </si>
  <si>
    <t>BIEN-AIME JEAN</t>
  </si>
  <si>
    <t>OCEAN BEHAV HLTH SER</t>
  </si>
  <si>
    <t>E0305992</t>
  </si>
  <si>
    <t>BALFOUR JENNIFER</t>
  </si>
  <si>
    <t>BALFOUR JENNIFER DR.</t>
  </si>
  <si>
    <t>E0318247</t>
  </si>
  <si>
    <t>TAN JENNY YU</t>
  </si>
  <si>
    <t>TAN JENNY</t>
  </si>
  <si>
    <t>E0085670</t>
  </si>
  <si>
    <t>ABRAHAM MARTHE MD</t>
  </si>
  <si>
    <t>ABRAHAM MARTHE</t>
  </si>
  <si>
    <t>2277 GRAND AVE</t>
  </si>
  <si>
    <t>BALDWIN</t>
  </si>
  <si>
    <t>10 NATHAN D PERLMAN PL</t>
  </si>
  <si>
    <t>ST LUKES ROOSVLT HOS</t>
  </si>
  <si>
    <t>E0337900</t>
  </si>
  <si>
    <t>ANGLADE CLAUDIA</t>
  </si>
  <si>
    <t>ANGLADE CLAUDIA DR.</t>
  </si>
  <si>
    <t>LEE NANCY</t>
  </si>
  <si>
    <t>3160 21ST ST</t>
  </si>
  <si>
    <t>E0372757</t>
  </si>
  <si>
    <t>MITCHELL CLEMAINE C</t>
  </si>
  <si>
    <t>MITCHELL CLEMAINE</t>
  </si>
  <si>
    <t>E0230109</t>
  </si>
  <si>
    <t>COMMUNITY HEALTHCARE NETWORK</t>
  </si>
  <si>
    <t>4215 CRESCENT ST</t>
  </si>
  <si>
    <t>Rosemary Martinez</t>
  </si>
  <si>
    <t>HARLEM FAC PRAC</t>
  </si>
  <si>
    <t>E0169539</t>
  </si>
  <si>
    <t>ASSOC REHAB CM &amp; HOUSING INC</t>
  </si>
  <si>
    <t>(212) 274-8558</t>
  </si>
  <si>
    <t>djohansson@acmhnyc.org</t>
  </si>
  <si>
    <t>THE ASSOCIATION FOR REHABILITATIVE CASE MANAGEMENT AND HOUSING</t>
  </si>
  <si>
    <t>545 8TH AVE ROOM 910</t>
  </si>
  <si>
    <t>515 AUDUBON AVE</t>
  </si>
  <si>
    <t>731 WHITE PLAINS RD</t>
  </si>
  <si>
    <t>SAN ANTONIO</t>
  </si>
  <si>
    <t>TX</t>
  </si>
  <si>
    <t>Antonios, Vera S, MD</t>
  </si>
  <si>
    <t>E0024478</t>
  </si>
  <si>
    <t>ANTONIOS VERA SALIM MD</t>
  </si>
  <si>
    <t>(212) 803-2850</t>
  </si>
  <si>
    <t>cjordan@harlemunited.org</t>
  </si>
  <si>
    <t>ANTONIOS VERA</t>
  </si>
  <si>
    <t>E0020160</t>
  </si>
  <si>
    <t>GRANIERI EVELYN CARMELA MD</t>
  </si>
  <si>
    <t>GRANIERI EVELYN DR.</t>
  </si>
  <si>
    <t>E0007402</t>
  </si>
  <si>
    <t>PREDRAG POPOVIC MD</t>
  </si>
  <si>
    <t>POPOVIC PREDRAG</t>
  </si>
  <si>
    <t>POPOVIC PREDRAG MD</t>
  </si>
  <si>
    <t>E0285077</t>
  </si>
  <si>
    <t>THOMAS BINDHU KANJIRAVILAYIL MD</t>
  </si>
  <si>
    <t>THOMAS BINDHU</t>
  </si>
  <si>
    <t>E0078828</t>
  </si>
  <si>
    <t>YIN XIAOSHUANG MD</t>
  </si>
  <si>
    <t>YIN XIAOSHUANG DR.</t>
  </si>
  <si>
    <t>YIN XIAOSHUANG</t>
  </si>
  <si>
    <t>SCHWARTZ RACHEL</t>
  </si>
  <si>
    <t>Karen Staple</t>
  </si>
  <si>
    <t>E0337904</t>
  </si>
  <si>
    <t>STAPLES KAREN</t>
  </si>
  <si>
    <t>STAPLE KAREN MRS.</t>
  </si>
  <si>
    <t>STAPLE KAREN</t>
  </si>
  <si>
    <t>Barcavage, Shuan R, NP</t>
  </si>
  <si>
    <t>E0369228</t>
  </si>
  <si>
    <t>BARCAVAGE SHAUN</t>
  </si>
  <si>
    <t>(212) 803-2852</t>
  </si>
  <si>
    <t>123 W 124TH ST</t>
  </si>
  <si>
    <t>Bookhardt-Murray, Lois</t>
  </si>
  <si>
    <t>E0192574</t>
  </si>
  <si>
    <t>BOOKHARDT-MURRAY LOIS J</t>
  </si>
  <si>
    <t>(212) 803-2854</t>
  </si>
  <si>
    <t>BOOKHARDT-MURRAY LOIS DR.</t>
  </si>
  <si>
    <t>HARLEM INT MED PRACT</t>
  </si>
  <si>
    <t>Boudreaux, Tyson J, MD</t>
  </si>
  <si>
    <t>E0342356</t>
  </si>
  <si>
    <t>BOUDREAUX TYSON</t>
  </si>
  <si>
    <t>(212) 803-2855</t>
  </si>
  <si>
    <t>BOUDREAUX TYSON DR.</t>
  </si>
  <si>
    <t>BOUDREAUX TYSON JUDE</t>
  </si>
  <si>
    <t>123 W 124TH ST # 125</t>
  </si>
  <si>
    <t>Narcisse, Debra A, NP</t>
  </si>
  <si>
    <t>E0335240</t>
  </si>
  <si>
    <t>NARCISSE DEBRA</t>
  </si>
  <si>
    <t>(212) 803-2856</t>
  </si>
  <si>
    <t>NARCISSE DEBRA MISS</t>
  </si>
  <si>
    <t>Tolbert-Walker, Derrick J, MD</t>
  </si>
  <si>
    <t>E0128589</t>
  </si>
  <si>
    <t>TOLBERT-WALKER DERRICK J MD</t>
  </si>
  <si>
    <t>(212) 803-2857</t>
  </si>
  <si>
    <t>TOLBERT-WALKER DERRICK DR.</t>
  </si>
  <si>
    <t>Yared, Thomas, MD</t>
  </si>
  <si>
    <t>E0265574</t>
  </si>
  <si>
    <t>YARED THOMAS A             MD</t>
  </si>
  <si>
    <t>(212) 803-2858</t>
  </si>
  <si>
    <t>YARED THOMAS</t>
  </si>
  <si>
    <t>STE 604</t>
  </si>
  <si>
    <t>Ziemba, Jessica C., RPA-C</t>
  </si>
  <si>
    <t>(212) 803-2859</t>
  </si>
  <si>
    <t>ZIEMBA JESSICA</t>
  </si>
  <si>
    <t>Young-Geye, Stephanie Y, PMHNP</t>
  </si>
  <si>
    <t>E0324382</t>
  </si>
  <si>
    <t>YOUNG-GEYE STEPHANIE</t>
  </si>
  <si>
    <t>(212) 803-2860</t>
  </si>
  <si>
    <t>YOUNG-GEYE STEPHANIE MRS.</t>
  </si>
  <si>
    <t>2515 QUEENS PLZ N</t>
  </si>
  <si>
    <t>E0322099</t>
  </si>
  <si>
    <t>CIOTTI ANDREW JAMES</t>
  </si>
  <si>
    <t>(212) 803-2862</t>
  </si>
  <si>
    <t>CIOTTI ANDREW MR.</t>
  </si>
  <si>
    <t>9498 MANHATTAN AVE</t>
  </si>
  <si>
    <t>Beyer, Lori, LMSW</t>
  </si>
  <si>
    <t>E0376370</t>
  </si>
  <si>
    <t>BEYER LORI</t>
  </si>
  <si>
    <t>(212) 803-2864</t>
  </si>
  <si>
    <t>BEYER LORI MS.</t>
  </si>
  <si>
    <t>179 EAST 116TH STREE</t>
  </si>
  <si>
    <t>Gorseth, Karin, LMSW</t>
  </si>
  <si>
    <t>E0349131</t>
  </si>
  <si>
    <t>GORSETH KARIN</t>
  </si>
  <si>
    <t>(212) 803-2865</t>
  </si>
  <si>
    <t>Gumbs, Cahlelah L, LMSW</t>
  </si>
  <si>
    <t>E0376368</t>
  </si>
  <si>
    <t>GUMBS CAHLELAH</t>
  </si>
  <si>
    <t>(212) 803-2866</t>
  </si>
  <si>
    <t>Katz, Abigail T, LCSW</t>
  </si>
  <si>
    <t>E0344296</t>
  </si>
  <si>
    <t>KATZ ABIGAIL</t>
  </si>
  <si>
    <t>(212) 803-2868</t>
  </si>
  <si>
    <t>Mailman, Toby F, LCSW</t>
  </si>
  <si>
    <t>E0325653</t>
  </si>
  <si>
    <t>MAILMAN TOBY</t>
  </si>
  <si>
    <t>(212) 803-2869</t>
  </si>
  <si>
    <t>MAILMAN TOBY MS.</t>
  </si>
  <si>
    <t>179 E 116TH ST</t>
  </si>
  <si>
    <t>Wholley, Preston T, LMSW</t>
  </si>
  <si>
    <t>E0378307</t>
  </si>
  <si>
    <t>WHOLLEY PRESTON</t>
  </si>
  <si>
    <t>123 W 24TH ST # 125</t>
  </si>
  <si>
    <t>Merrick, Kareem J, DDS</t>
  </si>
  <si>
    <t>E0338705</t>
  </si>
  <si>
    <t>MERRICK KAREEM</t>
  </si>
  <si>
    <t>MERRICK KAREEM DR.</t>
  </si>
  <si>
    <t>123-125WEST 124TH STREET</t>
  </si>
  <si>
    <t>Ngo, Linda L, DDS</t>
  </si>
  <si>
    <t>E0317370</t>
  </si>
  <si>
    <t>NGO LINDA L</t>
  </si>
  <si>
    <t>NGO LINDA DR.</t>
  </si>
  <si>
    <t>125 E BURNSIDE AVE</t>
  </si>
  <si>
    <t>Health Home Program</t>
  </si>
  <si>
    <t>E0333589</t>
  </si>
  <si>
    <t>UPPER ROOM AIDS MINISTRY AADC</t>
  </si>
  <si>
    <t>UPPER ROOM AIDS MINISTRY, INC. ADULT DAY HEALTH CARE CENTER.</t>
  </si>
  <si>
    <t>123-125 W 124TH ST</t>
  </si>
  <si>
    <t>Adult Day Healthcare</t>
  </si>
  <si>
    <t>E0124369</t>
  </si>
  <si>
    <t>HARLEM UNITED COM AIDS CTR AI</t>
  </si>
  <si>
    <t>306 MALCOLM X BLVD</t>
  </si>
  <si>
    <t>E0336680</t>
  </si>
  <si>
    <t>BUSSE JENNIFER ALISON</t>
  </si>
  <si>
    <t>BUSSE JENNIFER</t>
  </si>
  <si>
    <t>E0031969</t>
  </si>
  <si>
    <t>WEISSMAN MATTHEW ARON MD</t>
  </si>
  <si>
    <t>WEISSMAN MATTHEW</t>
  </si>
  <si>
    <t>OLSON MELISSA</t>
  </si>
  <si>
    <t>E0315937</t>
  </si>
  <si>
    <t>MARTIN MICHELLE</t>
  </si>
  <si>
    <t>E0310708</t>
  </si>
  <si>
    <t>DUDEK MONA</t>
  </si>
  <si>
    <t>E0320977</t>
  </si>
  <si>
    <t>JENKINS MONIQUE</t>
  </si>
  <si>
    <t>94 MANHATTAN AVE # 98</t>
  </si>
  <si>
    <t>E0317144</t>
  </si>
  <si>
    <t>BUSSOLETTI NATALEE MARIE</t>
  </si>
  <si>
    <t>BUSSOLETTI NATALEE</t>
  </si>
  <si>
    <t>E0355553</t>
  </si>
  <si>
    <t>MCGINNIS NATHAN LAMAR</t>
  </si>
  <si>
    <t>MCGINNIS NATHAN DR.</t>
  </si>
  <si>
    <t>E0293967</t>
  </si>
  <si>
    <t>DUNCAN NEASHA</t>
  </si>
  <si>
    <t>MCMEO NEASHA</t>
  </si>
  <si>
    <t>MCMEO NEASHA DEANN</t>
  </si>
  <si>
    <t>52 E 14TH ST</t>
  </si>
  <si>
    <t>E0301525</t>
  </si>
  <si>
    <t>CHARNOW NOEMI</t>
  </si>
  <si>
    <t>CHARNOW NOEMI ANNE</t>
  </si>
  <si>
    <t>NYC</t>
  </si>
  <si>
    <t>701 N BROADWAY</t>
  </si>
  <si>
    <t>E0189629</t>
  </si>
  <si>
    <t>COMMUNITY HLTHCARE NETWORK AI</t>
  </si>
  <si>
    <t>E0298334</t>
  </si>
  <si>
    <t>APOLAYA PAMELA EVELYN</t>
  </si>
  <si>
    <t>APOLAYA PAMELA</t>
  </si>
  <si>
    <t>E0033369</t>
  </si>
  <si>
    <t>SINCLAIR PAULA ALMALINDA MD</t>
  </si>
  <si>
    <t>SINCLAIR PAULA DR.</t>
  </si>
  <si>
    <t>E0382652</t>
  </si>
  <si>
    <t>GONZALEZ PEDRO</t>
  </si>
  <si>
    <t>GONZALEZ-MORALES PEDRO DR.</t>
  </si>
  <si>
    <t>GONZALEZ PEDRO LUIS</t>
  </si>
  <si>
    <t>E0299123</t>
  </si>
  <si>
    <t>AMIN PRINA PANDYA</t>
  </si>
  <si>
    <t>AMIN PRINA</t>
  </si>
  <si>
    <t>525 E 68TH ST # M-6</t>
  </si>
  <si>
    <t>E0382838</t>
  </si>
  <si>
    <t>GHAEL PRIYA</t>
  </si>
  <si>
    <t>E0297335</t>
  </si>
  <si>
    <t>SUMMERS REBECCA</t>
  </si>
  <si>
    <t>SUMMERS REBECCA DR.</t>
  </si>
  <si>
    <t>SUMMERS REBECCA CHASE</t>
  </si>
  <si>
    <t>9498 MANHATTAN AVENUE</t>
  </si>
  <si>
    <t>E0026871</t>
  </si>
  <si>
    <t>TAVARES ROSANABELA MD</t>
  </si>
  <si>
    <t>TAVARES ROSA ANABELA DR.</t>
  </si>
  <si>
    <t>E0122028</t>
  </si>
  <si>
    <t>OLIVERA ROSEMARIE R CNM</t>
  </si>
  <si>
    <t>OLIVERA ROSEMARIE MS.</t>
  </si>
  <si>
    <t>60 MADISON AVE 5TH FL</t>
  </si>
  <si>
    <t>E0386258</t>
  </si>
  <si>
    <t>FERGUSON SACHA</t>
  </si>
  <si>
    <t>FERGUSON SACHA MS.</t>
  </si>
  <si>
    <t>FERGUSON SACHA JENKINS</t>
  </si>
  <si>
    <t>E0345094</t>
  </si>
  <si>
    <t>OKOYE SAFIYYAH MARYAM</t>
  </si>
  <si>
    <t>OKOYE SAFIYYAH MS.</t>
  </si>
  <si>
    <t>3641 21ST ST</t>
  </si>
  <si>
    <t>E0091982</t>
  </si>
  <si>
    <t>MOHAMMAD SAJJAD</t>
  </si>
  <si>
    <t>MOHAMMAD SAJJAD DR.</t>
  </si>
  <si>
    <t>E0143293</t>
  </si>
  <si>
    <t>HALL-ROSS SANDRA M MD</t>
  </si>
  <si>
    <t>HALL-ROSS SANDRA</t>
  </si>
  <si>
    <t>CORNELL INTERNAL MED</t>
  </si>
  <si>
    <t>E0011295</t>
  </si>
  <si>
    <t>1875 LEXINGTON AVENUE CORP OF NEW Y</t>
  </si>
  <si>
    <t>1875 LEXINGTON AVENUE CORP OF NEW YORK</t>
  </si>
  <si>
    <t>1875 LEXINGTON AVE</t>
  </si>
  <si>
    <t>E0304189</t>
  </si>
  <si>
    <t>27 AUDUBON PHARMACY CORP</t>
  </si>
  <si>
    <t>27 AUDUBON AVE</t>
  </si>
  <si>
    <t>NEW YORK HOSP</t>
  </si>
  <si>
    <t>E0040287</t>
  </si>
  <si>
    <t>ROLSTON SANDRA A MD</t>
  </si>
  <si>
    <t>ROLSTON SANDRA</t>
  </si>
  <si>
    <t>BMERF</t>
  </si>
  <si>
    <t>NM</t>
  </si>
  <si>
    <t>CLIFTON SPRINGS</t>
  </si>
  <si>
    <t>161 RIVERSIDE DR</t>
  </si>
  <si>
    <t>MONTEFIORE MED GRP</t>
  </si>
  <si>
    <t>NEW MILFORD</t>
  </si>
  <si>
    <t>NEW HAVEN</t>
  </si>
  <si>
    <t>MIAMI</t>
  </si>
  <si>
    <t>Long Term Managed Care</t>
  </si>
  <si>
    <t>622 W 168TH ST FL 14</t>
  </si>
  <si>
    <t>RI</t>
  </si>
  <si>
    <t>KIM YOUNG</t>
  </si>
  <si>
    <t>55 PALMER AVE</t>
  </si>
  <si>
    <t>BRONXVILLE</t>
  </si>
  <si>
    <t>TEANECK</t>
  </si>
  <si>
    <t>4 COULTER RD</t>
  </si>
  <si>
    <t>YORK</t>
  </si>
  <si>
    <t>ANDREWS SARAH</t>
  </si>
  <si>
    <t>HUSSAIN FARAH</t>
  </si>
  <si>
    <t>E0322870</t>
  </si>
  <si>
    <t>HILLARD MACKENZI</t>
  </si>
  <si>
    <t>HILLARD MACKENZI NICOLE</t>
  </si>
  <si>
    <t>525 E 68TH ST # M-610</t>
  </si>
  <si>
    <t>WESTFIELD</t>
  </si>
  <si>
    <t>MI</t>
  </si>
  <si>
    <t>AZ</t>
  </si>
  <si>
    <t>DEPT OF FAMILY MED</t>
  </si>
  <si>
    <t>BROWN MARC</t>
  </si>
  <si>
    <t>CINCINNATI</t>
  </si>
  <si>
    <t>600 IVY ST STE 201</t>
  </si>
  <si>
    <t>525 E 68TH ST # 585</t>
  </si>
  <si>
    <t>SMITH PAULA</t>
  </si>
  <si>
    <t>GREENBERG STEVEN DAVID MD</t>
  </si>
  <si>
    <t>WANG DAVID DR.</t>
  </si>
  <si>
    <t>NASHVILLE</t>
  </si>
  <si>
    <t>HI</t>
  </si>
  <si>
    <t>JACKSON</t>
  </si>
  <si>
    <t>DALLAS</t>
  </si>
  <si>
    <t>THOMPSON SARAH</t>
  </si>
  <si>
    <t>OMAHA</t>
  </si>
  <si>
    <t>NE</t>
  </si>
  <si>
    <t>PROVIDENCE</t>
  </si>
  <si>
    <t>LAUREL</t>
  </si>
  <si>
    <t>TURNER WILLIAM</t>
  </si>
  <si>
    <t>MILLER DAVID</t>
  </si>
  <si>
    <t>60 PROSPECT AVE</t>
  </si>
  <si>
    <t>FLYNN JOHN</t>
  </si>
  <si>
    <t>MILWAUKEE</t>
  </si>
  <si>
    <t>WI</t>
  </si>
  <si>
    <t>GA</t>
  </si>
  <si>
    <t>BUFFALO COLUMBUS HSP</t>
  </si>
  <si>
    <t>SEATTLE</t>
  </si>
  <si>
    <t>SALT LAKE CITY</t>
  </si>
  <si>
    <t>UT</t>
  </si>
  <si>
    <t>COHEN ROBERT DR.</t>
  </si>
  <si>
    <t>SNELLVILLE</t>
  </si>
  <si>
    <t>160 N MIDLAND AVE</t>
  </si>
  <si>
    <t>105 STEVENS AVE</t>
  </si>
  <si>
    <t>75 FRANCIS ST</t>
  </si>
  <si>
    <t>EARLY MICHAEL MR.</t>
  </si>
  <si>
    <t>525 E 68TH ST, NEWYORK-PRESBYTERIAN/ WEILL CORNELL</t>
  </si>
  <si>
    <t>E0350047</t>
  </si>
  <si>
    <t>SANTIAGO MIGUEL</t>
  </si>
  <si>
    <t>SANTIAGO MIGUEL MR.</t>
  </si>
  <si>
    <t>SANTIAGO MIGUEL ANTONIO</t>
  </si>
  <si>
    <t>200 E GUN HILL RD</t>
  </si>
  <si>
    <t>ASSOC EMERG VC2-205</t>
  </si>
  <si>
    <t>Extraordinary Home Care d/b/a St. Mary's Home Care</t>
  </si>
  <si>
    <t>E0319833</t>
  </si>
  <si>
    <t>EXTRAORDINARY HOME CARE</t>
  </si>
  <si>
    <t>34TH AND CIVIC CENTER BLVD</t>
  </si>
  <si>
    <t>E0271665</t>
  </si>
  <si>
    <t>BLYTHEDALE CHILDRENS HOSPITAL</t>
  </si>
  <si>
    <t>(914) 831-2412</t>
  </si>
  <si>
    <t>BLYTHEDALE CHILDREN'S HOSPITAL</t>
  </si>
  <si>
    <t>BRADHURST AVE</t>
  </si>
  <si>
    <t>606 OLD ROUTE 17</t>
  </si>
  <si>
    <t>535 E 70TH ST</t>
  </si>
  <si>
    <t>BREWSTER</t>
  </si>
  <si>
    <t>ORANGEBURG</t>
  </si>
  <si>
    <t>230 HILTON AVE</t>
  </si>
  <si>
    <t>100 WOODS RD</t>
  </si>
  <si>
    <t>111 EAST 210TH ST</t>
  </si>
  <si>
    <t>Patricia Tursi</t>
  </si>
  <si>
    <t>(914) 294-6301</t>
  </si>
  <si>
    <t>ptursi@setonpediatric.org</t>
  </si>
  <si>
    <t>E0343633</t>
  </si>
  <si>
    <t>HOFMANN JOANNA FRANCES</t>
  </si>
  <si>
    <t>HOFMANN JOANNA</t>
  </si>
  <si>
    <t>8814 FOSTER AVE FL 2</t>
  </si>
  <si>
    <t>E0359316</t>
  </si>
  <si>
    <t>EKANADHAM HIMABINDU</t>
  </si>
  <si>
    <t>HASTINGS ON HUDSON</t>
  </si>
  <si>
    <t>317 NORTH ST</t>
  </si>
  <si>
    <t>E0174705</t>
  </si>
  <si>
    <t>KAMEN STEWART M DPM PC</t>
  </si>
  <si>
    <t>KAMEN STEWART DR.</t>
  </si>
  <si>
    <t>1 STONE PL</t>
  </si>
  <si>
    <t>E0117542</t>
  </si>
  <si>
    <t>KIM HEAHYUNG MD</t>
  </si>
  <si>
    <t>KIM HEAKYUNG</t>
  </si>
  <si>
    <t>KIM HEAHYUNG</t>
  </si>
  <si>
    <t>180 FORT WASHINGTON AVE STE 199</t>
  </si>
  <si>
    <t>E0214120</t>
  </si>
  <si>
    <t>FATICA NUNZIA              MD</t>
  </si>
  <si>
    <t>FATICA NUNZIA</t>
  </si>
  <si>
    <t>THE NEW YORK HOSP</t>
  </si>
  <si>
    <t>24 HOSPITAL AVE</t>
  </si>
  <si>
    <t>E0101011</t>
  </si>
  <si>
    <t>WHANG EUGENE J MD</t>
  </si>
  <si>
    <t>WHANG EUGENE</t>
  </si>
  <si>
    <t>3620 E TREMONT AVE</t>
  </si>
  <si>
    <t>WEST NYACK</t>
  </si>
  <si>
    <t>E0279320</t>
  </si>
  <si>
    <t>RAND JACOB H               MD</t>
  </si>
  <si>
    <t>RAND JACOB</t>
  </si>
  <si>
    <t>GUGGENHEIN HALL 10FL</t>
  </si>
  <si>
    <t>ECAL JOSE DR.</t>
  </si>
  <si>
    <t>768 W SIDE AVE</t>
  </si>
  <si>
    <t>ENGLEWOOD</t>
  </si>
  <si>
    <t>E0033858</t>
  </si>
  <si>
    <t>D'ALESSANDRO ANGELA MARIE</t>
  </si>
  <si>
    <t>D'ALESSANDRO ANGELA</t>
  </si>
  <si>
    <t>E0242573</t>
  </si>
  <si>
    <t>RUBINSTEIN BORIS</t>
  </si>
  <si>
    <t>RUBINSTEIN BORIS DR.</t>
  </si>
  <si>
    <t>623 WARBURTON AVE</t>
  </si>
  <si>
    <t>Sajjad Mohammad</t>
  </si>
  <si>
    <t>E0181564</t>
  </si>
  <si>
    <t>DIMOND CAROL L   MD</t>
  </si>
  <si>
    <t>DIMOND CAROL</t>
  </si>
  <si>
    <t>E0245917</t>
  </si>
  <si>
    <t>LECHICH ANTHONY J          MD</t>
  </si>
  <si>
    <t>LECHICH ANTHONY</t>
  </si>
  <si>
    <t>40 SAW MILL RIVER RD</t>
  </si>
  <si>
    <t>ROSLYN HEIGHTS</t>
  </si>
  <si>
    <t>E0042700</t>
  </si>
  <si>
    <t>GLICK ARTHUR A</t>
  </si>
  <si>
    <t>GLICK ARTHUR MR.</t>
  </si>
  <si>
    <t>MURPHY JULIE</t>
  </si>
  <si>
    <t>516 E NIZHONI BLVD</t>
  </si>
  <si>
    <t>GALLUP</t>
  </si>
  <si>
    <t>E0276170</t>
  </si>
  <si>
    <t>MANSUETO JOSE L            MD</t>
  </si>
  <si>
    <t>MANSUETO JOSE DR.</t>
  </si>
  <si>
    <t>329 MYRTLE AVE</t>
  </si>
  <si>
    <t>140 LOCKWOOD AVE</t>
  </si>
  <si>
    <t>E0198055</t>
  </si>
  <si>
    <t>BERLINER NEIL EVAN</t>
  </si>
  <si>
    <t>BERLINER NEIL DR.</t>
  </si>
  <si>
    <t>73 LENOX AVE # 75</t>
  </si>
  <si>
    <t>NEW BRUNSWICK</t>
  </si>
  <si>
    <t>E0140864</t>
  </si>
  <si>
    <t>DOGIM LILA MD</t>
  </si>
  <si>
    <t>DOGIM LILA DR.</t>
  </si>
  <si>
    <t>E0343765</t>
  </si>
  <si>
    <t>WEISS YEHUDIS BELLE</t>
  </si>
  <si>
    <t>WEISS YEHUDIS</t>
  </si>
  <si>
    <t>1150 SAINT NICHOLAS AVE</t>
  </si>
  <si>
    <t>GERMANTOWN</t>
  </si>
  <si>
    <t>E0218323</t>
  </si>
  <si>
    <t>MAW KYEE TINT              MD</t>
  </si>
  <si>
    <t>MAW KYEE DR.</t>
  </si>
  <si>
    <t>3925 65TH ST</t>
  </si>
  <si>
    <t>MURPHY DENISE</t>
  </si>
  <si>
    <t>E0213059</t>
  </si>
  <si>
    <t>DEUTSCH VICKI-JO           MD</t>
  </si>
  <si>
    <t>DEUTSCH VICKI-JO</t>
  </si>
  <si>
    <t>David Grayson</t>
  </si>
  <si>
    <t>david@graysonandco.com</t>
  </si>
  <si>
    <t>E0287239</t>
  </si>
  <si>
    <t>KINI JYOTI</t>
  </si>
  <si>
    <t>3251 WESTCHESTER AVE</t>
  </si>
  <si>
    <t>E0074900</t>
  </si>
  <si>
    <t>BAKER MARGARET NP</t>
  </si>
  <si>
    <t>BAKER MARGARET MS.</t>
  </si>
  <si>
    <t>17 GLEN POND DR STE 3</t>
  </si>
  <si>
    <t>E0306416</t>
  </si>
  <si>
    <t>CHILDRENS REHABILITATION CENTER</t>
  </si>
  <si>
    <t>CHILDREN'S REHABILITATION CENTER, INC.</t>
  </si>
  <si>
    <t>RYE BROOK</t>
  </si>
  <si>
    <t>E0242566</t>
  </si>
  <si>
    <t>WINIK JOSEPH S             MD</t>
  </si>
  <si>
    <t>WINIK JOSEPH DR.</t>
  </si>
  <si>
    <t>WINIK JOSEPH</t>
  </si>
  <si>
    <t>44 W 62ND ST</t>
  </si>
  <si>
    <t>E0316791</t>
  </si>
  <si>
    <t>PILLAI SOPHIA</t>
  </si>
  <si>
    <t>PILLAI SOPHIA DR.</t>
  </si>
  <si>
    <t>PILLAI SOPHIA MUTHUSWAMY</t>
  </si>
  <si>
    <t>Elizabeth Seton Pediatric Center</t>
  </si>
  <si>
    <t>E0190362</t>
  </si>
  <si>
    <t>ELIZABETH SETON PEDIATRIC CENTER</t>
  </si>
  <si>
    <t>Nancy Bullock</t>
  </si>
  <si>
    <t>(914) 294-6303</t>
  </si>
  <si>
    <t>NEW YORK FOUNDLING HOSPITAL CENTER FOR PEDIATRIC MEDICAL AND</t>
  </si>
  <si>
    <t>300 CORPORATE BLVD S</t>
  </si>
  <si>
    <t>E0132476</t>
  </si>
  <si>
    <t>VAMADEVAN NALLASIVAM MD</t>
  </si>
  <si>
    <t>NALLASIVAM VAMADEVAN DR.</t>
  </si>
  <si>
    <t>LICH NPA PC PEDS</t>
  </si>
  <si>
    <t>365 ROUTE 304 STE 102</t>
  </si>
  <si>
    <t>BARDONIA</t>
  </si>
  <si>
    <t>E0061771</t>
  </si>
  <si>
    <t>BELAYNEH LULENESH MD</t>
  </si>
  <si>
    <t>BELAYNEH LULENESH</t>
  </si>
  <si>
    <t>E0385224</t>
  </si>
  <si>
    <t>WHEELER SANDRA E</t>
  </si>
  <si>
    <t>WHEELER SANDRA</t>
  </si>
  <si>
    <t>23 CANFIELD ST</t>
  </si>
  <si>
    <t>E0298961</t>
  </si>
  <si>
    <t>FARRELL SANDRA</t>
  </si>
  <si>
    <t>FARRELL SANDRA MRS.</t>
  </si>
  <si>
    <t>FARRELL SANDRA N</t>
  </si>
  <si>
    <t>E0162268</t>
  </si>
  <si>
    <t>POMERANTZ JANET ROBERTA MD</t>
  </si>
  <si>
    <t>POMERANTZ JANET</t>
  </si>
  <si>
    <t>POMERANTZ JANET ROBERTA</t>
  </si>
  <si>
    <t>380 WASHINGTON AVE</t>
  </si>
  <si>
    <t>E0121442</t>
  </si>
  <si>
    <t>SCHOFIELD BARBARA S MD</t>
  </si>
  <si>
    <t>SCHOFIELD BARBARA</t>
  </si>
  <si>
    <t>E0142098</t>
  </si>
  <si>
    <t>TAN PATRICIA T MD</t>
  </si>
  <si>
    <t>TAN PATRICIA</t>
  </si>
  <si>
    <t>440 MERRICK TD</t>
  </si>
  <si>
    <t>EDISON</t>
  </si>
  <si>
    <t>COLUMBIA PRESB HSP</t>
  </si>
  <si>
    <t>BAKER JASON DR.</t>
  </si>
  <si>
    <t># VC-4-402</t>
  </si>
  <si>
    <t>1 GUSTAVE L LEVY PL, ANESTHESIOLOGY - BOX 1010</t>
  </si>
  <si>
    <t>E0359332</t>
  </si>
  <si>
    <t>MCNAMARA COURTNEY</t>
  </si>
  <si>
    <t>MCNAMARA COURTNEY ANN</t>
  </si>
  <si>
    <t>700 POST RD</t>
  </si>
  <si>
    <t>LEVY RICHARD</t>
  </si>
  <si>
    <t>722 W 168TH ST</t>
  </si>
  <si>
    <t>E0361664</t>
  </si>
  <si>
    <t>KIRSCH ANDREW THOMAS</t>
  </si>
  <si>
    <t>KIRSCH ANDREW DR.</t>
  </si>
  <si>
    <t>26 SHERMAN AVE</t>
  </si>
  <si>
    <t>3448 BOSTON POST RD</t>
  </si>
  <si>
    <t>622 W 168TH ST PH 1-137</t>
  </si>
  <si>
    <t>121A W 20TH ST</t>
  </si>
  <si>
    <t>PURCHASE</t>
  </si>
  <si>
    <t>MORRISTOWN</t>
  </si>
  <si>
    <t>5110 12TH AVE</t>
  </si>
  <si>
    <t>CONNORS ROBERT</t>
  </si>
  <si>
    <t>850 AMSTERDAM AVE</t>
  </si>
  <si>
    <t>E0066774</t>
  </si>
  <si>
    <t>RYNTZ TIMOTHY E MD</t>
  </si>
  <si>
    <t>RYNTZ TIMOTHY DR.</t>
  </si>
  <si>
    <t>E0064794</t>
  </si>
  <si>
    <t>WALTERS-PELHAM HILSA O RPA</t>
  </si>
  <si>
    <t>WALTERS-PELHAM HILSA</t>
  </si>
  <si>
    <t>EINSTEIN HOSP</t>
  </si>
  <si>
    <t>E0149261</t>
  </si>
  <si>
    <t>NEU NATALIE M MD</t>
  </si>
  <si>
    <t>NEU NATALIE DR.</t>
  </si>
  <si>
    <t>COLUMBIA PRESB</t>
  </si>
  <si>
    <t>635 W 165TH ST</t>
  </si>
  <si>
    <t>E0031461</t>
  </si>
  <si>
    <t>DOUSMANIS ATHANASIOS G MD</t>
  </si>
  <si>
    <t>DOUSMANIS ATHANASIOS DR.</t>
  </si>
  <si>
    <t>WEISS DAVID</t>
  </si>
  <si>
    <t>234 E 149TH ST RM 8D-200</t>
  </si>
  <si>
    <t>244 WESTCHESTER AVE</t>
  </si>
  <si>
    <t>E0153115</t>
  </si>
  <si>
    <t>WILLIAM LAURENCE MD</t>
  </si>
  <si>
    <t>WILLIAMS LAURENCE DR.</t>
  </si>
  <si>
    <t>E0152741</t>
  </si>
  <si>
    <t>MINKEN TODD JEFFREY MD</t>
  </si>
  <si>
    <t>MINKEN TODD DR.</t>
  </si>
  <si>
    <t>128 ASHFORD AVE</t>
  </si>
  <si>
    <t>E0296790</t>
  </si>
  <si>
    <t>KHOURY THOMAS PETER MD</t>
  </si>
  <si>
    <t>KHOURY THOMAS DR.</t>
  </si>
  <si>
    <t>E0221003</t>
  </si>
  <si>
    <t>AZEEZ ABDUL C K            MD</t>
  </si>
  <si>
    <t>AZEEZ ABDUL DR.</t>
  </si>
  <si>
    <t>SUITE 308 B</t>
  </si>
  <si>
    <t>E0346959</t>
  </si>
  <si>
    <t>TLOUGAN BROOK</t>
  </si>
  <si>
    <t>TLOUGAN BROOK DR.</t>
  </si>
  <si>
    <t>TLOUGAN BROOK ALAN</t>
  </si>
  <si>
    <t>2 OVERHILL RD STE 330</t>
  </si>
  <si>
    <t>E0129564</t>
  </si>
  <si>
    <t>PACHECO-FOWLER VICTOR MD</t>
  </si>
  <si>
    <t>PACHECO-FOWLER VICTOR</t>
  </si>
  <si>
    <t>MITCHELL JOHN</t>
  </si>
  <si>
    <t>E0163219</t>
  </si>
  <si>
    <t>STILLMAN JOSHUA I  MD</t>
  </si>
  <si>
    <t>STILLMAN JOSHUA DR.</t>
  </si>
  <si>
    <t>600 N WOLFE ST</t>
  </si>
  <si>
    <t>LOS ANGELES</t>
  </si>
  <si>
    <t>E0311860</t>
  </si>
  <si>
    <t>HOBEIKA PETER</t>
  </si>
  <si>
    <t>2016 BRONXDALE AVE</t>
  </si>
  <si>
    <t>E0249779</t>
  </si>
  <si>
    <t>HOLSTEIN STANLEY BENJAMIN</t>
  </si>
  <si>
    <t>HOLSTEIN STANLEY</t>
  </si>
  <si>
    <t>E0140023</t>
  </si>
  <si>
    <t>ABDO FARID FAWZI MD</t>
  </si>
  <si>
    <t>ABDO FARID</t>
  </si>
  <si>
    <t>E0339712</t>
  </si>
  <si>
    <t>SUH EDWARD HYUN</t>
  </si>
  <si>
    <t>SUH EDWARD DR.</t>
  </si>
  <si>
    <t>177 FORT WASHINGTON AVE</t>
  </si>
  <si>
    <t>NY UNIVERSITY</t>
  </si>
  <si>
    <t>2590 FRISBY AVE</t>
  </si>
  <si>
    <t>STEIN JEFFREY DR.</t>
  </si>
  <si>
    <t>E0186584</t>
  </si>
  <si>
    <t>SILBERMAN MARK S MD</t>
  </si>
  <si>
    <t>SILBERMAN MARK DR.</t>
  </si>
  <si>
    <t>MEDNET HLTHCARE GRP</t>
  </si>
  <si>
    <t>E0011645</t>
  </si>
  <si>
    <t>WILLEY JOSHUA ZEBADIAH MD</t>
  </si>
  <si>
    <t>WILLEY JOSHUA DR.</t>
  </si>
  <si>
    <t>E0352752</t>
  </si>
  <si>
    <t>SERRA THERESA MARIE</t>
  </si>
  <si>
    <t>SERRA THERESA DR.</t>
  </si>
  <si>
    <t>3415 BAINSBRIDGE AVENUE</t>
  </si>
  <si>
    <t>PATEL SEJAL</t>
  </si>
  <si>
    <t>CHANG JONATHAN DR.</t>
  </si>
  <si>
    <t>RUBIN MARK</t>
  </si>
  <si>
    <t># VC2-205</t>
  </si>
  <si>
    <t>525 EAST 68TH STREET BOX 585</t>
  </si>
  <si>
    <t>SHIN JOSEPH</t>
  </si>
  <si>
    <t>MEDINA CARLOS</t>
  </si>
  <si>
    <t>WESTWOOD</t>
  </si>
  <si>
    <t>SLRH INPATIENT WARD</t>
  </si>
  <si>
    <t>E0387901</t>
  </si>
  <si>
    <t>THEVENTHIRAN ALEX B</t>
  </si>
  <si>
    <t>THEVENTHIRAN ALEX DR.</t>
  </si>
  <si>
    <t>E0219106</t>
  </si>
  <si>
    <t>ROSEN DOUGLAS I            MD</t>
  </si>
  <si>
    <t>ROSEN DOUGLAS</t>
  </si>
  <si>
    <t>E0324485</t>
  </si>
  <si>
    <t>PANARELLI NICOLE</t>
  </si>
  <si>
    <t>PANARELLI NICOLE DR.</t>
  </si>
  <si>
    <t>POSNER JONATHAN</t>
  </si>
  <si>
    <t>E0410003</t>
  </si>
  <si>
    <t>MONI SAILA</t>
  </si>
  <si>
    <t>MONI SAILA SARMIN</t>
  </si>
  <si>
    <t>Aubrey Balcom</t>
  </si>
  <si>
    <t>(646) 633-4738</t>
  </si>
  <si>
    <t>abalcom@archcare.org</t>
  </si>
  <si>
    <t>E0301570</t>
  </si>
  <si>
    <t>LEVINE ALYSON</t>
  </si>
  <si>
    <t>LEVINE ALYSON DR.</t>
  </si>
  <si>
    <t>LEVINE ALYSON ANDREASEN</t>
  </si>
  <si>
    <t>1000 NORTHERN BLVD</t>
  </si>
  <si>
    <t>1500 LANSDOWNE AVE</t>
  </si>
  <si>
    <t>E0296933</t>
  </si>
  <si>
    <t>BALAZS HALMOS</t>
  </si>
  <si>
    <t>HALMOS BALAZS</t>
  </si>
  <si>
    <t>PARK AVE MED CARE</t>
  </si>
  <si>
    <t>600 HIGHLAND AVE</t>
  </si>
  <si>
    <t>MADISON</t>
  </si>
  <si>
    <t>E0296375</t>
  </si>
  <si>
    <t>KUMAR JUHI</t>
  </si>
  <si>
    <t>(212) 337-5755</t>
  </si>
  <si>
    <t>Allisons@villagecare.org</t>
  </si>
  <si>
    <t>95 CRYSTAL RUN RD</t>
  </si>
  <si>
    <t>STEIN EMILY</t>
  </si>
  <si>
    <t>E0153669</t>
  </si>
  <si>
    <t>BOAN DRUGS INC</t>
  </si>
  <si>
    <t>1873 AMSTERDAM AVE</t>
  </si>
  <si>
    <t>E0091451</t>
  </si>
  <si>
    <t>SCHER DAVID MARX MD</t>
  </si>
  <si>
    <t>SCHER DAVID</t>
  </si>
  <si>
    <t>SCHER DAVID MARX</t>
  </si>
  <si>
    <t>(718) 401-5650</t>
  </si>
  <si>
    <t>dlowy@arguscommunity.org</t>
  </si>
  <si>
    <t>(212) 752-4973</t>
  </si>
  <si>
    <t>eeng@archcare.org</t>
  </si>
  <si>
    <t>E0151585</t>
  </si>
  <si>
    <t>AIDS SVC CTR MANHATTEN AI</t>
  </si>
  <si>
    <t>(212) 645-0875</t>
  </si>
  <si>
    <t>marcy@ascnyc.org</t>
  </si>
  <si>
    <t>AIDS SERVICE CENTER OF LOWER MANHATTAN, INC</t>
  </si>
  <si>
    <t>AIDS SERVICE CTR LOWER MANHATTAN</t>
  </si>
  <si>
    <t>64 W 35TH ST FL 3</t>
  </si>
  <si>
    <t>E0016875</t>
  </si>
  <si>
    <t>LEGASTO ALAN CLINT MD</t>
  </si>
  <si>
    <t>LEGASTO ALAN DR.</t>
  </si>
  <si>
    <t>424 E 89TH ST</t>
  </si>
  <si>
    <t>80 CENTRAL PARK W</t>
  </si>
  <si>
    <t>(212) 426-3400</t>
  </si>
  <si>
    <t>jholland@northsidecenter.org</t>
  </si>
  <si>
    <t>344 W 36TH ST</t>
  </si>
  <si>
    <t>E0372177</t>
  </si>
  <si>
    <t>GANGOO AMANDA K</t>
  </si>
  <si>
    <t>GANGOO AMANDA DR.</t>
  </si>
  <si>
    <t>E0015660</t>
  </si>
  <si>
    <t>SANCHEZ CARLOS ALBERTO</t>
  </si>
  <si>
    <t>SANCHEZ CARLOS DR.</t>
  </si>
  <si>
    <t>E0364126</t>
  </si>
  <si>
    <t>NOVAKOVIC VLADAN</t>
  </si>
  <si>
    <t>NOVAKOVIC VLADAN DR.</t>
  </si>
  <si>
    <t>83 MAIDEN LN FL 6</t>
  </si>
  <si>
    <t>1623 KINGS HWY</t>
  </si>
  <si>
    <t>279 E 3RD ST</t>
  </si>
  <si>
    <t>LEE JENNIFER DR.</t>
  </si>
  <si>
    <t>E0356838</t>
  </si>
  <si>
    <t>COX KATHERINE ANNE</t>
  </si>
  <si>
    <t>COX KATHERINE DR.</t>
  </si>
  <si>
    <t>E0354139</t>
  </si>
  <si>
    <t>BROOKS STEVEN ELLIOT</t>
  </si>
  <si>
    <t>BROOKS STEVEN DR.</t>
  </si>
  <si>
    <t>1470 MADISON AVE</t>
  </si>
  <si>
    <t>TENNESSEE TRACEY</t>
  </si>
  <si>
    <t>WASHINGTON</t>
  </si>
  <si>
    <t>DC</t>
  </si>
  <si>
    <t>LEE JENNIFER</t>
  </si>
  <si>
    <t>6200 SW 73RD ST</t>
  </si>
  <si>
    <t>SOUTH MIAMI</t>
  </si>
  <si>
    <t>FIRST AVENUE AT 16TH STREET</t>
  </si>
  <si>
    <t>E0419543</t>
  </si>
  <si>
    <t>RIVERA ARGELIS</t>
  </si>
  <si>
    <t>353 E 17TH ST, 2ND FLOOR, ROOM 223</t>
  </si>
  <si>
    <t>E0146062</t>
  </si>
  <si>
    <t>VILLAGE CENTER FOR CARE AI</t>
  </si>
  <si>
    <t>VILLAGE CENTER FOR CARE</t>
  </si>
  <si>
    <t>154 CHRISTOPHER ST</t>
  </si>
  <si>
    <t>E0268107</t>
  </si>
  <si>
    <t>ISABELLA GERIATRIC CTR INC</t>
  </si>
  <si>
    <t>ISABELLA GERIATRIC CENTER, INC.</t>
  </si>
  <si>
    <t>E0296903</t>
  </si>
  <si>
    <t>MARCO MARZANTAN</t>
  </si>
  <si>
    <t>TAN MARCO</t>
  </si>
  <si>
    <t>TAN MARCO MARZAN</t>
  </si>
  <si>
    <t>KLEIN ROBERT</t>
  </si>
  <si>
    <t>SAN FRANCISCO</t>
  </si>
  <si>
    <t>763 56TH ST STE 1</t>
  </si>
  <si>
    <t>EL PASO</t>
  </si>
  <si>
    <t>550 1ST AVE, NYU LANGONE MEDICAL CENTER</t>
  </si>
  <si>
    <t>E0111901</t>
  </si>
  <si>
    <t>IRIS HOUSE AI</t>
  </si>
  <si>
    <t>IRIS HOUSE, INC.</t>
  </si>
  <si>
    <t>IRIS HOUSE A CTR/WOMEN LIV WITH HIV</t>
  </si>
  <si>
    <t>2271 2ND AVE</t>
  </si>
  <si>
    <t>SUITE 2R</t>
  </si>
  <si>
    <t>BETH ISRAEL MED CTR</t>
  </si>
  <si>
    <t>TORRANCE</t>
  </si>
  <si>
    <t>16 E 60TH ST</t>
  </si>
  <si>
    <t>520 E 70TH ST</t>
  </si>
  <si>
    <t>COLUMBIA PRESBYTERIA</t>
  </si>
  <si>
    <t>1339 YORK AVE</t>
  </si>
  <si>
    <t>506 6TH STREET, NY METHODIST HOSPITAL</t>
  </si>
  <si>
    <t>16TH STREET AT 1ST AVE</t>
  </si>
  <si>
    <t>GILLETT IRINA MS.</t>
  </si>
  <si>
    <t>POTTOORE ESTHER</t>
  </si>
  <si>
    <t>2015 GRAND CONCOURSE, 4TH FLOOR</t>
  </si>
  <si>
    <t>E0191768</t>
  </si>
  <si>
    <t>BENNETT STEPHEN J MD</t>
  </si>
  <si>
    <t>BENNETT STEPHEN</t>
  </si>
  <si>
    <t>254 W 10TH ST</t>
  </si>
  <si>
    <t>NY DOWNTOWN HSP</t>
  </si>
  <si>
    <t>E0329769</t>
  </si>
  <si>
    <t>GOLDKLANG MONICA</t>
  </si>
  <si>
    <t>GOLDKLANG MONICA DR.</t>
  </si>
  <si>
    <t>E0278651</t>
  </si>
  <si>
    <t>SOLLACCIO PETER A          MD</t>
  </si>
  <si>
    <t>SOLLACCIO PETER DR.</t>
  </si>
  <si>
    <t>SOLLACCIO PETER A</t>
  </si>
  <si>
    <t>352 7TH AVE RM 805</t>
  </si>
  <si>
    <t>E0081663</t>
  </si>
  <si>
    <t>PASLEY PETER MACPHERSON MD</t>
  </si>
  <si>
    <t>PASLEY PETER DR.</t>
  </si>
  <si>
    <t>29 WASHINGTON SQ W</t>
  </si>
  <si>
    <t>JONES JENNIFER</t>
  </si>
  <si>
    <t>E0287287</t>
  </si>
  <si>
    <t>LAI ANNE</t>
  </si>
  <si>
    <t>LAI ANNE MISS</t>
  </si>
  <si>
    <t>LAI ANNE TZE-CHIEN</t>
  </si>
  <si>
    <t>E0320237</t>
  </si>
  <si>
    <t>SATLIN MICHAEL J MD</t>
  </si>
  <si>
    <t>SATLIN MICHAEL DR.</t>
  </si>
  <si>
    <t>MOTEFIORE MED CTR</t>
  </si>
  <si>
    <t>1 GUSTAVE LEVY PL</t>
  </si>
  <si>
    <t>HARLEM FACULTY PRAC</t>
  </si>
  <si>
    <t>E0073305</t>
  </si>
  <si>
    <t>PARRINELLO MICHAEL CHRISTOPHER</t>
  </si>
  <si>
    <t>PARRINELLO MICHAEL</t>
  </si>
  <si>
    <t>801 W 190TH ST</t>
  </si>
  <si>
    <t>E0285338</t>
  </si>
  <si>
    <t>DACANAY MARIA CARMELA E NP</t>
  </si>
  <si>
    <t>EVANGELISTA MARIA CARMELA</t>
  </si>
  <si>
    <t>EVANGELISTA MARIA CARMELA YU SAM</t>
  </si>
  <si>
    <t>161 FORT WASHINGTON AVE FL 2</t>
  </si>
  <si>
    <t>E0188844</t>
  </si>
  <si>
    <t>GONZALEZ ORLANDO JR MD</t>
  </si>
  <si>
    <t>GONZALEZ ORLANDO DR.</t>
  </si>
  <si>
    <t>78 TODT HILL RD STE 107</t>
  </si>
  <si>
    <t>E0182978</t>
  </si>
  <si>
    <t>SCHWARTZ ELLIOT I MD P C</t>
  </si>
  <si>
    <t>SCHWARTZ ELLIOT DR.</t>
  </si>
  <si>
    <t>10 SAINT PAULS PL</t>
  </si>
  <si>
    <t>ABALOLA MEMOUDOU</t>
  </si>
  <si>
    <t>230 W 113TH ST APT 3D</t>
  </si>
  <si>
    <t>E0366324</t>
  </si>
  <si>
    <t>GILHOOLEY DYMPHNA</t>
  </si>
  <si>
    <t>GILHOOLEY DYMPHNA MS.</t>
  </si>
  <si>
    <t>114 AMSTERDAM AVE</t>
  </si>
  <si>
    <t>ST LUKES HOSP-ED</t>
  </si>
  <si>
    <t>E0260732</t>
  </si>
  <si>
    <t>GORMAN B DAVID MD</t>
  </si>
  <si>
    <t>GORMAN B.DAVID DR.</t>
  </si>
  <si>
    <t>GORMAN B DAVID</t>
  </si>
  <si>
    <t>1115 5TH AVE</t>
  </si>
  <si>
    <t>E0274999</t>
  </si>
  <si>
    <t>MITCHELL JOHN P            MD</t>
  </si>
  <si>
    <t>226 W 135TH ST</t>
  </si>
  <si>
    <t>NY PRESBYTERIAN</t>
  </si>
  <si>
    <t>E0180974</t>
  </si>
  <si>
    <t>DOCU THEODORE COSTA MD</t>
  </si>
  <si>
    <t>DOCU THEODORE</t>
  </si>
  <si>
    <t>DOCU THEODORE COSTA</t>
  </si>
  <si>
    <t>506 FORT WASHINGTON AVE # 1FL</t>
  </si>
  <si>
    <t>CHOI SANDRA</t>
  </si>
  <si>
    <t>170 WILLIAM ST, DEPARTMENT OF ANESTHESIA</t>
  </si>
  <si>
    <t>E0111672</t>
  </si>
  <si>
    <t>MILANI HALEH MD</t>
  </si>
  <si>
    <t>MILANI HALEH DR.</t>
  </si>
  <si>
    <t>622 W 168TH ST # 4</t>
  </si>
  <si>
    <t>E0278712</t>
  </si>
  <si>
    <t>SHALHOUB EDWARD H          MD</t>
  </si>
  <si>
    <t>SHALHOUB EDWARD</t>
  </si>
  <si>
    <t>SHALHOUB EDWARD H MD</t>
  </si>
  <si>
    <t>VASSALLO MICHAEL DR.</t>
  </si>
  <si>
    <t>121 E 60TH ST, 10C</t>
  </si>
  <si>
    <t>550 FIRST AVENUE, NYU LANGONE MEDICAL CENTER</t>
  </si>
  <si>
    <t>HONOLULU</t>
  </si>
  <si>
    <t>E0124492</t>
  </si>
  <si>
    <t>KAMAL LINDA ANN MD</t>
  </si>
  <si>
    <t>KAMAL LINDA</t>
  </si>
  <si>
    <t>ST CLARES HOSP &amp; HC</t>
  </si>
  <si>
    <t>E0179358</t>
  </si>
  <si>
    <t>RAMAN BHARATHI MD</t>
  </si>
  <si>
    <t>RAMAN BHARATHI</t>
  </si>
  <si>
    <t>415 E 93RD ST</t>
  </si>
  <si>
    <t>NY PRESB HSP</t>
  </si>
  <si>
    <t>525 E 68TH ST # A101</t>
  </si>
  <si>
    <t>O'DONNELL THOMAS</t>
  </si>
  <si>
    <t>170 WILLIAM ST, ANESTHESIOLOGY</t>
  </si>
  <si>
    <t>E0308782</t>
  </si>
  <si>
    <t>WALKER TONYA NICOLE</t>
  </si>
  <si>
    <t>WALKER TONYA DR.</t>
  </si>
  <si>
    <t>SHARP HUGH MR.</t>
  </si>
  <si>
    <t>133 E 73RD ST</t>
  </si>
  <si>
    <t>2100 DORCHESTER AVE</t>
  </si>
  <si>
    <t>DORCHESTER</t>
  </si>
  <si>
    <t>1790 BROADWAY</t>
  </si>
  <si>
    <t>BERNSTEIN ROBERT DR.</t>
  </si>
  <si>
    <t>E0211996</t>
  </si>
  <si>
    <t>ROMAS NICHOLAS ACHILLES    MD</t>
  </si>
  <si>
    <t>ROMAS NICHOLAS</t>
  </si>
  <si>
    <t>622 WEST 168TH STREE</t>
  </si>
  <si>
    <t>COLUMBIA PRESBY</t>
  </si>
  <si>
    <t>1000 10TH AVE, DEPARTMENT OF MEDICINE</t>
  </si>
  <si>
    <t>630 W 168TH ST # 4</t>
  </si>
  <si>
    <t>300 LONGWOOD AVE</t>
  </si>
  <si>
    <t>PANORAMA CITY</t>
  </si>
  <si>
    <t>STANFORD</t>
  </si>
  <si>
    <t>RAHWAY</t>
  </si>
  <si>
    <t>E0289357</t>
  </si>
  <si>
    <t>IRANI DINAZ</t>
  </si>
  <si>
    <t>IRANI DINAZ DR.</t>
  </si>
  <si>
    <t>IRANI DINAZ MD</t>
  </si>
  <si>
    <t>622 WEST 168TH STREET</t>
  </si>
  <si>
    <t>5 PERRYRIDGE RD</t>
  </si>
  <si>
    <t>E0264570</t>
  </si>
  <si>
    <t>STEIN ALAN J MD</t>
  </si>
  <si>
    <t>STEIN ALAN</t>
  </si>
  <si>
    <t>348-13 STREET STE101</t>
  </si>
  <si>
    <t>CPMC PH 1-137</t>
  </si>
  <si>
    <t>560 NORTHERN BLVD</t>
  </si>
  <si>
    <t>JAMAICA PLAIN</t>
  </si>
  <si>
    <t>E0034470</t>
  </si>
  <si>
    <t>MORENO LISA BELINDA</t>
  </si>
  <si>
    <t>MORENO LISA</t>
  </si>
  <si>
    <t>7411 37TH AVE</t>
  </si>
  <si>
    <t>WANG EMILY</t>
  </si>
  <si>
    <t>LEE MICHELE</t>
  </si>
  <si>
    <t>E0337460</t>
  </si>
  <si>
    <t>NAUSHINA MITHANI</t>
  </si>
  <si>
    <t>MITHANI NAUSHINA</t>
  </si>
  <si>
    <t>MITHANI NAUSHINA N</t>
  </si>
  <si>
    <t>E0257655</t>
  </si>
  <si>
    <t>GUARDARRAMAS GABRIEL R MD  PC</t>
  </si>
  <si>
    <t>GUARDARRAMAS GABRIEL DR.</t>
  </si>
  <si>
    <t>GUARDARRAMAS GABRIEL R</t>
  </si>
  <si>
    <t>600 W 111TH ST STE 1E</t>
  </si>
  <si>
    <t>155 WHITE PLAINS RD</t>
  </si>
  <si>
    <t>BETHLEHEM</t>
  </si>
  <si>
    <t>HERSHEY</t>
  </si>
  <si>
    <t>GREEN ROBERT</t>
  </si>
  <si>
    <t>E0421787</t>
  </si>
  <si>
    <t>DIENSTAG BILL D</t>
  </si>
  <si>
    <t>DIENSTAG BILL MR.</t>
  </si>
  <si>
    <t>3400 SPRUCE ST</t>
  </si>
  <si>
    <t>LA JOLLA</t>
  </si>
  <si>
    <t>AMUSA GANIYU</t>
  </si>
  <si>
    <t>4800 ALBERTA AVENUE</t>
  </si>
  <si>
    <t>COLUMBIA PRESBY HOSP</t>
  </si>
  <si>
    <t>523 E 72ND ST</t>
  </si>
  <si>
    <t>GONZALEZ ABEL DR.</t>
  </si>
  <si>
    <t>505 EAST 70TH STREET, WEILL CORNELL INTERNAL MEDICINE ASSOCIATES</t>
  </si>
  <si>
    <t>WEST BLOOMFIELD</t>
  </si>
  <si>
    <t>BURR RIDGE</t>
  </si>
  <si>
    <t>622 W 168TH ST PH 14-C</t>
  </si>
  <si>
    <t>17 E 102ND ST, 4TH FLOOR</t>
  </si>
  <si>
    <t>223 E 34TH ST</t>
  </si>
  <si>
    <t>Village Housing Development Fund Corp d/b/a VillageCare at 46&amp;Ten</t>
  </si>
  <si>
    <t>E0294311</t>
  </si>
  <si>
    <t>THE VILLAGE AT 46TH AND TEN ALP</t>
  </si>
  <si>
    <t>VILLAGECARE AT 46 AND TEN</t>
  </si>
  <si>
    <t>510 W 46TH ST</t>
  </si>
  <si>
    <t>COLUMBIA PRESBYTRN</t>
  </si>
  <si>
    <t>OKLAHOMA CITY</t>
  </si>
  <si>
    <t>1176 FIFTH AVE</t>
  </si>
  <si>
    <t>MINNEAPOLIS</t>
  </si>
  <si>
    <t>CLIFTON</t>
  </si>
  <si>
    <t>E0142970</t>
  </si>
  <si>
    <t>UPPER MANHATTAN MH CTR SCM</t>
  </si>
  <si>
    <t>UPPER MANHATTAN MNTL HLTH CTR</t>
  </si>
  <si>
    <t>CHILD/ADOL CL</t>
  </si>
  <si>
    <t>E0011451</t>
  </si>
  <si>
    <t>HAN-FAVER DOREEN D MD</t>
  </si>
  <si>
    <t>HAN FAVER DOREEN DR.</t>
  </si>
  <si>
    <t>E0181259</t>
  </si>
  <si>
    <t>VILLAGE CENTER FOR CARE AADC</t>
  </si>
  <si>
    <t>VILLAGE ADULT DAY HEALTH CARE DAY TREATMENT PROGRAM</t>
  </si>
  <si>
    <t>133 WEST 20TH STREET</t>
  </si>
  <si>
    <t>MANALAPAN</t>
  </si>
  <si>
    <t>MONTES LUCRESIA</t>
  </si>
  <si>
    <t>5323 HARRY HINES BOULEVARD</t>
  </si>
  <si>
    <t>SADEGHI NEDA MS.</t>
  </si>
  <si>
    <t>12016 DAHOON DR</t>
  </si>
  <si>
    <t>161 FORT WASHINGTON AVE FL 8</t>
  </si>
  <si>
    <t>UPPER MANHATTAN MENTAL HEALTH CENTER, INC.</t>
  </si>
  <si>
    <t>ASSOC ADMINISTRATOR</t>
  </si>
  <si>
    <t>VILLAGECARE REHAB &amp; NRS CTR</t>
  </si>
  <si>
    <t>121 W 20TH ST</t>
  </si>
  <si>
    <t>VILLAGE CARE ADHCP</t>
  </si>
  <si>
    <t>VILLAGECARE REHAB &amp; NRS CTR ADHCP</t>
  </si>
  <si>
    <t>635 W 165TH ST FL 6</t>
  </si>
  <si>
    <t>WINSTON SALEM</t>
  </si>
  <si>
    <t>E0206442</t>
  </si>
  <si>
    <t>ARPADI STEPHEN M           MD</t>
  </si>
  <si>
    <t>ARPADI STEPHEN</t>
  </si>
  <si>
    <t>E0104229</t>
  </si>
  <si>
    <t>AMSTERDAM NURSING HOME ADHC</t>
  </si>
  <si>
    <t>AMSTERDAM NURSING HOME CORPORATION (1992)</t>
  </si>
  <si>
    <t>AMSTERDAM NURSING HOME CORP</t>
  </si>
  <si>
    <t>HARKNESS EYE INST</t>
  </si>
  <si>
    <t>Methodist Home for Nursing and Rehabilitation</t>
  </si>
  <si>
    <t>Maria Perez</t>
  </si>
  <si>
    <t>(718) 732-7110</t>
  </si>
  <si>
    <t>DIV OF CARDIOLOGY</t>
  </si>
  <si>
    <t>610 WEST 158TH STREE</t>
  </si>
  <si>
    <t>E0310195</t>
  </si>
  <si>
    <t>KAREN ADAM KENNETH</t>
  </si>
  <si>
    <t>KAREN ADAM MR.</t>
  </si>
  <si>
    <t>(212) 620-0340</t>
  </si>
  <si>
    <t>12 GREENRIDGE AVE</t>
  </si>
  <si>
    <t>E0296262</t>
  </si>
  <si>
    <t>PALINSKI SUZANNE</t>
  </si>
  <si>
    <t>PALINSKI SUZANNE MARGARITA</t>
  </si>
  <si>
    <t>E0061638</t>
  </si>
  <si>
    <t>PHILLIPS ERICA GWENDOLYN MD</t>
  </si>
  <si>
    <t>PHILLIPS ERICA DR.</t>
  </si>
  <si>
    <t>LONG ISLND CITY</t>
  </si>
  <si>
    <t>E0364225</t>
  </si>
  <si>
    <t>PEKAREVA-KOCHERGINA IRINA</t>
  </si>
  <si>
    <t>PEKAREVA-KOCHERGINA IRINA MRS.</t>
  </si>
  <si>
    <t>E0324930</t>
  </si>
  <si>
    <t>HANNA DENA SHERIF</t>
  </si>
  <si>
    <t>HANNA DENA</t>
  </si>
  <si>
    <t>68 DEAN ST</t>
  </si>
  <si>
    <t>Long Island City</t>
  </si>
  <si>
    <t>E0342013</t>
  </si>
  <si>
    <t>CANLAS AURORA JULIANA</t>
  </si>
  <si>
    <t>POP AURORA DR.</t>
  </si>
  <si>
    <t>E0226224</t>
  </si>
  <si>
    <t>UNION SETTLEMENT ASSO     INC</t>
  </si>
  <si>
    <t>UNION SETTLEMENT ASSOCIATION</t>
  </si>
  <si>
    <t>UNION SETTLEMENT ASSOC INC</t>
  </si>
  <si>
    <t>JOHNSON COUNS CL</t>
  </si>
  <si>
    <t>E0267881</t>
  </si>
  <si>
    <t>MARY MANNING WALSH NURSING HO</t>
  </si>
  <si>
    <t>MARY MANNING WALSH NURSING HOME CO INC</t>
  </si>
  <si>
    <t>Metropolitan Jewish Home Care, Inc. (MJG Nursing Home Company LTHHCP ) d/b/a MJHS Long Term Care</t>
  </si>
  <si>
    <t>E0142833</t>
  </si>
  <si>
    <t>RIVINGTON HS HLTH CR AADC</t>
  </si>
  <si>
    <t>RIVINGTON HOUSE DAY TREATMENT PROGRAM</t>
  </si>
  <si>
    <t>RIVINGTON HS NICHOLAS A RANGO HCF</t>
  </si>
  <si>
    <t>FRANK DIAZ ADM</t>
  </si>
  <si>
    <t>Rivington House RHCF</t>
  </si>
  <si>
    <t>E0144792</t>
  </si>
  <si>
    <t>RIVINGTON HS/NICHOLAS A RANGO</t>
  </si>
  <si>
    <t>RIVINGTON HOUSE HEALTH CARE FACILITY</t>
  </si>
  <si>
    <t>45 RIVINGTON ST</t>
  </si>
  <si>
    <t>Village Diagnostic and Treatment Center</t>
  </si>
  <si>
    <t>E0025833</t>
  </si>
  <si>
    <t>VILLAGE CARE HEALTH CLINIC</t>
  </si>
  <si>
    <t>VILLAGE DIAGNOSTIC AND TREATMENT CENTER</t>
  </si>
  <si>
    <t>E0177246</t>
  </si>
  <si>
    <t>VILLAGE CARE CHHA</t>
  </si>
  <si>
    <t>112 CHARLES ST # 2ND</t>
  </si>
  <si>
    <t>E0042258</t>
  </si>
  <si>
    <t>VILLAGE CTR FOR CARE LTHHCP</t>
  </si>
  <si>
    <t>VILLAGECARE HOME CARE</t>
  </si>
  <si>
    <t>154 CHRISTOPHER ST FL 2</t>
  </si>
  <si>
    <t>Sharon Johnson</t>
  </si>
  <si>
    <t>johnc@blythedale.org</t>
  </si>
  <si>
    <t>Isabella Care at Home, Inc.</t>
  </si>
  <si>
    <t>E0384387</t>
  </si>
  <si>
    <t>ISABELLA CARE AT HOME INC</t>
  </si>
  <si>
    <t>5073 BROADWAY</t>
  </si>
  <si>
    <t>E0188365</t>
  </si>
  <si>
    <t>ISABELLA GERIATRIC CTR LTHHCP</t>
  </si>
  <si>
    <t>515 AUDUBON AVE # 525</t>
  </si>
  <si>
    <t>Amanda Ali</t>
  </si>
  <si>
    <t>Sacha Ferguson</t>
  </si>
  <si>
    <t>Sandra Rolston</t>
  </si>
  <si>
    <t>E0274021</t>
  </si>
  <si>
    <t>NORTHSIDE CENTER FOR CHILD DE</t>
  </si>
  <si>
    <t>NORTHSIDE CENTER FOR CHILD DEVELOPMENT, INC.</t>
  </si>
  <si>
    <t>NORTHSIDE CTR CL</t>
  </si>
  <si>
    <t>Realization Center, Inc.</t>
  </si>
  <si>
    <t>33 IRVING PL FL 11</t>
  </si>
  <si>
    <t>New York Legal Assistance Group</t>
  </si>
  <si>
    <t>E0085624</t>
  </si>
  <si>
    <t>C &amp; C DRUG INC</t>
  </si>
  <si>
    <t>C&amp;C DRUG INC</t>
  </si>
  <si>
    <t>1-7 AUDUBON AVE</t>
  </si>
  <si>
    <t>E0169566</t>
  </si>
  <si>
    <t>FOUNTAIN HOUSE,INC.</t>
  </si>
  <si>
    <t>(212) 582-0340</t>
  </si>
  <si>
    <t>FOUNTAIN HOUSE, INC.</t>
  </si>
  <si>
    <t>A/6110433-FOUN.HSE</t>
  </si>
  <si>
    <t>E0029225</t>
  </si>
  <si>
    <t>METROCARE PHARMACY INC</t>
  </si>
  <si>
    <t>METROCARE PHARMACY, INC</t>
  </si>
  <si>
    <t>2112B 36TH AVE</t>
  </si>
  <si>
    <t>Rivington House</t>
  </si>
  <si>
    <t>1305 YORK AVE FL 5</t>
  </si>
  <si>
    <t>SCHWARTZ JOSEPH</t>
  </si>
  <si>
    <t>JYOTI KINI</t>
  </si>
  <si>
    <t>JOSE MANSUETO</t>
  </si>
  <si>
    <t>BARBARA SCHOFIELD</t>
  </si>
  <si>
    <t>NALLASIVAM VAMADEVAN</t>
  </si>
  <si>
    <t>(212) 337-9225</t>
  </si>
  <si>
    <t>E0311930</t>
  </si>
  <si>
    <t>DLADLA NONKULIE</t>
  </si>
  <si>
    <t>220 13TH ST</t>
  </si>
  <si>
    <t>OLGA WILDFEUER</t>
  </si>
  <si>
    <t>E0115486</t>
  </si>
  <si>
    <t>WILDFEURER OLGA MD</t>
  </si>
  <si>
    <t>WILDFEUER OLGA DR.</t>
  </si>
  <si>
    <t>WILDFEURER OLGA</t>
  </si>
  <si>
    <t>55 GREENE AVE STE LLB</t>
  </si>
  <si>
    <t>JOSEPH WINIK</t>
  </si>
  <si>
    <t>ANTHONY LECHICH</t>
  </si>
  <si>
    <t>LULENESH BELAYNEH</t>
  </si>
  <si>
    <t>HOWARD ADELGLASS</t>
  </si>
  <si>
    <t>E0214180</t>
  </si>
  <si>
    <t>ADELGLASS HOWARD R         MD</t>
  </si>
  <si>
    <t>ADELGLASS HOWARD</t>
  </si>
  <si>
    <t>ST JOHN'S HOSP</t>
  </si>
  <si>
    <t>VICKI-JO DEUTSCH</t>
  </si>
  <si>
    <t>JOSE ECAL</t>
  </si>
  <si>
    <t>411 E 114TH ST</t>
  </si>
  <si>
    <t>JOANNA HOFMANN</t>
  </si>
  <si>
    <t>SANDRA E WHEELER</t>
  </si>
  <si>
    <t>CAROL DIMOND</t>
  </si>
  <si>
    <t>LELA DOGIM</t>
  </si>
  <si>
    <t>170 WILLIAM ST FL 3</t>
  </si>
  <si>
    <t>MARAGARET P BAKER</t>
  </si>
  <si>
    <t>JULIE LAMBIASO</t>
  </si>
  <si>
    <t>FRANCIS P DOOLEY</t>
  </si>
  <si>
    <t>ORLANDO GONZALEZ JR</t>
  </si>
  <si>
    <t>VillageCare Home Care</t>
  </si>
  <si>
    <t>(212) 337-5775</t>
  </si>
  <si>
    <t>SCHECHTER WILLIAM</t>
  </si>
  <si>
    <t>WILLISTON PARK</t>
  </si>
  <si>
    <t>WOODBRIDGE</t>
  </si>
  <si>
    <t>E0295027</t>
  </si>
  <si>
    <t>POLANIA LAURA MARIA</t>
  </si>
  <si>
    <t>POLANIA LAURA DR.</t>
  </si>
  <si>
    <t>513 W 166TH ST FL 4</t>
  </si>
  <si>
    <t>COHEN IRIS MS.</t>
  </si>
  <si>
    <t>2535 31ST AVE</t>
  </si>
  <si>
    <t>DEPT OB/GYN</t>
  </si>
  <si>
    <t>E0277908</t>
  </si>
  <si>
    <t>STROME ROBERT R            MD</t>
  </si>
  <si>
    <t>STROME ROBERT DR.</t>
  </si>
  <si>
    <t>LITTLE NECK COMM</t>
  </si>
  <si>
    <t>KIM PETER DR.</t>
  </si>
  <si>
    <t>525 E 68TH ST # 141 # 585</t>
  </si>
  <si>
    <t>77 MEDFORD AVE</t>
  </si>
  <si>
    <t>E0030121</t>
  </si>
  <si>
    <t>31ST AND 3RD PHARMACY INC</t>
  </si>
  <si>
    <t>31ST &amp; 3RD PHARMACY INC</t>
  </si>
  <si>
    <t>1860 WALT WHITMAN RD STE 700</t>
  </si>
  <si>
    <t>2 HILLSIDE AVE STE G</t>
  </si>
  <si>
    <t>E0350434</t>
  </si>
  <si>
    <t>CIOE ERIC</t>
  </si>
  <si>
    <t>CIOE ERIC DR.</t>
  </si>
  <si>
    <t>CIOE ERIC CHRISTOPHER</t>
  </si>
  <si>
    <t>BITMAN LESLIE DR.</t>
  </si>
  <si>
    <t>E0188421</t>
  </si>
  <si>
    <t>LOPEZ ROBERT MD</t>
  </si>
  <si>
    <t>LOPEZ ROBERT DR.</t>
  </si>
  <si>
    <t>CHEUNG CINDY</t>
  </si>
  <si>
    <t>E0116358</t>
  </si>
  <si>
    <t>SPITZ JOEL</t>
  </si>
  <si>
    <t>SPITZ JOEL DR.</t>
  </si>
  <si>
    <t>SHAPIRO JEFFREY DR.</t>
  </si>
  <si>
    <t>180 FORT WASHINGTON AVE</t>
  </si>
  <si>
    <t>901 W MAIN ST</t>
  </si>
  <si>
    <t>FREEHOLD</t>
  </si>
  <si>
    <t>E0116351</t>
  </si>
  <si>
    <t>FRANCK JEANNE</t>
  </si>
  <si>
    <t>FRANCK JEANNE MARIE DR.</t>
  </si>
  <si>
    <t>1150 SAINT NICHOLAS AVE FL 2</t>
  </si>
  <si>
    <t>LEE NANCY M</t>
  </si>
  <si>
    <t>VENICE</t>
  </si>
  <si>
    <t>E0110751</t>
  </si>
  <si>
    <t>ILARDA ISABELLA MD</t>
  </si>
  <si>
    <t>ILARDA ISABELLA</t>
  </si>
  <si>
    <t>KLEIN ROBERT DR.</t>
  </si>
  <si>
    <t>E0302337</t>
  </si>
  <si>
    <t>HSU PENELOPE</t>
  </si>
  <si>
    <t>LIN SHEN-HAN DR.</t>
  </si>
  <si>
    <t>E0331203</t>
  </si>
  <si>
    <t>LIN SHEN-HAN</t>
  </si>
  <si>
    <t>TJH MED PC</t>
  </si>
  <si>
    <t>ROTH LISA DR.</t>
  </si>
  <si>
    <t>E0005867</t>
  </si>
  <si>
    <t>SIDDIQUE MUSTAQ A</t>
  </si>
  <si>
    <t>SIDDIQUE MUSTAQ DR.</t>
  </si>
  <si>
    <t>3959 BROADWAY FL 6</t>
  </si>
  <si>
    <t>ST MARYS CENTER INC</t>
  </si>
  <si>
    <t>E0163887</t>
  </si>
  <si>
    <t>ST MARYS CENTER, INC</t>
  </si>
  <si>
    <t>ST. MARYS CENTER INC</t>
  </si>
  <si>
    <t>516 W 126TH ST</t>
  </si>
  <si>
    <t>Iris House, Inc.</t>
  </si>
  <si>
    <t>LEE NICOLE</t>
  </si>
  <si>
    <t>E0269402</t>
  </si>
  <si>
    <t>BANSAL RAJENDRA K          MD</t>
  </si>
  <si>
    <t>BANSAL RAJENDRA DR.</t>
  </si>
  <si>
    <t>ALBERT DAVID</t>
  </si>
  <si>
    <t>E0044505</t>
  </si>
  <si>
    <t>GEORGE GIBBI RPA</t>
  </si>
  <si>
    <t>GEORGE GIBBI MR.</t>
  </si>
  <si>
    <t>GEORGE GIBBI</t>
  </si>
  <si>
    <t>E0330639</t>
  </si>
  <si>
    <t>MONTEAU LUCIEN</t>
  </si>
  <si>
    <t>MONTEAU LUCIEN MR.</t>
  </si>
  <si>
    <t>E0323975</t>
  </si>
  <si>
    <t>MWANGI NATHANIEL</t>
  </si>
  <si>
    <t>MWANGI NATHANIEL MR.</t>
  </si>
  <si>
    <t>E0338422</t>
  </si>
  <si>
    <t>OHLY NATALIE TANYA</t>
  </si>
  <si>
    <t>OHLY NATALIE DR.</t>
  </si>
  <si>
    <t>E0352649</t>
  </si>
  <si>
    <t>CHISOLM-STRAKER MAKINI DAYO</t>
  </si>
  <si>
    <t>CHISOLM-STRAKER MAKINI</t>
  </si>
  <si>
    <t>ROCKVILLE</t>
  </si>
  <si>
    <t>RAO MAYA DR.</t>
  </si>
  <si>
    <t>HARLEM INFECT DIS PR</t>
  </si>
  <si>
    <t>COLUMBIA PRESBY MC</t>
  </si>
  <si>
    <t>301 E 17TH ST STE 544</t>
  </si>
  <si>
    <t>E0217695</t>
  </si>
  <si>
    <t>WEITZ ALAN MARSHALL DPM</t>
  </si>
  <si>
    <t>WEITZ ALAN DR.</t>
  </si>
  <si>
    <t>64 NAGLE AVE</t>
  </si>
  <si>
    <t>630 WEST 168TH STREE</t>
  </si>
  <si>
    <t>1 BARNES JEWISH HOSPITAL PLZ</t>
  </si>
  <si>
    <t>E0084843</t>
  </si>
  <si>
    <t>DIFELICE GREGORY SCOTT</t>
  </si>
  <si>
    <t>DIFELICE GREGORY</t>
  </si>
  <si>
    <t>506 MALCOLM X BLVD # 522</t>
  </si>
  <si>
    <t>Huang, Shao Fen Sherry</t>
  </si>
  <si>
    <t>E0004581</t>
  </si>
  <si>
    <t>HUANG SHAO FEN SHERRY</t>
  </si>
  <si>
    <t>NYUMC PED CARDIO</t>
  </si>
  <si>
    <t>PALM BEACH GARDENS</t>
  </si>
  <si>
    <t>PRESBYTERIAN HOSPITA</t>
  </si>
  <si>
    <t>E0336577</t>
  </si>
  <si>
    <t>SHIN JOSEPH DR.</t>
  </si>
  <si>
    <t>E0330471</t>
  </si>
  <si>
    <t>WELLMAN DAVID</t>
  </si>
  <si>
    <t>WELLMAN DAVID DR.</t>
  </si>
  <si>
    <t>E0307649</t>
  </si>
  <si>
    <t>SCHULMAN AARON PAUL</t>
  </si>
  <si>
    <t>SCHULMAN AARON</t>
  </si>
  <si>
    <t>E0027446</t>
  </si>
  <si>
    <t>SOBEL VIVIAN MD</t>
  </si>
  <si>
    <t>SOBEL VIVIAN</t>
  </si>
  <si>
    <t>525 E 68TH ST # F2008 # 136</t>
  </si>
  <si>
    <t>E0198137</t>
  </si>
  <si>
    <t>TSUEI DEANE D C            MD</t>
  </si>
  <si>
    <t>TSUEI DEANE</t>
  </si>
  <si>
    <t>268 CANAL ST FL 2</t>
  </si>
  <si>
    <t>AIDS Service Center of Lower Manhattan Inc., dba ASCNYC</t>
  </si>
  <si>
    <t>E0326339</t>
  </si>
  <si>
    <t>ANYANWU CHIEDOZIE</t>
  </si>
  <si>
    <t>ANYANWU CHIEDOZIE MR.</t>
  </si>
  <si>
    <t>E0337171</t>
  </si>
  <si>
    <t>RAINALDI MATTHEW A</t>
  </si>
  <si>
    <t>RAINALDI MATTHEW</t>
  </si>
  <si>
    <t>E0133658</t>
  </si>
  <si>
    <t>PAVON ALEX RODRIGO MD</t>
  </si>
  <si>
    <t>PAVON ALEX MR.</t>
  </si>
  <si>
    <t>Lenox Hill Neighborhood House</t>
  </si>
  <si>
    <t>622 W 168TH ST FL 10</t>
  </si>
  <si>
    <t>E0007639</t>
  </si>
  <si>
    <t>LEUNG DENISE</t>
  </si>
  <si>
    <t>LEUNG DENISE DR.</t>
  </si>
  <si>
    <t>LEUNG DENISE MD</t>
  </si>
  <si>
    <t>506 LENOX AVE MLK 17-107</t>
  </si>
  <si>
    <t>E0289411</t>
  </si>
  <si>
    <t>NG YIU</t>
  </si>
  <si>
    <t>NG YIU KEE DR.</t>
  </si>
  <si>
    <t>NG YIU KEE MD</t>
  </si>
  <si>
    <t>E0249788</t>
  </si>
  <si>
    <t>FARRIS ROBERT LINSY        MD</t>
  </si>
  <si>
    <t>FARRIS ROBERT DR.</t>
  </si>
  <si>
    <t>FARRIS ROBERT LINSY MD</t>
  </si>
  <si>
    <t>PRESYTERIAN HOSP</t>
  </si>
  <si>
    <t>745 64TH ST</t>
  </si>
  <si>
    <t>E0070309</t>
  </si>
  <si>
    <t>KO RUBY</t>
  </si>
  <si>
    <t>KO RUBY MS.</t>
  </si>
  <si>
    <t>KO RUBY MEI</t>
  </si>
  <si>
    <t>425 E 61ST ST</t>
  </si>
  <si>
    <t>E0125090</t>
  </si>
  <si>
    <t>CHENG DANIEL H MD</t>
  </si>
  <si>
    <t>CHENG DANIEL</t>
  </si>
  <si>
    <t>WOODHULL MED CTR</t>
  </si>
  <si>
    <t>AKERMAN MICHAEL</t>
  </si>
  <si>
    <t>GOLDBERG MICHAEL DR.</t>
  </si>
  <si>
    <t>BKLYN HGTS RADIOLOGY</t>
  </si>
  <si>
    <t>ASSOC IN EMERG SVCS</t>
  </si>
  <si>
    <t>52 REMSEN ST</t>
  </si>
  <si>
    <t>NYU RADIOLOGY ASSOC</t>
  </si>
  <si>
    <t>E0337902</t>
  </si>
  <si>
    <t>CAPUTO NICHOLAS</t>
  </si>
  <si>
    <t>CAPUTO NICHOLAS DR.</t>
  </si>
  <si>
    <t>CAPUTO NICHOLAS DINO</t>
  </si>
  <si>
    <t>Ding, Qing</t>
  </si>
  <si>
    <t>E0056741</t>
  </si>
  <si>
    <t>DING QING MD</t>
  </si>
  <si>
    <t>DING QING DR.</t>
  </si>
  <si>
    <t>SINOG MEDICAL ASSC</t>
  </si>
  <si>
    <t>E0035858</t>
  </si>
  <si>
    <t>DUAN DEWAN</t>
  </si>
  <si>
    <t>SLR-ROOSEVELT SITE</t>
  </si>
  <si>
    <t>PETRIS CARISA</t>
  </si>
  <si>
    <t>E0352751</t>
  </si>
  <si>
    <t>PETRIS CARISA KAY</t>
  </si>
  <si>
    <t>1305 YORK AVE 11TH FL</t>
  </si>
  <si>
    <t>E0295551</t>
  </si>
  <si>
    <t>NORTHERN MANHATTAN PER PART TASA</t>
  </si>
  <si>
    <t>NORTHERN MANHATTAN PERINATAL PARTNERSHIP, INC.</t>
  </si>
  <si>
    <t>127 W 127TH ST RM 306D</t>
  </si>
  <si>
    <t>JOHNSON REGGIE</t>
  </si>
  <si>
    <t>177 EAST 122ND STREET</t>
  </si>
  <si>
    <t>SCOTTSDALE</t>
  </si>
  <si>
    <t>STARR 651</t>
  </si>
  <si>
    <t>7701 13TH AVE</t>
  </si>
  <si>
    <t>Sheree Morgan</t>
  </si>
  <si>
    <t>7 W 30TH ST FL 9</t>
  </si>
  <si>
    <t>610 W 158TH ST</t>
  </si>
  <si>
    <t>4781 BROADWAY # 83</t>
  </si>
  <si>
    <t>KATZ MELISSA</t>
  </si>
  <si>
    <t>WONG MEI</t>
  </si>
  <si>
    <t>E0116664</t>
  </si>
  <si>
    <t>WONG MEI FUNG</t>
  </si>
  <si>
    <t>125 WALKER ST</t>
  </si>
  <si>
    <t>Gregory Taddeo</t>
  </si>
  <si>
    <t>NYH CUMC RAD GRP</t>
  </si>
  <si>
    <t>HENRY CASSIS DR.</t>
  </si>
  <si>
    <t>E0361416</t>
  </si>
  <si>
    <t>HENRY CASSIS</t>
  </si>
  <si>
    <t>E0087592</t>
  </si>
  <si>
    <t>SUNSHINE VICKI</t>
  </si>
  <si>
    <t>SUNSHINE VICKI MS.</t>
  </si>
  <si>
    <t>SUNSHINE VICKI D.</t>
  </si>
  <si>
    <t>53 W 23RD ST FL 6</t>
  </si>
  <si>
    <t>E0412985</t>
  </si>
  <si>
    <t>WEISS DAVID BRENDAN</t>
  </si>
  <si>
    <t>E0422571</t>
  </si>
  <si>
    <t>PANITZ LAURA</t>
  </si>
  <si>
    <t>PANITZ LAURA SANDRA</t>
  </si>
  <si>
    <t>GARBER LEONID</t>
  </si>
  <si>
    <t>73 LENOX AVE</t>
  </si>
  <si>
    <t>WEISSMAN HAROLD            MD</t>
  </si>
  <si>
    <t>WEISSMAN HAROLD DR.</t>
  </si>
  <si>
    <t>esimpser@stmaryskids.org</t>
  </si>
  <si>
    <t>Missing Contact Email</t>
  </si>
  <si>
    <t>167 PURCHASE ST</t>
  </si>
  <si>
    <t>Community Healthcare Network, Inc</t>
  </si>
  <si>
    <t>ELDERPLAN INC MAP</t>
  </si>
  <si>
    <t>E0301364</t>
  </si>
  <si>
    <t>MT SINAI PEDS BX1198</t>
  </si>
  <si>
    <t>Family Peer Support Services</t>
  </si>
  <si>
    <t>FOCA MARC DR.</t>
  </si>
  <si>
    <t>E0084446</t>
  </si>
  <si>
    <t>FOCA MARC D MD</t>
  </si>
  <si>
    <t>PH 4W</t>
  </si>
  <si>
    <t>E0214778</t>
  </si>
  <si>
    <t>CANTOR RICHARD S           MD</t>
  </si>
  <si>
    <t>CANTOR RICHARD DR.</t>
  </si>
  <si>
    <t>CASALE PASQUALE  MD</t>
  </si>
  <si>
    <t>E0024701</t>
  </si>
  <si>
    <t>CASALE PASQUALE DR.</t>
  </si>
  <si>
    <t>BLUMBERG DANA</t>
  </si>
  <si>
    <t>E0324465</t>
  </si>
  <si>
    <t>BLUMBERG DANA MEREDITH</t>
  </si>
  <si>
    <t>YEAGER LAUREN DR.</t>
  </si>
  <si>
    <t>E0343852</t>
  </si>
  <si>
    <t>YEAGER LAUREN BETH</t>
  </si>
  <si>
    <t>Homefirst LHCSA, Inc. d/b/a MJHS License Home Care Services Agency</t>
  </si>
  <si>
    <t>Akash Shah</t>
  </si>
  <si>
    <t>SHAH AKASH</t>
  </si>
  <si>
    <t>VOLEK ALLYSON</t>
  </si>
  <si>
    <t>6231 PGA BLVD, SUITE 104 - 303</t>
  </si>
  <si>
    <t>E0328328</t>
  </si>
  <si>
    <t>CHERY SHERLINE</t>
  </si>
  <si>
    <t>Craig Herman</t>
  </si>
  <si>
    <t>Jenny Tan</t>
  </si>
  <si>
    <t>Catholic Resources, Inc.</t>
  </si>
  <si>
    <t>Janet Pomerantz</t>
  </si>
  <si>
    <t>Kyee Mau</t>
  </si>
  <si>
    <t>Peter Beitchman</t>
  </si>
  <si>
    <t>E0360081</t>
  </si>
  <si>
    <t>RAMIREZ SANDRA</t>
  </si>
  <si>
    <t>705 E 187TH ST</t>
  </si>
  <si>
    <t>Natalee Bussoletti</t>
  </si>
  <si>
    <t>365 ROUTE 304</t>
  </si>
  <si>
    <t>LAU SHEUNG MING MS.</t>
  </si>
  <si>
    <t>525 E 68TH ST # 124, ROOM M-324</t>
  </si>
  <si>
    <t>Jairo Guzman</t>
  </si>
  <si>
    <t>1300 YORK AVE</t>
  </si>
  <si>
    <t>Karene Cime</t>
  </si>
  <si>
    <t>Michelle Martin</t>
  </si>
  <si>
    <t>E0424912</t>
  </si>
  <si>
    <t>VITALE MICHAEL ERIC</t>
  </si>
  <si>
    <t>VITALE MICHAEL DR.</t>
  </si>
  <si>
    <t>E0304752</t>
  </si>
  <si>
    <t>FOSTER JONATHA</t>
  </si>
  <si>
    <t>FOSTER JONATHAN DR.</t>
  </si>
  <si>
    <t>FOSTER JONATHAN</t>
  </si>
  <si>
    <t>E0437570</t>
  </si>
  <si>
    <t>MCINTYRE JONATHAN STEWART</t>
  </si>
  <si>
    <t>MCINTYRE JONATHAN</t>
  </si>
  <si>
    <t>JAIN PRIYA</t>
  </si>
  <si>
    <t>E0437895</t>
  </si>
  <si>
    <t>TISCHENKEL BRYAN</t>
  </si>
  <si>
    <t>TISCHENKEL BRYAN DR.</t>
  </si>
  <si>
    <t>E0437867</t>
  </si>
  <si>
    <t>SUH CHRISTINE Y</t>
  </si>
  <si>
    <t>SUH CHRISTINE</t>
  </si>
  <si>
    <t>E0442626</t>
  </si>
  <si>
    <t>LEE SUSIE</t>
  </si>
  <si>
    <t>LEE SUSIE DR.</t>
  </si>
  <si>
    <t>LEE SUSIE SO-HYUN</t>
  </si>
  <si>
    <t>Lawrence Kramer</t>
  </si>
  <si>
    <t>PERU</t>
  </si>
  <si>
    <t>BROWN ROBERT DR.</t>
  </si>
  <si>
    <t>MERCY HOSPITAL</t>
  </si>
  <si>
    <t>SARA NASH</t>
  </si>
  <si>
    <t>SULLIVAN BRIAN</t>
  </si>
  <si>
    <t>BLOCK BRIAN DR.</t>
  </si>
  <si>
    <t>Fountain House, Bronx</t>
  </si>
  <si>
    <t xml:space="preserve">Kenn Dudek </t>
  </si>
  <si>
    <t>(718) 742-9884</t>
  </si>
  <si>
    <t>kdudek@fountainhouse.org</t>
  </si>
  <si>
    <t xml:space="preserve">RIEPPI, RICARDO </t>
  </si>
  <si>
    <t>E0027600</t>
  </si>
  <si>
    <t>RIEPPI RICARDO</t>
  </si>
  <si>
    <t>Kathryn Spaziani</t>
  </si>
  <si>
    <t>(212) 305-1190</t>
  </si>
  <si>
    <t>kas9171@nyp.org</t>
  </si>
  <si>
    <t>RIEPPI RICARDO DR.</t>
  </si>
  <si>
    <t>nypwestcampus</t>
  </si>
  <si>
    <t>Vogiatzi, Maria G</t>
  </si>
  <si>
    <t>E0123458</t>
  </si>
  <si>
    <t>VOGIATZI MARIA G MD</t>
  </si>
  <si>
    <t>VOGIATZI MARIA</t>
  </si>
  <si>
    <t># M416</t>
  </si>
  <si>
    <t>nypother</t>
  </si>
  <si>
    <t>Rocco Meliambro</t>
  </si>
  <si>
    <t>(212) 342-9308</t>
  </si>
  <si>
    <t>rmeliambro@isabella.org</t>
  </si>
  <si>
    <t>NEW YORK DOWNTOWN HOSPITAL</t>
  </si>
  <si>
    <t>E0031713</t>
  </si>
  <si>
    <t>NYU DOWNTOWN HOSPITAL</t>
  </si>
  <si>
    <t>NYU DOWNTOWN HOSPITAL ESRD</t>
  </si>
  <si>
    <t>nypeastcampus</t>
  </si>
  <si>
    <t>Su, Karen Lin</t>
  </si>
  <si>
    <t>E0055806</t>
  </si>
  <si>
    <t>SU KAREN L MD</t>
  </si>
  <si>
    <t>SU KAREN DR.</t>
  </si>
  <si>
    <t>SU KAREN L</t>
  </si>
  <si>
    <t>Mate Kedar</t>
  </si>
  <si>
    <t>E0299813</t>
  </si>
  <si>
    <t>MATE KEDAR</t>
  </si>
  <si>
    <t>MATE KEDAR DR.</t>
  </si>
  <si>
    <t>MATE KEDAR SHRIKRISHNA</t>
  </si>
  <si>
    <t>505 AST 70TH STREET</t>
  </si>
  <si>
    <t>nypwestacn</t>
  </si>
  <si>
    <t>Maw Anna</t>
  </si>
  <si>
    <t>E0307542</t>
  </si>
  <si>
    <t>MAW ANNA MYINT</t>
  </si>
  <si>
    <t>MAW ANNA DR.</t>
  </si>
  <si>
    <t>Stephen Bennett</t>
  </si>
  <si>
    <t>Eva Eng</t>
  </si>
  <si>
    <t>(212) 752-4983</t>
  </si>
  <si>
    <t>John Coyne</t>
  </si>
  <si>
    <t>E0151494</t>
  </si>
  <si>
    <t>COYNE JOHN A MD</t>
  </si>
  <si>
    <t>(212) 752-4984</t>
  </si>
  <si>
    <t>COYNE JOHN DR.</t>
  </si>
  <si>
    <t>MARY M WALSH N/H</t>
  </si>
  <si>
    <t>Henry Bellutta</t>
  </si>
  <si>
    <t>E0190616</t>
  </si>
  <si>
    <t>BELLUTTA HENRY PATRICK MD</t>
  </si>
  <si>
    <t>(212) 752-4985</t>
  </si>
  <si>
    <t>BELLUTTA HENRY</t>
  </si>
  <si>
    <t>BELLUTTA HENRY PATRICK</t>
  </si>
  <si>
    <t>102 E 22ND ST</t>
  </si>
  <si>
    <t>Linda Kamal</t>
  </si>
  <si>
    <t>(212) 752-4986</t>
  </si>
  <si>
    <t>Michael Matarese</t>
  </si>
  <si>
    <t>E0210636</t>
  </si>
  <si>
    <t>MATARESE MICHAEL J         MD</t>
  </si>
  <si>
    <t>(212) 752-4987</t>
  </si>
  <si>
    <t>MATARESE MICHAEL DR.</t>
  </si>
  <si>
    <t>31 W 9TH ST</t>
  </si>
  <si>
    <t>COTLIAR, ARTHUR M</t>
  </si>
  <si>
    <t>E0228551</t>
  </si>
  <si>
    <t>COTLIAR ARTHUR MICHAEL     MD</t>
  </si>
  <si>
    <t>COTLIAR ARTHUR DR.</t>
  </si>
  <si>
    <t>911 PARK AVE</t>
  </si>
  <si>
    <t>GUTHRIE, ELISABETH B</t>
  </si>
  <si>
    <t>E0291710</t>
  </si>
  <si>
    <t>GUTHRIE ELISABETH</t>
  </si>
  <si>
    <t>GUTHRIE ELISABETH BENSON</t>
  </si>
  <si>
    <t>3959 BROADWAY 6TH FLOOR NORTH</t>
  </si>
  <si>
    <t>CREW, RUSSELL J</t>
  </si>
  <si>
    <t>E0047479</t>
  </si>
  <si>
    <t>CREW RUSSELL JOHN MD</t>
  </si>
  <si>
    <t>CREW RUSSELL</t>
  </si>
  <si>
    <t>622 W 168TH ST PH 4-124</t>
  </si>
  <si>
    <t>MELE, JOSEPH P</t>
  </si>
  <si>
    <t>E0156680</t>
  </si>
  <si>
    <t>MELE JOSEPH P MD</t>
  </si>
  <si>
    <t>MELE JOSEPH</t>
  </si>
  <si>
    <t>Gadalla Farida</t>
  </si>
  <si>
    <t>E0248979</t>
  </si>
  <si>
    <t>GADALLA FARIDA MD</t>
  </si>
  <si>
    <t>GADALLA FARIDA DR.</t>
  </si>
  <si>
    <t>GADALLA FARIDA  M F MD</t>
  </si>
  <si>
    <t>Gluck Danielle</t>
  </si>
  <si>
    <t>E0383403</t>
  </si>
  <si>
    <t>GLUCK DANIELLE</t>
  </si>
  <si>
    <t>GLUCK DANIELLE MARIN</t>
  </si>
  <si>
    <t>Go Rebecca</t>
  </si>
  <si>
    <t>(212) 305-1255</t>
  </si>
  <si>
    <t>GO REBECCA</t>
  </si>
  <si>
    <t>525 E 68TH ST, BOX 124</t>
  </si>
  <si>
    <t xml:space="preserve">Chang, Carolyn Jean-An </t>
  </si>
  <si>
    <t>E0295077</t>
  </si>
  <si>
    <t>CHANG CAROLYN</t>
  </si>
  <si>
    <t>CHANG CAROLYN JEAN-AN</t>
  </si>
  <si>
    <t>cbwchc</t>
  </si>
  <si>
    <t>POLANSKY, MARNI E</t>
  </si>
  <si>
    <t>E0360571</t>
  </si>
  <si>
    <t>POLANSKY MARNI E</t>
  </si>
  <si>
    <t>POLANSKY MARNI</t>
  </si>
  <si>
    <t>99 FORT WASHINGTON AVE</t>
  </si>
  <si>
    <t xml:space="preserve">TASCA, PHILIP </t>
  </si>
  <si>
    <t>E0292404</t>
  </si>
  <si>
    <t>TASCA PHILIP MD</t>
  </si>
  <si>
    <t>TASCA PHILIP DR.</t>
  </si>
  <si>
    <t xml:space="preserve">FORD, BLAIR </t>
  </si>
  <si>
    <t>E0140147</t>
  </si>
  <si>
    <t>FORD BLAIR MD</t>
  </si>
  <si>
    <t>FORD BLAIR DR.</t>
  </si>
  <si>
    <t>THE WELLNESS 3RD FL</t>
  </si>
  <si>
    <t>NORI, DATTATREYUDU</t>
  </si>
  <si>
    <t>E0187179</t>
  </si>
  <si>
    <t>NORI DATTATREYUDU MD</t>
  </si>
  <si>
    <t>(212) 305-1305</t>
  </si>
  <si>
    <t>NORI DATTATRETYDU</t>
  </si>
  <si>
    <t>Anne Lai</t>
  </si>
  <si>
    <t>(212) 752-4977</t>
  </si>
  <si>
    <t>Karen Adam</t>
  </si>
  <si>
    <t>Kim Hong</t>
  </si>
  <si>
    <t>E0104060</t>
  </si>
  <si>
    <t>KIM HONG SUK MD</t>
  </si>
  <si>
    <t>KIM HONG</t>
  </si>
  <si>
    <t>CPMC-PH 1-137</t>
  </si>
  <si>
    <t xml:space="preserve">Han-Faver, Doreen Dawyuan   </t>
  </si>
  <si>
    <t>Ho, Allan W.</t>
  </si>
  <si>
    <t>E0113644</t>
  </si>
  <si>
    <t>HO ALLAN WAIMING MD</t>
  </si>
  <si>
    <t>HO ALLAN</t>
  </si>
  <si>
    <t>HO ALLAN W</t>
  </si>
  <si>
    <t>SCHLENOFF, MARC D</t>
  </si>
  <si>
    <t>SCHLENOFF MARC</t>
  </si>
  <si>
    <t>VERNON COLONIAL PLAZA</t>
  </si>
  <si>
    <t>MCAFEE</t>
  </si>
  <si>
    <t>Drotman Michele</t>
  </si>
  <si>
    <t>E0093619</t>
  </si>
  <si>
    <t>DROTMAN MICHELE BETH MD</t>
  </si>
  <si>
    <t>DROTMAN MICHELE</t>
  </si>
  <si>
    <t>Eisen Carolyn</t>
  </si>
  <si>
    <t>E0126691</t>
  </si>
  <si>
    <t>EISEN CAROLYN SHARYN MD</t>
  </si>
  <si>
    <t>EISEN CAROLYN</t>
  </si>
  <si>
    <t>NYH-CUMC RADIOLOGY</t>
  </si>
  <si>
    <t>Wilcox Chad</t>
  </si>
  <si>
    <t>WILCOX CHAD</t>
  </si>
  <si>
    <t>622 W 168TH ST # PB-1301, DEPARTMENT OF RADIOLOGY</t>
  </si>
  <si>
    <t>Noori Selaiman</t>
  </si>
  <si>
    <t>NOORI SELAIMAN</t>
  </si>
  <si>
    <t>525 E 68TH ST RM M312</t>
  </si>
  <si>
    <t>Odunaiya Hannah</t>
  </si>
  <si>
    <t>ODUNAIYA HANNAH</t>
  </si>
  <si>
    <t>O'Neill Daniel</t>
  </si>
  <si>
    <t>O'NEILL DANIEL DR.</t>
  </si>
  <si>
    <t>Pak Daniel</t>
  </si>
  <si>
    <t>PAK DANIEL</t>
  </si>
  <si>
    <t>6324 WILDWOOD LN</t>
  </si>
  <si>
    <t>Panchamia Rohan</t>
  </si>
  <si>
    <t>PANCHAMIA ROHAN DR.</t>
  </si>
  <si>
    <t>525 E 68TH ST, ROOM M314</t>
  </si>
  <si>
    <t>Pang Patricia</t>
  </si>
  <si>
    <t>PANG PATRICIA DR.</t>
  </si>
  <si>
    <t>Crystal Jordan</t>
  </si>
  <si>
    <t>harlemunited</t>
  </si>
  <si>
    <t>(212) 803-2851</t>
  </si>
  <si>
    <t>(212) 803-2853</t>
  </si>
  <si>
    <t>ROYE, DAVID P</t>
  </si>
  <si>
    <t>E0250613</t>
  </si>
  <si>
    <t>ROYE DAVID P               MD</t>
  </si>
  <si>
    <t>ROYE DAVID DR.</t>
  </si>
  <si>
    <t>ROYE DAVID PRICE</t>
  </si>
  <si>
    <t>3959 BROADWAY 8 NORTH</t>
  </si>
  <si>
    <t>CARABALLO, ANGEL A</t>
  </si>
  <si>
    <t>E0005075</t>
  </si>
  <si>
    <t>CARABALLO ANGEL A MD</t>
  </si>
  <si>
    <t>CARABALLO ANGEL DR.</t>
  </si>
  <si>
    <t>nypeastacn</t>
  </si>
  <si>
    <t>Button Terry</t>
  </si>
  <si>
    <t>BUTTON TERRY DR.</t>
  </si>
  <si>
    <t>Jambawalikar Sachin</t>
  </si>
  <si>
    <t>JAMBAWALIKAR SACHIN</t>
  </si>
  <si>
    <t>AUSIELLO, JOHN C</t>
  </si>
  <si>
    <t>E0307594</t>
  </si>
  <si>
    <t>JOHN CHRISTOPHER AUSIELLO</t>
  </si>
  <si>
    <t>AUSIELLO JOHN DR.</t>
  </si>
  <si>
    <t>AUSIELLO JOHN CHRISTOPHER</t>
  </si>
  <si>
    <t xml:space="preserve">COCCHIARELLA, ANTONIO </t>
  </si>
  <si>
    <t>E0249419</t>
  </si>
  <si>
    <t>COCCHIARELLA ANTONIO MD</t>
  </si>
  <si>
    <t>COCCHIARELLA ANTONIO DR.</t>
  </si>
  <si>
    <t>N BROADWAY HOSPITAL</t>
  </si>
  <si>
    <t>N TARRYTOWN</t>
  </si>
  <si>
    <t>STROME, ROBERT R</t>
  </si>
  <si>
    <t>WORMAN, HOWARD J</t>
  </si>
  <si>
    <t>E0173873</t>
  </si>
  <si>
    <t>WORMAN HOWARD J MD</t>
  </si>
  <si>
    <t>WORMAN HOWARD DR.</t>
  </si>
  <si>
    <t>GRUENSPAN, HARRY L</t>
  </si>
  <si>
    <t>E0182936</t>
  </si>
  <si>
    <t>GRUENSPAN HARRY L MD</t>
  </si>
  <si>
    <t>GRUENSPAN HARRY DR.</t>
  </si>
  <si>
    <t>GRUENSPAN HARRY</t>
  </si>
  <si>
    <t>TOWFIGH, AMIR A</t>
  </si>
  <si>
    <t>E0297794</t>
  </si>
  <si>
    <t>TOWFIGH AMIR MD</t>
  </si>
  <si>
    <t>TOWFIGH AMIR MR.</t>
  </si>
  <si>
    <t>MARKOWITZ, ARLENE H</t>
  </si>
  <si>
    <t>E0162347</t>
  </si>
  <si>
    <t>MARKOWITZ ARLENE H MD</t>
  </si>
  <si>
    <t>MARKOWITZ ARLENE DR.</t>
  </si>
  <si>
    <t>Ittoop Rhea</t>
  </si>
  <si>
    <t>ITTOOP RHEA</t>
  </si>
  <si>
    <t>622 WEST 168TH STREET, COLUMBIA PRESBYTERIAN CENTER</t>
  </si>
  <si>
    <t>Jackson William</t>
  </si>
  <si>
    <t>JACKSON WILLIAM</t>
  </si>
  <si>
    <t>Jahanbakhsh Bahram</t>
  </si>
  <si>
    <t>E0443158</t>
  </si>
  <si>
    <t>JAHANBAKHSH BAHRAM</t>
  </si>
  <si>
    <t>Jin Richard</t>
  </si>
  <si>
    <t>JIN RICHARD DR.</t>
  </si>
  <si>
    <t>622 W 168TH ST, PH5-133</t>
  </si>
  <si>
    <t>Khimani Namrata</t>
  </si>
  <si>
    <t>KHIMANI NAMRATA DR.</t>
  </si>
  <si>
    <t>chn</t>
  </si>
  <si>
    <t>FRIEDMAN, PETER C</t>
  </si>
  <si>
    <t>E0023920</t>
  </si>
  <si>
    <t>FRIEDMAN PETER</t>
  </si>
  <si>
    <t>FRIEDMAN PETER DR.</t>
  </si>
  <si>
    <t>28 RYKOWSKI LN</t>
  </si>
  <si>
    <t>BATEMAN, LISA M</t>
  </si>
  <si>
    <t>E0343239</t>
  </si>
  <si>
    <t>BATEMAN LISA MARIE</t>
  </si>
  <si>
    <t>BATEMAN LISA DR.</t>
  </si>
  <si>
    <t>HUTT, CHERYL S</t>
  </si>
  <si>
    <t>E0221416</t>
  </si>
  <si>
    <t>HUTT CHERYL S              MD</t>
  </si>
  <si>
    <t>HUTT CHERYL DR.</t>
  </si>
  <si>
    <t>LIEB, JOCELYN A</t>
  </si>
  <si>
    <t>E0317175</t>
  </si>
  <si>
    <t>LIEB JOCELYN</t>
  </si>
  <si>
    <t>LIEB JOCELYN DR.</t>
  </si>
  <si>
    <t>Pomeranz Christy</t>
  </si>
  <si>
    <t>POMERANZ CHRISTY DR.</t>
  </si>
  <si>
    <t>5995 PARK RD</t>
  </si>
  <si>
    <t>Wagener Gebhard</t>
  </si>
  <si>
    <t>E0066675</t>
  </si>
  <si>
    <t>WAGENER GEBHARD MD</t>
  </si>
  <si>
    <t>WAGENER GEBHARD DR.</t>
  </si>
  <si>
    <t>Weller Mark</t>
  </si>
  <si>
    <t>E0040283</t>
  </si>
  <si>
    <t>WELLER MARK ANDREAS MD</t>
  </si>
  <si>
    <t>WELLER MARK</t>
  </si>
  <si>
    <t>Cain Charles</t>
  </si>
  <si>
    <t>E0158273</t>
  </si>
  <si>
    <t>CAIN CHARLES F</t>
  </si>
  <si>
    <t>CAIN CHARLES DR.</t>
  </si>
  <si>
    <t>Curry Saundra</t>
  </si>
  <si>
    <t>E0204601</t>
  </si>
  <si>
    <t>CURRY SAUNDRA ELLEN W      MD</t>
  </si>
  <si>
    <t>CURRY SAUNDRA DR.</t>
  </si>
  <si>
    <t>Egan Brian</t>
  </si>
  <si>
    <t>E0040356</t>
  </si>
  <si>
    <t>EGAN BRIAN MD</t>
  </si>
  <si>
    <t>EGAN BRIAN DR.</t>
  </si>
  <si>
    <t>Herschmiller Emily</t>
  </si>
  <si>
    <t>E0384822</t>
  </si>
  <si>
    <t>HERSCHMILLER EMILY JANE</t>
  </si>
  <si>
    <t>HERSCHMILLER EMILY DR.</t>
  </si>
  <si>
    <t>Kim Minjae</t>
  </si>
  <si>
    <t>E0322725</t>
  </si>
  <si>
    <t>KIM MINJAE MD</t>
  </si>
  <si>
    <t>KIM MINJAE</t>
  </si>
  <si>
    <t>CIOROIU, COMANA M</t>
  </si>
  <si>
    <t>E0336096</t>
  </si>
  <si>
    <t>CLOROIU COMANA M</t>
  </si>
  <si>
    <t>CIOROIU COMANA DR.</t>
  </si>
  <si>
    <t>CIOROIU COMANA M</t>
  </si>
  <si>
    <t>Censani, Marisa</t>
  </si>
  <si>
    <t>E0349028</t>
  </si>
  <si>
    <t>CENSANI MARISA</t>
  </si>
  <si>
    <t>CENSANI MARISA DR.</t>
  </si>
  <si>
    <t>525 E 68TH ST # 225</t>
  </si>
  <si>
    <t>KAMEN, STEWART M</t>
  </si>
  <si>
    <t>Chinitz Lynn</t>
  </si>
  <si>
    <t>E0157509</t>
  </si>
  <si>
    <t>CHINITZ LYNN MD</t>
  </si>
  <si>
    <t>CHINITZ LYNN DR.</t>
  </si>
  <si>
    <t>Rebecca Summers</t>
  </si>
  <si>
    <t>RosaAnabela Tavares</t>
  </si>
  <si>
    <t>Kukowski Laura</t>
  </si>
  <si>
    <t>KUKOWSKI LAURA</t>
  </si>
  <si>
    <t>Beatriz Alvarez, LCSW</t>
  </si>
  <si>
    <t>Dianna Dragatsi</t>
  </si>
  <si>
    <t>(212) 942-8502</t>
  </si>
  <si>
    <t>Dragats@nyspi.columbia.edu</t>
  </si>
  <si>
    <t>ALVAREZ BEATRIZ MRS.</t>
  </si>
  <si>
    <t>nyspi</t>
  </si>
  <si>
    <t>Jonathon Amiel, MD</t>
  </si>
  <si>
    <t>E0361716</t>
  </si>
  <si>
    <t>AMIEL JONATHAN MICHAEL</t>
  </si>
  <si>
    <t>(212) 942-8503</t>
  </si>
  <si>
    <t>AMIEL JONATHAN DR.</t>
  </si>
  <si>
    <t>513 W 166TH ST 4TH FL</t>
  </si>
  <si>
    <t>AKMAN, CIGDEM I</t>
  </si>
  <si>
    <t>E0062537</t>
  </si>
  <si>
    <t>AKMAN CIGDEM INAN MD</t>
  </si>
  <si>
    <t>AKMAN CIGDEM DR.</t>
  </si>
  <si>
    <t>ACHATZ, WERNER S</t>
  </si>
  <si>
    <t>E0346856</t>
  </si>
  <si>
    <t>ACHATZ WERNER SEBASTIAN</t>
  </si>
  <si>
    <t>ACHATZ WERNER DR.</t>
  </si>
  <si>
    <t xml:space="preserve">SANTAMARIA, JAIME </t>
  </si>
  <si>
    <t>E0232688</t>
  </si>
  <si>
    <t>SANTAMARIA JAIME II        MD</t>
  </si>
  <si>
    <t>SANTAMARIA JAIME MR.</t>
  </si>
  <si>
    <t>EYE INSTITUTE BOX 20</t>
  </si>
  <si>
    <t>CHIN, ERICA M</t>
  </si>
  <si>
    <t>E0298959</t>
  </si>
  <si>
    <t>CHIN ERICA</t>
  </si>
  <si>
    <t>CHIN ERICA M</t>
  </si>
  <si>
    <t>MORGAN STANLEY CHILDRENS HOSPITAL</t>
  </si>
  <si>
    <t xml:space="preserve">BOTTONE, JESSICA </t>
  </si>
  <si>
    <t>E0287464</t>
  </si>
  <si>
    <t>BOTTONE JESSICA</t>
  </si>
  <si>
    <t>Musci Gabrielle</t>
  </si>
  <si>
    <t>MUSCI GABRIELLE</t>
  </si>
  <si>
    <t>Ng Jeny</t>
  </si>
  <si>
    <t>E0447563</t>
  </si>
  <si>
    <t>NG JENY</t>
  </si>
  <si>
    <t>Johnson, Valerie L</t>
  </si>
  <si>
    <t>E0215173</t>
  </si>
  <si>
    <t>JOHNSON VALERIE L          MD</t>
  </si>
  <si>
    <t>JOHNSON VALERIE</t>
  </si>
  <si>
    <t>WHITAKER, AGNES H</t>
  </si>
  <si>
    <t>E0251563</t>
  </si>
  <si>
    <t>WHITAKER AGNES HUTCHINSON  MD</t>
  </si>
  <si>
    <t>WHITAKER AGNES</t>
  </si>
  <si>
    <t>WHITAKER AGNES HUTCHINSON</t>
  </si>
  <si>
    <t>15 WEST 72ND STREET  STE 1P</t>
  </si>
  <si>
    <t>RAMIREZ, SANDRA P</t>
  </si>
  <si>
    <t>PORTOCARRERO, JOSE S</t>
  </si>
  <si>
    <t>E0319239</t>
  </si>
  <si>
    <t>PORTOCARRERO JOSE</t>
  </si>
  <si>
    <t>PORTOCARRERO JOSE DR.</t>
  </si>
  <si>
    <t>PORTOCARRERO JOSE SALVADOR</t>
  </si>
  <si>
    <t xml:space="preserve">KASTRINOS, FAY </t>
  </si>
  <si>
    <t>E0286893</t>
  </si>
  <si>
    <t>FAY KASTRINOS MD</t>
  </si>
  <si>
    <t>KASTRINOS FAY DR.</t>
  </si>
  <si>
    <t>KASTRINOS FAY MD</t>
  </si>
  <si>
    <t>FARRIS, ROBERT L</t>
  </si>
  <si>
    <t>SHAPIRO, ROBERTA F</t>
  </si>
  <si>
    <t>E0101079</t>
  </si>
  <si>
    <t>SHAPIRO ROBERTA</t>
  </si>
  <si>
    <t>SHAPIRO ROBERTA DR.</t>
  </si>
  <si>
    <t>HALMOS, BALAZS</t>
  </si>
  <si>
    <t>(212) 305-1251</t>
  </si>
  <si>
    <t>CHAI, PAUL</t>
  </si>
  <si>
    <t>E0361410</t>
  </si>
  <si>
    <t>CHAI PAUL J</t>
  </si>
  <si>
    <t>(212) 305-1209</t>
  </si>
  <si>
    <t>CHAI PAUL DR.</t>
  </si>
  <si>
    <t>CHAI PAUL JUBEONG</t>
  </si>
  <si>
    <t>3959 BROADWAY STE BN276</t>
  </si>
  <si>
    <t>CHAMBERLAIN, TESSA</t>
  </si>
  <si>
    <t>E0328530</t>
  </si>
  <si>
    <t>CHAMBERLAIN TESSA ANNE</t>
  </si>
  <si>
    <t>(212) 305-1210</t>
  </si>
  <si>
    <t>CHAMBERLAIN TESSA</t>
  </si>
  <si>
    <t>520 E 70TH ST # 585</t>
  </si>
  <si>
    <t>RAUSCH, JOHN C</t>
  </si>
  <si>
    <t>E0022262</t>
  </si>
  <si>
    <t>RAUSCH JOHN CONRAD MD</t>
  </si>
  <si>
    <t>RAUSCH JOHN DR.</t>
  </si>
  <si>
    <t>GOYAL, RISHI K</t>
  </si>
  <si>
    <t>E0339412</t>
  </si>
  <si>
    <t>GOYAL RISHI K</t>
  </si>
  <si>
    <t>GOYAL RISHI DR.</t>
  </si>
  <si>
    <t xml:space="preserve">SETHI, AMRITA </t>
  </si>
  <si>
    <t>E0285221</t>
  </si>
  <si>
    <t>SETHI AMRITA  MD</t>
  </si>
  <si>
    <t>SETHI AMRITA</t>
  </si>
  <si>
    <t>Brylka Douglas</t>
  </si>
  <si>
    <t>E0309146</t>
  </si>
  <si>
    <t>BRYLKA DOUGLAS ALAN</t>
  </si>
  <si>
    <t>BRYLKA DOUGLAS DR.</t>
  </si>
  <si>
    <t>Chen Johnson</t>
  </si>
  <si>
    <t>E0309751</t>
  </si>
  <si>
    <t>JOHNSON CHEN</t>
  </si>
  <si>
    <t>CHEN JOHNSON DR.</t>
  </si>
  <si>
    <t>CHEN JOHNSON</t>
  </si>
  <si>
    <t>Jhanwar Yuliya</t>
  </si>
  <si>
    <t>E0322102</t>
  </si>
  <si>
    <t>JHANWAR YULIYA</t>
  </si>
  <si>
    <t>JHANWAR YULIYA DR.</t>
  </si>
  <si>
    <t>JHANWAR YULIYA MD</t>
  </si>
  <si>
    <t>Slepian Ralph</t>
  </si>
  <si>
    <t>E0190121</t>
  </si>
  <si>
    <t>SLEPIAN RALPH L MD</t>
  </si>
  <si>
    <t>SLEPIAN RALPH DR.</t>
  </si>
  <si>
    <t>MAURER, MATTHEW</t>
  </si>
  <si>
    <t>E0105288</t>
  </si>
  <si>
    <t>MAURER MATHEW S MD</t>
  </si>
  <si>
    <t>(212) 305-1293</t>
  </si>
  <si>
    <t>MAURER MATHEW DR.</t>
  </si>
  <si>
    <t>MEDINA, CARLOS</t>
  </si>
  <si>
    <t>E0004495</t>
  </si>
  <si>
    <t>CARLOS MEDINA MD</t>
  </si>
  <si>
    <t>(212) 305-1294</t>
  </si>
  <si>
    <t>MEDINA CARLOS DR.</t>
  </si>
  <si>
    <t>525 E 68TH ST # F935</t>
  </si>
  <si>
    <t>Underwood Joseph</t>
  </si>
  <si>
    <t>E0011030</t>
  </si>
  <si>
    <t>UNDERWOOD JOSEPH PATRICK III MD</t>
  </si>
  <si>
    <t>UNDERWOOD JOSEPH DR.</t>
  </si>
  <si>
    <t>Van David</t>
  </si>
  <si>
    <t>E0091259</t>
  </si>
  <si>
    <t>VAN DAVID CHARLES MD</t>
  </si>
  <si>
    <t>VAN DAVID</t>
  </si>
  <si>
    <t>ASSOC ER MED CPMC</t>
  </si>
  <si>
    <t>Waight Gina</t>
  </si>
  <si>
    <t>E0383560</t>
  </si>
  <si>
    <t>WAIGHT GINA</t>
  </si>
  <si>
    <t>WAIGHT GINA DR.</t>
  </si>
  <si>
    <t>WAIGHT GINA THERESE</t>
  </si>
  <si>
    <t>Walters-Pelham Hilsa</t>
  </si>
  <si>
    <t xml:space="preserve">MOAZAMI, GOLNAZ </t>
  </si>
  <si>
    <t>E0130942</t>
  </si>
  <si>
    <t>MOAZAMI GOLNAZ MD</t>
  </si>
  <si>
    <t>MOAZAMI GOLNAZ DR.</t>
  </si>
  <si>
    <t>SAFDIEH, JOSEPH E</t>
  </si>
  <si>
    <t>E0018169</t>
  </si>
  <si>
    <t>SAFDIEH JOSEPH MD</t>
  </si>
  <si>
    <t>SAFDIEH JOSEPH</t>
  </si>
  <si>
    <t>Pon, Steven</t>
  </si>
  <si>
    <t>E0154712</t>
  </si>
  <si>
    <t>PON STEVEN MD</t>
  </si>
  <si>
    <t>PON STEVEN</t>
  </si>
  <si>
    <t>PEDS CRITICAL CARE</t>
  </si>
  <si>
    <t xml:space="preserve">GIANNIKAS STARCIC, CHRISTINA </t>
  </si>
  <si>
    <t>E0376989</t>
  </si>
  <si>
    <t>GIANNIKAS STARCIC CHRISTINA</t>
  </si>
  <si>
    <t>GIANNIKAS CHRISTINA DR.</t>
  </si>
  <si>
    <t>Eisenberg Nell</t>
  </si>
  <si>
    <t>E0074720</t>
  </si>
  <si>
    <t>EISENBERG NELL</t>
  </si>
  <si>
    <t>EISENBERG NELL DR.</t>
  </si>
  <si>
    <t>Esquivel Ernie</t>
  </si>
  <si>
    <t>E0308221</t>
  </si>
  <si>
    <t>ESQUIVEL ERNIE LAPUS</t>
  </si>
  <si>
    <t>ESQUIVEL ERNIE DR.</t>
  </si>
  <si>
    <t>Kim Mina</t>
  </si>
  <si>
    <t>KIM MINA</t>
  </si>
  <si>
    <t>Sista Akhilesh</t>
  </si>
  <si>
    <t>E0323368</t>
  </si>
  <si>
    <t>SISTA AKHILESH</t>
  </si>
  <si>
    <t>SISTA AKHILESH KESHAV</t>
  </si>
  <si>
    <t>525 68TH STREET</t>
  </si>
  <si>
    <t>Constantine Gina</t>
  </si>
  <si>
    <t>E0336868</t>
  </si>
  <si>
    <t>CONSTANTINE GINA M</t>
  </si>
  <si>
    <t>CONSTANTINE GINA DR.</t>
  </si>
  <si>
    <t>Decter Irina</t>
  </si>
  <si>
    <t>E0383208</t>
  </si>
  <si>
    <t>DECTER IRINA</t>
  </si>
  <si>
    <t>DECTER IRINA DR.</t>
  </si>
  <si>
    <t>2315 BROADWAY FRNT 4</t>
  </si>
  <si>
    <t>Dodelzon Katerina</t>
  </si>
  <si>
    <t>E0383032</t>
  </si>
  <si>
    <t>DODELZON KATERINA</t>
  </si>
  <si>
    <t>DODELZON KATERINA DR.</t>
  </si>
  <si>
    <t>525 E 68TH ST # 141</t>
  </si>
  <si>
    <t>Gamss Caryn</t>
  </si>
  <si>
    <t>E0383192</t>
  </si>
  <si>
    <t>GAMSS CARYN</t>
  </si>
  <si>
    <t>GAMSS CARYN DR.</t>
  </si>
  <si>
    <t>GAMSS CARYN A</t>
  </si>
  <si>
    <t>Gupta Deepti</t>
  </si>
  <si>
    <t>E0388231</t>
  </si>
  <si>
    <t>GUPTA DEEPTI</t>
  </si>
  <si>
    <t>GUPTA DEEPTI DR.</t>
  </si>
  <si>
    <t>Hartman Maya</t>
  </si>
  <si>
    <t>E0383051</t>
  </si>
  <si>
    <t>HARTMAN MAYA</t>
  </si>
  <si>
    <t>HARTMAN MAYA ELISE</t>
  </si>
  <si>
    <t>Kao Linda</t>
  </si>
  <si>
    <t>E0383277</t>
  </si>
  <si>
    <t>KAO LINDA</t>
  </si>
  <si>
    <t>KAO LINDA DR.</t>
  </si>
  <si>
    <t>KAO LINDA YU-LING</t>
  </si>
  <si>
    <t>Pierre-Paul Daphne</t>
  </si>
  <si>
    <t>E0286498</t>
  </si>
  <si>
    <t>PIERRE-PAUL DAPHNE MARIE MD</t>
  </si>
  <si>
    <t>PIERRE-PAUL DAPHNE</t>
  </si>
  <si>
    <t>34TH STREET AND CIVIC CENTER BLVD</t>
  </si>
  <si>
    <t>Pope-Moniz Julie</t>
  </si>
  <si>
    <t>MONIZ JULIE</t>
  </si>
  <si>
    <t>Proekt Alexander</t>
  </si>
  <si>
    <t>E0312030</t>
  </si>
  <si>
    <t>PROEKT ALEXANDER</t>
  </si>
  <si>
    <t>PROEKT ALEX</t>
  </si>
  <si>
    <t>O'Donnell Thomas</t>
  </si>
  <si>
    <t>Rathbun David</t>
  </si>
  <si>
    <t>RATHBUN DAVID MR.</t>
  </si>
  <si>
    <t>12 SYCAMORE LN</t>
  </si>
  <si>
    <t>LONG VALLEY</t>
  </si>
  <si>
    <t>THE TRUSTEES OF COLUMBIA UNIVERSITY IN THE CITY OF NY</t>
  </si>
  <si>
    <t>630 W 168TH ST, SUITE VC7-226</t>
  </si>
  <si>
    <t>GARZA, LUIS A</t>
  </si>
  <si>
    <t>E0029533</t>
  </si>
  <si>
    <t>GARZA LUIZ ANGEL III</t>
  </si>
  <si>
    <t>GARZA LUIS DR.</t>
  </si>
  <si>
    <t>635 W 165TH ST FL 4</t>
  </si>
  <si>
    <t>Andres San Martin, MD</t>
  </si>
  <si>
    <t>E0358405</t>
  </si>
  <si>
    <t>SAN MARTIN RAIMUNDO ANDRES C</t>
  </si>
  <si>
    <t>(212) 942-8533</t>
  </si>
  <si>
    <t>SAN MARTIN RAIMUNDO ANDRES DR.</t>
  </si>
  <si>
    <t>SAN MARTIN RAIMUNDO ANDRES CARDEMIL</t>
  </si>
  <si>
    <t>Laura Sirulnik, MD</t>
  </si>
  <si>
    <t>E0287394</t>
  </si>
  <si>
    <t>SIRULNIK LAURA</t>
  </si>
  <si>
    <t>(212) 942-8534</t>
  </si>
  <si>
    <t>SIRULNIK LAURA DR.</t>
  </si>
  <si>
    <t>SIRULNIK LAURA RAQUEL</t>
  </si>
  <si>
    <t>Richard Sugden, PhD</t>
  </si>
  <si>
    <t>(212) 942-8535</t>
  </si>
  <si>
    <t>SUGDEN RICHARD DR.</t>
  </si>
  <si>
    <t>123 W 79TH ST, SUITE 202</t>
  </si>
  <si>
    <t>Seshan Surya</t>
  </si>
  <si>
    <t>E0056022</t>
  </si>
  <si>
    <t>SESHAN SURYA</t>
  </si>
  <si>
    <t>(212) 305-1231</t>
  </si>
  <si>
    <t>SESHAN SURYA DR.</t>
  </si>
  <si>
    <t>(212) 752-4991</t>
  </si>
  <si>
    <t>EICHLER, BEZALEL F</t>
  </si>
  <si>
    <t>E0007641</t>
  </si>
  <si>
    <t>EICHLER BEZALEL</t>
  </si>
  <si>
    <t>Abellar Rosanna</t>
  </si>
  <si>
    <t>ABELLAR ROSANNA</t>
  </si>
  <si>
    <t>630 W 168TH ST, PH 1564W</t>
  </si>
  <si>
    <t>Alobeid Bachir</t>
  </si>
  <si>
    <t>E0077158</t>
  </si>
  <si>
    <t>ALOBEID BANCHIER</t>
  </si>
  <si>
    <t>ALOBEID BACHIR</t>
  </si>
  <si>
    <t>Turk Andrew</t>
  </si>
  <si>
    <t>(212) 305-1198</t>
  </si>
  <si>
    <t>TURK ANDREW</t>
  </si>
  <si>
    <t>622 W 168TH ST, PH 1564W</t>
  </si>
  <si>
    <t>Yang Hui-Min</t>
  </si>
  <si>
    <t>(212) 305-1199</t>
  </si>
  <si>
    <t>YANG HUI</t>
  </si>
  <si>
    <t>622 WEST 168TH ST PH1564W</t>
  </si>
  <si>
    <t>Koizumi June</t>
  </si>
  <si>
    <t>E0116747</t>
  </si>
  <si>
    <t>KOIZUMI JUNE</t>
  </si>
  <si>
    <t>(212) 305-1200</t>
  </si>
  <si>
    <t>KOIZUMI JUNE DR.</t>
  </si>
  <si>
    <t>Soomekh Parviz</t>
  </si>
  <si>
    <t>E0316223</t>
  </si>
  <si>
    <t>SOOMEKH PARVIZ MD</t>
  </si>
  <si>
    <t>SOOMEKH PARVIZ DR.</t>
  </si>
  <si>
    <t>Tan Marco</t>
  </si>
  <si>
    <t>Tang Michael</t>
  </si>
  <si>
    <t>E0008352</t>
  </si>
  <si>
    <t>TANG MICHAEL D MD</t>
  </si>
  <si>
    <t>TANG MICHAEL DR.</t>
  </si>
  <si>
    <t>Sos Thomas</t>
  </si>
  <si>
    <t>E0250775</t>
  </si>
  <si>
    <t>SOS THOMAS ANDREW          MD</t>
  </si>
  <si>
    <t>SOS THOMAS</t>
  </si>
  <si>
    <t xml:space="preserve">BUCHNESS, MARY RUTH </t>
  </si>
  <si>
    <t>E0143704</t>
  </si>
  <si>
    <t>BUCHNESS MARY RUTH MD</t>
  </si>
  <si>
    <t>BUCHNESS MARY RUTH</t>
  </si>
  <si>
    <t xml:space="preserve">LIN, FAY </t>
  </si>
  <si>
    <t>E0290642</t>
  </si>
  <si>
    <t>FAY YU-HUEI LIN MD</t>
  </si>
  <si>
    <t>LIN FAY</t>
  </si>
  <si>
    <t>LIN FAY YU-HUEI  MD</t>
  </si>
  <si>
    <t>Kasdorf, Ericalyn</t>
  </si>
  <si>
    <t>E0317668</t>
  </si>
  <si>
    <t>KASDORF ERICALYN</t>
  </si>
  <si>
    <t>VOSSELLER, JAMES T</t>
  </si>
  <si>
    <t>E0319215</t>
  </si>
  <si>
    <t>VOSSELLER JAMES</t>
  </si>
  <si>
    <t>VOSSELLER JAMES DR.</t>
  </si>
  <si>
    <t>VOSSELLER JAMES TURNER</t>
  </si>
  <si>
    <t>5141 BROADWAY RM 3-029</t>
  </si>
  <si>
    <t>MATIZ-ZANONI, LUZ A</t>
  </si>
  <si>
    <t>E0077266</t>
  </si>
  <si>
    <t>MATIZ LUZ ADRIANA MD</t>
  </si>
  <si>
    <t>MATIZ-ZANONI LUZ DR.</t>
  </si>
  <si>
    <t># VC4-402</t>
  </si>
  <si>
    <t xml:space="preserve">LEDERMAN-BAROTZ, CAROLYN </t>
  </si>
  <si>
    <t>E0125194</t>
  </si>
  <si>
    <t>LEDERMAN CAROLYN ROSE MD</t>
  </si>
  <si>
    <t>LEDERMAN CAROLYN</t>
  </si>
  <si>
    <t>MARTIN E LEDERMAN MD</t>
  </si>
  <si>
    <t xml:space="preserve">BURKART, KRISTIN </t>
  </si>
  <si>
    <t>E0022073</t>
  </si>
  <si>
    <t>BURKART KRISTIN M MD</t>
  </si>
  <si>
    <t>BURKART KRISTIN</t>
  </si>
  <si>
    <t>Solomon, Gail E</t>
  </si>
  <si>
    <t>E0229459</t>
  </si>
  <si>
    <t>SOLOMON GAIL E             MD</t>
  </si>
  <si>
    <t>SOLOMON GAIL</t>
  </si>
  <si>
    <t>LO FASO, VERONICA M</t>
  </si>
  <si>
    <t>E0119011</t>
  </si>
  <si>
    <t>LOFASO VERONICA M MD</t>
  </si>
  <si>
    <t>LOFASO VERONICA</t>
  </si>
  <si>
    <t>CORNELL GERIAT ASC</t>
  </si>
  <si>
    <t xml:space="preserve">GORDON, PETER </t>
  </si>
  <si>
    <t>E0118917</t>
  </si>
  <si>
    <t>GORDON PETER MD</t>
  </si>
  <si>
    <t>GORDON PETER DR.</t>
  </si>
  <si>
    <t>NY PRESBYT HSP</t>
  </si>
  <si>
    <t>Mwangi Nathaniel</t>
  </si>
  <si>
    <t>Naamon Edwin</t>
  </si>
  <si>
    <t>E0164429</t>
  </si>
  <si>
    <t>NAAMON EDWIN L JR MD</t>
  </si>
  <si>
    <t>NAAMON EDWIN DR.</t>
  </si>
  <si>
    <t>Olowe Oluremi</t>
  </si>
  <si>
    <t>E0199869</t>
  </si>
  <si>
    <t>OLOWE OLUREMI              MD</t>
  </si>
  <si>
    <t>OLOWE OLUREMI</t>
  </si>
  <si>
    <t>47-13 197TH ST</t>
  </si>
  <si>
    <t>Jennas Joseph</t>
  </si>
  <si>
    <t>JENNAS JOSEPH</t>
  </si>
  <si>
    <t>Keller Lizbeth</t>
  </si>
  <si>
    <t>Kim Young</t>
  </si>
  <si>
    <t>622 WEST 168TH ST.</t>
  </si>
  <si>
    <t>Landell Keisha</t>
  </si>
  <si>
    <t>E0315656</t>
  </si>
  <si>
    <t>LANDELL KEISHA CAROLINE ACNP</t>
  </si>
  <si>
    <t>LANDELL KEISHA MS.</t>
  </si>
  <si>
    <t>Langone Danielle</t>
  </si>
  <si>
    <t>LANGONE DANIELLE</t>
  </si>
  <si>
    <t>630 W 168TH ST, CT ICU</t>
  </si>
  <si>
    <t>Lee Song-Mi</t>
  </si>
  <si>
    <t>LEE SONG-MI MS.</t>
  </si>
  <si>
    <t>Claudia Anglade</t>
  </si>
  <si>
    <t>KALINSKY, KEVIN</t>
  </si>
  <si>
    <t>E0296393</t>
  </si>
  <si>
    <t>KALINKSY KEVIN MICHAEL MD</t>
  </si>
  <si>
    <t>(212) 305-1267</t>
  </si>
  <si>
    <t>KALINSKY KEVIN</t>
  </si>
  <si>
    <t>KALINSKY KEVIN MICHAEL MD</t>
  </si>
  <si>
    <t xml:space="preserve">POPOVIC, PREDRAG </t>
  </si>
  <si>
    <t>NIKETUKIS-WUJCIAK, VALERIE J</t>
  </si>
  <si>
    <t>E0160133</t>
  </si>
  <si>
    <t>NIKETAKIS-WUJCIAK VALERIE MD</t>
  </si>
  <si>
    <t>NIKETAKIS VALERIE DR.</t>
  </si>
  <si>
    <t>VC-4 6P6P</t>
  </si>
  <si>
    <t>Ciecierega, Thomas M.</t>
  </si>
  <si>
    <t>E0324484</t>
  </si>
  <si>
    <t>CIECIEREGA THOMAS</t>
  </si>
  <si>
    <t>CIECIEREGA THOMAS DR.</t>
  </si>
  <si>
    <t>BAROR, ELENA S</t>
  </si>
  <si>
    <t>E0325627</t>
  </si>
  <si>
    <t>BAROR ELENA</t>
  </si>
  <si>
    <t>BAROR ELENA MS.</t>
  </si>
  <si>
    <t>6510 99TH ST STE LL1</t>
  </si>
  <si>
    <t xml:space="preserve">CARRASCO, BELINDA </t>
  </si>
  <si>
    <t>E0360260</t>
  </si>
  <si>
    <t>CARRASCO BELINDA</t>
  </si>
  <si>
    <t>CARRASCO BELINDA DR.</t>
  </si>
  <si>
    <t>POPPLEWELL, DEBORAH A</t>
  </si>
  <si>
    <t>E0314268</t>
  </si>
  <si>
    <t>POPPLEWELL DEBORAH</t>
  </si>
  <si>
    <t>POPPLEWELL DEBORAH DR.</t>
  </si>
  <si>
    <t>HARKNESS EYE INSTITUTE 635 WEST 165TH ST</t>
  </si>
  <si>
    <t>MILLER, RUSSELL S</t>
  </si>
  <si>
    <t>E0004104</t>
  </si>
  <si>
    <t>RUSSELL S MILLER</t>
  </si>
  <si>
    <t>MILLER RUSSELL</t>
  </si>
  <si>
    <t>MILLER RUSSELL SCOTT MD</t>
  </si>
  <si>
    <t xml:space="preserve">SEWRATHAN-GHOSH, SHERRY </t>
  </si>
  <si>
    <t>E0330468</t>
  </si>
  <si>
    <t>SEWRATHAN-GHOSH SHERRY</t>
  </si>
  <si>
    <t>SEWRATHAN-GHOSH SHERRY MRS.</t>
  </si>
  <si>
    <t xml:space="preserve">SRIVASTAVA, MONIKA </t>
  </si>
  <si>
    <t>E0001193</t>
  </si>
  <si>
    <t>SRIVASTAVA MONIKA</t>
  </si>
  <si>
    <t>949 CENTRAL AVE # A</t>
  </si>
  <si>
    <t>CHEFITZ, ALLEN B</t>
  </si>
  <si>
    <t>E0164318</t>
  </si>
  <si>
    <t>CHEFITZ ALLEN B MD</t>
  </si>
  <si>
    <t>CHEFITZ ALLEN DR.</t>
  </si>
  <si>
    <t>GOLDBERG, SARAH K</t>
  </si>
  <si>
    <t>E0000125</t>
  </si>
  <si>
    <t>GOLDBERG SARAH</t>
  </si>
  <si>
    <t>GOLDBERG SARAH K</t>
  </si>
  <si>
    <t>35 E 125TH ST STE 520</t>
  </si>
  <si>
    <t>GARCIA-CARRASQUILLO, REUBEN J</t>
  </si>
  <si>
    <t>E0155461</t>
  </si>
  <si>
    <t>GARCIA CARRASQUILLO REUBEN MD</t>
  </si>
  <si>
    <t>GARCIA-CARRASQUILLO REUBEN DR.</t>
  </si>
  <si>
    <t>ATCHLEY PAV S-301</t>
  </si>
  <si>
    <t xml:space="preserve">ROBLES, VIRGINIA </t>
  </si>
  <si>
    <t>E0302334</t>
  </si>
  <si>
    <t>ROBLES VIRGINIA</t>
  </si>
  <si>
    <t>ROBLES VIRGINIA DR.</t>
  </si>
  <si>
    <t>622 W 168TH ST FL 4</t>
  </si>
  <si>
    <t>DESCIAK, EDWARD B</t>
  </si>
  <si>
    <t>E0062853</t>
  </si>
  <si>
    <t>DESCIAK EDWARD</t>
  </si>
  <si>
    <t>Project Renewal, Inc.</t>
  </si>
  <si>
    <t>Susan Dan</t>
  </si>
  <si>
    <t>Susan.Dan@projectrenewal.org</t>
  </si>
  <si>
    <t>MICHELSEN, CHRISTOPHER B</t>
  </si>
  <si>
    <t>E0263869</t>
  </si>
  <si>
    <t>MICHELSEN CHRISTOPHER B H  MD</t>
  </si>
  <si>
    <t>MICHELSEN CHRISTOPHER</t>
  </si>
  <si>
    <t>SURG ORTHOPEDIC GRP</t>
  </si>
  <si>
    <t xml:space="preserve">OSMAN, YASEMIN </t>
  </si>
  <si>
    <t>E0116403</t>
  </si>
  <si>
    <t>OSMAN YASEMIN</t>
  </si>
  <si>
    <t>OSMAN YASEMIN MS.</t>
  </si>
  <si>
    <t xml:space="preserve">MENDIRATTA, ANIL </t>
  </si>
  <si>
    <t>E0101212</t>
  </si>
  <si>
    <t>MENDIRATTA ANIL MD</t>
  </si>
  <si>
    <t>MENDIRATTA ANIL DR.</t>
  </si>
  <si>
    <t>CHENG, WINSTON T</t>
  </si>
  <si>
    <t>E0009688</t>
  </si>
  <si>
    <t>CHENG WINSTON TAN</t>
  </si>
  <si>
    <t>CHENG WINSTON MR.</t>
  </si>
  <si>
    <t>866 E TREMONT AVE FL 1</t>
  </si>
  <si>
    <t>Kelly Anna</t>
  </si>
  <si>
    <t>E0179603</t>
  </si>
  <si>
    <t>KELLY ANNA B MD</t>
  </si>
  <si>
    <t>KELLY ANNA</t>
  </si>
  <si>
    <t>PASCACK VALLEY HOSP</t>
  </si>
  <si>
    <t>BELTRANI, VINCENT JR. P</t>
  </si>
  <si>
    <t>E0151706</t>
  </si>
  <si>
    <t>BELTRANI VINCENT PETER MD</t>
  </si>
  <si>
    <t>BELTRANI VINCENT</t>
  </si>
  <si>
    <t>2507 SOUTH RD</t>
  </si>
  <si>
    <t>FLORAKIS, GEORGE J</t>
  </si>
  <si>
    <t>E0188578</t>
  </si>
  <si>
    <t>FLORAKIS GEORGE JAMES MD</t>
  </si>
  <si>
    <t>FLORAKIS GEORGE DR.</t>
  </si>
  <si>
    <t>REZZADEH, RUDY R</t>
  </si>
  <si>
    <t>E0174988</t>
  </si>
  <si>
    <t>REZZADEH RUDY R MD</t>
  </si>
  <si>
    <t>REZZADEH RUDY DR.</t>
  </si>
  <si>
    <t>WANG, CHRISTOPHER M</t>
  </si>
  <si>
    <t>E0181120</t>
  </si>
  <si>
    <t>WANG CHRISTOPHER M MD</t>
  </si>
  <si>
    <t>WANG CHRISTOPHER</t>
  </si>
  <si>
    <t>ANDERSEN, HOLLY S</t>
  </si>
  <si>
    <t>E0163898</t>
  </si>
  <si>
    <t>ANDERSEN HOLLY SUE  MD</t>
  </si>
  <si>
    <t>ANDERSEN HOLLY</t>
  </si>
  <si>
    <t>Atkinson, Katie J.</t>
  </si>
  <si>
    <t>E0374467</t>
  </si>
  <si>
    <t>ATKINSON KATIE</t>
  </si>
  <si>
    <t>ATKINSON KATIE MISS</t>
  </si>
  <si>
    <t>ATKINSON KATIE JEAN</t>
  </si>
  <si>
    <t>525 E 68TH ST P-695, BOX 585</t>
  </si>
  <si>
    <t>SORKIN, LYSSA Y</t>
  </si>
  <si>
    <t>E0324451</t>
  </si>
  <si>
    <t>SORKIN LYSSA</t>
  </si>
  <si>
    <t>JACOBS LYSSA DR.</t>
  </si>
  <si>
    <t>COULSORKIN LYSSA Y</t>
  </si>
  <si>
    <t>ABRAMS, JULIAN A</t>
  </si>
  <si>
    <t>E0021763</t>
  </si>
  <si>
    <t>ABRAMS JULIAN A  MD</t>
  </si>
  <si>
    <t>ABRAMS JULIAN DR.</t>
  </si>
  <si>
    <t>COLEMAN, HANNA R</t>
  </si>
  <si>
    <t>E0080714</t>
  </si>
  <si>
    <t>COLEMAN HANNA R MD</t>
  </si>
  <si>
    <t>COLEMAN HANNA DR.</t>
  </si>
  <si>
    <t>MEET PHYSICIAN GRP</t>
  </si>
  <si>
    <t>McGuinn, Catherine E.</t>
  </si>
  <si>
    <t>E0325552</t>
  </si>
  <si>
    <t>MCGUINN CATHERINE</t>
  </si>
  <si>
    <t>MCGUINN CATHERINE DR.</t>
  </si>
  <si>
    <t>MCGUINN CATHERINE ELLEN</t>
  </si>
  <si>
    <t xml:space="preserve">GAVAZI, ELONA </t>
  </si>
  <si>
    <t>E0393135</t>
  </si>
  <si>
    <t>GAVAZI ELONA</t>
  </si>
  <si>
    <t>GAVAZI ELONA DR.</t>
  </si>
  <si>
    <t>Wladyka Christopher</t>
  </si>
  <si>
    <t>E0308853</t>
  </si>
  <si>
    <t>CHRISTOPHER GEORGE WLADYKA</t>
  </si>
  <si>
    <t>WLADYKA CHRISTOPHER</t>
  </si>
  <si>
    <t>WLADYKA CHRISTOPHER GEORGE</t>
  </si>
  <si>
    <t>Taubman Cara</t>
  </si>
  <si>
    <t>E0383550</t>
  </si>
  <si>
    <t>TAUBMAN CARA</t>
  </si>
  <si>
    <t>TAUBMAN CARA DR.</t>
  </si>
  <si>
    <t>Selick Inna</t>
  </si>
  <si>
    <t>E0002911</t>
  </si>
  <si>
    <t>SELICK INNA NP</t>
  </si>
  <si>
    <t>SELICK INNA</t>
  </si>
  <si>
    <t>Sharp Hugh</t>
  </si>
  <si>
    <t>Susman Jonathan</t>
  </si>
  <si>
    <t>E0099316</t>
  </si>
  <si>
    <t>SUSMAN JONATHAN MD</t>
  </si>
  <si>
    <t>SUSMAN JONATHAN DR.</t>
  </si>
  <si>
    <t>Vaknin Amy</t>
  </si>
  <si>
    <t>VAKNIN AMY</t>
  </si>
  <si>
    <t>Weintraub Joshua</t>
  </si>
  <si>
    <t>E0095988</t>
  </si>
  <si>
    <t>WEINTRAUB JOSHUA LORIN MD</t>
  </si>
  <si>
    <t>WEINTRAUB JOSHUA MR.</t>
  </si>
  <si>
    <t>Ciotti, Andrew NP PMH</t>
  </si>
  <si>
    <t>La Melvin</t>
  </si>
  <si>
    <t>LA MELVIN DR.</t>
  </si>
  <si>
    <t>525 E 68TH ST # 124</t>
  </si>
  <si>
    <t>Lampl Jenica</t>
  </si>
  <si>
    <t>LAMPL JENICA DR.</t>
  </si>
  <si>
    <t>25 POPLAR LN</t>
  </si>
  <si>
    <t>Landon Jennifer</t>
  </si>
  <si>
    <t>LANDON JENNIFER</t>
  </si>
  <si>
    <t>Li Jingyi</t>
  </si>
  <si>
    <t>LI JINGYI</t>
  </si>
  <si>
    <t>Licina Lauren</t>
  </si>
  <si>
    <t>LICINA LAUREN DR.</t>
  </si>
  <si>
    <t>Margulis Ilan</t>
  </si>
  <si>
    <t>MARGULIS ILAN DR.</t>
  </si>
  <si>
    <t>Marr Joshua</t>
  </si>
  <si>
    <t>MARR JOSHUA</t>
  </si>
  <si>
    <t>525 E 68TH ST, ROOM M-312</t>
  </si>
  <si>
    <t>McCullough Danielle</t>
  </si>
  <si>
    <t>MCCULLOUGH DANIELLE DR.</t>
  </si>
  <si>
    <t>420 E 70TH ST, 11D2</t>
  </si>
  <si>
    <t>Mack Patricia</t>
  </si>
  <si>
    <t>E0140836</t>
  </si>
  <si>
    <t>MACK PATRICIA FOGARTY MD</t>
  </si>
  <si>
    <t>FOGARTY-MACK PATRICIA</t>
  </si>
  <si>
    <t>CUMC-NYH ANES DT/ADM</t>
  </si>
  <si>
    <t>Maggio Louis</t>
  </si>
  <si>
    <t>E0210081</t>
  </si>
  <si>
    <t>MAGGIO LOUIS J MD</t>
  </si>
  <si>
    <t>MAGGIO LOUIS DR.</t>
  </si>
  <si>
    <t>McSwain Marisa</t>
  </si>
  <si>
    <t>E0392482</t>
  </si>
  <si>
    <t>MCSWAIN MARISA CHRISTIAN</t>
  </si>
  <si>
    <t>MCSWAIN MARISA</t>
  </si>
  <si>
    <t>(212) 752-5014</t>
  </si>
  <si>
    <t>KLIGFIELD, PAUL D</t>
  </si>
  <si>
    <t>E0245362</t>
  </si>
  <si>
    <t>KLIGFIELD PAUL DAVID       MD</t>
  </si>
  <si>
    <t>KLIGFIELD PAUL</t>
  </si>
  <si>
    <t>NY HOSP CORNELL ME C</t>
  </si>
  <si>
    <t xml:space="preserve">GISSEN, MELANIE </t>
  </si>
  <si>
    <t>E0164787</t>
  </si>
  <si>
    <t>GISSEN MELANIE  MD</t>
  </si>
  <si>
    <t>GISSEN MELANIE DR.</t>
  </si>
  <si>
    <t>SLR HOSP CENTER 2D</t>
  </si>
  <si>
    <t>Jennifer L. Jones</t>
  </si>
  <si>
    <t>(212) 752-4976</t>
  </si>
  <si>
    <t>Early Micheal</t>
  </si>
  <si>
    <t>Enaiett Lindsay</t>
  </si>
  <si>
    <t>ENAIETT LINDSAY</t>
  </si>
  <si>
    <t>Fiore Nicholas</t>
  </si>
  <si>
    <t>FIORE NICHOLAS MR.</t>
  </si>
  <si>
    <t>Green Robert</t>
  </si>
  <si>
    <t>E0160795</t>
  </si>
  <si>
    <t>GREEN ROBERT ALAN MD</t>
  </si>
  <si>
    <t>Ely Scott</t>
  </si>
  <si>
    <t>E0056019</t>
  </si>
  <si>
    <t>ELY SCOTT</t>
  </si>
  <si>
    <t>(212) 305-1203</t>
  </si>
  <si>
    <t>ELY SCOTT PROF.</t>
  </si>
  <si>
    <t>Geyer Julia</t>
  </si>
  <si>
    <t>E0300670</t>
  </si>
  <si>
    <t>GEYER JULIA</t>
  </si>
  <si>
    <t>(212) 305-1204</t>
  </si>
  <si>
    <t>Knowles Daniel</t>
  </si>
  <si>
    <t>E0116755</t>
  </si>
  <si>
    <t>KNOWLES DANIEL</t>
  </si>
  <si>
    <t>(212) 305-1205</t>
  </si>
  <si>
    <t>KNOWLES DANIEL DR.</t>
  </si>
  <si>
    <t>Orazi Attilio</t>
  </si>
  <si>
    <t>E0289083</t>
  </si>
  <si>
    <t>ORAZI ATTILIO</t>
  </si>
  <si>
    <t>(212) 305-1206</t>
  </si>
  <si>
    <t>Shaknovich Rita</t>
  </si>
  <si>
    <t>E0041658</t>
  </si>
  <si>
    <t>SHAKNOVICH RITA</t>
  </si>
  <si>
    <t>(212) 305-1207</t>
  </si>
  <si>
    <t>Tam Wayne</t>
  </si>
  <si>
    <t>E0076423</t>
  </si>
  <si>
    <t>TAM WAYNE</t>
  </si>
  <si>
    <t>(212) 305-1208</t>
  </si>
  <si>
    <t>TAM WAYNE DR.</t>
  </si>
  <si>
    <t>Pang Leila Mei</t>
  </si>
  <si>
    <t>E0274961</t>
  </si>
  <si>
    <t>PANG LEILA M MD</t>
  </si>
  <si>
    <t>PANG LEILA DR.</t>
  </si>
  <si>
    <t>PANG LEILA M</t>
  </si>
  <si>
    <t>Saraiya Neeta</t>
  </si>
  <si>
    <t>E0099925</t>
  </si>
  <si>
    <t>SARAIYA NEETA RAJENDRA MD</t>
  </si>
  <si>
    <t>SARAIYA NEETA DR.</t>
  </si>
  <si>
    <t>NY PRESBYTERIAN HOSP</t>
  </si>
  <si>
    <t>Schechter William</t>
  </si>
  <si>
    <t>E0186514</t>
  </si>
  <si>
    <t>SCHECHTER WILLIAM SETH MD</t>
  </si>
  <si>
    <t>Sun Lena</t>
  </si>
  <si>
    <t>E0194310</t>
  </si>
  <si>
    <t>SUN LENA MD</t>
  </si>
  <si>
    <t>SUN LENA DR.</t>
  </si>
  <si>
    <t>COLUMBIA PRESBYTERN</t>
  </si>
  <si>
    <t>Khandji Alexander</t>
  </si>
  <si>
    <t>E0210927</t>
  </si>
  <si>
    <t>KHANDJI ALEXANDER G        MD</t>
  </si>
  <si>
    <t>KHANDJI ALEXANDER</t>
  </si>
  <si>
    <t>ST LUKES/RSVLT HC</t>
  </si>
  <si>
    <t>Lignelli Angela</t>
  </si>
  <si>
    <t>E0085549</t>
  </si>
  <si>
    <t>LIGNELLI ANGELA MD</t>
  </si>
  <si>
    <t>LIGNELLI ANGELA</t>
  </si>
  <si>
    <t>Ross Regina</t>
  </si>
  <si>
    <t>E0109791</t>
  </si>
  <si>
    <t>LOWE GINA M MD</t>
  </si>
  <si>
    <t>ROSS REGINA</t>
  </si>
  <si>
    <t>ROSS REGINA LOWE MD</t>
  </si>
  <si>
    <t>Gabriel Guardarramas</t>
  </si>
  <si>
    <t>Gabriel Guardarammas</t>
  </si>
  <si>
    <t>(212) 222-1142</t>
  </si>
  <si>
    <t>pfhs@msn.com</t>
  </si>
  <si>
    <t>commproviders</t>
  </si>
  <si>
    <t>Lovaglio Frank</t>
  </si>
  <si>
    <t>E0157404</t>
  </si>
  <si>
    <t>LOVAGLIO FRANK H MD</t>
  </si>
  <si>
    <t>LOVAGLIO FRANK</t>
  </si>
  <si>
    <t>McTaggart Maria</t>
  </si>
  <si>
    <t>E0299826</t>
  </si>
  <si>
    <t>MCTAGGART MARIA</t>
  </si>
  <si>
    <t>MCTAGGART MARIA MRS.</t>
  </si>
  <si>
    <t>MCTAGGART MARIA ELENA</t>
  </si>
  <si>
    <t>130 ROSE AVE</t>
  </si>
  <si>
    <t>Mithani Naushina</t>
  </si>
  <si>
    <t>Monteau Lucien</t>
  </si>
  <si>
    <t xml:space="preserve">SWICA, YAEL </t>
  </si>
  <si>
    <t>E0040322</t>
  </si>
  <si>
    <t>SWICA YAEL MD</t>
  </si>
  <si>
    <t>SWICA YAEL</t>
  </si>
  <si>
    <t>COLUMBIA UNIV MED CT</t>
  </si>
  <si>
    <t>YIP, CHUN K</t>
  </si>
  <si>
    <t>E0240701</t>
  </si>
  <si>
    <t>YIP CHUN K                 MD</t>
  </si>
  <si>
    <t>YIP CHUN DR.</t>
  </si>
  <si>
    <t>PH 1</t>
  </si>
  <si>
    <t>MONTGOMERY, MARY E</t>
  </si>
  <si>
    <t>MONTGOMERY MARY</t>
  </si>
  <si>
    <t>520 E 70TH ST, STARR PAVILION 5TH FLOOR ROOM ST 530E</t>
  </si>
  <si>
    <t>WINFREE, CHRISTOPHER J</t>
  </si>
  <si>
    <t>E0042429</t>
  </si>
  <si>
    <t>WINFREE CHRISTOPHER J MD</t>
  </si>
  <si>
    <t>WINFREE CHRISTOPHER DR.</t>
  </si>
  <si>
    <t>NEURO INST</t>
  </si>
  <si>
    <t>LANGSDORF, JENNIFER A</t>
  </si>
  <si>
    <t>E0296581</t>
  </si>
  <si>
    <t>JENNIFER A LANGSDORF</t>
  </si>
  <si>
    <t>LANGSDORF JENNIFER</t>
  </si>
  <si>
    <t>LANGSDORF JENNIFER ALLYSON MD</t>
  </si>
  <si>
    <t>525 E 68TH ST RM F-610</t>
  </si>
  <si>
    <t>(212) 609-7593</t>
  </si>
  <si>
    <t xml:space="preserve">CRUZ-ARRIETA, EDUVIGIS </t>
  </si>
  <si>
    <t>E0290191</t>
  </si>
  <si>
    <t>CRUZ ARRIETA EDUVIGIS PSY</t>
  </si>
  <si>
    <t>CRUZ ARRIETA EDUVIGIS DR.</t>
  </si>
  <si>
    <t>3959 BROADWAY FL 6 # N</t>
  </si>
  <si>
    <t xml:space="preserve">SINHA, SANJAI </t>
  </si>
  <si>
    <t>E0341557</t>
  </si>
  <si>
    <t>SINHA SANJAI</t>
  </si>
  <si>
    <t>SINHA SANJAI DR.</t>
  </si>
  <si>
    <t>1484 1ST AVE # 2N</t>
  </si>
  <si>
    <t>Zhou, Hui Qin</t>
  </si>
  <si>
    <t>E0347460</t>
  </si>
  <si>
    <t>ZHOU HUI QIN</t>
  </si>
  <si>
    <t>ZHOU HUI QIN MS.</t>
  </si>
  <si>
    <t>Soliman Fatima</t>
  </si>
  <si>
    <t>SOLIMAN FATIMA DR.</t>
  </si>
  <si>
    <t>525 E 68TH ST, BOX 141</t>
  </si>
  <si>
    <t>Spivey Jessica</t>
  </si>
  <si>
    <t>SPIVEY JESSICA</t>
  </si>
  <si>
    <t>Stradford Travis</t>
  </si>
  <si>
    <t>STRADFORD TRAVIS DR.</t>
  </si>
  <si>
    <t>100 HAVEN AVE, APARTMENT 8B</t>
  </si>
  <si>
    <t>Thimmappa Nanda Deepa</t>
  </si>
  <si>
    <t>THIMMAPP NANDA DEEPA DR.</t>
  </si>
  <si>
    <t>1275 YORK AVENUE, DEPT OF RADIOLOGY</t>
  </si>
  <si>
    <t xml:space="preserve">GALLAGHER, TRISH </t>
  </si>
  <si>
    <t>E0029507</t>
  </si>
  <si>
    <t>GALLAGHER TRISH</t>
  </si>
  <si>
    <t>GALLAGHER PATRICIA DR.</t>
  </si>
  <si>
    <t>DOUSMANIS, ATHANASIOS G</t>
  </si>
  <si>
    <t>Albert Steven</t>
  </si>
  <si>
    <t>E0115187</t>
  </si>
  <si>
    <t>ALBERT STEVEN ALAN MD</t>
  </si>
  <si>
    <t>ALBERT STEVEN DR.</t>
  </si>
  <si>
    <t>NYH-CUMC RADIOL</t>
  </si>
  <si>
    <t>SCHLEGEL, PETER</t>
  </si>
  <si>
    <t>E0155901</t>
  </si>
  <si>
    <t>SCHLEGEL PETER NILES</t>
  </si>
  <si>
    <t>(212) 305-1329</t>
  </si>
  <si>
    <t>SCHLEGEL PETER</t>
  </si>
  <si>
    <t>CORNELL UROLOGY</t>
  </si>
  <si>
    <t>CRAWFORD-LEMELLE, SUSAN J</t>
  </si>
  <si>
    <t>E0298396</t>
  </si>
  <si>
    <t>CRAWFORD-LEMELLE SUSAN</t>
  </si>
  <si>
    <t>CRAWFORD LEMELLE SUSAN DR.</t>
  </si>
  <si>
    <t>CRAWFORD-LEMELLE SUSAN J</t>
  </si>
  <si>
    <t>630 WEST 168TH ST</t>
  </si>
  <si>
    <t>Claude, Shari</t>
  </si>
  <si>
    <t>E0147669</t>
  </si>
  <si>
    <t>CLAUDE SHARI LISA MD</t>
  </si>
  <si>
    <t>CLAUDE SHARI</t>
  </si>
  <si>
    <t>ROBINSON, SHAYNE J</t>
  </si>
  <si>
    <t>ROBINSON SHAYNE</t>
  </si>
  <si>
    <t>MERRICK, SAMUEL T</t>
  </si>
  <si>
    <t>E0124233</t>
  </si>
  <si>
    <t>MERRICK SAMUEL T MD</t>
  </si>
  <si>
    <t>MERRICK SAMUEL DR.</t>
  </si>
  <si>
    <t>MERRICK SAMUEL THOMPSON</t>
  </si>
  <si>
    <t>525 E 68TH ST RM F24</t>
  </si>
  <si>
    <t>HIPPIAS, CARMEL E</t>
  </si>
  <si>
    <t>E0070618</t>
  </si>
  <si>
    <t>HIPPIAS CARMEL</t>
  </si>
  <si>
    <t>HIPPIAS CARMEL MS.</t>
  </si>
  <si>
    <t>525 E 68TH ST F-23</t>
  </si>
  <si>
    <t>YOUNGE, RICHARD G</t>
  </si>
  <si>
    <t>E0242191</t>
  </si>
  <si>
    <t>YOUNGE RICHARD GEORGE      MD</t>
  </si>
  <si>
    <t>YOUNGE RICHARD</t>
  </si>
  <si>
    <t>Lin, Rita H.</t>
  </si>
  <si>
    <t>E0135082</t>
  </si>
  <si>
    <t>LIN RITA H MD</t>
  </si>
  <si>
    <t>LIN RITA</t>
  </si>
  <si>
    <t>LIN RITA HSIAO-HUI</t>
  </si>
  <si>
    <t>KADIYALA, RAJENDRA K</t>
  </si>
  <si>
    <t>E0359270</t>
  </si>
  <si>
    <t>KADIYALA RAJENDRA</t>
  </si>
  <si>
    <t>KADIYALA RAJENDRA KUMAR</t>
  </si>
  <si>
    <t>COOKE, CLAUDIA M</t>
  </si>
  <si>
    <t>E0180217</t>
  </si>
  <si>
    <t>COOKE CLAUDIA M MD</t>
  </si>
  <si>
    <t>COOKE CLAUDIA</t>
  </si>
  <si>
    <t xml:space="preserve">ASFAHA, SAMUEL </t>
  </si>
  <si>
    <t>E0329051</t>
  </si>
  <si>
    <t>ASFAHA SAMUEL</t>
  </si>
  <si>
    <t>ASFAHA SAMUEL DR.</t>
  </si>
  <si>
    <t>HARRIS, LE WANZA M</t>
  </si>
  <si>
    <t>E0000527</t>
  </si>
  <si>
    <t>HARRIS LE</t>
  </si>
  <si>
    <t>HARRIS LEWANZA DR.</t>
  </si>
  <si>
    <t>Coalicion Mexicano</t>
  </si>
  <si>
    <t>jguzman@coalicionmexicana.org</t>
  </si>
  <si>
    <t>Yu Christine</t>
  </si>
  <si>
    <t>E0371857</t>
  </si>
  <si>
    <t>YU CHRISTINE MEI-YAN</t>
  </si>
  <si>
    <t>YU CHRISTINE</t>
  </si>
  <si>
    <t>TRUSTEES OF COLUMBIA UNIVERSITY IN</t>
  </si>
  <si>
    <t>E0302160</t>
  </si>
  <si>
    <t>THE TRUSTEES OF COLUMBIA UNIVERSITY IN THE CITY OF NEW YORK</t>
  </si>
  <si>
    <t>Lagana Stephen</t>
  </si>
  <si>
    <t>LAGANA STEPHEN</t>
  </si>
  <si>
    <t>630 WEST 168TH ST PH 1564W</t>
  </si>
  <si>
    <t>Lefkowitch Jay</t>
  </si>
  <si>
    <t>E0118892</t>
  </si>
  <si>
    <t>LEFKOWITCH JAY</t>
  </si>
  <si>
    <t>KATSAROS, MARIA G</t>
  </si>
  <si>
    <t>E0362672</t>
  </si>
  <si>
    <t>KATSAROS MARIA</t>
  </si>
  <si>
    <t>CHIRELSTEIN, GENEVI</t>
  </si>
  <si>
    <t>E0367242</t>
  </si>
  <si>
    <t>CHIRELSTEIN GENEVIEVE</t>
  </si>
  <si>
    <t>(212) 305-1212</t>
  </si>
  <si>
    <t>CHIRELSTEIN GENEVIEVE MS.</t>
  </si>
  <si>
    <t xml:space="preserve">NHAN-CHANG, CHIA-LING </t>
  </si>
  <si>
    <t>E0308483</t>
  </si>
  <si>
    <t>CHIA-LING NHAN-CHANG</t>
  </si>
  <si>
    <t>NHAN-CHANG CHIA-LING DR.</t>
  </si>
  <si>
    <t>NHAN-CHANG CHIA-LING</t>
  </si>
  <si>
    <t xml:space="preserve">Oster, Ady Shmuel             </t>
  </si>
  <si>
    <t>E0070132</t>
  </si>
  <si>
    <t>OSTER ADY S MD</t>
  </si>
  <si>
    <t>OSTER ADY</t>
  </si>
  <si>
    <t>LABAR, DOUGLAS R</t>
  </si>
  <si>
    <t>E0191893</t>
  </si>
  <si>
    <t>LABAR DOUGLAS  R MD</t>
  </si>
  <si>
    <t>LABAR DOUGLAS</t>
  </si>
  <si>
    <t>NEW YORK HOSPITAL</t>
  </si>
  <si>
    <t>Lyons Richard</t>
  </si>
  <si>
    <t>LYONS RICHARD</t>
  </si>
  <si>
    <t>McDonnell Shannon</t>
  </si>
  <si>
    <t>MCDONNELL SHANNON</t>
  </si>
  <si>
    <t>Cushing Melissa</t>
  </si>
  <si>
    <t>E0013877</t>
  </si>
  <si>
    <t>CUSHING MELISSA</t>
  </si>
  <si>
    <t>CUSHING MELISSA DR.</t>
  </si>
  <si>
    <t>Jenkins Stephen</t>
  </si>
  <si>
    <t>JENKINS STEPHEN</t>
  </si>
  <si>
    <t>525 E 68TH ST, BOX 69</t>
  </si>
  <si>
    <t>Ergonul, Zuhal</t>
  </si>
  <si>
    <t>E0345572</t>
  </si>
  <si>
    <t>ERGONUL ZUHAL</t>
  </si>
  <si>
    <t>GRIBBIN, DOROTA M</t>
  </si>
  <si>
    <t>E0011694</t>
  </si>
  <si>
    <t>GRIBBIN DOROTA</t>
  </si>
  <si>
    <t>VANDERBILT CLINIC RE</t>
  </si>
  <si>
    <t>WARNER, CAROLYN H</t>
  </si>
  <si>
    <t>E0209283</t>
  </si>
  <si>
    <t>WARNER CAROLYN HAZARD      MD</t>
  </si>
  <si>
    <t>WARNER CAROLYN DR.</t>
  </si>
  <si>
    <t>SUH, LEEJEE H</t>
  </si>
  <si>
    <t>E0292044</t>
  </si>
  <si>
    <t>SUH LEEJEE HAN</t>
  </si>
  <si>
    <t>SUH LEEJEE</t>
  </si>
  <si>
    <t>JONES, ERICA C</t>
  </si>
  <si>
    <t>E0113748</t>
  </si>
  <si>
    <t>JONES ERICA C MD</t>
  </si>
  <si>
    <t>JONES ERICA</t>
  </si>
  <si>
    <t>CARDIOL ASSOC/STARR4</t>
  </si>
  <si>
    <t>Worgall, Stefan</t>
  </si>
  <si>
    <t>E0034046</t>
  </si>
  <si>
    <t>WORGALL STEFAN MD</t>
  </si>
  <si>
    <t>WORGALL STEFAN</t>
  </si>
  <si>
    <t>TRUSTEES OF COLUMBIA UNIVERSITY IN CITY OF NY HEMATOLOGY ONCOLOGY</t>
  </si>
  <si>
    <t>E0117980</t>
  </si>
  <si>
    <t>HEMATOLOGY ONCOL COLUMBIA UNV</t>
  </si>
  <si>
    <t>SCHEVON, CATHERINE A</t>
  </si>
  <si>
    <t>E0027186</t>
  </si>
  <si>
    <t>SCHEVON CATHERINE ANNE MD</t>
  </si>
  <si>
    <t>SCHEVON CATHERINE DR.</t>
  </si>
  <si>
    <t>SCHEVON CATHERINE ANNE</t>
  </si>
  <si>
    <t>SCHLEIMER, HELEN L</t>
  </si>
  <si>
    <t>FRANCK, JEANNE M</t>
  </si>
  <si>
    <t xml:space="preserve">MATHUR-WAGH, USHA </t>
  </si>
  <si>
    <t>E0146355</t>
  </si>
  <si>
    <t>WAGH USHA MATHUR MD</t>
  </si>
  <si>
    <t>MATHUR-WAGH USHA DR.</t>
  </si>
  <si>
    <t>WAGH USHA MATHUR</t>
  </si>
  <si>
    <t>56 W 23RD ST</t>
  </si>
  <si>
    <t>PENA, KAREN M</t>
  </si>
  <si>
    <t>E0001006</t>
  </si>
  <si>
    <t>PENA KAREN</t>
  </si>
  <si>
    <t>PENA KAREN MS.</t>
  </si>
  <si>
    <t>PENA KAREN M</t>
  </si>
  <si>
    <t>GRIMES, CARA</t>
  </si>
  <si>
    <t>E0338092</t>
  </si>
  <si>
    <t>GRIMES CARA LOUISE</t>
  </si>
  <si>
    <t>(212) 305-1248</t>
  </si>
  <si>
    <t>GRIMES CARA</t>
  </si>
  <si>
    <t xml:space="preserve">YE, SIQIN </t>
  </si>
  <si>
    <t>E0356332</t>
  </si>
  <si>
    <t>YE SIQIN</t>
  </si>
  <si>
    <t>YE SIQIN DR.</t>
  </si>
  <si>
    <t>622 W 168TH ST PH 3-342</t>
  </si>
  <si>
    <t>STEVENS, AMY F</t>
  </si>
  <si>
    <t>E0017390</t>
  </si>
  <si>
    <t>STEVENS AMY</t>
  </si>
  <si>
    <t>Cohen, Lilian Liou</t>
  </si>
  <si>
    <t>E0324436</t>
  </si>
  <si>
    <t>COHEN LILIAN</t>
  </si>
  <si>
    <t>COHEN LILIAN DR.</t>
  </si>
  <si>
    <t>COHEN LILIAN LIOU</t>
  </si>
  <si>
    <t>Esenther Brandon</t>
  </si>
  <si>
    <t>ESENTHER BRANDON</t>
  </si>
  <si>
    <t>622 W 168TH ST, PH5-133 STEM</t>
  </si>
  <si>
    <t>Evers Jacob</t>
  </si>
  <si>
    <t>EVERS JACOB MR.</t>
  </si>
  <si>
    <t>TAYLOR, DELPHINE S</t>
  </si>
  <si>
    <t>E0090154</t>
  </si>
  <si>
    <t>TAYLOR DELPHINE MD</t>
  </si>
  <si>
    <t>TAYLOR DELPHINE DR.</t>
  </si>
  <si>
    <t>Youm Sookie</t>
  </si>
  <si>
    <t>YOUM SOOKIE MS.</t>
  </si>
  <si>
    <t>133 MOORE AVE</t>
  </si>
  <si>
    <t>LEONIA</t>
  </si>
  <si>
    <t>Yun Jongmin</t>
  </si>
  <si>
    <t>YUN JONGMIN MS.</t>
  </si>
  <si>
    <t>Arora Neeti</t>
  </si>
  <si>
    <t>ARORA NEETI</t>
  </si>
  <si>
    <t>9800 VESPER AVE, #105</t>
  </si>
  <si>
    <t>CASIMIR, YVES E</t>
  </si>
  <si>
    <t>E0290534</t>
  </si>
  <si>
    <t>CASIMIR YVES</t>
  </si>
  <si>
    <t>CASIMIR YVES EDELINE</t>
  </si>
  <si>
    <t>622 W 168TH ST FL 2</t>
  </si>
  <si>
    <t>HOROWITZ, JASON D</t>
  </si>
  <si>
    <t>E0319195</t>
  </si>
  <si>
    <t>HOROWITZ JASON</t>
  </si>
  <si>
    <t>HOROWITZ JASON DR.</t>
  </si>
  <si>
    <t>HOROWITZ JASON D</t>
  </si>
  <si>
    <t>STAVROPOULOS, STAVROS N</t>
  </si>
  <si>
    <t>E0077293</t>
  </si>
  <si>
    <t>STAVROPOULOS STAVROS N</t>
  </si>
  <si>
    <t>STAVROPOULOS STAVROS DR.</t>
  </si>
  <si>
    <t>Sy Calvin</t>
  </si>
  <si>
    <t>E0011880</t>
  </si>
  <si>
    <t>SY CALVIN GO MD</t>
  </si>
  <si>
    <t>SY CALVIN</t>
  </si>
  <si>
    <t>Yhu Stephen</t>
  </si>
  <si>
    <t>E0320305</t>
  </si>
  <si>
    <t>YHU STEPHEN</t>
  </si>
  <si>
    <t>YHU STEPHEN DR.</t>
  </si>
  <si>
    <t>GERALDINO-PARDILLA, LAURA B</t>
  </si>
  <si>
    <t>E0307427</t>
  </si>
  <si>
    <t>GERALDINO PARDILLA LAURA BERNICE</t>
  </si>
  <si>
    <t>GERALDINO PARDILLA LAURA</t>
  </si>
  <si>
    <t>MARTIR, JEANNETTE E</t>
  </si>
  <si>
    <t>E0291905</t>
  </si>
  <si>
    <t>MARTIR JEANNETTE</t>
  </si>
  <si>
    <t>MARTIR JEANETTE</t>
  </si>
  <si>
    <t>21 AUDUBON AVE</t>
  </si>
  <si>
    <t>FLYNN, JOHN T</t>
  </si>
  <si>
    <t>E0069053</t>
  </si>
  <si>
    <t>FLYNN JOHN THOMAS MD</t>
  </si>
  <si>
    <t>Al-Khalili Rend</t>
  </si>
  <si>
    <t>E0379852</t>
  </si>
  <si>
    <t>AL-KHALILI REND</t>
  </si>
  <si>
    <t>622 WEST 168TH ST</t>
  </si>
  <si>
    <t>Desperito Elise</t>
  </si>
  <si>
    <t>E0110763</t>
  </si>
  <si>
    <t>DESPERITO ELISE MD</t>
  </si>
  <si>
    <t>DESPERITO ELISE MRS.</t>
  </si>
  <si>
    <t>MT SINAI RADIOL ASC</t>
  </si>
  <si>
    <t>Friedlander Lauren</t>
  </si>
  <si>
    <t>E0324835</t>
  </si>
  <si>
    <t>FRIEDLANDER LAUREN CANTER</t>
  </si>
  <si>
    <t>FRIEDLANDER LAUREN</t>
  </si>
  <si>
    <t>DeLaMora, Patricia A.</t>
  </si>
  <si>
    <t>E0032400</t>
  </si>
  <si>
    <t>DELAMORA PATRICIA A MD</t>
  </si>
  <si>
    <t>DELAMORA PATRICIA</t>
  </si>
  <si>
    <t>RYNN, MOIRA A</t>
  </si>
  <si>
    <t>E0305790</t>
  </si>
  <si>
    <t>RYNN MOIRA ANN</t>
  </si>
  <si>
    <t>RYNN MOIRA DR.</t>
  </si>
  <si>
    <t>WCMC NYP Main</t>
  </si>
  <si>
    <t>E0274062</t>
  </si>
  <si>
    <t>NY HOSPITAL</t>
  </si>
  <si>
    <t>THE NEW YORK AND PRESBYTERIAN HOSPITAL</t>
  </si>
  <si>
    <t>NEW YORK PRESBYTERIAN HOSPITAL</t>
  </si>
  <si>
    <t>CONYBEARE, RACHEL A</t>
  </si>
  <si>
    <t>E0284452</t>
  </si>
  <si>
    <t>RACHEL A CONYBEARG</t>
  </si>
  <si>
    <t>CONYBEARE RACHEL</t>
  </si>
  <si>
    <t>CONYBEARG RACHEL AMANDA</t>
  </si>
  <si>
    <t xml:space="preserve">DOMINGUEZ, CARLOS </t>
  </si>
  <si>
    <t>E0364437</t>
  </si>
  <si>
    <t>DOMINGUEZ CARLOS</t>
  </si>
  <si>
    <t>Weiss Yehudis</t>
  </si>
  <si>
    <t>(212) 752-5001</t>
  </si>
  <si>
    <t>ARTHUR GLICK</t>
  </si>
  <si>
    <t>(212) 752-5002</t>
  </si>
  <si>
    <t>Schwartz Joseph</t>
  </si>
  <si>
    <t>E0013884</t>
  </si>
  <si>
    <t>630 W 168TH ST STE P</t>
  </si>
  <si>
    <t>Shelanski Michael</t>
  </si>
  <si>
    <t>E0118860</t>
  </si>
  <si>
    <t>SHELANSKI MICHAEL L</t>
  </si>
  <si>
    <t>SHELANSKI MICHAEL</t>
  </si>
  <si>
    <t xml:space="preserve">HABERMAN, SKYE </t>
  </si>
  <si>
    <t>E0109998</t>
  </si>
  <si>
    <t>HABERMAN SKYE  PHD</t>
  </si>
  <si>
    <t>HABERMAN SKYE DR.</t>
  </si>
  <si>
    <t>HABERMAN SKYE</t>
  </si>
  <si>
    <t>KUMAR, REKHA B</t>
  </si>
  <si>
    <t>E0338361</t>
  </si>
  <si>
    <t>KUMAR REKHA BABU</t>
  </si>
  <si>
    <t>KUMAR REKHA DR.</t>
  </si>
  <si>
    <t>525 EAST 68TH STREET F2008</t>
  </si>
  <si>
    <t>Kumar Shreyajit</t>
  </si>
  <si>
    <t>E0326946</t>
  </si>
  <si>
    <t>KUMAR SHREYAJIT</t>
  </si>
  <si>
    <t>KUMAR SHREYAJIT DR.</t>
  </si>
  <si>
    <t>Kwon Jean</t>
  </si>
  <si>
    <t>KWON JEAN MS.</t>
  </si>
  <si>
    <t>WEILL MEDICAL COLLEGE OF CORNELL</t>
  </si>
  <si>
    <t>E0114423</t>
  </si>
  <si>
    <t>CORNELL UNIV MED COLLEGE</t>
  </si>
  <si>
    <t>Tichter Aleksandr</t>
  </si>
  <si>
    <t>E0285696</t>
  </si>
  <si>
    <t>TICHTER ALEKSANDR MANFRED MD</t>
  </si>
  <si>
    <t>TICHTER ALEKSANDR DR.</t>
  </si>
  <si>
    <t>Murphy Jessica</t>
  </si>
  <si>
    <t>MURPHY JESSICA</t>
  </si>
  <si>
    <t>170 WILLIAM ST, DEPT. OF ANESTHESIOLOGY</t>
  </si>
  <si>
    <t>Maria Kargman, LCSW</t>
  </si>
  <si>
    <t>(212) 942-8516</t>
  </si>
  <si>
    <t>KARGMAN MARIA MS.</t>
  </si>
  <si>
    <t>Sherer Erin</t>
  </si>
  <si>
    <t>E0330721</t>
  </si>
  <si>
    <t>SHERER ERIN LEIGH</t>
  </si>
  <si>
    <t>SHERER ERIN</t>
  </si>
  <si>
    <t>Silberman Mark</t>
  </si>
  <si>
    <t>Schnakofsky Roberto</t>
  </si>
  <si>
    <t>SCHNAKOFSKY ROBERTO</t>
  </si>
  <si>
    <t>6200 SW 73RD ST, ANESTHESIA ASSOCIATES OF GREATER MIAMI</t>
  </si>
  <si>
    <t>Sheth Amish</t>
  </si>
  <si>
    <t>SHETH AMISH</t>
  </si>
  <si>
    <t>630 1ST AVE APT 21K</t>
  </si>
  <si>
    <t>Shih Grace</t>
  </si>
  <si>
    <t>SHIH GRACE</t>
  </si>
  <si>
    <t>6 TOM THUMB LN</t>
  </si>
  <si>
    <t>Shirak Michelle</t>
  </si>
  <si>
    <t>SHIRAK MICHELLE</t>
  </si>
  <si>
    <t>525 E 68TH ST, M312</t>
  </si>
  <si>
    <t>So Mary</t>
  </si>
  <si>
    <t>SO MARY</t>
  </si>
  <si>
    <t>Starker Elizabeth</t>
  </si>
  <si>
    <t>STARKER ELIZABETH DR.</t>
  </si>
  <si>
    <t>525 EAST 68TH ST</t>
  </si>
  <si>
    <t>Turnbull Zachary</t>
  </si>
  <si>
    <t>E0418231</t>
  </si>
  <si>
    <t>TURNBULL ZACHARY ADAM</t>
  </si>
  <si>
    <t>TURNBULL ZACHARY</t>
  </si>
  <si>
    <t>OHLY, NATALIE T</t>
  </si>
  <si>
    <t>Heerdt Paul</t>
  </si>
  <si>
    <t>E0160362</t>
  </si>
  <si>
    <t>HEERDT PAUL MARK MD</t>
  </si>
  <si>
    <t>HEERDT PAUL DR.</t>
  </si>
  <si>
    <t>NYH ANES DPT ST1052</t>
  </si>
  <si>
    <t>Hemmings Hugh</t>
  </si>
  <si>
    <t>E0173008</t>
  </si>
  <si>
    <t>HEMMINGS HUGH C JR  MD</t>
  </si>
  <si>
    <t>HEMMINGS HUGH</t>
  </si>
  <si>
    <t>NY HOSP CORNELL MED</t>
  </si>
  <si>
    <t>Frisk Simin</t>
  </si>
  <si>
    <t>E0323300</t>
  </si>
  <si>
    <t>FRISK SIMIN</t>
  </si>
  <si>
    <t>FRISK SIMIN DR.</t>
  </si>
  <si>
    <t>FRISK SIMIN SOLTANI</t>
  </si>
  <si>
    <t>Ahmed Shakil</t>
  </si>
  <si>
    <t>E0073135</t>
  </si>
  <si>
    <t>AHMED SHAKIL MD</t>
  </si>
  <si>
    <t>AHMED SHAKIL</t>
  </si>
  <si>
    <t># M0026</t>
  </si>
  <si>
    <t>Akerman Michael</t>
  </si>
  <si>
    <t>E0386351</t>
  </si>
  <si>
    <t>AKERMAN MICHAEL AARON</t>
  </si>
  <si>
    <t>Alegre-Gomez Regina</t>
  </si>
  <si>
    <t>ALEGRE-GOMEZ REGINA</t>
  </si>
  <si>
    <t>Baker Lauren</t>
  </si>
  <si>
    <t>FAGAN LAUREN</t>
  </si>
  <si>
    <t>Abramovitz Sharon</t>
  </si>
  <si>
    <t>E0111740</t>
  </si>
  <si>
    <t>ABRAMOVITZ SHARON MD</t>
  </si>
  <si>
    <t>ABRAMOVITZ SHARON DR.</t>
  </si>
  <si>
    <t>Pavelic Julia</t>
  </si>
  <si>
    <t>PAVELIC JULIA</t>
  </si>
  <si>
    <t>622 W 168TH ST, PH5-133 STEM, CUMC DEPT OF ANESTHESIOLOGY</t>
  </si>
  <si>
    <t>Pavelic Martin</t>
  </si>
  <si>
    <t>PAVELIC MARTIN DR.</t>
  </si>
  <si>
    <t>209 HALLMARK HOUSE</t>
  </si>
  <si>
    <t>Pekurovsky Alexander</t>
  </si>
  <si>
    <t>PEKUROVSKY ALEXANDER</t>
  </si>
  <si>
    <t>870 W 181ST ST, APT 24</t>
  </si>
  <si>
    <t>Dodia Vishal</t>
  </si>
  <si>
    <t>E0088445</t>
  </si>
  <si>
    <t>DODIA VISHAL HARSHAD MD</t>
  </si>
  <si>
    <t>DODIA VISHAL</t>
  </si>
  <si>
    <t>DODIA VISHAL HARSHAD</t>
  </si>
  <si>
    <t>OTTERBURN, DAVID</t>
  </si>
  <si>
    <t>E0320786</t>
  </si>
  <si>
    <t>OTTERBURN DAVID MARK MD</t>
  </si>
  <si>
    <t>(212) 305-1311</t>
  </si>
  <si>
    <t>OTTERBURN DAVID DR.</t>
  </si>
  <si>
    <t>525 E 68TH ST # 115</t>
  </si>
  <si>
    <t>Sepulveda Jorge</t>
  </si>
  <si>
    <t>(212) 305-1194</t>
  </si>
  <si>
    <t>SEPULVEDA JORGE DR.</t>
  </si>
  <si>
    <t>Dickstein Marc</t>
  </si>
  <si>
    <t>E0161837</t>
  </si>
  <si>
    <t>DICKSTEIN MARC L MD</t>
  </si>
  <si>
    <t>DICKSTEIN MARC DR.</t>
  </si>
  <si>
    <t>ANESTH SERV CPMC</t>
  </si>
  <si>
    <t>Hastie Maya</t>
  </si>
  <si>
    <t>E0032984</t>
  </si>
  <si>
    <t>JALBOUT MAYA MD</t>
  </si>
  <si>
    <t>HASTIE MAYA</t>
  </si>
  <si>
    <t>HASTIE MAYA JALBOUT MD</t>
  </si>
  <si>
    <t>Lauren Sanders</t>
  </si>
  <si>
    <t>Laurie Schwartz-Moser</t>
  </si>
  <si>
    <t>Ileana Serrano</t>
  </si>
  <si>
    <t>Paula Sinclair</t>
  </si>
  <si>
    <t>Evans Arthur</t>
  </si>
  <si>
    <t>E0296389</t>
  </si>
  <si>
    <t>EVANS ARTHUR THOMAS</t>
  </si>
  <si>
    <t>EVANS ARTHUR</t>
  </si>
  <si>
    <t>505 E 70TH ST # 130</t>
  </si>
  <si>
    <t>EVANS, LYDIA M</t>
  </si>
  <si>
    <t>E0220390</t>
  </si>
  <si>
    <t>EVANS LYDIA MARION</t>
  </si>
  <si>
    <t>EVANS LYDIA</t>
  </si>
  <si>
    <t>SERACINI, ANGELA M</t>
  </si>
  <si>
    <t>E0029527</t>
  </si>
  <si>
    <t>SERACINI ANGELA MARIA</t>
  </si>
  <si>
    <t>SERACINI ANGELA DR.</t>
  </si>
  <si>
    <t>Ward, Mary Josephine</t>
  </si>
  <si>
    <t>WARD MARY</t>
  </si>
  <si>
    <t>505 EAST 70 STREET</t>
  </si>
  <si>
    <t>Gadhia, Monika Mohanbhai</t>
  </si>
  <si>
    <t>E0338366</t>
  </si>
  <si>
    <t>GADHIA MONIKA MOHANBHAI</t>
  </si>
  <si>
    <t>GADHIA MONIKA DR.</t>
  </si>
  <si>
    <t>GREENFIELD, ALICE R</t>
  </si>
  <si>
    <t>E0118914</t>
  </si>
  <si>
    <t>GREENFIELD ALICA</t>
  </si>
  <si>
    <t>GREENFIELD ALICE</t>
  </si>
  <si>
    <t>GREENFIELD ALICA R</t>
  </si>
  <si>
    <t>PROSSER, JANE</t>
  </si>
  <si>
    <t>E0294207</t>
  </si>
  <si>
    <t>PROSSER JANE MARIE MD</t>
  </si>
  <si>
    <t>(212) 305-1318</t>
  </si>
  <si>
    <t>PROSSER JANE</t>
  </si>
  <si>
    <t>KURIAKOSE, JULIE S</t>
  </si>
  <si>
    <t>E0343391</t>
  </si>
  <si>
    <t>KURIAKOSE JULIE S</t>
  </si>
  <si>
    <t>KURIAKOSE JULIE DR.</t>
  </si>
  <si>
    <t>622 W 168TH ST 3RD F</t>
  </si>
  <si>
    <t>LALWANI, ANIL K</t>
  </si>
  <si>
    <t>E0053482</t>
  </si>
  <si>
    <t>LALWANI ANIL</t>
  </si>
  <si>
    <t>BELL, KAREN L</t>
  </si>
  <si>
    <t>E0191710</t>
  </si>
  <si>
    <t>BELL KAREN L MD</t>
  </si>
  <si>
    <t>BELL KAREN DR.</t>
  </si>
  <si>
    <t>FOSTER, JORDAN C</t>
  </si>
  <si>
    <t>E0117209</t>
  </si>
  <si>
    <t>FOSTER JORDAN</t>
  </si>
  <si>
    <t>Daniel Lowy</t>
  </si>
  <si>
    <t>arguscommunity</t>
  </si>
  <si>
    <t>Kwame Akowuah, MD</t>
  </si>
  <si>
    <t>E0291748</t>
  </si>
  <si>
    <t>AKOWUAH KWAME</t>
  </si>
  <si>
    <t>(212) 942-8500</t>
  </si>
  <si>
    <t>AKOWUAH KWAME DR.</t>
  </si>
  <si>
    <t>Elizabeth Alonso, LCSW</t>
  </si>
  <si>
    <t>E0392746</t>
  </si>
  <si>
    <t>ALONSO ELIZABETH</t>
  </si>
  <si>
    <t>(212) 942-8501</t>
  </si>
  <si>
    <t>ALONSO ELIZABETH MRS.</t>
  </si>
  <si>
    <t>SEGAL, ALAN Z</t>
  </si>
  <si>
    <t>E0105278</t>
  </si>
  <si>
    <t>SEGAL ALAN ZACHARY MD</t>
  </si>
  <si>
    <t>SEGAL ALAN</t>
  </si>
  <si>
    <t xml:space="preserve">CHANTASI, KENNY </t>
  </si>
  <si>
    <t>E0314859</t>
  </si>
  <si>
    <t>KENNY CHANTASI</t>
  </si>
  <si>
    <t>CHANTASI KENNY DR.</t>
  </si>
  <si>
    <t>CHANTASI KENNY DO</t>
  </si>
  <si>
    <t>TRUSTEES OF COLUMBIA UNIVERSITY</t>
  </si>
  <si>
    <t>E0063573</t>
  </si>
  <si>
    <t>TRUSTEES OF COLUMBIA UNIVERSITY IN THE CITY OF NEW YORK</t>
  </si>
  <si>
    <t xml:space="preserve">JOY, VALSAMMA </t>
  </si>
  <si>
    <t>E0320055</t>
  </si>
  <si>
    <t>JOY VALSAMMA V</t>
  </si>
  <si>
    <t>JOY VALSAMMA MRS.</t>
  </si>
  <si>
    <t>Hillard, MacKenzi N.</t>
  </si>
  <si>
    <t>(212) 752-5015</t>
  </si>
  <si>
    <t>McNairy Margaret</t>
  </si>
  <si>
    <t>E0307696</t>
  </si>
  <si>
    <t>MCNAIRY MARGARET LEIGHTON</t>
  </si>
  <si>
    <t>MCNAIRY MARGARET</t>
  </si>
  <si>
    <t>Ogedegbe Anthony-Emmanue</t>
  </si>
  <si>
    <t>E0048744</t>
  </si>
  <si>
    <t>OGEDEGBE ANTHONY EMMANUE O MD</t>
  </si>
  <si>
    <t>OGEDEGBE ANTHONY-EMMANUEL DR.</t>
  </si>
  <si>
    <t>OGEDEGBE ANTHONY EMMANUEL O</t>
  </si>
  <si>
    <t>Jimenez Guillermo</t>
  </si>
  <si>
    <t>JIMENEZ GUILLERMO DR.</t>
  </si>
  <si>
    <t>630 W 168TH ST # MC28</t>
  </si>
  <si>
    <t>Jin Brian</t>
  </si>
  <si>
    <t>JIN BRIAN</t>
  </si>
  <si>
    <t>Kwak Ellie</t>
  </si>
  <si>
    <t>KWAK ELLIE</t>
  </si>
  <si>
    <t>Lin Dana</t>
  </si>
  <si>
    <t>LIN DANA DR.</t>
  </si>
  <si>
    <t>2351 CLAY ST, SUITE 380</t>
  </si>
  <si>
    <t>Luk Lyndon</t>
  </si>
  <si>
    <t>LUK LYNDON</t>
  </si>
  <si>
    <t>66 PROSPECT AVE</t>
  </si>
  <si>
    <t>Ahmed Firas</t>
  </si>
  <si>
    <t>E0445691</t>
  </si>
  <si>
    <t>AHMED FIRAS SALEM</t>
  </si>
  <si>
    <t>AHMED FIRAS</t>
  </si>
  <si>
    <t>Foster Jonathan</t>
  </si>
  <si>
    <t>Francescone Mark</t>
  </si>
  <si>
    <t>E0347363</t>
  </si>
  <si>
    <t>FRANCESCONE MARK ALBERT</t>
  </si>
  <si>
    <t>FRANCESCONE MARK DR.</t>
  </si>
  <si>
    <t>CRYSTAL, MATTHEW</t>
  </si>
  <si>
    <t>E0340515</t>
  </si>
  <si>
    <t>CRYSTAL MATTHEW ALLAN</t>
  </si>
  <si>
    <t>(212) 305-1219</t>
  </si>
  <si>
    <t>CRYSTAL MATTHEW</t>
  </si>
  <si>
    <t>CULAS, RENU</t>
  </si>
  <si>
    <t>E0359259</t>
  </si>
  <si>
    <t>CULAS RENU</t>
  </si>
  <si>
    <t>(212) 305-1220</t>
  </si>
  <si>
    <t>CULAS RENU DR.</t>
  </si>
  <si>
    <t>Griffin Kelly</t>
  </si>
  <si>
    <t>E0290546</t>
  </si>
  <si>
    <t>GRIFFIN KELLY MARIE MD</t>
  </si>
  <si>
    <t>GRIFFIN KELLY DR.</t>
  </si>
  <si>
    <t>(212) 752-5016</t>
  </si>
  <si>
    <t>Campenot Eric</t>
  </si>
  <si>
    <t>CAMPENOT ERIC</t>
  </si>
  <si>
    <t>34800 BOB WILSON DR, NMCSD</t>
  </si>
  <si>
    <t>Fazlollahi Ladan</t>
  </si>
  <si>
    <t>FAZLOLLAHI LADAN DR.</t>
  </si>
  <si>
    <t>Shih George</t>
  </si>
  <si>
    <t>E0032475</t>
  </si>
  <si>
    <t>SHIH GEORGE MD</t>
  </si>
  <si>
    <t>SHIH GEORGE</t>
  </si>
  <si>
    <t>Shohet Hilary</t>
  </si>
  <si>
    <t>E0005484</t>
  </si>
  <si>
    <t>HILLARY HOCHBERG</t>
  </si>
  <si>
    <t>SHOHET HILARY DR.</t>
  </si>
  <si>
    <t>SHOHET HILARY HOCHBERG</t>
  </si>
  <si>
    <t>Thakur Ravi</t>
  </si>
  <si>
    <t>E0043057</t>
  </si>
  <si>
    <t>THAKUR RAVI K MD</t>
  </si>
  <si>
    <t>THAKUR RAVI DR.</t>
  </si>
  <si>
    <t>THAKUR RAVI K</t>
  </si>
  <si>
    <t>WEILL MEDICAL COLLEGE OF CORNELL UNIVERSITY</t>
  </si>
  <si>
    <t>E0079620</t>
  </si>
  <si>
    <t>CORNELL UNIV MED COLL PSYCH</t>
  </si>
  <si>
    <t>YEAGER, LAUREN B</t>
  </si>
  <si>
    <t>TOBACK, ARNOLD C</t>
  </si>
  <si>
    <t>E0017392</t>
  </si>
  <si>
    <t>TOBACK ARNOLD</t>
  </si>
  <si>
    <t>TOBACK ARNOLD DR.</t>
  </si>
  <si>
    <t>NICKERSON, KATHERINE G</t>
  </si>
  <si>
    <t>E0197722</t>
  </si>
  <si>
    <t>NICKERSON KATHERINE G  MD</t>
  </si>
  <si>
    <t>NICKERSON KATHERINE DR.</t>
  </si>
  <si>
    <t>NICKERSON KATHERINE G MD</t>
  </si>
  <si>
    <t xml:space="preserve">ALBANO, ANNE MARIE </t>
  </si>
  <si>
    <t>E0289360</t>
  </si>
  <si>
    <t>ALBANO ANNE</t>
  </si>
  <si>
    <t>ALBANO ANNE DR.</t>
  </si>
  <si>
    <t>Han, Peggy K.</t>
  </si>
  <si>
    <t>E0386341</t>
  </si>
  <si>
    <t>HAN PEGGY</t>
  </si>
  <si>
    <t>HAN PEGGY DR.</t>
  </si>
  <si>
    <t>ISAACSON, RICHARD S</t>
  </si>
  <si>
    <t>E0348062</t>
  </si>
  <si>
    <t>ISAACSON RICHARD SCOTT</t>
  </si>
  <si>
    <t>ISAACSON RICHARD DR.</t>
  </si>
  <si>
    <t>428 E 72ND ST</t>
  </si>
  <si>
    <t>BERMAN, ROBERT M</t>
  </si>
  <si>
    <t>E0024281</t>
  </si>
  <si>
    <t>BERMAN ROBERT M  MD</t>
  </si>
  <si>
    <t>BERMAN ROBERT DR.</t>
  </si>
  <si>
    <t>BERMAN ROBERT MOSS</t>
  </si>
  <si>
    <t>RAMAN, BHARATHI 0</t>
  </si>
  <si>
    <t>GEYER, ADAM S</t>
  </si>
  <si>
    <t>E0036300</t>
  </si>
  <si>
    <t>GEYER ADAM SHAKER</t>
  </si>
  <si>
    <t>GEYER ADAM DR.</t>
  </si>
  <si>
    <t>MILBURN, PETER B</t>
  </si>
  <si>
    <t>E0114981</t>
  </si>
  <si>
    <t>MILBURN PETER</t>
  </si>
  <si>
    <t>MILBURN PETER DR.</t>
  </si>
  <si>
    <t>PAJVANI, UTPAL B</t>
  </si>
  <si>
    <t>E0321394</t>
  </si>
  <si>
    <t>PAJVANI UTPAL B</t>
  </si>
  <si>
    <t>PAJVANI UTPAL DR.</t>
  </si>
  <si>
    <t>PAJVANI UTPAL BHAGIRATH</t>
  </si>
  <si>
    <t>CHANG, BERNARD P</t>
  </si>
  <si>
    <t>E0338433</t>
  </si>
  <si>
    <t>CHANG BERNARD P</t>
  </si>
  <si>
    <t>CHANG BERNARD DR.</t>
  </si>
  <si>
    <t>NIDIRY, MARY ANNE J</t>
  </si>
  <si>
    <t>E0009675</t>
  </si>
  <si>
    <t>NIDIRY MARY MD</t>
  </si>
  <si>
    <t>NIDIRY MARY ANNE DR.</t>
  </si>
  <si>
    <t>JURCIC, JOSEPH</t>
  </si>
  <si>
    <t>E0338759</t>
  </si>
  <si>
    <t>JURCIC JOSEPH GERARD</t>
  </si>
  <si>
    <t>(212) 305-1266</t>
  </si>
  <si>
    <t>JURCIC JOSEPH</t>
  </si>
  <si>
    <t xml:space="preserve">DWYER, EDWARD </t>
  </si>
  <si>
    <t>E0173974</t>
  </si>
  <si>
    <t>DWYER EDWARD MD</t>
  </si>
  <si>
    <t>DWYER EDWARD DR.</t>
  </si>
  <si>
    <t>BALDWIN, MATTHEW R</t>
  </si>
  <si>
    <t>E0335628</t>
  </si>
  <si>
    <t>BALDWIN MATTHEW R</t>
  </si>
  <si>
    <t>BALDWIN MATTHEW DR.</t>
  </si>
  <si>
    <t>BALDWIN MATTHEW ROBERT</t>
  </si>
  <si>
    <t xml:space="preserve">LEIFER, DANA </t>
  </si>
  <si>
    <t>E0119085</t>
  </si>
  <si>
    <t>LEIFER DANA MD</t>
  </si>
  <si>
    <t>LEIFER DANA DR.</t>
  </si>
  <si>
    <t>Pavlov Helene</t>
  </si>
  <si>
    <t>E0247078</t>
  </si>
  <si>
    <t>PAVLOV HELENE              MD</t>
  </si>
  <si>
    <t>PAVLOV HELENE</t>
  </si>
  <si>
    <t>EISS, BRIAN M</t>
  </si>
  <si>
    <t>E0338879</t>
  </si>
  <si>
    <t>EISS BRIAN MATTHEW</t>
  </si>
  <si>
    <t>EISS BRIAN</t>
  </si>
  <si>
    <t>ACINAPURA, LAUREN A</t>
  </si>
  <si>
    <t>E0009860</t>
  </si>
  <si>
    <t>ACINAPURA LAUREN  MD</t>
  </si>
  <si>
    <t>ACINAPURA LAUREN</t>
  </si>
  <si>
    <t>ACINAPURA LAUREN ELIZABETH MD</t>
  </si>
  <si>
    <t>SMITH, DUANE M</t>
  </si>
  <si>
    <t>E0061735</t>
  </si>
  <si>
    <t>SMITH DUANE M</t>
  </si>
  <si>
    <t>SMITH DUANE DR.</t>
  </si>
  <si>
    <t>SMITH DUANE MICHAEL</t>
  </si>
  <si>
    <t>Mancuso Jessica</t>
  </si>
  <si>
    <t>MANCUSO JESSICA DR.</t>
  </si>
  <si>
    <t>Flores Eva</t>
  </si>
  <si>
    <t>E0079087</t>
  </si>
  <si>
    <t>FLORES EVA KARINA MD</t>
  </si>
  <si>
    <t>FLORES EVA DR.</t>
  </si>
  <si>
    <t>FLORES EVA KARINA</t>
  </si>
  <si>
    <t>Akanksha Manchanda-Gera</t>
  </si>
  <si>
    <t>Aurora Canlas</t>
  </si>
  <si>
    <t>Parsons Molly</t>
  </si>
  <si>
    <t>PARSONS MOLLY DR.</t>
  </si>
  <si>
    <t>625 1ST ST</t>
  </si>
  <si>
    <t>JOHN, ELIZABETH J</t>
  </si>
  <si>
    <t>E0363518</t>
  </si>
  <si>
    <t>JOHN ELIZABETH J</t>
  </si>
  <si>
    <t>JOHN ELIZABETH MRS.</t>
  </si>
  <si>
    <t>VANDERBILT CLINIC 622 WEST 168TH STREET</t>
  </si>
  <si>
    <t>RUBINSTEIN, RAN Y</t>
  </si>
  <si>
    <t>E0084418</t>
  </si>
  <si>
    <t>RUBINSTEIN RAN Y MD</t>
  </si>
  <si>
    <t>RUBINSTEIN RAN</t>
  </si>
  <si>
    <t>HUDSON VALLEY ENT PC</t>
  </si>
  <si>
    <t>Engel, Murray</t>
  </si>
  <si>
    <t>E0087217</t>
  </si>
  <si>
    <t>ENGEL MURRAY  MD</t>
  </si>
  <si>
    <t>ENGEL MURRAY</t>
  </si>
  <si>
    <t>1 PARK ST</t>
  </si>
  <si>
    <t>Zhu, Sha</t>
  </si>
  <si>
    <t>E0056152</t>
  </si>
  <si>
    <t>ZHU SHA MD</t>
  </si>
  <si>
    <t>ZHU SHA</t>
  </si>
  <si>
    <t>CONNOLLY, EILEEN</t>
  </si>
  <si>
    <t>E0326670</t>
  </si>
  <si>
    <t>CONNOLLY EILEEN P</t>
  </si>
  <si>
    <t>(212) 305-1216</t>
  </si>
  <si>
    <t>CONNOLLY EILEEN DR.</t>
  </si>
  <si>
    <t>CORDA, ROZELLE</t>
  </si>
  <si>
    <t>E0000153</t>
  </si>
  <si>
    <t>CORDA ROZELLE</t>
  </si>
  <si>
    <t>(212) 305-1217</t>
  </si>
  <si>
    <t>CORDA ROZELLE MRS.</t>
  </si>
  <si>
    <t>COTLIAR, ARTHUR</t>
  </si>
  <si>
    <t>E0371646</t>
  </si>
  <si>
    <t>ARTHUR M COTLIAR MD PLLC</t>
  </si>
  <si>
    <t>(212) 305-1218</t>
  </si>
  <si>
    <t>ARTHUR M. COTLIAR, MD PLLC</t>
  </si>
  <si>
    <t>635 W 165TH ST 104</t>
  </si>
  <si>
    <t>Lauren Smaldone</t>
  </si>
  <si>
    <t>Fort Alexander</t>
  </si>
  <si>
    <t>FORT ALEXANDER</t>
  </si>
  <si>
    <t>1611 NW 12TH AVE, C-300</t>
  </si>
  <si>
    <t>(212) 752-4997</t>
  </si>
  <si>
    <t xml:space="preserve">Thippa Ramaraju </t>
  </si>
  <si>
    <t>(212) 752-4998</t>
  </si>
  <si>
    <t>Wong Tony</t>
  </si>
  <si>
    <t>E0347351</t>
  </si>
  <si>
    <t>WONG TONY TAN</t>
  </si>
  <si>
    <t>WONG TONY DR.</t>
  </si>
  <si>
    <t>Mehta Neel</t>
  </si>
  <si>
    <t>E0310814</t>
  </si>
  <si>
    <t>MEHTA NEEL DEVENDRA</t>
  </si>
  <si>
    <t>MEHTA NEEL DR.</t>
  </si>
  <si>
    <t>Miguez Billy</t>
  </si>
  <si>
    <t>MIGUEZ BILLY</t>
  </si>
  <si>
    <t>420 W 25TH ST APT 5C</t>
  </si>
  <si>
    <t>Minnick Kristyn</t>
  </si>
  <si>
    <t>MINNICK KRISTYN MS.</t>
  </si>
  <si>
    <t>Misir Aruna</t>
  </si>
  <si>
    <t>MISIR DEEPA MS.</t>
  </si>
  <si>
    <t>525 E 68TH ST, ANESTHESIA DEPARTMENT M-324</t>
  </si>
  <si>
    <t>Mohamed Therese</t>
  </si>
  <si>
    <t>MOHAMED THERESE MS.</t>
  </si>
  <si>
    <t>Murphy Denise</t>
  </si>
  <si>
    <t>Marboe Charles</t>
  </si>
  <si>
    <t>E0108095</t>
  </si>
  <si>
    <t>MARBOE CHARLES</t>
  </si>
  <si>
    <t>Markowitz Glen</t>
  </si>
  <si>
    <t>E0013913</t>
  </si>
  <si>
    <t>MARKOWITZ GLEN</t>
  </si>
  <si>
    <t>O'Toole Kathleen</t>
  </si>
  <si>
    <t>E0111520</t>
  </si>
  <si>
    <t>O'TOOLE KATHLEEN</t>
  </si>
  <si>
    <t>Cosgrove Susan</t>
  </si>
  <si>
    <t>COSGROVE SUSAN</t>
  </si>
  <si>
    <t>177 FORT WASHINGTON AVNUE</t>
  </si>
  <si>
    <t>Cui Jing</t>
  </si>
  <si>
    <t>E0441940</t>
  </si>
  <si>
    <t>CUI JING</t>
  </si>
  <si>
    <t>Dani Avace</t>
  </si>
  <si>
    <t>DANI AVACE DR.</t>
  </si>
  <si>
    <t>622 W 168TH ST PH 5-133</t>
  </si>
  <si>
    <t>Dave Meneka</t>
  </si>
  <si>
    <t>DAVE MENEKA</t>
  </si>
  <si>
    <t>Desai Shivang</t>
  </si>
  <si>
    <t>DESAI SHIVANG</t>
  </si>
  <si>
    <t>1923 HOLLYS WAY</t>
  </si>
  <si>
    <t>SUGAR LAND</t>
  </si>
  <si>
    <t>Burtch Kristen</t>
  </si>
  <si>
    <t>BURTCH KRISTEN</t>
  </si>
  <si>
    <t>Fu Peter</t>
  </si>
  <si>
    <t>FU PETER DR.</t>
  </si>
  <si>
    <t>622 W 168TH ST, PH5-133 STERN</t>
  </si>
  <si>
    <t>Gasior Aimee</t>
  </si>
  <si>
    <t>GASIOR AIMEE DR.</t>
  </si>
  <si>
    <t>Gelber Katherine</t>
  </si>
  <si>
    <t>GELBER KATHERINE</t>
  </si>
  <si>
    <t>4389 AUKAI AVE</t>
  </si>
  <si>
    <t>Gerber Adam</t>
  </si>
  <si>
    <t>E0453385</t>
  </si>
  <si>
    <t>GERBER ADAM M</t>
  </si>
  <si>
    <t>GERBER ADAM DR.</t>
  </si>
  <si>
    <t>FEINSTEIN, ROBERT P</t>
  </si>
  <si>
    <t>E0277470</t>
  </si>
  <si>
    <t>FEINSTEIN ROBERT P MD PC</t>
  </si>
  <si>
    <t>FEINSTEIN ROBERT DR.</t>
  </si>
  <si>
    <t>SUN HARBOR MANOR ECF</t>
  </si>
  <si>
    <t>WEISSMAN, HAROLD H</t>
  </si>
  <si>
    <t>E0269378</t>
  </si>
  <si>
    <t>WEISSMAN HAROLD H</t>
  </si>
  <si>
    <t>12A N AIRMONT RD</t>
  </si>
  <si>
    <t xml:space="preserve">SILVERBERG, SHONNI </t>
  </si>
  <si>
    <t>E0203693</t>
  </si>
  <si>
    <t>SILVERBERG SHONNI JOY      MD</t>
  </si>
  <si>
    <t>SILVERBERG SHONNI DR.</t>
  </si>
  <si>
    <t>SIROTIN, NICOLE</t>
  </si>
  <si>
    <t>E0298913</t>
  </si>
  <si>
    <t>SIROTIN NICOLE</t>
  </si>
  <si>
    <t>(212) 305-1335</t>
  </si>
  <si>
    <t>SIROTIN NICOLE DR.</t>
  </si>
  <si>
    <t>SIROTIN NICOLE ASHLEY</t>
  </si>
  <si>
    <t>Jeanmarie Bradford, MD</t>
  </si>
  <si>
    <t>E0356090</t>
  </si>
  <si>
    <t>ALVES-BRADFORD JEAN-MARIE E</t>
  </si>
  <si>
    <t>(212) 942-8504</t>
  </si>
  <si>
    <t>ALVES-BRADFORD JEAN-MARIE DR.</t>
  </si>
  <si>
    <t>JOSEPH, KOCHURANI S</t>
  </si>
  <si>
    <t>E0307050</t>
  </si>
  <si>
    <t>JOSEPH KOCHURANI</t>
  </si>
  <si>
    <t>JOSEPH KOCHURANI MRS.</t>
  </si>
  <si>
    <t>JOSEPH KOCHURANI S</t>
  </si>
  <si>
    <t>SPINELLI, JENNA E</t>
  </si>
  <si>
    <t>E0331866</t>
  </si>
  <si>
    <t>SPINELLI JENNA ELIZABETH</t>
  </si>
  <si>
    <t>SPINELLI JENNA</t>
  </si>
  <si>
    <t xml:space="preserve">SPALDING, COLLETTE </t>
  </si>
  <si>
    <t>E0383543</t>
  </si>
  <si>
    <t>SPALDING COLLETTE</t>
  </si>
  <si>
    <t>Serra, Theresa</t>
  </si>
  <si>
    <t xml:space="preserve">HOFFMAN, LIORA </t>
  </si>
  <si>
    <t>E0321125</t>
  </si>
  <si>
    <t>HOFFMAN LIORA</t>
  </si>
  <si>
    <t>HOFFMAN LIORA DR.</t>
  </si>
  <si>
    <t>LEVIT, EYAL K</t>
  </si>
  <si>
    <t>E0097749</t>
  </si>
  <si>
    <t>LEVIT EYAL KONSTANTIN MD</t>
  </si>
  <si>
    <t>LEVIT EYAL</t>
  </si>
  <si>
    <t>VERNA, ELIZABETH C</t>
  </si>
  <si>
    <t>E0023305</t>
  </si>
  <si>
    <t>VERNA ELIZABETH C. MD</t>
  </si>
  <si>
    <t>VERNA ELIZABETH DR.</t>
  </si>
  <si>
    <t>Tiscornia-Wasserman Patricia</t>
  </si>
  <si>
    <t>E0097959</t>
  </si>
  <si>
    <t>TISCORNIA-WASSERMAN PATRICIA</t>
  </si>
  <si>
    <t>(212) 305-1197</t>
  </si>
  <si>
    <t>TISCORNIA-WASSERMAN PATRICIA DR.</t>
  </si>
  <si>
    <t>TISCORNIA WASSERMAN PATRICIA G MD</t>
  </si>
  <si>
    <t>Faust Phyllis</t>
  </si>
  <si>
    <t>E0013919</t>
  </si>
  <si>
    <t>FAUST PHYLLIS</t>
  </si>
  <si>
    <t>Goldman James</t>
  </si>
  <si>
    <t>E0118919</t>
  </si>
  <si>
    <t>GOLDMAN JAMES E</t>
  </si>
  <si>
    <t>GOLDMAN JAMES</t>
  </si>
  <si>
    <t>ATKESON, AMY D</t>
  </si>
  <si>
    <t>E0005084</t>
  </si>
  <si>
    <t>AMY DUDENHOEFER ATKESON</t>
  </si>
  <si>
    <t>ATKESON AMY DR.</t>
  </si>
  <si>
    <t>ATKESON AMY DUDENHOEFER MD</t>
  </si>
  <si>
    <t xml:space="preserve">MELMAN, DOUGLAS </t>
  </si>
  <si>
    <t>E0069072</t>
  </si>
  <si>
    <t>MELMAN DOUGLAS J MD</t>
  </si>
  <si>
    <t>MELMAN DOUGLAS</t>
  </si>
  <si>
    <t>Ginsberg Nicole</t>
  </si>
  <si>
    <t>GINSBERG NICOLE</t>
  </si>
  <si>
    <t>Grivoyannis Anastasia</t>
  </si>
  <si>
    <t>GRIVOYANNIS ANASTASIA DR.</t>
  </si>
  <si>
    <t>325 9TH AVE # MS 359, UW EMERGENCY MEDICINE RESIDENCY</t>
  </si>
  <si>
    <t>FEUER, NAOMI T</t>
  </si>
  <si>
    <t>E0324444</t>
  </si>
  <si>
    <t>FEUER NAOMI</t>
  </si>
  <si>
    <t>SANTOS, RYAN M</t>
  </si>
  <si>
    <t>E0319628</t>
  </si>
  <si>
    <t>SANTOS RYAN JEROME</t>
  </si>
  <si>
    <t>SANTOS RYAN</t>
  </si>
  <si>
    <t>SACCO, DANA L</t>
  </si>
  <si>
    <t>E0336102</t>
  </si>
  <si>
    <t>SACCO DANA L</t>
  </si>
  <si>
    <t>SACCO DANA</t>
  </si>
  <si>
    <t>KLYDE, BARRY J</t>
  </si>
  <si>
    <t>E0256274</t>
  </si>
  <si>
    <t>KLYDE BARRY J              MD</t>
  </si>
  <si>
    <t>KLYDE BARRY</t>
  </si>
  <si>
    <t>520 E 72ND ST</t>
  </si>
  <si>
    <t>Yohay, Kaleb H.</t>
  </si>
  <si>
    <t>E0024530</t>
  </si>
  <si>
    <t>YOHAY KALEB H MD</t>
  </si>
  <si>
    <t>YOHAY KALEB</t>
  </si>
  <si>
    <t>Abraham, Seena</t>
  </si>
  <si>
    <t>E0062619</t>
  </si>
  <si>
    <t>ABRAHAM SEENA SHIBU</t>
  </si>
  <si>
    <t>ABRAHAM SEENA DR.</t>
  </si>
  <si>
    <t>ABRAHAM SEENA SHIBU MD</t>
  </si>
  <si>
    <t>525 E 68TH ST RM F-695B</t>
  </si>
  <si>
    <t xml:space="preserve">MACGREGOR, JENNIFER </t>
  </si>
  <si>
    <t>E0369279</t>
  </si>
  <si>
    <t>MACGREGOR JENNIFER</t>
  </si>
  <si>
    <t>161 FT WASHINGTN AVE</t>
  </si>
  <si>
    <t>ZERRATE, MARIA C</t>
  </si>
  <si>
    <t>E0383094</t>
  </si>
  <si>
    <t>ZERRATE MARIANNA</t>
  </si>
  <si>
    <t>ZERRATE MARIA</t>
  </si>
  <si>
    <t>ZERRATE MARIA CAROLINA</t>
  </si>
  <si>
    <t>3959 BROADWAY # B6N</t>
  </si>
  <si>
    <t>Miller Zoe</t>
  </si>
  <si>
    <t>MILLER ZOE</t>
  </si>
  <si>
    <t>30 SHELBURNE RD, STAMFORD HOSPITAL-DEPT. OF MEDICINE</t>
  </si>
  <si>
    <t>KIMEL, ALEXANDRU F</t>
  </si>
  <si>
    <t>E0377676</t>
  </si>
  <si>
    <t>KIMEL ALEXANDRU FILIP</t>
  </si>
  <si>
    <t>KIMEL ALEXANDRU</t>
  </si>
  <si>
    <t>PONEROS, JOHN M</t>
  </si>
  <si>
    <t>E0288078</t>
  </si>
  <si>
    <t>JOHN M PONEROS MD</t>
  </si>
  <si>
    <t>PONEROS JOHN</t>
  </si>
  <si>
    <t>PONEROS JOHN M MD</t>
  </si>
  <si>
    <t>E0117075</t>
  </si>
  <si>
    <t>CORNELL UNIVERSITY MED CLGE</t>
  </si>
  <si>
    <t>BAKER 14</t>
  </si>
  <si>
    <t xml:space="preserve">MCGAHEE, WENDY  </t>
  </si>
  <si>
    <t>E0083222</t>
  </si>
  <si>
    <t>MCGAHEE WENDY MD</t>
  </si>
  <si>
    <t>MCGAHEE WENDY</t>
  </si>
  <si>
    <t>BERK, PAUL D</t>
  </si>
  <si>
    <t>E0265043</t>
  </si>
  <si>
    <t>BERK PAUL D                MD</t>
  </si>
  <si>
    <t>BERK PAUL DR.</t>
  </si>
  <si>
    <t>RAO, MAYA K</t>
  </si>
  <si>
    <t>E0293179</t>
  </si>
  <si>
    <t>RAO MAYA K MD</t>
  </si>
  <si>
    <t>MEYER-BAHLBURG, HEINO F.L.</t>
  </si>
  <si>
    <t>E0360076</t>
  </si>
  <si>
    <t>MEYER-BAHLBURG HEINO F L</t>
  </si>
  <si>
    <t>MEYER-BAHLBURG HEINO DR.</t>
  </si>
  <si>
    <t>GOSSEY, JOHN T</t>
  </si>
  <si>
    <t>E0312089</t>
  </si>
  <si>
    <t>GOSSEY JOHN TRAVIS</t>
  </si>
  <si>
    <t>GOSSEY JOHN</t>
  </si>
  <si>
    <t>WATTACHERIL, JULIA J</t>
  </si>
  <si>
    <t>E0324450</t>
  </si>
  <si>
    <t>WATTACHERIL JULIA</t>
  </si>
  <si>
    <t>WATTACHERIL JULIA DR.</t>
  </si>
  <si>
    <t>FRYER, ROBERT H</t>
  </si>
  <si>
    <t>E0057653</t>
  </si>
  <si>
    <t>FRYER ROBERT HUGH MD</t>
  </si>
  <si>
    <t>FRYER ROBERT DR.</t>
  </si>
  <si>
    <t>FRYER ROBERT HUGH</t>
  </si>
  <si>
    <t>BOCKMAN, RICHARD S</t>
  </si>
  <si>
    <t>E0115222</t>
  </si>
  <si>
    <t>BOCKMAN RICHARD</t>
  </si>
  <si>
    <t>BOCKMAN RICHARD STEVEN</t>
  </si>
  <si>
    <t>Saint Marys Hospital for Children</t>
  </si>
  <si>
    <t>Edwin F. Simpser, MD</t>
  </si>
  <si>
    <t xml:space="preserve">FAHN, STANLEY </t>
  </si>
  <si>
    <t>E0230779</t>
  </si>
  <si>
    <t>FAHN STANLEY               MD</t>
  </si>
  <si>
    <t>FAHN STANLEY DR.</t>
  </si>
  <si>
    <t>NEUROLOGICAL INSTIT</t>
  </si>
  <si>
    <t>Laura Clarke, MD</t>
  </si>
  <si>
    <t>E0354624</t>
  </si>
  <si>
    <t>CLARKE LAURA A</t>
  </si>
  <si>
    <t>(212) 942-8539</t>
  </si>
  <si>
    <t>CLARKE LAURA DR.</t>
  </si>
  <si>
    <t>Amanda Gangoo, MD</t>
  </si>
  <si>
    <t>(212) 942-8540</t>
  </si>
  <si>
    <t>Eva Josephine Harbury, MD</t>
  </si>
  <si>
    <t>E0114630</t>
  </si>
  <si>
    <t>HARBURY EVA-JOSEPHINE B MD</t>
  </si>
  <si>
    <t>(212) 942-8541</t>
  </si>
  <si>
    <t>HARBURY EVA JOSEPHINE DR.</t>
  </si>
  <si>
    <t>1500 WATER PL   PSYCHIATRY DEPT</t>
  </si>
  <si>
    <t>BERMON, NANCY A</t>
  </si>
  <si>
    <t>E0163743</t>
  </si>
  <si>
    <t>BERMON NANCY ANN MD</t>
  </si>
  <si>
    <t>BERMON NANCY DR.</t>
  </si>
  <si>
    <t>MEYER, DODI D</t>
  </si>
  <si>
    <t>E0163047</t>
  </si>
  <si>
    <t>MEYER DODI D  MD</t>
  </si>
  <si>
    <t>MEYER DODI DR.</t>
  </si>
  <si>
    <t># BHN-112</t>
  </si>
  <si>
    <t>Gods Love We Deliver, Inc</t>
  </si>
  <si>
    <t>Alissa Wassung, Director of Policy and Planning</t>
  </si>
  <si>
    <t>Village center for Care Adult Day Health Center</t>
  </si>
  <si>
    <t>Allison Silvers, Chief Strategy Officer</t>
  </si>
  <si>
    <t>allisons@villagecare.org</t>
  </si>
  <si>
    <t>IP, JAMES E</t>
  </si>
  <si>
    <t>E0319800</t>
  </si>
  <si>
    <t>IP JAMES EDMUND</t>
  </si>
  <si>
    <t>IP JAMES</t>
  </si>
  <si>
    <t>525 E 68TH ST STARR-4</t>
  </si>
  <si>
    <t>COHEN, MICHELE R</t>
  </si>
  <si>
    <t>E0301575</t>
  </si>
  <si>
    <t>COHEN MICHELE R</t>
  </si>
  <si>
    <t>COHEN MICHELE MS.</t>
  </si>
  <si>
    <t>ALEXANDER, KIM V</t>
  </si>
  <si>
    <t>E0293998</t>
  </si>
  <si>
    <t>ALEXANDER KIM</t>
  </si>
  <si>
    <t>ALEXANDER KIM MR.</t>
  </si>
  <si>
    <t>ALEXANDER KIM V</t>
  </si>
  <si>
    <t>503 E 70TH ST</t>
  </si>
  <si>
    <t>TSAI, SHIU-LIN</t>
  </si>
  <si>
    <t>E0144801</t>
  </si>
  <si>
    <t>TSAI SHIU-LIN MD</t>
  </si>
  <si>
    <t>(212) 305-1346</t>
  </si>
  <si>
    <t>TSAI SHIU-LIN DR.</t>
  </si>
  <si>
    <t>COLUMBIA PRES PH-137</t>
  </si>
  <si>
    <t>Sheena Pradham</t>
  </si>
  <si>
    <t>Busse Jennifer</t>
  </si>
  <si>
    <t>ARVIZU OLVERA, JOSE</t>
  </si>
  <si>
    <t>E0352776</t>
  </si>
  <si>
    <t>ARVIZU JOSE</t>
  </si>
  <si>
    <t>(212) 305-1195</t>
  </si>
  <si>
    <t>ARVIZU OLVERA JOSE</t>
  </si>
  <si>
    <t>ASFAW, TIRSIT</t>
  </si>
  <si>
    <t>E0323385</t>
  </si>
  <si>
    <t>ASFAW TIRSIT SHIFERAW</t>
  </si>
  <si>
    <t>(212) 305-1196</t>
  </si>
  <si>
    <t>ASFAW TIRSIT DR.</t>
  </si>
  <si>
    <t>525 E 68TH ST # J-130 # 122</t>
  </si>
  <si>
    <t>AVASARE, RUPALI</t>
  </si>
  <si>
    <t>E0335792</t>
  </si>
  <si>
    <t>AVASARE RUPALI SURENDRA</t>
  </si>
  <si>
    <t>AVASARE RUPALI DR.</t>
  </si>
  <si>
    <t>622 W 168TH ST BOX 4</t>
  </si>
  <si>
    <t>BAINTON, NICOLE</t>
  </si>
  <si>
    <t>E0370481</t>
  </si>
  <si>
    <t>BAINTON NICOLE M</t>
  </si>
  <si>
    <t>BAINTON NICOLE</t>
  </si>
  <si>
    <t>BATHON, JOAN</t>
  </si>
  <si>
    <t>E0315654</t>
  </si>
  <si>
    <t>BATHON JOAN MARIE</t>
  </si>
  <si>
    <t>BATHON JOAN DR.</t>
  </si>
  <si>
    <t>BERMAN, JOSHUA</t>
  </si>
  <si>
    <t>E0373302</t>
  </si>
  <si>
    <t>BERMAN JOSHUA AARON</t>
  </si>
  <si>
    <t>(212) 305-1201</t>
  </si>
  <si>
    <t>BERMAN JOSHUA</t>
  </si>
  <si>
    <t>BIRMINGHAM, MARY</t>
  </si>
  <si>
    <t>E0067885</t>
  </si>
  <si>
    <t>BIRMINGHAM MARY CATHERINE MD</t>
  </si>
  <si>
    <t>(212) 305-1202</t>
  </si>
  <si>
    <t>BIRMINGHAM MARY</t>
  </si>
  <si>
    <t>BLINDERMAN, CRAIG</t>
  </si>
  <si>
    <t>E0303597</t>
  </si>
  <si>
    <t>BLINDERMAN CRAIG DAVID MD</t>
  </si>
  <si>
    <t>BLINDERMAN CRAIG</t>
  </si>
  <si>
    <t>BOLOGA, ROXANA</t>
  </si>
  <si>
    <t>E0137477</t>
  </si>
  <si>
    <t>BOLOGA ROXANA MAGDALENA MD</t>
  </si>
  <si>
    <t>BOLOGA ROXANA DR.</t>
  </si>
  <si>
    <t>ROGOSIN INSTITUTE</t>
  </si>
  <si>
    <t>Dubey Elizabeth</t>
  </si>
  <si>
    <t>E0336757</t>
  </si>
  <si>
    <t>DUBEY ELIZABETH A</t>
  </si>
  <si>
    <t>DUBEY ELIZABETH DR.</t>
  </si>
  <si>
    <t>Farrell Sandra</t>
  </si>
  <si>
    <t>Czyz Carolyn</t>
  </si>
  <si>
    <t>CZYZ CAROLYN MS.</t>
  </si>
  <si>
    <t>Darwich Alaeldin</t>
  </si>
  <si>
    <t>E0045167</t>
  </si>
  <si>
    <t>DARWICH ALAELDIN A MD</t>
  </si>
  <si>
    <t>DARWICH ALAELDIN DR.</t>
  </si>
  <si>
    <t>Dave Anjalee</t>
  </si>
  <si>
    <t>E0382952</t>
  </si>
  <si>
    <t>DAVE ANJALEE</t>
  </si>
  <si>
    <t>DAVE ANJALEE DR.</t>
  </si>
  <si>
    <t>Crossman Daniel</t>
  </si>
  <si>
    <t>E0012972</t>
  </si>
  <si>
    <t>CROSSMAN DANIEL J MD</t>
  </si>
  <si>
    <t>CROSSMAN DANIEL DR.</t>
  </si>
  <si>
    <t>Chen Liyang</t>
  </si>
  <si>
    <t>CHEN LIYANG DR.</t>
  </si>
  <si>
    <t>330 MOUNT AUBURN ST, DEPT OF MEDICINE</t>
  </si>
  <si>
    <t>Chhabra Shalini</t>
  </si>
  <si>
    <t>CHHABRA SHALINI</t>
  </si>
  <si>
    <t>45 HIGHVIEW DR</t>
  </si>
  <si>
    <t>Chng Yeang</t>
  </si>
  <si>
    <t>CHNG YEANG</t>
  </si>
  <si>
    <t>Laurence Cloutier-Champagne</t>
  </si>
  <si>
    <t>WISEMAN, THU</t>
  </si>
  <si>
    <t>E0342487</t>
  </si>
  <si>
    <t>THU THI XUAN NGUYEN</t>
  </si>
  <si>
    <t>(212) 305-1355</t>
  </si>
  <si>
    <t>WISEMAN THU MRS.</t>
  </si>
  <si>
    <t>WISEMAN THU NGUYEN</t>
  </si>
  <si>
    <t>WONG, WAICHI</t>
  </si>
  <si>
    <t>E0329070</t>
  </si>
  <si>
    <t>WONG WAICHI</t>
  </si>
  <si>
    <t>(212) 305-1357</t>
  </si>
  <si>
    <t>WONG WAICHI DR.</t>
  </si>
  <si>
    <t>622 W 168TH ST PH 4TH FL</t>
  </si>
  <si>
    <t>Spitalnik Steven</t>
  </si>
  <si>
    <t>E0013880</t>
  </si>
  <si>
    <t>SPITALNIK STEVEN</t>
  </si>
  <si>
    <t>Terence Cardinal Cooke OPWDD</t>
  </si>
  <si>
    <t>FREDA, PAMELA U</t>
  </si>
  <si>
    <t>E0139271</t>
  </si>
  <si>
    <t>FREDA PAMELA U MD</t>
  </si>
  <si>
    <t>FREDA PAMELA DR.</t>
  </si>
  <si>
    <t>Moreno, Lisa B.</t>
  </si>
  <si>
    <t>(212) 752-5004</t>
  </si>
  <si>
    <t>(212) 752-5017</t>
  </si>
  <si>
    <t>KERNER, KAREN F</t>
  </si>
  <si>
    <t>E0195630</t>
  </si>
  <si>
    <t>KERNER KAREN F             MD</t>
  </si>
  <si>
    <t>KERNER KAREN DR.</t>
  </si>
  <si>
    <t>LEWIS, SUZANNE K</t>
  </si>
  <si>
    <t>E0181680</t>
  </si>
  <si>
    <t>LEWIS SUZANNE K MD</t>
  </si>
  <si>
    <t>LEWIS SUZANNE DR.</t>
  </si>
  <si>
    <t>Courtines Simone</t>
  </si>
  <si>
    <t>E0015920</t>
  </si>
  <si>
    <t>COURTINES SIMONE G RPA</t>
  </si>
  <si>
    <t>COURTINES SIMONE MS.</t>
  </si>
  <si>
    <t>Angie Gauthier</t>
  </si>
  <si>
    <t>Priya Ghael</t>
  </si>
  <si>
    <t>Katherine Gonzalez</t>
  </si>
  <si>
    <t>Pedro Gonzalez</t>
  </si>
  <si>
    <t>Erica Hahn</t>
  </si>
  <si>
    <t>Tami Hall</t>
  </si>
  <si>
    <t>Karen Isaacs-Charles</t>
  </si>
  <si>
    <t>BELL, MICHELLE W</t>
  </si>
  <si>
    <t>E0350518</t>
  </si>
  <si>
    <t>BELL MICHELLE</t>
  </si>
  <si>
    <t>BELL MICHELLE WILSON</t>
  </si>
  <si>
    <t>MANDIGO, CHRISTOPHER E</t>
  </si>
  <si>
    <t>E0294709</t>
  </si>
  <si>
    <t>MANDIGO CHRISTOPHER E MD</t>
  </si>
  <si>
    <t>MANDIGO CHRISTOPHER DR.</t>
  </si>
  <si>
    <t>MANDIGO CHRISTOPHER ELIOT MD</t>
  </si>
  <si>
    <t>LOVE, MICHELLE H</t>
  </si>
  <si>
    <t>E0060604</t>
  </si>
  <si>
    <t>LOVE MICHELLE H MD</t>
  </si>
  <si>
    <t>LOVE MICHELLE</t>
  </si>
  <si>
    <t>Lee Jennifer</t>
  </si>
  <si>
    <t>E0042682</t>
  </si>
  <si>
    <t>LEE JENNIFER I MD</t>
  </si>
  <si>
    <t>BLUMKIN, ZACHARY K</t>
  </si>
  <si>
    <t>E0348000</t>
  </si>
  <si>
    <t>BLUMKIN ZACHARY</t>
  </si>
  <si>
    <t>CUMC NYP Rehab</t>
  </si>
  <si>
    <t>CUMC NYP Psych</t>
  </si>
  <si>
    <t>JANI, BEENA H</t>
  </si>
  <si>
    <t>E0038634</t>
  </si>
  <si>
    <t>JANI BEENA HARENDRA MD</t>
  </si>
  <si>
    <t>JANI BEENA DR.</t>
  </si>
  <si>
    <t>JANI BEENA HARENDRA</t>
  </si>
  <si>
    <t>McNamara, Courtney</t>
  </si>
  <si>
    <t>CRUZ, JENNIFER E</t>
  </si>
  <si>
    <t>E0325544</t>
  </si>
  <si>
    <t>CRUZ JENNIFER</t>
  </si>
  <si>
    <t>CRUZ JENNIFER DR.</t>
  </si>
  <si>
    <t>Cunniff, Christopher M.</t>
  </si>
  <si>
    <t>E0374510</t>
  </si>
  <si>
    <t>CUNNIFF CHRISTOPHE</t>
  </si>
  <si>
    <t>CUNNIFF CHRISTOPHER MR.</t>
  </si>
  <si>
    <t>CUNNIFF CHRISTOPHER MCCORD</t>
  </si>
  <si>
    <t xml:space="preserve">BOKHARI, SABAHAT </t>
  </si>
  <si>
    <t>E0138712</t>
  </si>
  <si>
    <t>BOKHARI SABAHAT MD</t>
  </si>
  <si>
    <t>BOKHARI SABAHAT DR.</t>
  </si>
  <si>
    <t>NEU, NATALIE M</t>
  </si>
  <si>
    <t>KLEIN, ROBERT M</t>
  </si>
  <si>
    <t>E0313093</t>
  </si>
  <si>
    <t>1005 CLIFTON AVE STE 102</t>
  </si>
  <si>
    <t xml:space="preserve">FRANK, PAUL </t>
  </si>
  <si>
    <t xml:space="preserve">LEBWOHL, OSCAR </t>
  </si>
  <si>
    <t>E0240439</t>
  </si>
  <si>
    <t>LEBWOHL OSCAR              MD</t>
  </si>
  <si>
    <t>LEBWOHL OSCAR DR.</t>
  </si>
  <si>
    <t>NEALON, NANCY M</t>
  </si>
  <si>
    <t>E0217873</t>
  </si>
  <si>
    <t>NEALON NANCY M MD</t>
  </si>
  <si>
    <t>NEALON NANCY</t>
  </si>
  <si>
    <t>ALMEIDA, LAILA M</t>
  </si>
  <si>
    <t>E0011695</t>
  </si>
  <si>
    <t>ALMEIDA LAILA</t>
  </si>
  <si>
    <t>ALMEIDA LAILA DR.</t>
  </si>
  <si>
    <t>IRVING PAVILLIONN DE</t>
  </si>
  <si>
    <t>CHOPRA, NINA P</t>
  </si>
  <si>
    <t>E0299841</t>
  </si>
  <si>
    <t>CHOPRA NINA</t>
  </si>
  <si>
    <t>CHOPRA NINA DR.</t>
  </si>
  <si>
    <t>MEJIA-SMITH, BRENDA X</t>
  </si>
  <si>
    <t>E0344482</t>
  </si>
  <si>
    <t>MEJIA-SMITH BRENDA</t>
  </si>
  <si>
    <t>MEJIA-SMITH BRENDA DR.</t>
  </si>
  <si>
    <t>MEJIA-SMITH BRENDA X</t>
  </si>
  <si>
    <t>UCCI, AMANDA J</t>
  </si>
  <si>
    <t>E0326913</t>
  </si>
  <si>
    <t>UCCI AMANDA</t>
  </si>
  <si>
    <t>UCCI AMANDA J</t>
  </si>
  <si>
    <t>Betty Cheng, COO</t>
  </si>
  <si>
    <t>De Gijsel Swana</t>
  </si>
  <si>
    <t>E0352779</t>
  </si>
  <si>
    <t>DE GIJSEL SWANA</t>
  </si>
  <si>
    <t>DE GIJSEL SWANA MS.</t>
  </si>
  <si>
    <t>DE GIJSEL SWANA OLGA</t>
  </si>
  <si>
    <t>FORGACS, PETER B</t>
  </si>
  <si>
    <t>E0346581</t>
  </si>
  <si>
    <t>FORGACS PETER BERTALAN</t>
  </si>
  <si>
    <t>FORGACS PETER DR.</t>
  </si>
  <si>
    <t>Naomi Glicken, LCSW</t>
  </si>
  <si>
    <t>E0055250</t>
  </si>
  <si>
    <t>GLICKEN NAOMI</t>
  </si>
  <si>
    <t>(212) 942-8513</t>
  </si>
  <si>
    <t>GLICKEN NAOMI MS.</t>
  </si>
  <si>
    <t>Patricia Gloster, RN</t>
  </si>
  <si>
    <t>E0356188</t>
  </si>
  <si>
    <t>GLOSTER PATRICIA</t>
  </si>
  <si>
    <t>(212) 942-8514</t>
  </si>
  <si>
    <t>GLOSTER PATRICIA MS.</t>
  </si>
  <si>
    <t>Hentel Keith</t>
  </si>
  <si>
    <t>E0061488</t>
  </si>
  <si>
    <t>HENTEL KEITH D MD</t>
  </si>
  <si>
    <t>HENTEL KEITH DR.</t>
  </si>
  <si>
    <t>COLM PRESB RAD</t>
  </si>
  <si>
    <t>WEILL CORNELL MEDICAL COLLEGE</t>
  </si>
  <si>
    <t>1305 YORK AVE, 6TH FLOOR</t>
  </si>
  <si>
    <t>WEINSTEIN, LUISE L</t>
  </si>
  <si>
    <t>E0205032</t>
  </si>
  <si>
    <t>WEINSTEIN LUISE L          MD</t>
  </si>
  <si>
    <t>WEINSTEIN LUISE</t>
  </si>
  <si>
    <t>Troiano Robert</t>
  </si>
  <si>
    <t>E0111593</t>
  </si>
  <si>
    <t>TROIANO ROBERT N MD</t>
  </si>
  <si>
    <t>TROIANO ROBERT</t>
  </si>
  <si>
    <t xml:space="preserve">RODRIGUEZ, JEANNETTE </t>
  </si>
  <si>
    <t>E0364919</t>
  </si>
  <si>
    <t>RODRIGUEZ JEANNETTE</t>
  </si>
  <si>
    <t>99 TERRACE VIEW AVE</t>
  </si>
  <si>
    <t xml:space="preserve">BROWN, JOCELYN </t>
  </si>
  <si>
    <t>E0210264</t>
  </si>
  <si>
    <t>BROWN JOCELYN              MD</t>
  </si>
  <si>
    <t>BROWN JOCELYN DR.</t>
  </si>
  <si>
    <t>ASCUNCE, REBECCA R</t>
  </si>
  <si>
    <t>E0337972</t>
  </si>
  <si>
    <t>ASCUNCE REBECCA RUDOMINER</t>
  </si>
  <si>
    <t>ASCUNCE REBECCA DR.</t>
  </si>
  <si>
    <t>1305 YORK AVE FL 8</t>
  </si>
  <si>
    <t>MCCORMICK, PAUL C</t>
  </si>
  <si>
    <t>E0183183</t>
  </si>
  <si>
    <t>MCCORMICK PAUL C MD</t>
  </si>
  <si>
    <t>MCCORMICK PAUL DR.</t>
  </si>
  <si>
    <t>710 W 168TH ST RM 204</t>
  </si>
  <si>
    <t>SHAHID, NASAR M</t>
  </si>
  <si>
    <t>E0081648</t>
  </si>
  <si>
    <t>SHAHID NASAR MAHMOOD MD</t>
  </si>
  <si>
    <t>SHAHID NASAR DR.</t>
  </si>
  <si>
    <t>WELLMAN, DAVID S</t>
  </si>
  <si>
    <t>POPKIN, CHARLES A</t>
  </si>
  <si>
    <t>E0340715</t>
  </si>
  <si>
    <t>POPKIN CHARLES AARON</t>
  </si>
  <si>
    <t>POPKIN CHARLES DR.</t>
  </si>
  <si>
    <t>51 W 51ST ST STE 370</t>
  </si>
  <si>
    <t>KANG, UN J</t>
  </si>
  <si>
    <t>E0191953</t>
  </si>
  <si>
    <t>KANG UN J MD</t>
  </si>
  <si>
    <t>KANG UN</t>
  </si>
  <si>
    <t>SCHUBERT, HERMANN D</t>
  </si>
  <si>
    <t>E0185427</t>
  </si>
  <si>
    <t>SCHUBERT HERMANN D MD</t>
  </si>
  <si>
    <t>SCHUBERT HERMANN</t>
  </si>
  <si>
    <t>E0301409</t>
  </si>
  <si>
    <t>WEILL MEDICAL COLLEGE OF CORNELL UN</t>
  </si>
  <si>
    <t>525 E 68TH ST, ST-801</t>
  </si>
  <si>
    <t>FAN-PAUL, NANCY I</t>
  </si>
  <si>
    <t>E0104233</t>
  </si>
  <si>
    <t>NFP HEALTH GROUP LLC</t>
  </si>
  <si>
    <t>FAN-PAUL NANCY DR.</t>
  </si>
  <si>
    <t>NY HOSP/CORNELL</t>
  </si>
  <si>
    <t xml:space="preserve">CONNOLLY, E. SANDER </t>
  </si>
  <si>
    <t>E0123506</t>
  </si>
  <si>
    <t>CONNOLLY E SANDER JR MD</t>
  </si>
  <si>
    <t>CONNOLLY EDWARD DR.</t>
  </si>
  <si>
    <t>NEUROSURG ASC/RM422</t>
  </si>
  <si>
    <t xml:space="preserve">MARRERO, LETISHA </t>
  </si>
  <si>
    <t>E0003387</t>
  </si>
  <si>
    <t>LETISHA MARRERO</t>
  </si>
  <si>
    <t>MARRERO LETISHA</t>
  </si>
  <si>
    <t>MARRERO LETISHA PHD</t>
  </si>
  <si>
    <t>SLATER, JONATHON A</t>
  </si>
  <si>
    <t>E0165362</t>
  </si>
  <si>
    <t>SLATER JONATHAN ALLEN MD</t>
  </si>
  <si>
    <t>SLATER JONATHAN DR.</t>
  </si>
  <si>
    <t>SLATER JONATHAN ALLEN</t>
  </si>
  <si>
    <t>WEILL CORNELL IMAGING AT NEW YORK PRESBYTERIAN</t>
  </si>
  <si>
    <t>E0292475</t>
  </si>
  <si>
    <t>WEILL CORNELL IMAGING NY PRSBYTRIAN</t>
  </si>
  <si>
    <t>520E 70TH ST LVL J-0</t>
  </si>
  <si>
    <t>STOCKWELL, MELISSA S</t>
  </si>
  <si>
    <t>E0032449</t>
  </si>
  <si>
    <t>STOCKWELL MELISSA SCHARF MD</t>
  </si>
  <si>
    <t>STOCKWELL MELISSA DR.</t>
  </si>
  <si>
    <t>HOLLENBERG, JAMES P</t>
  </si>
  <si>
    <t>E0210495</t>
  </si>
  <si>
    <t>HOLLENBERG JAMES P         MD</t>
  </si>
  <si>
    <t>HOLLENBERG JAMES</t>
  </si>
  <si>
    <t>505 E 70TH ST STE HT-4</t>
  </si>
  <si>
    <t xml:space="preserve">Sherline Chery </t>
  </si>
  <si>
    <t>LANTIGUA, RAFAEL A</t>
  </si>
  <si>
    <t>E0255765</t>
  </si>
  <si>
    <t>LANTIGUA RAFAEL            MD</t>
  </si>
  <si>
    <t>LANTIGUA RAFAEL DR.</t>
  </si>
  <si>
    <t>VC 2 205 AIM</t>
  </si>
  <si>
    <t>Kim Jin Ah</t>
  </si>
  <si>
    <t>KIM JIN AH DR.</t>
  </si>
  <si>
    <t>416 E 55TH ST</t>
  </si>
  <si>
    <t>Kishore Sirish</t>
  </si>
  <si>
    <t>E0442971</t>
  </si>
  <si>
    <t>KISHORE SIRISH A</t>
  </si>
  <si>
    <t>KISHORE SIRISH DR.</t>
  </si>
  <si>
    <t>Lyons Grafe</t>
  </si>
  <si>
    <t>LYONS GRAFE DR.</t>
  </si>
  <si>
    <t>Ira Rosenblum, RT</t>
  </si>
  <si>
    <t>(212) 942-8532</t>
  </si>
  <si>
    <t>ROSENBLUM IRA MR.</t>
  </si>
  <si>
    <t>Maritza Campbell, LCSW</t>
  </si>
  <si>
    <t>(212) 942-8507</t>
  </si>
  <si>
    <t>CAMPBELL MARITZA MS.</t>
  </si>
  <si>
    <t>513 W 166TH ST, 4TH FLOOR AUDUBON-WHCS</t>
  </si>
  <si>
    <t>Lucia Capitelli, RN</t>
  </si>
  <si>
    <t>E0360269</t>
  </si>
  <si>
    <t>CAPITELLI LUCIA MICHELLE</t>
  </si>
  <si>
    <t>(212) 942-8508</t>
  </si>
  <si>
    <t>CAPITELLI LUCIA MS.</t>
  </si>
  <si>
    <t>Dora Cardenas, MD</t>
  </si>
  <si>
    <t>E0137868</t>
  </si>
  <si>
    <t>CARDENAS DORA L MD</t>
  </si>
  <si>
    <t>(212) 942-8509</t>
  </si>
  <si>
    <t>CARDENAS DORA DR.</t>
  </si>
  <si>
    <t>CARDENAS DORA LUISA</t>
  </si>
  <si>
    <t>WCMC NYP Psych</t>
  </si>
  <si>
    <t>BLUMBERG, DANA M</t>
  </si>
  <si>
    <t xml:space="preserve">KYMISSIS, CARISA </t>
  </si>
  <si>
    <t>GASTOLOMENDO, RITA K</t>
  </si>
  <si>
    <t>E0309293</t>
  </si>
  <si>
    <t>GASTOLOMENDO RITA</t>
  </si>
  <si>
    <t xml:space="preserve">JUNG, KATHLEEN </t>
  </si>
  <si>
    <t>E0324459</t>
  </si>
  <si>
    <t>JUNG KATHLEEN</t>
  </si>
  <si>
    <t>JUNG KATHLEEN DR.</t>
  </si>
  <si>
    <t>KIM, YONG JUNG J</t>
  </si>
  <si>
    <t>E0287004</t>
  </si>
  <si>
    <t>KIM YONGJUNG MD</t>
  </si>
  <si>
    <t>KIM YONGJUNG</t>
  </si>
  <si>
    <t xml:space="preserve">NOISY-SAINT VICTOR, MONIQUE </t>
  </si>
  <si>
    <t>E0339065</t>
  </si>
  <si>
    <t>NOISY-SAINT VICTOR MONIQUE</t>
  </si>
  <si>
    <t>NOISY ST VICTOR MONIQUE MRS.</t>
  </si>
  <si>
    <t>401 W 164TH ST RM 313</t>
  </si>
  <si>
    <t>Ameer, Xavier</t>
  </si>
  <si>
    <t>E0348065</t>
  </si>
  <si>
    <t>AMEER XAVIER</t>
  </si>
  <si>
    <t>AMEER XAVIER SHAZAD</t>
  </si>
  <si>
    <t>ABEL, CARTER G</t>
  </si>
  <si>
    <t>E0011661</t>
  </si>
  <si>
    <t>ABEL CARTER</t>
  </si>
  <si>
    <t>Murrell Matthew</t>
  </si>
  <si>
    <t>E0310757</t>
  </si>
  <si>
    <t>MURRELL MATTHEW THOMAS</t>
  </si>
  <si>
    <t>MURRELL MATTHEW DR.</t>
  </si>
  <si>
    <t>LEE, FRANCIS Y</t>
  </si>
  <si>
    <t>E0100074</t>
  </si>
  <si>
    <t>LEE FRANCIS YOUNGIN MD</t>
  </si>
  <si>
    <t>LEE FRANCIS DR.</t>
  </si>
  <si>
    <t>LEE FRANCIS YOUNGIN</t>
  </si>
  <si>
    <t>51 W 51ST ST # 370</t>
  </si>
  <si>
    <t>Heyer Eric</t>
  </si>
  <si>
    <t>E0208091</t>
  </si>
  <si>
    <t>HEYER ERIC J               MD</t>
  </si>
  <si>
    <t>HEYER ERIC DR.</t>
  </si>
  <si>
    <t>PRESBYERTIAN HSP</t>
  </si>
  <si>
    <t>(212) 752-5013</t>
  </si>
  <si>
    <t>Fruauff Kristen</t>
  </si>
  <si>
    <t>FRUAUFF KRISTEN</t>
  </si>
  <si>
    <t>222 STATION PLZ N, SUITE 509</t>
  </si>
  <si>
    <t>Holzwanger Daniel</t>
  </si>
  <si>
    <t>HOLZWANGER DANIEL DR.</t>
  </si>
  <si>
    <t>61 VICTORIA RD</t>
  </si>
  <si>
    <t>Huang Yolanda</t>
  </si>
  <si>
    <t>E0456071</t>
  </si>
  <si>
    <t>HUANG YOLANDA YA-CHIN</t>
  </si>
  <si>
    <t>HUANG YOLANDA DR.</t>
  </si>
  <si>
    <t>DOVE, LORNA M</t>
  </si>
  <si>
    <t>E0081347</t>
  </si>
  <si>
    <t>DOVE LORNA MILLS MD</t>
  </si>
  <si>
    <t>DOVE LORNA DR.</t>
  </si>
  <si>
    <t>Maegan Ratliff</t>
  </si>
  <si>
    <t>Dukes Anzea</t>
  </si>
  <si>
    <t>DUKES ANZEA</t>
  </si>
  <si>
    <t>Lai-McCormack Jennifer</t>
  </si>
  <si>
    <t>LAI-MCCORMACK JENNIFER</t>
  </si>
  <si>
    <t>6006 43RD AVE, 1D</t>
  </si>
  <si>
    <t>Lau Sheung Ming</t>
  </si>
  <si>
    <t>Lawinski Jaclyn</t>
  </si>
  <si>
    <t>PORCO JACLYN</t>
  </si>
  <si>
    <t>MEZITIS, SPYROS G.E.</t>
  </si>
  <si>
    <t>E0284193</t>
  </si>
  <si>
    <t>MEZITIS SPYROS G E</t>
  </si>
  <si>
    <t>MEZITIS SPYROS</t>
  </si>
  <si>
    <t>220 E 69TH ST</t>
  </si>
  <si>
    <t>Gorman, Allison</t>
  </si>
  <si>
    <t>E0008976</t>
  </si>
  <si>
    <t>GORMAN ALLISON</t>
  </si>
  <si>
    <t>GORMAN ALLISON G</t>
  </si>
  <si>
    <t>525 E 68TH STREET</t>
  </si>
  <si>
    <t>metropolitancenter</t>
  </si>
  <si>
    <t>JOHN E. CANNING - CFO</t>
  </si>
  <si>
    <t>Chen Xiaowei</t>
  </si>
  <si>
    <t>E0055999</t>
  </si>
  <si>
    <t>CHEN XIAOWEI MD</t>
  </si>
  <si>
    <t>CHEN XIAOWEI DR.</t>
  </si>
  <si>
    <t>Elwin Macdale</t>
  </si>
  <si>
    <t>E0453811</t>
  </si>
  <si>
    <t>ELWIN MACDALE JOHN</t>
  </si>
  <si>
    <t>ELWIN MACDALE MR.</t>
  </si>
  <si>
    <t>Quintana Anna</t>
  </si>
  <si>
    <t>QUINTANA ANNA</t>
  </si>
  <si>
    <t>Reilly Lynn</t>
  </si>
  <si>
    <t>REILLY LYNN MS.</t>
  </si>
  <si>
    <t>Roberson James</t>
  </si>
  <si>
    <t>ROBERSON JAMES MR.</t>
  </si>
  <si>
    <t>617 W 168TH ST</t>
  </si>
  <si>
    <t>Baber Zafeer</t>
  </si>
  <si>
    <t>BABER ZAFEER DR.</t>
  </si>
  <si>
    <t>622 WEST 168 TH STREET, PH-5-STEM ROOM 133 COLUMBIA UNIVERSITY</t>
  </si>
  <si>
    <t>AMSTERDAM NURSING HOME   CORP</t>
  </si>
  <si>
    <t>Judith Fenster</t>
  </si>
  <si>
    <t>(212) 531-7820</t>
  </si>
  <si>
    <t>jfenster@amsterdamnh.org</t>
  </si>
  <si>
    <t>COLUMBIA UNIVERSITY MEDICAL CENTER</t>
  </si>
  <si>
    <t>BOYD, KELLY H</t>
  </si>
  <si>
    <t>E0314266</t>
  </si>
  <si>
    <t>HARVEY KELLY</t>
  </si>
  <si>
    <t>BOYD KELLY H</t>
  </si>
  <si>
    <t>TRUSTEES COLUMBIA UNIVERSITY CITY NY CENTER INTERVENTIONAL VASCULAR TH</t>
  </si>
  <si>
    <t>E0028254</t>
  </si>
  <si>
    <t>GALLIN, PAMELA F</t>
  </si>
  <si>
    <t>E0188581</t>
  </si>
  <si>
    <t>GALLIN PAMELA F MD</t>
  </si>
  <si>
    <t>GALLIN PAMELA DR.</t>
  </si>
  <si>
    <t>COLUMBIA PRESBYTERIAN VASCULAR &amp; INTERNVENTIONAL RADIOLOGY</t>
  </si>
  <si>
    <t>E0081464</t>
  </si>
  <si>
    <t>TRUSTEES OF COLUMBIA UNIV</t>
  </si>
  <si>
    <t>622 W 168TH STREET, MHB4-100</t>
  </si>
  <si>
    <t>Kucine, Nicole E.</t>
  </si>
  <si>
    <t>E0320783</t>
  </si>
  <si>
    <t>KUCINE NICOLE ELENA</t>
  </si>
  <si>
    <t>KUCINE NICOLE</t>
  </si>
  <si>
    <t>GOLD, MELANIE A</t>
  </si>
  <si>
    <t>E0138467</t>
  </si>
  <si>
    <t>GOLD MELANIE A MD</t>
  </si>
  <si>
    <t>GOLD MELANIE DR.</t>
  </si>
  <si>
    <t>GOLD MELANIE A</t>
  </si>
  <si>
    <t>RIVIELLO, JAMES J</t>
  </si>
  <si>
    <t>E0336959</t>
  </si>
  <si>
    <t>RIVIELLO JAMES JOHN</t>
  </si>
  <si>
    <t>RIVIELLO JAMES DR.</t>
  </si>
  <si>
    <t>Carroll, Sheila J.</t>
  </si>
  <si>
    <t>E0023300</t>
  </si>
  <si>
    <t>CARROLL J SHEILA MD</t>
  </si>
  <si>
    <t>CARROLL SHEILA</t>
  </si>
  <si>
    <t>CARROLL SHEILA JEANNE</t>
  </si>
  <si>
    <t>525 EAST 58TH STREET</t>
  </si>
  <si>
    <t xml:space="preserve">PEREZ-DELBOY, ANNETTE </t>
  </si>
  <si>
    <t>E0064309</t>
  </si>
  <si>
    <t>PEREZ-DELBOY ANNETTE MD</t>
  </si>
  <si>
    <t>PEREZ-DELBOY ANNETTE</t>
  </si>
  <si>
    <t>E0060499</t>
  </si>
  <si>
    <t>CORNELL UNIV MEDICAL CLGE</t>
  </si>
  <si>
    <t>(212) 305-1186</t>
  </si>
  <si>
    <t>E0250865</t>
  </si>
  <si>
    <t>CORNELL UNIVERSITY MEDICAL CO</t>
  </si>
  <si>
    <t>(212) 305-1187</t>
  </si>
  <si>
    <t xml:space="preserve">FRIEDERWITZER, KARIN </t>
  </si>
  <si>
    <t>E0089149</t>
  </si>
  <si>
    <t>FRIEDERWITZER KARIN MD</t>
  </si>
  <si>
    <t>FRIEDERWITZER KARIN</t>
  </si>
  <si>
    <t>Martin Paul</t>
  </si>
  <si>
    <t>E0024187</t>
  </si>
  <si>
    <t>MARTIN PAUL BENEDIKT MD</t>
  </si>
  <si>
    <t>MARTIN PAUL</t>
  </si>
  <si>
    <t>MARTIN PAUL BENEDIKT</t>
  </si>
  <si>
    <t>Grinspan, Zachary M.</t>
  </si>
  <si>
    <t>E0320139</t>
  </si>
  <si>
    <t>GRINSPAN ZACHARY MICHAEL</t>
  </si>
  <si>
    <t>GRINSPAN ZACHARY DR.</t>
  </si>
  <si>
    <t>VINK, JOY-SARAH Y</t>
  </si>
  <si>
    <t>E0335806</t>
  </si>
  <si>
    <t>VINK JOY-SARAH YUMIKO</t>
  </si>
  <si>
    <t>VINK JOY-SARAH</t>
  </si>
  <si>
    <t xml:space="preserve">HAYS, ERIN MAURA </t>
  </si>
  <si>
    <t>E0293997</t>
  </si>
  <si>
    <t>HAYS ERIN MAURA</t>
  </si>
  <si>
    <t>HAYS E. MS.</t>
  </si>
  <si>
    <t>HELMSLEY TOWER 503 EAST 70 STREET</t>
  </si>
  <si>
    <t>Raju, Praveen B</t>
  </si>
  <si>
    <t>E0007021</t>
  </si>
  <si>
    <t>PRAVEEN B RAJU</t>
  </si>
  <si>
    <t>RAJU PRAVEEN DR.</t>
  </si>
  <si>
    <t>RAJU PRAVEEN B</t>
  </si>
  <si>
    <t>ODRICH, MARC G</t>
  </si>
  <si>
    <t>E0121684</t>
  </si>
  <si>
    <t>ODRICH MARC G MD</t>
  </si>
  <si>
    <t>ODRICH MARC DR.</t>
  </si>
  <si>
    <t>REGO, ADRIANA E</t>
  </si>
  <si>
    <t>E0344401</t>
  </si>
  <si>
    <t>REGO ADRIANA E</t>
  </si>
  <si>
    <t>REGO ADRIANA DR.</t>
  </si>
  <si>
    <t>STRAUCH, ROBERT J</t>
  </si>
  <si>
    <t>E0159494</t>
  </si>
  <si>
    <t>STRAUCH ROBERT JONATHAN MD</t>
  </si>
  <si>
    <t>STRAUCH ROBERT DR.</t>
  </si>
  <si>
    <t>DEUTSCH, ISRAEL</t>
  </si>
  <si>
    <t>E0284189</t>
  </si>
  <si>
    <t>DEUTSCH ISRAEL</t>
  </si>
  <si>
    <t>(212) 305-1223</t>
  </si>
  <si>
    <t>DIUGUID, DAVID</t>
  </si>
  <si>
    <t>E0179274</t>
  </si>
  <si>
    <t>DIUGUID DAVID LINCOLN MD</t>
  </si>
  <si>
    <t>(212) 305-1225</t>
  </si>
  <si>
    <t>DIUGUID DAVID DR.</t>
  </si>
  <si>
    <t xml:space="preserve">GYAMFI BANNERMAN, CYNTHIA </t>
  </si>
  <si>
    <t>E0064307</t>
  </si>
  <si>
    <t>GYAMFI CYNTHIA MD</t>
  </si>
  <si>
    <t>GYAMFI BANNERMAN CYNTHIA</t>
  </si>
  <si>
    <t>GYAMFI BANNERMAN CYNTHIA MD</t>
  </si>
  <si>
    <t>MT SINAI OB/GYN</t>
  </si>
  <si>
    <t>BULMAN, WILLIAM A</t>
  </si>
  <si>
    <t>E0117551</t>
  </si>
  <si>
    <t>BULMAN WILLIAM A MD</t>
  </si>
  <si>
    <t>BULMAN WILLIAM DR.</t>
  </si>
  <si>
    <t>HANSEN, HEIDI J</t>
  </si>
  <si>
    <t>E0325838</t>
  </si>
  <si>
    <t>HANSEN HEIDI JES</t>
  </si>
  <si>
    <t>HANSEN HEIDI DR.</t>
  </si>
  <si>
    <t>SIDDALL, ERIC</t>
  </si>
  <si>
    <t>E0283201</t>
  </si>
  <si>
    <t>SIDDALL ERIC C MD</t>
  </si>
  <si>
    <t>(212) 305-1332</t>
  </si>
  <si>
    <t>SIDDALL ERIC DR.</t>
  </si>
  <si>
    <t>SIDDALL ERIC CLAYTON MD</t>
  </si>
  <si>
    <t>Huang Daisy</t>
  </si>
  <si>
    <t>HUANG DAISY</t>
  </si>
  <si>
    <t>Ivanidze Jana</t>
  </si>
  <si>
    <t>IVANIDZE JANA DR.</t>
  </si>
  <si>
    <t>Kazam Jacob</t>
  </si>
  <si>
    <t>E0435215</t>
  </si>
  <si>
    <t>KAZAM JAMES JACOB</t>
  </si>
  <si>
    <t>KAZAM JAMES DR.</t>
  </si>
  <si>
    <t>Walco Jeremy</t>
  </si>
  <si>
    <t>WALCO JEREMY</t>
  </si>
  <si>
    <t>Wang David</t>
  </si>
  <si>
    <t>333 E ONTARIO ST APT 3605B</t>
  </si>
  <si>
    <t>Wang Emily</t>
  </si>
  <si>
    <t>Wohlfarth Erik</t>
  </si>
  <si>
    <t>WOHLFARTH ERIK</t>
  </si>
  <si>
    <t>Weingram Judith</t>
  </si>
  <si>
    <t>E0278558</t>
  </si>
  <si>
    <t>WEINGRAM JUDITH MD</t>
  </si>
  <si>
    <t>WEINGRAM JUDITH DR.</t>
  </si>
  <si>
    <t>Yao Fun Sun</t>
  </si>
  <si>
    <t>E0274981</t>
  </si>
  <si>
    <t>YAO FUN-SUN                MD</t>
  </si>
  <si>
    <t>YAO FUN-SUN DR.</t>
  </si>
  <si>
    <t>Yenkinson Abby</t>
  </si>
  <si>
    <t>E0348959</t>
  </si>
  <si>
    <t>YENKINSON ABBY</t>
  </si>
  <si>
    <t>AVGERINOS ABBY</t>
  </si>
  <si>
    <t>LATIF, FARHANA</t>
  </si>
  <si>
    <t>E0007368</t>
  </si>
  <si>
    <t>LATIF FARHANA MD</t>
  </si>
  <si>
    <t>(212) 305-1281</t>
  </si>
  <si>
    <t>LATIF FARHANA DR.</t>
  </si>
  <si>
    <t xml:space="preserve">Ko, David                   </t>
  </si>
  <si>
    <t>E0041834</t>
  </si>
  <si>
    <t>KO DAVID</t>
  </si>
  <si>
    <t xml:space="preserve">HORTON, AMY </t>
  </si>
  <si>
    <t>E0008918</t>
  </si>
  <si>
    <t>HORTON AMY</t>
  </si>
  <si>
    <t>HORTON AMY MS.</t>
  </si>
  <si>
    <t xml:space="preserve">HOMMA, SHUNICHI </t>
  </si>
  <si>
    <t>E0192886</t>
  </si>
  <si>
    <t>HOMMA SHUNICHI MD</t>
  </si>
  <si>
    <t>HOMMA SHUNICHI DR.</t>
  </si>
  <si>
    <t>TAYLOR, ANNE L</t>
  </si>
  <si>
    <t>E0007204</t>
  </si>
  <si>
    <t>ANNE L TAYLOR MD</t>
  </si>
  <si>
    <t>TAYLOR ANNE DR.</t>
  </si>
  <si>
    <t>TAYLOR ANNE L MD</t>
  </si>
  <si>
    <t>WESTWOOD, ANDREW J</t>
  </si>
  <si>
    <t>E0350541</t>
  </si>
  <si>
    <t>WESTWOOD ANDREW JAMES</t>
  </si>
  <si>
    <t>WESTWOOD ANDREW DR.</t>
  </si>
  <si>
    <t>Taylor, Kevia L.</t>
  </si>
  <si>
    <t>Tsuei, Deane D.C.</t>
  </si>
  <si>
    <t>MORRISON, ELLEN B</t>
  </si>
  <si>
    <t>E0172482</t>
  </si>
  <si>
    <t>MORRISON ELLEN B MD</t>
  </si>
  <si>
    <t>MORRISON ELLEN DR.</t>
  </si>
  <si>
    <t>BLUME, JONATHON E</t>
  </si>
  <si>
    <t>E0299842</t>
  </si>
  <si>
    <t>BLUME JONATHON</t>
  </si>
  <si>
    <t>BLUME JONATHAN</t>
  </si>
  <si>
    <t>GREISBERG, JUSTIN K</t>
  </si>
  <si>
    <t>E0068801</t>
  </si>
  <si>
    <t>GREISBERG JUSTIN MD</t>
  </si>
  <si>
    <t>GREISBERG JUSTIN DR.</t>
  </si>
  <si>
    <t>NY ORTHOPAEDIC HOSP</t>
  </si>
  <si>
    <t xml:space="preserve">BERGER-JENKINS, EVELYN </t>
  </si>
  <si>
    <t>E0011692</t>
  </si>
  <si>
    <t>BERGER EVELYN MD</t>
  </si>
  <si>
    <t>BERGER-JENKINS EVELYN DR.</t>
  </si>
  <si>
    <t>Noor, Asif</t>
  </si>
  <si>
    <t>E0390386</t>
  </si>
  <si>
    <t>ASIF NOOR</t>
  </si>
  <si>
    <t>NOOR ASIF</t>
  </si>
  <si>
    <t>SCULLY, BRIAN E</t>
  </si>
  <si>
    <t>E0228894</t>
  </si>
  <si>
    <t>SCULLY BRIAN E             MD</t>
  </si>
  <si>
    <t>SCULLY BRIAN DR.</t>
  </si>
  <si>
    <t>Lower Manhattan</t>
  </si>
  <si>
    <t>FITELSON, ELIZABETH M</t>
  </si>
  <si>
    <t>E0002777</t>
  </si>
  <si>
    <t>FITELSON ELIZABETH M</t>
  </si>
  <si>
    <t>FITELSON ELIZABETH DR.</t>
  </si>
  <si>
    <t>SORIN, ROBERT M</t>
  </si>
  <si>
    <t>E0344472</t>
  </si>
  <si>
    <t>SORIN ROBERT</t>
  </si>
  <si>
    <t>SORIN ROBERT DR.</t>
  </si>
  <si>
    <t>MYERS, STANLEY J</t>
  </si>
  <si>
    <t>E0279069</t>
  </si>
  <si>
    <t>MYERS STANLEY J            MD</t>
  </si>
  <si>
    <t>MYERS STANLEY DR.</t>
  </si>
  <si>
    <t>MANN, MICHAEL A</t>
  </si>
  <si>
    <t>E0127514</t>
  </si>
  <si>
    <t>MICHAEL MANN MD PC</t>
  </si>
  <si>
    <t>MANN MICHAEL DR.</t>
  </si>
  <si>
    <t>ARPADI, STEPHEN M</t>
  </si>
  <si>
    <t xml:space="preserve">HIRANO, MICHIO </t>
  </si>
  <si>
    <t>E0118904</t>
  </si>
  <si>
    <t>HIRANO MICHIO  MD</t>
  </si>
  <si>
    <t>HIRANO MICHIO DR.</t>
  </si>
  <si>
    <t>Andrew Kirsch, MD</t>
  </si>
  <si>
    <t>(212) 942-8517</t>
  </si>
  <si>
    <t>THOMAS, YOLANDA M</t>
  </si>
  <si>
    <t>E0325594</t>
  </si>
  <si>
    <t>THOMAS YOLANDA</t>
  </si>
  <si>
    <t>THOMAS YOLANDA DR.</t>
  </si>
  <si>
    <t>200 W 135TH ST # 214</t>
  </si>
  <si>
    <t>DECASTRO, GUARIONEX J</t>
  </si>
  <si>
    <t>E0321359</t>
  </si>
  <si>
    <t>DECASTRO GUARIONEX JOEL</t>
  </si>
  <si>
    <t>DECASTRO GUARIONEX</t>
  </si>
  <si>
    <t>51 W 51ST ST STE 375</t>
  </si>
  <si>
    <t xml:space="preserve">BEVELAQUA, ANNA-CHRISTINA </t>
  </si>
  <si>
    <t>E0341549</t>
  </si>
  <si>
    <t>BEVELAQUA ANNA-CHRIS</t>
  </si>
  <si>
    <t>BEVELAQUA ANNA-CHRISTINA</t>
  </si>
  <si>
    <t xml:space="preserve">CUNTO-AMESTY, SYLVIA </t>
  </si>
  <si>
    <t>E0083203</t>
  </si>
  <si>
    <t>CUNTO AMESTY SILVIA MD</t>
  </si>
  <si>
    <t>CUNTO-AMESTY SILVIA DR.</t>
  </si>
  <si>
    <t>CUNTO AMESTY SILVIA</t>
  </si>
  <si>
    <t>610 W 158TH ST FL 2</t>
  </si>
  <si>
    <t>GARZON, MARIA C</t>
  </si>
  <si>
    <t>E0134260</t>
  </si>
  <si>
    <t>GARZON MARIA CECILIA MD</t>
  </si>
  <si>
    <t>GARZON MARIA DR.</t>
  </si>
  <si>
    <t>630 W 168TH ST STE VC15-207</t>
  </si>
  <si>
    <t>HARRISON, MARGO S</t>
  </si>
  <si>
    <t>E0378988</t>
  </si>
  <si>
    <t>HARRISON MARGO SHAWN</t>
  </si>
  <si>
    <t>HARRISON MARGO</t>
  </si>
  <si>
    <t>SALVITTI-NELSON, ALLISON E</t>
  </si>
  <si>
    <t>SALVITTI-NELSON ALLISON</t>
  </si>
  <si>
    <t>LoRusso Diane</t>
  </si>
  <si>
    <t>RYE RADIOLOGY ASSOCIATES,LLP</t>
  </si>
  <si>
    <t>30 RYE RIDGE PLZ</t>
  </si>
  <si>
    <t>STAHL, ROSLYN M</t>
  </si>
  <si>
    <t>E0286229</t>
  </si>
  <si>
    <t>STAHL ROSLYN</t>
  </si>
  <si>
    <t>STAHL ROSLYN DR.</t>
  </si>
  <si>
    <t>STAHL ROSLYN MARIE MD</t>
  </si>
  <si>
    <t>MAYEUX, RICHARD P</t>
  </si>
  <si>
    <t>E0232410</t>
  </si>
  <si>
    <t>MAYEUX RICHARD PAUL        MD</t>
  </si>
  <si>
    <t>MAYEUX RICHARD DR.</t>
  </si>
  <si>
    <t>THE NEURO INST</t>
  </si>
  <si>
    <t>Trepp Jr Richard</t>
  </si>
  <si>
    <t>E0032442</t>
  </si>
  <si>
    <t>TREPP RICHARD C JR MD</t>
  </si>
  <si>
    <t>TREPP RICHARD</t>
  </si>
  <si>
    <t xml:space="preserve">May Lemon </t>
  </si>
  <si>
    <t xml:space="preserve">Melissa Olson </t>
  </si>
  <si>
    <t>Moonis Gul</t>
  </si>
  <si>
    <t>E0394748</t>
  </si>
  <si>
    <t>MOONIS GUL</t>
  </si>
  <si>
    <t>Neil Jeffry</t>
  </si>
  <si>
    <t>E0379119</t>
  </si>
  <si>
    <t>NEIL JEFFRY M</t>
  </si>
  <si>
    <t>NEIL JEFFRY DR.</t>
  </si>
  <si>
    <t>NEIL JEFFRY MARSHALL</t>
  </si>
  <si>
    <t>Ross Guy</t>
  </si>
  <si>
    <t>E0375664</t>
  </si>
  <si>
    <t>ROSS GUY WILLIAM</t>
  </si>
  <si>
    <t>ROSS GUY</t>
  </si>
  <si>
    <t>Sica Gregory</t>
  </si>
  <si>
    <t>E0080613</t>
  </si>
  <si>
    <t>SICA GREGORY THOMAS MD</t>
  </si>
  <si>
    <t>SICA GREGORY DR.</t>
  </si>
  <si>
    <t>Gupta Renuka</t>
  </si>
  <si>
    <t>GUPTA RENUKA DR.</t>
  </si>
  <si>
    <t>7215 HANOVER PKWY STE D</t>
  </si>
  <si>
    <t>GREENBELT</t>
  </si>
  <si>
    <t>Krekun Susan</t>
  </si>
  <si>
    <t>E0117524</t>
  </si>
  <si>
    <t>KREKUN SUSAN MD</t>
  </si>
  <si>
    <t>KREKUN SUSAN MS.</t>
  </si>
  <si>
    <t>KREKUN SUSAN</t>
  </si>
  <si>
    <t>Lee Kyungmouk</t>
  </si>
  <si>
    <t>E0401945</t>
  </si>
  <si>
    <t>LEE KYUNGMOUK STEVE</t>
  </si>
  <si>
    <t>LEE KYUNGMOUK</t>
  </si>
  <si>
    <t>May Benjamin</t>
  </si>
  <si>
    <t>E0401949</t>
  </si>
  <si>
    <t>MAY BENJAMIN</t>
  </si>
  <si>
    <t>ALONSO, JOSE A</t>
  </si>
  <si>
    <t>E0204295</t>
  </si>
  <si>
    <t>ALONSO JOSE AGUSTIN        MD</t>
  </si>
  <si>
    <t>ALONSO JOSE DR.</t>
  </si>
  <si>
    <t>ALONSO JOSE AGUSTIN MD</t>
  </si>
  <si>
    <t>SCHMIDT, PAUL F</t>
  </si>
  <si>
    <t>E0103914</t>
  </si>
  <si>
    <t>SCHMIDT PAUL FREDERICK MD</t>
  </si>
  <si>
    <t>SCHMIDT PAUL</t>
  </si>
  <si>
    <t>FEUERMAN, CRAIG R</t>
  </si>
  <si>
    <t>E0364508</t>
  </si>
  <si>
    <t>FEUERMAN CRAIG ROBERT</t>
  </si>
  <si>
    <t>FEUERMAN CRAIG DR.</t>
  </si>
  <si>
    <t>622 WEST 16TH STREET</t>
  </si>
  <si>
    <t xml:space="preserve">SOW, ETHELORE </t>
  </si>
  <si>
    <t>E0293018</t>
  </si>
  <si>
    <t>SOW ETHELORE</t>
  </si>
  <si>
    <t>SOW ETHELORE MS.</t>
  </si>
  <si>
    <t>BELL, DAVID L</t>
  </si>
  <si>
    <t>E0120265</t>
  </si>
  <si>
    <t>BELL DAVID LOUIS MD</t>
  </si>
  <si>
    <t>BELL DAVID DR.</t>
  </si>
  <si>
    <t>LUKASH, BARBARA L</t>
  </si>
  <si>
    <t>E0248725</t>
  </si>
  <si>
    <t>LUKASH BARBARA LYNNE       MD</t>
  </si>
  <si>
    <t>LUKASH BARBARA</t>
  </si>
  <si>
    <t>824 BRONX RIVER RD</t>
  </si>
  <si>
    <t>Tian, Wenping</t>
  </si>
  <si>
    <t>Tung, Pearl</t>
  </si>
  <si>
    <t>E0301492</t>
  </si>
  <si>
    <t>TUNG PEARL</t>
  </si>
  <si>
    <t xml:space="preserve">Au, Loretta Young        </t>
  </si>
  <si>
    <t>E0111431</t>
  </si>
  <si>
    <t>AU LORETTA</t>
  </si>
  <si>
    <t xml:space="preserve">SOBEL, VIVIAN </t>
  </si>
  <si>
    <t>POWERS, AMANDA</t>
  </si>
  <si>
    <t>E0328639</t>
  </si>
  <si>
    <t>POWERS AMANDA J</t>
  </si>
  <si>
    <t>(212) 305-1316</t>
  </si>
  <si>
    <t>POWERS AMANDA DR.</t>
  </si>
  <si>
    <t>POWERS AMANDA JAYNE</t>
  </si>
  <si>
    <t>161 FORT WASHINGTON, 5 FLOOR</t>
  </si>
  <si>
    <t>SASLAW, MINNA M</t>
  </si>
  <si>
    <t>E0068795</t>
  </si>
  <si>
    <t>SASLAW MINNA M MD</t>
  </si>
  <si>
    <t>SASLAW MINNA DR.</t>
  </si>
  <si>
    <t>DIMANGO, ANGELA M</t>
  </si>
  <si>
    <t>E0163363</t>
  </si>
  <si>
    <t>DIMANGO ANGELA M MD</t>
  </si>
  <si>
    <t>DIMANGO ANGELA DR.</t>
  </si>
  <si>
    <t xml:space="preserve">BRUDER, PHILIP </t>
  </si>
  <si>
    <t>E0011668</t>
  </si>
  <si>
    <t>BRUDER PHILIP</t>
  </si>
  <si>
    <t>BRUDER PHILIP DR.</t>
  </si>
  <si>
    <t xml:space="preserve">SEISDEDOS, TOMAS </t>
  </si>
  <si>
    <t>E0115532</t>
  </si>
  <si>
    <t>SEISDEDOS-ESTEVEZ TOMAS</t>
  </si>
  <si>
    <t>SEISDEDOS TOMAS DR.</t>
  </si>
  <si>
    <t>BALLIN, MARY C</t>
  </si>
  <si>
    <t>E0288269</t>
  </si>
  <si>
    <t>BALLIN MARY</t>
  </si>
  <si>
    <t>1484 1ST AVE</t>
  </si>
  <si>
    <t xml:space="preserve">CARTWRIGHT, CRYSTAL </t>
  </si>
  <si>
    <t>E0025542</t>
  </si>
  <si>
    <t>CARTWRIGHT CRYSTAL LYNN</t>
  </si>
  <si>
    <t>CARTWRIGHT CRYSTAL MS.</t>
  </si>
  <si>
    <t>575 W W 181ST ST</t>
  </si>
  <si>
    <t>Frank, Maura D</t>
  </si>
  <si>
    <t>E0134515</t>
  </si>
  <si>
    <t>FRANK MAURA DIANE MD</t>
  </si>
  <si>
    <t>FRANK MAURA</t>
  </si>
  <si>
    <t>Loughlin, Gerald</t>
  </si>
  <si>
    <t>E0198467</t>
  </si>
  <si>
    <t>LOUGHLIN GERALD MICHAEL MD</t>
  </si>
  <si>
    <t>LOUGHLIN GERALD</t>
  </si>
  <si>
    <t>MANDIGO, GRACE K</t>
  </si>
  <si>
    <t>E0305049</t>
  </si>
  <si>
    <t>MANDIGO GRACE KIM</t>
  </si>
  <si>
    <t>MANDIGO GRACE DR.</t>
  </si>
  <si>
    <t>5141 BROADWAY &amp; 219TH STREET</t>
  </si>
  <si>
    <t xml:space="preserve">WEAVER, JOSHUA </t>
  </si>
  <si>
    <t>E0338665</t>
  </si>
  <si>
    <t>WEAVER JOSHUA JASON</t>
  </si>
  <si>
    <t>WEAVER JOSHUA DR.</t>
  </si>
  <si>
    <t>Elaine Mullen</t>
  </si>
  <si>
    <t>(212) 942-8524</t>
  </si>
  <si>
    <t>MULLEN ELAINE</t>
  </si>
  <si>
    <t>Yohannen Ness</t>
  </si>
  <si>
    <t>(212) 942-8525</t>
  </si>
  <si>
    <t>KODALI, SUSHEEL K</t>
  </si>
  <si>
    <t>E0032529</t>
  </si>
  <si>
    <t>KODALI SUSHEEL KUMAR MD</t>
  </si>
  <si>
    <t>KODALI SUSHEEL DR.</t>
  </si>
  <si>
    <t>ROSENBERG, ELANA S</t>
  </si>
  <si>
    <t>E0379828</t>
  </si>
  <si>
    <t>ROSENBERG ELANA S</t>
  </si>
  <si>
    <t>ROSENBERG ELANA DR.</t>
  </si>
  <si>
    <t>ROSENBERG ELANA SARAH</t>
  </si>
  <si>
    <t xml:space="preserve">CEPIN, ANA </t>
  </si>
  <si>
    <t>E0058517</t>
  </si>
  <si>
    <t>CEPIN ANA G MD</t>
  </si>
  <si>
    <t>CEPIN ANA</t>
  </si>
  <si>
    <t>NY PRESB/COLUM UNIV</t>
  </si>
  <si>
    <t xml:space="preserve">VO, MARY </t>
  </si>
  <si>
    <t>E0352683</t>
  </si>
  <si>
    <t>VO MARY LAN</t>
  </si>
  <si>
    <t>VO MARY</t>
  </si>
  <si>
    <t>HOANG, QUAN V.M.</t>
  </si>
  <si>
    <t>E0307266</t>
  </si>
  <si>
    <t>HOANG QUAN VAN MANH</t>
  </si>
  <si>
    <t>HOANG QUAN DR.</t>
  </si>
  <si>
    <t xml:space="preserve">ARREOLA, CYNTHIA </t>
  </si>
  <si>
    <t>E0304823</t>
  </si>
  <si>
    <t>ARREOLA CYNTHIA</t>
  </si>
  <si>
    <t>534 W 135TH ST</t>
  </si>
  <si>
    <t>CAROTHERS, KRISTIN J</t>
  </si>
  <si>
    <t>E0359190</t>
  </si>
  <si>
    <t>CAROTHERS KRISTIN</t>
  </si>
  <si>
    <t>CAROTHERS KRISTIN DR.</t>
  </si>
  <si>
    <t xml:space="preserve">PATEL, NINA </t>
  </si>
  <si>
    <t>E0028953</t>
  </si>
  <si>
    <t>PATEL NINA M MD</t>
  </si>
  <si>
    <t>PATEL NINA DR.</t>
  </si>
  <si>
    <t>VARGAS, WANDA G</t>
  </si>
  <si>
    <t>E0360923</t>
  </si>
  <si>
    <t>VARGAS WANDA G</t>
  </si>
  <si>
    <t>VARGAS WANDA DR.</t>
  </si>
  <si>
    <t xml:space="preserve">ILARDA, ISABELLA </t>
  </si>
  <si>
    <t>MITTL, RANIER N</t>
  </si>
  <si>
    <t>E0275875</t>
  </si>
  <si>
    <t>MITTL RAINER N PC          MD</t>
  </si>
  <si>
    <t>MITTL RAINER DR.</t>
  </si>
  <si>
    <t>STE 314</t>
  </si>
  <si>
    <t>HYMAN, JOSHUA E</t>
  </si>
  <si>
    <t>E0097820</t>
  </si>
  <si>
    <t>HYMAN JOSHUA ETHAN MD</t>
  </si>
  <si>
    <t>HYMAN JOSHUA DR.</t>
  </si>
  <si>
    <t>COLUMBIA PRES BABIES</t>
  </si>
  <si>
    <t>TRUSTEES OF COLUMBIA UNIVERSITY- DEPT. OF NEUROLOGY</t>
  </si>
  <si>
    <t>E0210223</t>
  </si>
  <si>
    <t>COLUMBIA U DEPT OF NEUROLOGY</t>
  </si>
  <si>
    <t>MARKOWITZ, DAVID D</t>
  </si>
  <si>
    <t>E0180298</t>
  </si>
  <si>
    <t>MARKOWITZ DAVID D MD</t>
  </si>
  <si>
    <t>MARKOWITZ DAVID DANIEL</t>
  </si>
  <si>
    <t xml:space="preserve">DOGAN, OZGEN </t>
  </si>
  <si>
    <t>E0117211</t>
  </si>
  <si>
    <t>DOGAN OZGEN MMD</t>
  </si>
  <si>
    <t>DOGAN OZGEN</t>
  </si>
  <si>
    <t>CIOE, ERIC C</t>
  </si>
  <si>
    <t>HUGO, JONATHAN L</t>
  </si>
  <si>
    <t>E0340415</t>
  </si>
  <si>
    <t>HUGO JONATHAN L</t>
  </si>
  <si>
    <t>HUGO JONATHAN DR.</t>
  </si>
  <si>
    <t>JOSEPH, TRISHA N</t>
  </si>
  <si>
    <t>E0059661</t>
  </si>
  <si>
    <t>JOSEPH TRISHA NICOLE</t>
  </si>
  <si>
    <t>JOSEPH TRISHA</t>
  </si>
  <si>
    <t>Mathew Susan</t>
  </si>
  <si>
    <t>(212) 305-1211</t>
  </si>
  <si>
    <t>MATHEW SUSAN DR.</t>
  </si>
  <si>
    <t>PERALTA, DIGNA M</t>
  </si>
  <si>
    <t>E0360266</t>
  </si>
  <si>
    <t>PERALTA DIGNA M</t>
  </si>
  <si>
    <t>PERALTA DIGNA</t>
  </si>
  <si>
    <t>PERALTA DIGNA MARY</t>
  </si>
  <si>
    <t>650 ACADEMY ST RM 229</t>
  </si>
  <si>
    <t>(212) 752-5020</t>
  </si>
  <si>
    <t>Dwyer Donna</t>
  </si>
  <si>
    <t>DWYER DONNA</t>
  </si>
  <si>
    <t>310 E 14TH ST, NY EYE &amp; EAR INFIRMARY</t>
  </si>
  <si>
    <t>England Elizabeth</t>
  </si>
  <si>
    <t>ENGLAND ELIZABETH</t>
  </si>
  <si>
    <t>1650 GRAND CONCOURSE, DEPT OF ANESTHESIA</t>
  </si>
  <si>
    <t>Charalel Resmi</t>
  </si>
  <si>
    <t>CHARALEL RESMI DR.</t>
  </si>
  <si>
    <t>15 KNAPP RD</t>
  </si>
  <si>
    <t>POUND RIDGE</t>
  </si>
  <si>
    <t>LEVINE, WILLIAM N</t>
  </si>
  <si>
    <t>E0112754</t>
  </si>
  <si>
    <t>LEVINE WILLIAM NOAH MD</t>
  </si>
  <si>
    <t>LEVINE WILLIAM</t>
  </si>
  <si>
    <t>MC CONNELL, ROBERT J</t>
  </si>
  <si>
    <t>E0211133</t>
  </si>
  <si>
    <t>MCCONNELL ROBERT JOHN</t>
  </si>
  <si>
    <t>MCCONNELL ROBERT DR.</t>
  </si>
  <si>
    <t>Fan, Sharon Kei Yan</t>
  </si>
  <si>
    <t>E0340027</t>
  </si>
  <si>
    <t>FAN SHARON KEI YAN</t>
  </si>
  <si>
    <t>MACARTHUR SHARON MS.</t>
  </si>
  <si>
    <t>MACARTHUR SHARON KEI YAN</t>
  </si>
  <si>
    <t>Faloba Kathryn</t>
  </si>
  <si>
    <t>FALOBA KATHRYN</t>
  </si>
  <si>
    <t>Fernandes Anthony</t>
  </si>
  <si>
    <t>FERNANDES ANTHONY</t>
  </si>
  <si>
    <t>Wehrli Natasha</t>
  </si>
  <si>
    <t>E0348004</t>
  </si>
  <si>
    <t>WEHRLI NATASHA</t>
  </si>
  <si>
    <t>WEHRLI NATASHA MS.</t>
  </si>
  <si>
    <t>WEHRLI NATASHA ELIZABETH</t>
  </si>
  <si>
    <t>MELLINS, CLAUDE A</t>
  </si>
  <si>
    <t>E0304821</t>
  </si>
  <si>
    <t>MELLINS CLAUDE ANN</t>
  </si>
  <si>
    <t>MELLINS CLAUDE DR.</t>
  </si>
  <si>
    <t>Calvary Hospital (Hospital)</t>
  </si>
  <si>
    <t>AHMAD, CHRISTOPHER S</t>
  </si>
  <si>
    <t>E0074587</t>
  </si>
  <si>
    <t>AHMAD CHRISTOPHER S MD</t>
  </si>
  <si>
    <t>AHMAD CHRISTOPHER DR.</t>
  </si>
  <si>
    <t>KEZIS, JEFFERY S</t>
  </si>
  <si>
    <t>E0243204</t>
  </si>
  <si>
    <t>KEZIS JEFFREY S            MD</t>
  </si>
  <si>
    <t>KEZIS JEFFREY DR.</t>
  </si>
  <si>
    <t>167 MAIN ST</t>
  </si>
  <si>
    <t xml:space="preserve">Herlick, Anne  </t>
  </si>
  <si>
    <t>E0119277</t>
  </si>
  <si>
    <t>HERLICK ANNE</t>
  </si>
  <si>
    <t xml:space="preserve">Ko,  Ruby Mei    </t>
  </si>
  <si>
    <t xml:space="preserve">CORREIA, LUCY </t>
  </si>
  <si>
    <t>E0000562</t>
  </si>
  <si>
    <t>CORREIA LUCY</t>
  </si>
  <si>
    <t>CORREIA LUCY MS.</t>
  </si>
  <si>
    <t>GERBER, ANDREW J</t>
  </si>
  <si>
    <t>E0291809</t>
  </si>
  <si>
    <t>GERBER ANDREW</t>
  </si>
  <si>
    <t>GERBER ANDREW DR.</t>
  </si>
  <si>
    <t>BOUCHARD, NICOLE C</t>
  </si>
  <si>
    <t xml:space="preserve">HUPERT, NATHANIEL </t>
  </si>
  <si>
    <t>E0086588</t>
  </si>
  <si>
    <t>HUPERT NATHANIEL MD</t>
  </si>
  <si>
    <t>HUPERT NATHANIEL</t>
  </si>
  <si>
    <t>FEIN, OLIVER T</t>
  </si>
  <si>
    <t>E0277227</t>
  </si>
  <si>
    <t>FEIN OLIVER T              MD</t>
  </si>
  <si>
    <t>FEIN OLIVER</t>
  </si>
  <si>
    <t xml:space="preserve">DASTGIR, JAHANNAZ </t>
  </si>
  <si>
    <t>E0393086</t>
  </si>
  <si>
    <t>DASTGIR JAHANNAZ</t>
  </si>
  <si>
    <t>DASTGIR JAHANNAZ DR.</t>
  </si>
  <si>
    <t>CIOFFI, GEORGE A</t>
  </si>
  <si>
    <t>E0336794</t>
  </si>
  <si>
    <t>CIOFFI GEORGE A</t>
  </si>
  <si>
    <t>CIOFFI GEORGE</t>
  </si>
  <si>
    <t>CANETTA, PIETRO A</t>
  </si>
  <si>
    <t>E0307826</t>
  </si>
  <si>
    <t>PIETRO A CANETTA</t>
  </si>
  <si>
    <t>CANETTA PIETRO DR.</t>
  </si>
  <si>
    <t>CANETTA PIETRO A</t>
  </si>
  <si>
    <t>WHITE, KALI</t>
  </si>
  <si>
    <t>E0360870</t>
  </si>
  <si>
    <t>WHITE KALI</t>
  </si>
  <si>
    <t>(212) 305-1353</t>
  </si>
  <si>
    <t>CRIMMINS, TIMOTHY J</t>
  </si>
  <si>
    <t>E0011410</t>
  </si>
  <si>
    <t>CRIMMINS TIMOTHY J MD</t>
  </si>
  <si>
    <t>CRIMMINS TIMOTHY</t>
  </si>
  <si>
    <t>Amin, Prina</t>
  </si>
  <si>
    <t>ORPILLA, EVANGELINE M</t>
  </si>
  <si>
    <t>E0018208</t>
  </si>
  <si>
    <t>ORPILLA EVANGELINE</t>
  </si>
  <si>
    <t>ORPILLA EVANGELINE MRS.</t>
  </si>
  <si>
    <t>CHARON, RITA A</t>
  </si>
  <si>
    <t>E0228163</t>
  </si>
  <si>
    <t>CHARON RITA AM             MD</t>
  </si>
  <si>
    <t>CHARON RITA DR.</t>
  </si>
  <si>
    <t>Fitzgerald Meghann</t>
  </si>
  <si>
    <t>E0321180</t>
  </si>
  <si>
    <t>FITZGERALD MEGHANN M</t>
  </si>
  <si>
    <t>FITZGERALD MEGHANN DR.</t>
  </si>
  <si>
    <t>Fleischut Peter</t>
  </si>
  <si>
    <t>E0310008</t>
  </si>
  <si>
    <t>FLEISCHUT PETER MATTHEW</t>
  </si>
  <si>
    <t>FLEISCHUT PETER DR.</t>
  </si>
  <si>
    <t>Chen Alisa</t>
  </si>
  <si>
    <t>CHEN ALISA DR.</t>
  </si>
  <si>
    <t>23 LORD WILLIAM PENN DR</t>
  </si>
  <si>
    <t>Chen Jerri</t>
  </si>
  <si>
    <t>CHEN JERRI DR.</t>
  </si>
  <si>
    <t>630 W 168TH ST, DEPARTMENT OF ANESTHESIOLOGY</t>
  </si>
  <si>
    <t>Cheng Timothy</t>
  </si>
  <si>
    <t>CHENG TIMOTHY DR.</t>
  </si>
  <si>
    <t>Dubroff Rachel</t>
  </si>
  <si>
    <t>E0307088</t>
  </si>
  <si>
    <t>DUBROFF RACHEL PHYLLIS</t>
  </si>
  <si>
    <t>DUBROFF RACHEL DR.</t>
  </si>
  <si>
    <t>Manczur Terezia</t>
  </si>
  <si>
    <t>E0048363</t>
  </si>
  <si>
    <t>MANCZUR TEREZIA MD</t>
  </si>
  <si>
    <t>MANCZUR TEREZIA DR.</t>
  </si>
  <si>
    <t>Suzzane Palinski</t>
  </si>
  <si>
    <t>Goldstein Peter</t>
  </si>
  <si>
    <t>E0147523</t>
  </si>
  <si>
    <t>GOLDSTEIN PETER A MD</t>
  </si>
  <si>
    <t>GOLDSTEIN PETER DR.</t>
  </si>
  <si>
    <t>COLUMBIA PRES/ANES</t>
  </si>
  <si>
    <t>Engram Claudette</t>
  </si>
  <si>
    <t>ENGRAM CLAUDETTE MS.</t>
  </si>
  <si>
    <t>Yeung Albert</t>
  </si>
  <si>
    <t>E0404001</t>
  </si>
  <si>
    <t>YEUNG ALBERT CHI FUNG</t>
  </si>
  <si>
    <t>YEUNG ALBERT</t>
  </si>
  <si>
    <t>Yong May</t>
  </si>
  <si>
    <t>YONG MAY MS.</t>
  </si>
  <si>
    <t>Zylberger David</t>
  </si>
  <si>
    <t>E0088762</t>
  </si>
  <si>
    <t>ZYLBERGER DAVID A MD</t>
  </si>
  <si>
    <t>ZYLBERGER DAVID</t>
  </si>
  <si>
    <t>Stotler Brie</t>
  </si>
  <si>
    <t>E0314247</t>
  </si>
  <si>
    <t>STOTLER BRIE</t>
  </si>
  <si>
    <t>STOTLER BRIE DR.</t>
  </si>
  <si>
    <t>Vundavalli Murty</t>
  </si>
  <si>
    <t>VUNDAVALLI MURTY</t>
  </si>
  <si>
    <t>Worgall Tilla</t>
  </si>
  <si>
    <t>E0013866</t>
  </si>
  <si>
    <t>WORGALL TILLA</t>
  </si>
  <si>
    <t>POHL TILLA</t>
  </si>
  <si>
    <t>Brejt Sidney</t>
  </si>
  <si>
    <t>BREJT SIDNEY</t>
  </si>
  <si>
    <t>ZANG, JULIE</t>
  </si>
  <si>
    <t>E0349108</t>
  </si>
  <si>
    <t>ZANG JULIE</t>
  </si>
  <si>
    <t>(212) 305-1362</t>
  </si>
  <si>
    <t>1305 YORK AVE FL 9</t>
  </si>
  <si>
    <t>Moscona, Anne</t>
  </si>
  <si>
    <t>E0184694</t>
  </si>
  <si>
    <t>MOSCONA ANNE MD</t>
  </si>
  <si>
    <t>MOSCONA ANNE</t>
  </si>
  <si>
    <t>Dienna, Erik M.</t>
  </si>
  <si>
    <t>E0390228</t>
  </si>
  <si>
    <t>DIENNA ERIK MATTHEW</t>
  </si>
  <si>
    <t>DIENNA ERIK DR.</t>
  </si>
  <si>
    <t>525 E 68TH ST # M610</t>
  </si>
  <si>
    <t>E0128642</t>
  </si>
  <si>
    <t>(212) 305-1188</t>
  </si>
  <si>
    <t># N-506</t>
  </si>
  <si>
    <t>Mitchell James</t>
  </si>
  <si>
    <t>E0364104</t>
  </si>
  <si>
    <t>MITCHELL JAMES</t>
  </si>
  <si>
    <t>(212) 305-1189</t>
  </si>
  <si>
    <t>MITCHELL JAMES DR.</t>
  </si>
  <si>
    <t>CARUANA, SALVATORE M</t>
  </si>
  <si>
    <t>E0111619</t>
  </si>
  <si>
    <t>CARUANA SALVATORE M MD</t>
  </si>
  <si>
    <t>CARUANA SALVATORE</t>
  </si>
  <si>
    <t>CARUANA SALVATORE MICHAEL MD</t>
  </si>
  <si>
    <t>MCKHANN, GUY M</t>
  </si>
  <si>
    <t>E0109789</t>
  </si>
  <si>
    <t>MCKHANN GUY M II MD</t>
  </si>
  <si>
    <t>MCKHANN GUY DR.</t>
  </si>
  <si>
    <t>Sales Rachel</t>
  </si>
  <si>
    <t>E0007192</t>
  </si>
  <si>
    <t>RACHEL LEA MARCUS</t>
  </si>
  <si>
    <t>SALES RACHEL DR.</t>
  </si>
  <si>
    <t>SALES RACHEL MARCUS MD</t>
  </si>
  <si>
    <t>Brady James</t>
  </si>
  <si>
    <t>E0218502</t>
  </si>
  <si>
    <t>BRADY JAMES W              MD</t>
  </si>
  <si>
    <t>BRADY JAMES DR.</t>
  </si>
  <si>
    <t>Ganapathi Karthik</t>
  </si>
  <si>
    <t>GANAPATHI KARTHIK</t>
  </si>
  <si>
    <t>74 DAYS PARK, # 6</t>
  </si>
  <si>
    <t>Gindin Tatyana</t>
  </si>
  <si>
    <t>GINDIN TATYANA</t>
  </si>
  <si>
    <t>Gonzalez Abel</t>
  </si>
  <si>
    <t>5201 HARRY HINES BLVD, ANATOMIC PATHOLOGY DEPARTMENT, CYTOLOGY SERVICE</t>
  </si>
  <si>
    <t>Haghighi Mehrvash</t>
  </si>
  <si>
    <t>E0369242</t>
  </si>
  <si>
    <t>HAGHIGHI MEHRVASH</t>
  </si>
  <si>
    <t>HAGHIGHI MEHRVASH DR.</t>
  </si>
  <si>
    <t>Hoehn Daniela</t>
  </si>
  <si>
    <t>E0355687</t>
  </si>
  <si>
    <t>HOEHN DANIELA</t>
  </si>
  <si>
    <t>1199 Training and Employment Funds</t>
  </si>
  <si>
    <t>Rebecca Hall</t>
  </si>
  <si>
    <t>rebecca.hall@1199funds.org</t>
  </si>
  <si>
    <t>RUBIN, MARSHA E</t>
  </si>
  <si>
    <t>E0171040</t>
  </si>
  <si>
    <t>RUBIN MARSHA EVELYN DDS</t>
  </si>
  <si>
    <t>RUBIN MARSHA</t>
  </si>
  <si>
    <t>525 E 68TH ST # B21</t>
  </si>
  <si>
    <t>PANT, CASEY R</t>
  </si>
  <si>
    <t>E0308191</t>
  </si>
  <si>
    <t>PANT CASEY</t>
  </si>
  <si>
    <t>4588 BROADWAY</t>
  </si>
  <si>
    <t xml:space="preserve">GEORGIOU, DEMETRIOS </t>
  </si>
  <si>
    <t>E0120735</t>
  </si>
  <si>
    <t>GEORGIOU DEMETRIOS MD</t>
  </si>
  <si>
    <t>GEORGIOU DEMETRIOS</t>
  </si>
  <si>
    <t>3503 31ST AVE</t>
  </si>
  <si>
    <t>LOUIS, ELAN D</t>
  </si>
  <si>
    <t>E0102943</t>
  </si>
  <si>
    <t>LOUIS ELAN</t>
  </si>
  <si>
    <t>LOUIS ELAN DR.</t>
  </si>
  <si>
    <t>Birdsall, Stacia Beth</t>
  </si>
  <si>
    <t>E0320069</t>
  </si>
  <si>
    <t>BIRDSALL STACIA BETH</t>
  </si>
  <si>
    <t>BIRDSALL STACIA</t>
  </si>
  <si>
    <t xml:space="preserve">Duan, Dewan     </t>
  </si>
  <si>
    <t>Kim, Yuhan</t>
  </si>
  <si>
    <t>E0339999</t>
  </si>
  <si>
    <t>KIM YUHAN</t>
  </si>
  <si>
    <t>HERMAN, ERIC W</t>
  </si>
  <si>
    <t>E0017403</t>
  </si>
  <si>
    <t>HERMAN ERIC</t>
  </si>
  <si>
    <t>HERMAN ERIC DR.</t>
  </si>
  <si>
    <t>GOLDMAN, ELIOT E</t>
  </si>
  <si>
    <t>NYSPI</t>
  </si>
  <si>
    <t>Service program for older people - Personalized recovery oriented services (PROS)</t>
  </si>
  <si>
    <t>Dan Del Bene, LCSW</t>
  </si>
  <si>
    <t>(212) 787-7120</t>
  </si>
  <si>
    <t>ddelbene@spop.org</t>
  </si>
  <si>
    <t>525 E 68TH ST, F467</t>
  </si>
  <si>
    <t>CADDLE, STEVEN I</t>
  </si>
  <si>
    <t>E0065223</t>
  </si>
  <si>
    <t>CADDLE STEVE I</t>
  </si>
  <si>
    <t>CADDLE STEVE DR.</t>
  </si>
  <si>
    <t>ER DEPARTMENT</t>
  </si>
  <si>
    <t>Chen, Jianping</t>
  </si>
  <si>
    <t>LIPPITT, ELIZABETH C</t>
  </si>
  <si>
    <t>E0339603</t>
  </si>
  <si>
    <t>LIPPITT ELIZABETH C</t>
  </si>
  <si>
    <t>LIPPITT ELIZABETH DR.</t>
  </si>
  <si>
    <t>Sharma Aarti</t>
  </si>
  <si>
    <t>E0085832</t>
  </si>
  <si>
    <t>SHARMA AARTI MD</t>
  </si>
  <si>
    <t>SHARMA AARTI DR.</t>
  </si>
  <si>
    <t>CORNELL ANES</t>
  </si>
  <si>
    <t>Sheehan Theresa</t>
  </si>
  <si>
    <t>SHEEHAN THERESA MS.</t>
  </si>
  <si>
    <t>Skubas Nikolaos</t>
  </si>
  <si>
    <t>E0063921</t>
  </si>
  <si>
    <t>SKUBAS NIKOLAOS MD</t>
  </si>
  <si>
    <t>SKUBAS NIKOLAOS DR.</t>
  </si>
  <si>
    <t>PARIKH, SHERWIN K</t>
  </si>
  <si>
    <t>E0095311</t>
  </si>
  <si>
    <t>PARIKH SHERWIN</t>
  </si>
  <si>
    <t>PARIKH SHERWIN DR.</t>
  </si>
  <si>
    <t>BINDER, SUSAN E</t>
  </si>
  <si>
    <t>E0337875</t>
  </si>
  <si>
    <t>BINDER SUSAN</t>
  </si>
  <si>
    <t>DEVEREUX, RICHARD B</t>
  </si>
  <si>
    <t>E0245678</t>
  </si>
  <si>
    <t>DEVEREUX RICHARD B         MD</t>
  </si>
  <si>
    <t>DEVEREUX RICHARD</t>
  </si>
  <si>
    <t>William Witherspoon</t>
  </si>
  <si>
    <t>(212) 694-9200</t>
  </si>
  <si>
    <t>wswjr@bowencsc.org</t>
  </si>
  <si>
    <t>uppermanhattan</t>
  </si>
  <si>
    <t>RUBENS, ELAYNA O</t>
  </si>
  <si>
    <t>E0296395</t>
  </si>
  <si>
    <t>RUBENS ELAYNA ORCUTT</t>
  </si>
  <si>
    <t>RUBENS ELAYNA</t>
  </si>
  <si>
    <t>Vora Amar</t>
  </si>
  <si>
    <t>VORA AMAR DR.</t>
  </si>
  <si>
    <t>Weidman Elizabeth</t>
  </si>
  <si>
    <t>WEIDMAN ELIZABETH</t>
  </si>
  <si>
    <t xml:space="preserve">EL-ZEIN, LAMA </t>
  </si>
  <si>
    <t>E0343406</t>
  </si>
  <si>
    <t>EL ZEIN LAMA</t>
  </si>
  <si>
    <t>EL ZEIN LAMA DR.</t>
  </si>
  <si>
    <t>NG, YIU KEE W</t>
  </si>
  <si>
    <t>AGERSTRAND, CARA L</t>
  </si>
  <si>
    <t>E0336169</t>
  </si>
  <si>
    <t>AGERSTRAND CARA LYN</t>
  </si>
  <si>
    <t>AGERSTRAND CARA DR.</t>
  </si>
  <si>
    <t xml:space="preserve">CAMPOS-MACKINS, CYNTHIA </t>
  </si>
  <si>
    <t>E0291867</t>
  </si>
  <si>
    <t>CAMPOS-MACKINS CYNTHIA</t>
  </si>
  <si>
    <t>622 W 168TH ST 10TH FL</t>
  </si>
  <si>
    <t>Village Center for Care Case Management</t>
  </si>
  <si>
    <t>DUNCAN, DAVID B</t>
  </si>
  <si>
    <t>E0123988</t>
  </si>
  <si>
    <t>DUNCAN DAVID BRIAN MD</t>
  </si>
  <si>
    <t>DUNCAN DAVID</t>
  </si>
  <si>
    <t>MT KISCO MED GRP</t>
  </si>
  <si>
    <t>LUO, WAYNE W-J</t>
  </si>
  <si>
    <t>E0045768</t>
  </si>
  <si>
    <t>LUO WAYNE</t>
  </si>
  <si>
    <t>LUO WAYNE MR.</t>
  </si>
  <si>
    <t>Herzog, Ronit</t>
  </si>
  <si>
    <t>E0017556</t>
  </si>
  <si>
    <t>HERZOG RONIT MD</t>
  </si>
  <si>
    <t>HERZOG RONIT MS.</t>
  </si>
  <si>
    <t>TREIBER, RUTH K</t>
  </si>
  <si>
    <t>E0224333</t>
  </si>
  <si>
    <t>TREIBER RUTH KAPLAN</t>
  </si>
  <si>
    <t>TREIBER RUTH</t>
  </si>
  <si>
    <t>CUNNINGHAM, JENNIFER A</t>
  </si>
  <si>
    <t>E0028055</t>
  </si>
  <si>
    <t>CUNNINGHAM JENNIFER A MD</t>
  </si>
  <si>
    <t>CUNNINGHAM JENNIFER DR.</t>
  </si>
  <si>
    <t>GHARAVI, ALI G</t>
  </si>
  <si>
    <t>E0113624</t>
  </si>
  <si>
    <t>GHARAVI ALI</t>
  </si>
  <si>
    <t>GHARAVI ALI DR.</t>
  </si>
  <si>
    <t>E0044197</t>
  </si>
  <si>
    <t>TRUSTEES OF COLUMBIA</t>
  </si>
  <si>
    <t>E0183698</t>
  </si>
  <si>
    <t>CHIN, RUSSELL L</t>
  </si>
  <si>
    <t>E0060589</t>
  </si>
  <si>
    <t>CHIN RUSSELL L MD</t>
  </si>
  <si>
    <t>CHIN RUSSELL DR.</t>
  </si>
  <si>
    <t>WEILL MED STARRR 607</t>
  </si>
  <si>
    <t xml:space="preserve">MILANI, HALEH </t>
  </si>
  <si>
    <t>Yeung, Tsz-Yin</t>
  </si>
  <si>
    <t>E0075732</t>
  </si>
  <si>
    <t>YEUNG TSZ-YIN MD</t>
  </si>
  <si>
    <t>YEUNG TSZ-YIN</t>
  </si>
  <si>
    <t>ST MARYS HOSP BRKLYN</t>
  </si>
  <si>
    <t>Young, Chainllie</t>
  </si>
  <si>
    <t>RAVITS, MARGARET S</t>
  </si>
  <si>
    <t>E0018216</t>
  </si>
  <si>
    <t>RAVITS MARGARET</t>
  </si>
  <si>
    <t>BOMBACK, ANDREW S</t>
  </si>
  <si>
    <t>E0293213</t>
  </si>
  <si>
    <t>ANDREW STEPHEN BOMBACK</t>
  </si>
  <si>
    <t>BOMBACK ANDREW</t>
  </si>
  <si>
    <t>BOMBACK ANDREW STEPHEN MD</t>
  </si>
  <si>
    <t>WINCHESTER, ROBERT J</t>
  </si>
  <si>
    <t>E0231656</t>
  </si>
  <si>
    <t>WINCHESTER ROBERT JOSEPH   MD</t>
  </si>
  <si>
    <t>WINCHESTER ROBERT</t>
  </si>
  <si>
    <t>WINCHESTER ROBERT JOSEPH</t>
  </si>
  <si>
    <t>KEE, DRISDY G</t>
  </si>
  <si>
    <t>E0291895</t>
  </si>
  <si>
    <t>KEE DRISDY GRACE</t>
  </si>
  <si>
    <t>KEE DRISDY MS.</t>
  </si>
  <si>
    <t>Ipp, Lisa S.</t>
  </si>
  <si>
    <t>E0071999</t>
  </si>
  <si>
    <t>IPP LISA S MD</t>
  </si>
  <si>
    <t>IPP LISA</t>
  </si>
  <si>
    <t>RM HT-550</t>
  </si>
  <si>
    <t>VITALE, MICHAEL G</t>
  </si>
  <si>
    <t>E0075530</t>
  </si>
  <si>
    <t>VITALE MICHAEL GUY MD</t>
  </si>
  <si>
    <t>NY ORTHO HSP</t>
  </si>
  <si>
    <t>PAYNE-MARSKY, PATRICIA M</t>
  </si>
  <si>
    <t>E0293033</t>
  </si>
  <si>
    <t>PAYNE MARSKY PATRICIA</t>
  </si>
  <si>
    <t>PAYNE-MARSKY PATRICIA MRS.</t>
  </si>
  <si>
    <t>Sullivan Brian</t>
  </si>
  <si>
    <t>525 E 68TH ST, STARR PAVILLION ROOM 630</t>
  </si>
  <si>
    <t>CHANG, NANCY M</t>
  </si>
  <si>
    <t>E0114638</t>
  </si>
  <si>
    <t>CHANG NANCY M</t>
  </si>
  <si>
    <t>CHANG NANCY DR.</t>
  </si>
  <si>
    <t>COLUMBIA UNIVERSITY</t>
  </si>
  <si>
    <t>YUGRAKH, MARIANNA S</t>
  </si>
  <si>
    <t>E0383567</t>
  </si>
  <si>
    <t>YUGRAKH MARIANNA</t>
  </si>
  <si>
    <t>YUGRAKH MARIANNA DR.</t>
  </si>
  <si>
    <t>YUGRAKH MARIANNA SHNAYDERMAN</t>
  </si>
  <si>
    <t xml:space="preserve">REICHEL, MARTIN </t>
  </si>
  <si>
    <t>E0135589</t>
  </si>
  <si>
    <t>REICHEL MARTIN MD</t>
  </si>
  <si>
    <t>REICHEL MARTIN</t>
  </si>
  <si>
    <t>APT 750</t>
  </si>
  <si>
    <t>Giardina, Patricia J</t>
  </si>
  <si>
    <t>E0276813</t>
  </si>
  <si>
    <t>GIARDINA PATRICIA          MD</t>
  </si>
  <si>
    <t>GIARDINA PATRICIA</t>
  </si>
  <si>
    <t>BRISTOW, ROBERT B</t>
  </si>
  <si>
    <t>E0124534</t>
  </si>
  <si>
    <t>BRISTOW ROBERT BLAKELY MD</t>
  </si>
  <si>
    <t>BRISTOW ROBERT</t>
  </si>
  <si>
    <t>PAVELL, JEFF R</t>
  </si>
  <si>
    <t>E0119950</t>
  </si>
  <si>
    <t>PAVELL JEFF RICHARD DO</t>
  </si>
  <si>
    <t>PAVELL JEFF DR.</t>
  </si>
  <si>
    <t>JUNG, JESSE J</t>
  </si>
  <si>
    <t>MILLER, DAVID H</t>
  </si>
  <si>
    <t>E0220596</t>
  </si>
  <si>
    <t>MILLER DAVID H             MD</t>
  </si>
  <si>
    <t xml:space="preserve">KAMEL, HOOMAN </t>
  </si>
  <si>
    <t>E0326682</t>
  </si>
  <si>
    <t>KAMEL HOOMAN</t>
  </si>
  <si>
    <t>VACCA, SUSAN H</t>
  </si>
  <si>
    <t>E0061529</t>
  </si>
  <si>
    <t>VACCA SUSAN H</t>
  </si>
  <si>
    <t>VACCA SUSAN</t>
  </si>
  <si>
    <t>549 AUDUBON AVE</t>
  </si>
  <si>
    <t>FISCHER, CHARLA R</t>
  </si>
  <si>
    <t>E0340709</t>
  </si>
  <si>
    <t>FISCHER CHARLA ROLAND</t>
  </si>
  <si>
    <t>FISCHER CHARLA DR.</t>
  </si>
  <si>
    <t>LIN, RICHIE L</t>
  </si>
  <si>
    <t>E0382959</t>
  </si>
  <si>
    <t>LIN RICHIE</t>
  </si>
  <si>
    <t>LIN RICHIE DR.</t>
  </si>
  <si>
    <t>SINGER, JESSICA R</t>
  </si>
  <si>
    <t>E0310704</t>
  </si>
  <si>
    <t>SINGER JESSICA</t>
  </si>
  <si>
    <t>SINGER JESSICA DR.</t>
  </si>
  <si>
    <t>Lonnie Crews, RN</t>
  </si>
  <si>
    <t>E0360265</t>
  </si>
  <si>
    <t>CREWS LONNIE TROY</t>
  </si>
  <si>
    <t>(212) 942-8510</t>
  </si>
  <si>
    <t>CREWS LONNIE MR.</t>
  </si>
  <si>
    <t>Elliot I. Schwartz</t>
  </si>
  <si>
    <t>VAHL, TORSHEN P</t>
  </si>
  <si>
    <t>E0350442</t>
  </si>
  <si>
    <t>VAHL TORSTEN PETER</t>
  </si>
  <si>
    <t>VAHL TORSTEN DR.</t>
  </si>
  <si>
    <t>OGDEN, ALFRED T</t>
  </si>
  <si>
    <t>E0286884</t>
  </si>
  <si>
    <t>OGDEN ALFRED TRECARTIN MD</t>
  </si>
  <si>
    <t>OGDEN ALFRED</t>
  </si>
  <si>
    <t>DiPace, Jennifer</t>
  </si>
  <si>
    <t>E0040959</t>
  </si>
  <si>
    <t>DIPACE JENNIFER MD</t>
  </si>
  <si>
    <t>DIPACE JENNIFER</t>
  </si>
  <si>
    <t>KLUGMAN, DEBORAH M</t>
  </si>
  <si>
    <t>E0100661</t>
  </si>
  <si>
    <t>KLUGMAN DEBORAH M</t>
  </si>
  <si>
    <t>KLUGMAN DEBORAH</t>
  </si>
  <si>
    <t>Wilson-Taylor, Melanie</t>
  </si>
  <si>
    <t>E0006695</t>
  </si>
  <si>
    <t>WILSON-TAYLOR MELANIE TANARA</t>
  </si>
  <si>
    <t>WILSON-TAYLOR MELANIE DR.</t>
  </si>
  <si>
    <t>WILSON-TAYLOR MELANIE TANARA  MD</t>
  </si>
  <si>
    <t>525 EAST 68TH STREET M-6</t>
  </si>
  <si>
    <t>MELE, THOMAS J</t>
  </si>
  <si>
    <t>E0037883</t>
  </si>
  <si>
    <t>MELE THOMAS JOSEPH</t>
  </si>
  <si>
    <t>MELE THOMAS</t>
  </si>
  <si>
    <t>299 LIVINGSTON ST</t>
  </si>
  <si>
    <t>NIKOLOVA, MILENA V</t>
  </si>
  <si>
    <t>E0323861</t>
  </si>
  <si>
    <t>NIKOLOVA MILENA VESELINOVA</t>
  </si>
  <si>
    <t>NIKOLOVA MILENA MISS</t>
  </si>
  <si>
    <t>Jay Gormley, VP of Planning, Research, and Innovation</t>
  </si>
  <si>
    <t>Ana Rivera, LCSW</t>
  </si>
  <si>
    <t>E0023500</t>
  </si>
  <si>
    <t>RIVERA ANA</t>
  </si>
  <si>
    <t>(212) 942-8530</t>
  </si>
  <si>
    <t>RIVERA ANA ROSA</t>
  </si>
  <si>
    <t>Madelyn Rosario, LCSW</t>
  </si>
  <si>
    <t>(212) 942-8531</t>
  </si>
  <si>
    <t>ROSARIO MADELYNE MS.</t>
  </si>
  <si>
    <t>NERCESSIAN, OHANNES A</t>
  </si>
  <si>
    <t>E0191067</t>
  </si>
  <si>
    <t>NERCESSIAN OHANNES AGOP MD</t>
  </si>
  <si>
    <t>NERCESSIAN OHANNES DR.</t>
  </si>
  <si>
    <t>SHAH, POOJA A</t>
  </si>
  <si>
    <t>E0314285</t>
  </si>
  <si>
    <t>SHAH POOJA</t>
  </si>
  <si>
    <t>SHAH POOJA MISS</t>
  </si>
  <si>
    <t>SHAH POOJA AMY</t>
  </si>
  <si>
    <t>STEINBERG, GALIT</t>
  </si>
  <si>
    <t>E0296073</t>
  </si>
  <si>
    <t>GALIT G STEINBERG</t>
  </si>
  <si>
    <t>(212) 305-1341</t>
  </si>
  <si>
    <t>STEINBERG GALIT DR.</t>
  </si>
  <si>
    <t>STEINBERG GALIT G</t>
  </si>
  <si>
    <t>Andres Pereira</t>
  </si>
  <si>
    <t>E0192612</t>
  </si>
  <si>
    <t>PEREIRA ANDRES MIGUEL MD</t>
  </si>
  <si>
    <t>Dr. Pereira</t>
  </si>
  <si>
    <t>(212) 567-6200</t>
  </si>
  <si>
    <t>amps9120@hotmail.com</t>
  </si>
  <si>
    <t>PEREIRA,,M.D.P.C. ANDRES DR.</t>
  </si>
  <si>
    <t>OFC 1A</t>
  </si>
  <si>
    <t>Bishop, Naomi B.</t>
  </si>
  <si>
    <t>E0113310</t>
  </si>
  <si>
    <t>BISHOP NAOMI B MD</t>
  </si>
  <si>
    <t>BISHOP NAOMI</t>
  </si>
  <si>
    <t>NEUBERG, GERALD W</t>
  </si>
  <si>
    <t>E0183811</t>
  </si>
  <si>
    <t>NEUBERG GERALD MD</t>
  </si>
  <si>
    <t>NEUBERG GERALD DR.</t>
  </si>
  <si>
    <t>Schloss Robert</t>
  </si>
  <si>
    <t>E0011046</t>
  </si>
  <si>
    <t>SCHLOSS ROBERT W  MD</t>
  </si>
  <si>
    <t>SCHLOSS ROBERT DR.</t>
  </si>
  <si>
    <t>Stafford Kristen</t>
  </si>
  <si>
    <t>STAFFORD KRISTEN MS.</t>
  </si>
  <si>
    <t>2068 GREENVILLE TURNPIKE</t>
  </si>
  <si>
    <t>Stein Brenna</t>
  </si>
  <si>
    <t>STEIN BRENNA</t>
  </si>
  <si>
    <t>Tabrizi Samira</t>
  </si>
  <si>
    <t>TABRIZI SAMIRA</t>
  </si>
  <si>
    <t>525 E 68TH ST, M-304</t>
  </si>
  <si>
    <t>Liu-Jarin Xiaolin</t>
  </si>
  <si>
    <t>LIU-JARIN XIAOLIN</t>
  </si>
  <si>
    <t>PANZER, OLIVER</t>
  </si>
  <si>
    <t>E0017155</t>
  </si>
  <si>
    <t>PANZER OLIVER PETER-FRIEDRICH  MD</t>
  </si>
  <si>
    <t>(212) 305-1313</t>
  </si>
  <si>
    <t>PANZER OLIVER DR.</t>
  </si>
  <si>
    <t>PANZER OLIVER PETER-FRIEDRICH</t>
  </si>
  <si>
    <t>PARANJPE, PARAG</t>
  </si>
  <si>
    <t>E0342743</t>
  </si>
  <si>
    <t>PARANJPE PARAG WASUDEO</t>
  </si>
  <si>
    <t>(212) 305-1314</t>
  </si>
  <si>
    <t>PARANJPE PARAG DR.</t>
  </si>
  <si>
    <t xml:space="preserve">WARDLAW, SHARON </t>
  </si>
  <si>
    <t>E0230316</t>
  </si>
  <si>
    <t>WARDLAW SHARON L           MD</t>
  </si>
  <si>
    <t>WARDLAW SHARON DR.</t>
  </si>
  <si>
    <t>STEIN, JEFFERY A</t>
  </si>
  <si>
    <t>E0239583</t>
  </si>
  <si>
    <t>STEIN JEFFREY ALAN</t>
  </si>
  <si>
    <t>FRANCES SCHERVIER HOME AND HOSPITAL</t>
  </si>
  <si>
    <t>khundkar@bshsi.org</t>
  </si>
  <si>
    <t>Simon Matthew</t>
  </si>
  <si>
    <t>E0295023</t>
  </si>
  <si>
    <t>SIMON MATTHEW</t>
  </si>
  <si>
    <t>SIMON MATTHEW DR.</t>
  </si>
  <si>
    <t>SIMON MATTHEW SPECTOR</t>
  </si>
  <si>
    <t>Narula Navneet</t>
  </si>
  <si>
    <t>E0325624</t>
  </si>
  <si>
    <t>NARULA NAVNEET</t>
  </si>
  <si>
    <t>(212) 305-1245</t>
  </si>
  <si>
    <t>Panarelli Nicole</t>
  </si>
  <si>
    <t>(212) 305-1246</t>
  </si>
  <si>
    <t>Pisapia David</t>
  </si>
  <si>
    <t>E0349091</t>
  </si>
  <si>
    <t>PISAPIA DAVID</t>
  </si>
  <si>
    <t>(212) 305-1247</t>
  </si>
  <si>
    <t>PISAPIA DAVID DR.</t>
  </si>
  <si>
    <t xml:space="preserve">HENCHCLIFFE, CLAIRE </t>
  </si>
  <si>
    <t>E0068295</t>
  </si>
  <si>
    <t>HENCHCLIFFE CLAIRE MD</t>
  </si>
  <si>
    <t>HENCHCLIFFE CLAIRE</t>
  </si>
  <si>
    <t>RM F-610</t>
  </si>
  <si>
    <t>PEDLEY, TIMOTHY A</t>
  </si>
  <si>
    <t>E0230641</t>
  </si>
  <si>
    <t>PEDLEY TIMOTHY ASBURY      MD</t>
  </si>
  <si>
    <t>PEDLEY TIMOTHY DR.</t>
  </si>
  <si>
    <t>RM 250</t>
  </si>
  <si>
    <t>Service program for older people - Outpatient mental health clinic -Grand Street Clinic</t>
  </si>
  <si>
    <t>GMYREK, ROBYN S</t>
  </si>
  <si>
    <t>E0090225</t>
  </si>
  <si>
    <t>GMYREK ROBYN SQUEO MD</t>
  </si>
  <si>
    <t>GMYREK ROBYN DR.</t>
  </si>
  <si>
    <t xml:space="preserve">REIS, TAL </t>
  </si>
  <si>
    <t>E0085506</t>
  </si>
  <si>
    <t>REIS TAL PHD</t>
  </si>
  <si>
    <t>REIS TAL DR.</t>
  </si>
  <si>
    <t>Abramson, Erika</t>
  </si>
  <si>
    <t>E0015092</t>
  </si>
  <si>
    <t>ABRAMSON ERIKA MD</t>
  </si>
  <si>
    <t>ABRAMSON ERIKA</t>
  </si>
  <si>
    <t>ABRAMSON ERIKA LAUREN</t>
  </si>
  <si>
    <t>DELANEY, CHRISTINA</t>
  </si>
  <si>
    <t>E0345687</t>
  </si>
  <si>
    <t>DELANEY CHRISTINA L</t>
  </si>
  <si>
    <t>(212) 305-1221</t>
  </si>
  <si>
    <t>DELANEY CHRISTINA MRS.</t>
  </si>
  <si>
    <t>3959 BROADWAY FL 11</t>
  </si>
  <si>
    <t>BRILLON, DAVID J</t>
  </si>
  <si>
    <t>E0185075</t>
  </si>
  <si>
    <t>BRILLON DAVID J MD</t>
  </si>
  <si>
    <t>BRILLON DAVID</t>
  </si>
  <si>
    <t>BERNSTEIN, ROBERT M</t>
  </si>
  <si>
    <t>E0017393</t>
  </si>
  <si>
    <t>BERNSTEIN ROBERT</t>
  </si>
  <si>
    <t>ECK, KAREN E</t>
  </si>
  <si>
    <t>E0008937</t>
  </si>
  <si>
    <t>ECK KAREN</t>
  </si>
  <si>
    <t>ECK KAREN MS.</t>
  </si>
  <si>
    <t>NOZAD, CYRUS H</t>
  </si>
  <si>
    <t>E0306646</t>
  </si>
  <si>
    <t>NOZAD CYRUS H MD</t>
  </si>
  <si>
    <t>NOZAD CYRUS DR.</t>
  </si>
  <si>
    <t xml:space="preserve">OUYANG, HELEN </t>
  </si>
  <si>
    <t>E0335517</t>
  </si>
  <si>
    <t>OUYANG HELEN</t>
  </si>
  <si>
    <t>Keros, Sotirios</t>
  </si>
  <si>
    <t>E0339486</t>
  </si>
  <si>
    <t>KEROS SOTIRIOS TONY</t>
  </si>
  <si>
    <t>KEROS SOTIRIOS DR.</t>
  </si>
  <si>
    <t>525 E 68TH ST # 225 &amp; # 585</t>
  </si>
  <si>
    <t>ULANE, CHRISTINA M</t>
  </si>
  <si>
    <t>E0339052</t>
  </si>
  <si>
    <t>ULANE CHRISTINA MARIE</t>
  </si>
  <si>
    <t>ULANE CHRISTINA DR.</t>
  </si>
  <si>
    <t>Fong Ronald</t>
  </si>
  <si>
    <t>FONG RONALD</t>
  </si>
  <si>
    <t>622 W 168TH ST, PH 5-133</t>
  </si>
  <si>
    <t>Fried Eric</t>
  </si>
  <si>
    <t>FRIED ERIC DR.</t>
  </si>
  <si>
    <t>Friedman Allen</t>
  </si>
  <si>
    <t>E0436602</t>
  </si>
  <si>
    <t>FRIEDMAN ALLEN</t>
  </si>
  <si>
    <t>Talenfeld Adam</t>
  </si>
  <si>
    <t>E0294114</t>
  </si>
  <si>
    <t>ADAM DANIEL TALENFELD MD</t>
  </si>
  <si>
    <t>TALENFELD ADAM</t>
  </si>
  <si>
    <t>TALENFELD ADAM DANIEL MD</t>
  </si>
  <si>
    <t>Trost David</t>
  </si>
  <si>
    <t>E0173871</t>
  </si>
  <si>
    <t>TROST DAVID W MD</t>
  </si>
  <si>
    <t>TROST DAVID</t>
  </si>
  <si>
    <t>Mosquera Juan</t>
  </si>
  <si>
    <t>E0318331</t>
  </si>
  <si>
    <t>MOSQUERA JUAN</t>
  </si>
  <si>
    <t>MOSQUERA JUAN MIGUEL DR.</t>
  </si>
  <si>
    <t>Pirog Edyta</t>
  </si>
  <si>
    <t>E0023966</t>
  </si>
  <si>
    <t>PIROG EDYTA</t>
  </si>
  <si>
    <t>(212) 305-1226</t>
  </si>
  <si>
    <t>PIROG EDYTA DR.</t>
  </si>
  <si>
    <t>Qin Lihui</t>
  </si>
  <si>
    <t>E0049045</t>
  </si>
  <si>
    <t>QIN LIHUI MD</t>
  </si>
  <si>
    <t>(212) 305-1227</t>
  </si>
  <si>
    <t>QIN LIHUI</t>
  </si>
  <si>
    <t>1428 30TH MADISON AVENUE</t>
  </si>
  <si>
    <t>Lin Helen</t>
  </si>
  <si>
    <t>E0031784</t>
  </si>
  <si>
    <t>LIN HELEN MD</t>
  </si>
  <si>
    <t>LIN HELEN DR.</t>
  </si>
  <si>
    <t>KATZ, MONIQUE</t>
  </si>
  <si>
    <t>E0250095</t>
  </si>
  <si>
    <t>KATZ MONIQUE C             MD</t>
  </si>
  <si>
    <t>(212) 305-1269</t>
  </si>
  <si>
    <t>KATZ MONIQUE</t>
  </si>
  <si>
    <t>Chiu Felicia</t>
  </si>
  <si>
    <t>E0423951</t>
  </si>
  <si>
    <t>CHIU FELICIA Y</t>
  </si>
  <si>
    <t>CHIU FELICIA</t>
  </si>
  <si>
    <t>Bentley-Hibbert Stuart</t>
  </si>
  <si>
    <t>E0283203</t>
  </si>
  <si>
    <t>BENTLEY-HIBBERT STUART IAN MD</t>
  </si>
  <si>
    <t>BENTLEY-HIBBERT STUART DR.</t>
  </si>
  <si>
    <t>Hecht Elizabeth</t>
  </si>
  <si>
    <t>E0050015</t>
  </si>
  <si>
    <t>HECHT ELIZABETH M MD</t>
  </si>
  <si>
    <t>HECHT ELIZABETH DR.</t>
  </si>
  <si>
    <t>Carley Michelle</t>
  </si>
  <si>
    <t>E0386247</t>
  </si>
  <si>
    <t>CARLEY MICHELLE</t>
  </si>
  <si>
    <t>CARLEY MICHELLE DR.</t>
  </si>
  <si>
    <t>CARLEY MICHELLE CHRISTINE</t>
  </si>
  <si>
    <t>Esther J. Pottoore</t>
  </si>
  <si>
    <t>(212) 752-4982</t>
  </si>
  <si>
    <t>Chazen Joseph</t>
  </si>
  <si>
    <t>E0348084</t>
  </si>
  <si>
    <t>CHAZEN JOSEPH</t>
  </si>
  <si>
    <t>CHAZEN JOSEPH DR.</t>
  </si>
  <si>
    <t>CHAZEN JOSEPH LEVI</t>
  </si>
  <si>
    <t>Chiang Gloria</t>
  </si>
  <si>
    <t>E0338656</t>
  </si>
  <si>
    <t>CHIANG GLORIA CHIA-YI</t>
  </si>
  <si>
    <t>CHIANG GLORIA DR.</t>
  </si>
  <si>
    <t>Comunale Joseph</t>
  </si>
  <si>
    <t>E0137370</t>
  </si>
  <si>
    <t>COMUNALE JOSEPH P JR MD</t>
  </si>
  <si>
    <t>COMUNALE JOSEPH DR.</t>
  </si>
  <si>
    <t>J T MATHER HOSPITAL</t>
  </si>
  <si>
    <t>Johnson Carl</t>
  </si>
  <si>
    <t>E0185426</t>
  </si>
  <si>
    <t>JOHNSON CARL MD</t>
  </si>
  <si>
    <t>JOHNSON CARL</t>
  </si>
  <si>
    <t>Phillips C. Douglas</t>
  </si>
  <si>
    <t>E0289564</t>
  </si>
  <si>
    <t>PHILLIPS CLIFFORD DOUGLAS MD</t>
  </si>
  <si>
    <t>PHILLIPS CLIFFORD</t>
  </si>
  <si>
    <t>Tsiouris Apostolos</t>
  </si>
  <si>
    <t>E0061205</t>
  </si>
  <si>
    <t>TSIOURIS APOSTOLOS JOHN MD</t>
  </si>
  <si>
    <t>TSIOURIS APOSTOLOS</t>
  </si>
  <si>
    <t>525 E 68TH ST # 141&amp;585</t>
  </si>
  <si>
    <t>Zimmerman Robert</t>
  </si>
  <si>
    <t>E0273178</t>
  </si>
  <si>
    <t>ZIMMERMAN ROBERT           MD</t>
  </si>
  <si>
    <t>ZIMMERMAN ROBERT</t>
  </si>
  <si>
    <t>NYH-CORNELL UNIV MC</t>
  </si>
  <si>
    <t>Goldsmith Stanley</t>
  </si>
  <si>
    <t>E0273434</t>
  </si>
  <si>
    <t>GOLDSMITH STANLEY J        MD</t>
  </si>
  <si>
    <t>GOLDSMITH STANLEY</t>
  </si>
  <si>
    <t>Mozley Paul</t>
  </si>
  <si>
    <t>E0337513</t>
  </si>
  <si>
    <t>MOZLEY PAUL DAVID</t>
  </si>
  <si>
    <t>MOZLEY P. DAVID DR.</t>
  </si>
  <si>
    <t>525 E 68TH ST # 141&amp; # 585</t>
  </si>
  <si>
    <t>Youn Trisha</t>
  </si>
  <si>
    <t>E0352662</t>
  </si>
  <si>
    <t>YOUN TRISHA YANGHEE</t>
  </si>
  <si>
    <t>YOUN TRISHA</t>
  </si>
  <si>
    <t>Sireci Anthony</t>
  </si>
  <si>
    <t>SIRECI ANTHONY</t>
  </si>
  <si>
    <t xml:space="preserve">MITSUMOTO, HIROSHI </t>
  </si>
  <si>
    <t>E0086910</t>
  </si>
  <si>
    <t>MITSUMOTO HIROSHI MD</t>
  </si>
  <si>
    <t>MITSUMOTO HIROSHI DR.</t>
  </si>
  <si>
    <t>DEPT NEUROLOGY</t>
  </si>
  <si>
    <t>DEMIRDAG, YESIM</t>
  </si>
  <si>
    <t>E0349750</t>
  </si>
  <si>
    <t>YILIRIAZ DEMIRDAG YESIM</t>
  </si>
  <si>
    <t>(212) 305-1222</t>
  </si>
  <si>
    <t>DEMIRDAG YESIM</t>
  </si>
  <si>
    <t>YILMAZ DEMIRDAG YESIM</t>
  </si>
  <si>
    <t>3959 BROADWAY BHN 1-112</t>
  </si>
  <si>
    <t>MARDER, KAREN S</t>
  </si>
  <si>
    <t>E0189312</t>
  </si>
  <si>
    <t>MARDER KAREN S MD</t>
  </si>
  <si>
    <t>MARDER KAREN DR.</t>
  </si>
  <si>
    <t>Kumar, Juhi</t>
  </si>
  <si>
    <t>HIROSE, SCOTT D</t>
  </si>
  <si>
    <t>E0360129</t>
  </si>
  <si>
    <t>HIROSE SCOTT D</t>
  </si>
  <si>
    <t>HIROSE SCOTT DR.</t>
  </si>
  <si>
    <t>3959 BROADWAY FL 6 NORTH</t>
  </si>
  <si>
    <t xml:space="preserve">SCHMERL, LAURYN </t>
  </si>
  <si>
    <t>E0029546</t>
  </si>
  <si>
    <t>SCHMERL LAUREN</t>
  </si>
  <si>
    <t>SCHMERL LAURYN DR.</t>
  </si>
  <si>
    <t>SCHMERL LAUREN TRACI</t>
  </si>
  <si>
    <t>HALL-ROSS, SANDRA M</t>
  </si>
  <si>
    <t xml:space="preserve">WIESENDANGER, MARGRIT </t>
  </si>
  <si>
    <t>E0291897</t>
  </si>
  <si>
    <t>WIESENDANGER MARGRIT</t>
  </si>
  <si>
    <t>WIESENDANGER MARGRIT DR.</t>
  </si>
  <si>
    <t>WIESENDANGER MARGRIT MD</t>
  </si>
  <si>
    <t>Service program for older people - Outpatient mental health clinic - Brown Gardens Center</t>
  </si>
  <si>
    <t xml:space="preserve">RYAN, ANGELA </t>
  </si>
  <si>
    <t>E0008906</t>
  </si>
  <si>
    <t>RYAN ANGELA</t>
  </si>
  <si>
    <t>RYAN ANGELA DR.</t>
  </si>
  <si>
    <t xml:space="preserve">TEPLIN, DEBRA  </t>
  </si>
  <si>
    <t>E0030352</t>
  </si>
  <si>
    <t>TEPLIN DEBRA RPA</t>
  </si>
  <si>
    <t>TEPLIN DEBRA</t>
  </si>
  <si>
    <t>NELSON, JONATHON L</t>
  </si>
  <si>
    <t>E0059540</t>
  </si>
  <si>
    <t>NELSON JONATHAN LAWRENCE MD</t>
  </si>
  <si>
    <t>NELSON JONATHAN DR.</t>
  </si>
  <si>
    <t>BRIDGEVIEW NH</t>
  </si>
  <si>
    <t xml:space="preserve">DOCTOROFF, ALEXANDER </t>
  </si>
  <si>
    <t>E0346952</t>
  </si>
  <si>
    <t>DOCTOROFF ALEXANDER</t>
  </si>
  <si>
    <t>DOCTOROFF ALEXANDER DR.</t>
  </si>
  <si>
    <t>Kern, Jeffrey H</t>
  </si>
  <si>
    <t>CHIMA, KULJIT KAUR N</t>
  </si>
  <si>
    <t>E0281066</t>
  </si>
  <si>
    <t>JACOBS JACK PC             MD</t>
  </si>
  <si>
    <t>CHIMA KULJIT DR.</t>
  </si>
  <si>
    <t>1720 FRANCIS LEWIS BLVD # B</t>
  </si>
  <si>
    <t>KANE, STEVEN A</t>
  </si>
  <si>
    <t>E0141890</t>
  </si>
  <si>
    <t>KANE STEVEN A MD</t>
  </si>
  <si>
    <t>KANE STEVEN DR.</t>
  </si>
  <si>
    <t xml:space="preserve">MEYER, B. ROBERT </t>
  </si>
  <si>
    <t>E0217017</t>
  </si>
  <si>
    <t>MEYER BAILEY ROBERT        MD</t>
  </si>
  <si>
    <t>MEYER B. ROBERT</t>
  </si>
  <si>
    <t>CORNELL INT MED ASSO</t>
  </si>
  <si>
    <t>GLESBY, MARSHALL J</t>
  </si>
  <si>
    <t>E0058125</t>
  </si>
  <si>
    <t>GLESBY MARSHALL J</t>
  </si>
  <si>
    <t>GLESBY MARSHALL DR.</t>
  </si>
  <si>
    <t>GLESBY MARSHALL JAY</t>
  </si>
  <si>
    <t>BARR, ROBERT G</t>
  </si>
  <si>
    <t>E0123192</t>
  </si>
  <si>
    <t>BARR ROBERT GRAHAM MD</t>
  </si>
  <si>
    <t>BARR ROBERT DR.</t>
  </si>
  <si>
    <t>Kuang, Wanli</t>
  </si>
  <si>
    <t>E0013900</t>
  </si>
  <si>
    <t>KUANG WANLI</t>
  </si>
  <si>
    <t>Salvatore, Christine</t>
  </si>
  <si>
    <t>E0286235</t>
  </si>
  <si>
    <t>SALVATORE CHRISTINE</t>
  </si>
  <si>
    <t>SALVATORE CHRISTINE M</t>
  </si>
  <si>
    <t>MOLE, DEIRDRE A</t>
  </si>
  <si>
    <t>E0084647</t>
  </si>
  <si>
    <t>MOLE DEIRDRE ADAMS</t>
  </si>
  <si>
    <t>MOLE DEIRDRE</t>
  </si>
  <si>
    <t>1484 1ST AVE GROUND FLR</t>
  </si>
  <si>
    <t>MANUBAY, JEANNE M</t>
  </si>
  <si>
    <t>E0027479</t>
  </si>
  <si>
    <t>MANUBAY JEANNE</t>
  </si>
  <si>
    <t>MANUBAY JEANNE DR.</t>
  </si>
  <si>
    <t>MANUBAY JEANNE MARCELLE</t>
  </si>
  <si>
    <t>KAPLAN, ADAM S</t>
  </si>
  <si>
    <t>E0317196</t>
  </si>
  <si>
    <t>KAPLAN ADAM SETH</t>
  </si>
  <si>
    <t>KAPLAN ADAM DR.</t>
  </si>
  <si>
    <t>ROYE, BENJAMIN D</t>
  </si>
  <si>
    <t>E0051120</t>
  </si>
  <si>
    <t>ROYE BENJAMIN DAVID MD</t>
  </si>
  <si>
    <t>ROYE BENJAMIN DR.</t>
  </si>
  <si>
    <t>10 UNION SQ E FRNT 3</t>
  </si>
  <si>
    <t xml:space="preserve">Kong, Kin Ching       </t>
  </si>
  <si>
    <t>E0033409</t>
  </si>
  <si>
    <t>KONG KIN CHING MD</t>
  </si>
  <si>
    <t>KONG KIN</t>
  </si>
  <si>
    <t>41 MOTT ST</t>
  </si>
  <si>
    <t>SIEGEL, LAWRENCE A</t>
  </si>
  <si>
    <t>E0004290</t>
  </si>
  <si>
    <t>SIEGEL LAWRENCE J MD</t>
  </si>
  <si>
    <t>SIEGEL LAWRENCE DR.</t>
  </si>
  <si>
    <t>119 W 24TH ST</t>
  </si>
  <si>
    <t>MCGURK, HARRIET E</t>
  </si>
  <si>
    <t>E0232545</t>
  </si>
  <si>
    <t>MCGURK HARRIET E           MD</t>
  </si>
  <si>
    <t>MCGURK HARRIET DR.</t>
  </si>
  <si>
    <t xml:space="preserve">RUBINSTEIN, BORIS </t>
  </si>
  <si>
    <t>BROWER, ROSS B</t>
  </si>
  <si>
    <t>E0018218</t>
  </si>
  <si>
    <t>BROWER ROSS</t>
  </si>
  <si>
    <t>411 E 69TH ST</t>
  </si>
  <si>
    <t>ROSENWASSER, MELVIN P</t>
  </si>
  <si>
    <t>E0220966</t>
  </si>
  <si>
    <t>ROSENWASSER MELVIN P MD</t>
  </si>
  <si>
    <t>ROSENWASSER MELVIN DR.</t>
  </si>
  <si>
    <t>SUR ORTH GRP PH5-129</t>
  </si>
  <si>
    <t xml:space="preserve">LOPEZ, ROBERT </t>
  </si>
  <si>
    <t xml:space="preserve">Tan, Weiyan            </t>
  </si>
  <si>
    <t>E0059671</t>
  </si>
  <si>
    <t>TAN WEI</t>
  </si>
  <si>
    <t>TAN WEI YAN</t>
  </si>
  <si>
    <t xml:space="preserve">PRZEDBORSKI, SERGE </t>
  </si>
  <si>
    <t>E0307046</t>
  </si>
  <si>
    <t>PRZEBORSKI SERGE</t>
  </si>
  <si>
    <t>PRZEDBORSKI SERGE DR.</t>
  </si>
  <si>
    <t>710 WEST 168TH STREE</t>
  </si>
  <si>
    <t>ROSEN, DOUGLAS I</t>
  </si>
  <si>
    <t>622 W 168TH ST, DEPARTMENT OF PEDIATRICS - CHN5-517</t>
  </si>
  <si>
    <t>Nellis, Marianne E.</t>
  </si>
  <si>
    <t>E0382976</t>
  </si>
  <si>
    <t>NELLIS MARIANNE</t>
  </si>
  <si>
    <t>NELLIS MARIANNE ELIZABETH</t>
  </si>
  <si>
    <t>Baradaran Hediyeh</t>
  </si>
  <si>
    <t>BARADARAN HEDIYEH</t>
  </si>
  <si>
    <t>30 N 1900 E, RM 4C104</t>
  </si>
  <si>
    <t>Chang, Jane</t>
  </si>
  <si>
    <t>E0031930</t>
  </si>
  <si>
    <t>CHANG JANE MD</t>
  </si>
  <si>
    <t>CHANG JANE</t>
  </si>
  <si>
    <t>525 EAST 68 ST M-6</t>
  </si>
  <si>
    <t xml:space="preserve">RAHMATI, RAHMATULLAH </t>
  </si>
  <si>
    <t>E0321112</t>
  </si>
  <si>
    <t>RAHMATI RAHMATULLA</t>
  </si>
  <si>
    <t>RAHMATI RAHMATULLAH DR.</t>
  </si>
  <si>
    <t>180  FORT WASHINGTON</t>
  </si>
  <si>
    <t>Akchurin, Oleh M.</t>
  </si>
  <si>
    <t>E0383337</t>
  </si>
  <si>
    <t>AKCHURIN OLEH</t>
  </si>
  <si>
    <t>AKCHURIN OLEH DR.</t>
  </si>
  <si>
    <t>Rand Jacob</t>
  </si>
  <si>
    <t>Salvatore Steven</t>
  </si>
  <si>
    <t>E0338841</t>
  </si>
  <si>
    <t>SALVATORE STEVEN</t>
  </si>
  <si>
    <t>(212) 305-1249</t>
  </si>
  <si>
    <t>SALVATORE STEVEN DR.</t>
  </si>
  <si>
    <t>525 E 68TH ST # C302</t>
  </si>
  <si>
    <t>Vasovic Ljiljana</t>
  </si>
  <si>
    <t>E0041628</t>
  </si>
  <si>
    <t>VASOVIC LJILJANA</t>
  </si>
  <si>
    <t>(212) 305-1250</t>
  </si>
  <si>
    <t>George Gibbi</t>
  </si>
  <si>
    <t>Batal Ibrahim</t>
  </si>
  <si>
    <t>BATAL IBRAHIM</t>
  </si>
  <si>
    <t>Pamela Apolaya</t>
  </si>
  <si>
    <t>Jennifer Balfour</t>
  </si>
  <si>
    <t>Taisha Benjamin</t>
  </si>
  <si>
    <t>Jean Bien-Aime</t>
  </si>
  <si>
    <t>Noemi Charnow</t>
  </si>
  <si>
    <t>Grace Chow</t>
  </si>
  <si>
    <t>Gladys Christophe</t>
  </si>
  <si>
    <t>Byron Demopoulos</t>
  </si>
  <si>
    <t>Simon Djen</t>
  </si>
  <si>
    <t>Mona Dudek</t>
  </si>
  <si>
    <t>Tamika Duncan</t>
  </si>
  <si>
    <t>Marie Garnes</t>
  </si>
  <si>
    <t xml:space="preserve">KONRAD, HINDOLA </t>
  </si>
  <si>
    <t>E0091997</t>
  </si>
  <si>
    <t>KONRAD HINDOLA MD</t>
  </si>
  <si>
    <t>KONRAD HINDOLA</t>
  </si>
  <si>
    <t xml:space="preserve">JOSHI, MONICA </t>
  </si>
  <si>
    <t>E0371277</t>
  </si>
  <si>
    <t>JOSHI MONICA</t>
  </si>
  <si>
    <t xml:space="preserve">LISS, DONALD </t>
  </si>
  <si>
    <t>E0226086</t>
  </si>
  <si>
    <t>LISS DONALD                MD</t>
  </si>
  <si>
    <t>LISS DONALD DR.</t>
  </si>
  <si>
    <t>LISS DONALD MD</t>
  </si>
  <si>
    <t>365 ROUTE 304/STE 102</t>
  </si>
  <si>
    <t>Marya Pollack, MD</t>
  </si>
  <si>
    <t>E0357800</t>
  </si>
  <si>
    <t>POLLACK MARYA ESTHER</t>
  </si>
  <si>
    <t>(212) 942-8528</t>
  </si>
  <si>
    <t>POLLACK MARYA DR.</t>
  </si>
  <si>
    <t>SWEENEY, EUGENE W</t>
  </si>
  <si>
    <t>E0018207</t>
  </si>
  <si>
    <t>SWEENEY EUGENE</t>
  </si>
  <si>
    <t>Toussi, Shelly S</t>
  </si>
  <si>
    <t>E0010986</t>
  </si>
  <si>
    <t>TOUSSI SHELLY S MD</t>
  </si>
  <si>
    <t>TOUSSI SHELLY</t>
  </si>
  <si>
    <t>AMB L-5 SUITE 8</t>
  </si>
  <si>
    <t>Service program for older people - Outpatient mental health clinic - Upper Westside Clinic</t>
  </si>
  <si>
    <t xml:space="preserve">CASALE, PASQUALE </t>
  </si>
  <si>
    <t>Hau, Duncan Kuo-Way</t>
  </si>
  <si>
    <t>E0388637</t>
  </si>
  <si>
    <t>HAU DUNCAN</t>
  </si>
  <si>
    <t>HAU DUNCAN DR.</t>
  </si>
  <si>
    <t>HAU DUNCAN KUOWAY</t>
  </si>
  <si>
    <t>CLARKE, MARCIA E</t>
  </si>
  <si>
    <t>E0338858</t>
  </si>
  <si>
    <t>CLARKE MARCIA E</t>
  </si>
  <si>
    <t>CLARKE MARCIA MISS</t>
  </si>
  <si>
    <t>SCHERL, ELLEN</t>
  </si>
  <si>
    <t>E0079285</t>
  </si>
  <si>
    <t>SCHERL ELLEN MD</t>
  </si>
  <si>
    <t>(212) 305-1328</t>
  </si>
  <si>
    <t>SCHERL ELLEN</t>
  </si>
  <si>
    <t>1315 YORK AVE MEZZ LEVEL</t>
  </si>
  <si>
    <t xml:space="preserve">JABBARI, ALI </t>
  </si>
  <si>
    <t>E0330461</t>
  </si>
  <si>
    <t>JABBARI ALI</t>
  </si>
  <si>
    <t xml:space="preserve">HUNTER-ROMANELLI, LISA </t>
  </si>
  <si>
    <t>E0073524</t>
  </si>
  <si>
    <t>HUNTER LISA PHD</t>
  </si>
  <si>
    <t>HUNTER ROMANELLI LISA</t>
  </si>
  <si>
    <t>HUNTER LISA ROMANELLI</t>
  </si>
  <si>
    <t>3959 BROADWAY FL 6 N</t>
  </si>
  <si>
    <t>WALKER, MARCELLA D</t>
  </si>
  <si>
    <t>E0036057</t>
  </si>
  <si>
    <t>WALKER MARCELLA MD</t>
  </si>
  <si>
    <t>WALKER MARCELLA DR.</t>
  </si>
  <si>
    <t>JAMIESON, DARA G</t>
  </si>
  <si>
    <t>E0011797</t>
  </si>
  <si>
    <t>JAMIESON DARA GREANEY MD</t>
  </si>
  <si>
    <t>JAMIESON DARA</t>
  </si>
  <si>
    <t>Beatriz Mejia, LCSW</t>
  </si>
  <si>
    <t>(212) 942-8522</t>
  </si>
  <si>
    <t>MEJIA BEATRIZ</t>
  </si>
  <si>
    <t>Quisqueya Meyreles, LCSW</t>
  </si>
  <si>
    <t>E0392719</t>
  </si>
  <si>
    <t>MEYRELES QUISQUEYA NORMA</t>
  </si>
  <si>
    <t>(212) 942-8523</t>
  </si>
  <si>
    <t>MEYRELES QUISQUEYA MS.</t>
  </si>
  <si>
    <t>TRUSTEES OF COLUMBIA UNIVERSITY COLUMBIADOCTORS OF THE HUDSON VALLEY</t>
  </si>
  <si>
    <t>222 ROUTE 59 STE 302</t>
  </si>
  <si>
    <t>TRUSTEES OF COLUMBIA UNIVERSITY DEPT OF OBSTETRICS AND GYN ULTRASOUND</t>
  </si>
  <si>
    <t>E0075216</t>
  </si>
  <si>
    <t>GASKINS, CLARE S</t>
  </si>
  <si>
    <t>E0343402</t>
  </si>
  <si>
    <t>GASKINS CLARE</t>
  </si>
  <si>
    <t>GASKINS CLARE SMITH</t>
  </si>
  <si>
    <t xml:space="preserve">Chao, Eda Chi            </t>
  </si>
  <si>
    <t>E0031574</t>
  </si>
  <si>
    <t>CHAO EDA X</t>
  </si>
  <si>
    <t>CHAO EDA</t>
  </si>
  <si>
    <t>CHAO EDA CHI</t>
  </si>
  <si>
    <t>Jirasevijinda, Thanakorn</t>
  </si>
  <si>
    <t>E0102231</t>
  </si>
  <si>
    <t>JIRASEVIJINDA THANAKORN</t>
  </si>
  <si>
    <t>SOULE, CHARLES R</t>
  </si>
  <si>
    <t>E0029553</t>
  </si>
  <si>
    <t>SOULE CHARLES RAYMOND JR</t>
  </si>
  <si>
    <t>SOULE CHARLES DR.</t>
  </si>
  <si>
    <t>BEEDER, ANN B</t>
  </si>
  <si>
    <t>E0018215</t>
  </si>
  <si>
    <t>BEEDER ANN</t>
  </si>
  <si>
    <t>BEEDER ANN DR.</t>
  </si>
  <si>
    <t>56 W 45TH ST FL 9</t>
  </si>
  <si>
    <t>Loftus Michael</t>
  </si>
  <si>
    <t>E0343212</t>
  </si>
  <si>
    <t>LOFTUS MICHAEL LYON</t>
  </si>
  <si>
    <t>LOFTUS MICHAEL DR.</t>
  </si>
  <si>
    <t>E0293226</t>
  </si>
  <si>
    <t>TRUSTEES OF COLUMBIA U-VASCU.SURG</t>
  </si>
  <si>
    <t>161 FORT WASHINGTON AVE FL 6 RM 643</t>
  </si>
  <si>
    <t>3959 BROADWAY, COLUMBIA UNIVERSITY DEPARTMENT PEDS</t>
  </si>
  <si>
    <t xml:space="preserve">WOO, YANGHEE </t>
  </si>
  <si>
    <t>E0325026</t>
  </si>
  <si>
    <t>WOO YANGHEE</t>
  </si>
  <si>
    <t>WOO YANGHEE DR.</t>
  </si>
  <si>
    <t>VISCO, CHRISTOPHER J</t>
  </si>
  <si>
    <t>E0299526</t>
  </si>
  <si>
    <t>VISCO CHRISTOPHER JOSEPH</t>
  </si>
  <si>
    <t>VISCO CHRISTOPHER DR.</t>
  </si>
  <si>
    <t>Isabella Geriatric Center, Inc. -Long Term Home Health Care Program</t>
  </si>
  <si>
    <t>PERUMAL, JAI S</t>
  </si>
  <si>
    <t>E0295662</t>
  </si>
  <si>
    <t>JAI SWARNA PERUMAL MD</t>
  </si>
  <si>
    <t>PERUMAL JAI DR.</t>
  </si>
  <si>
    <t>PERUMAL JAI SWARNA MD</t>
  </si>
  <si>
    <t>WALKER, TONYA N</t>
  </si>
  <si>
    <t>JANICKI, SARAH C</t>
  </si>
  <si>
    <t>E0325561</t>
  </si>
  <si>
    <t>JANICKI SARAH C</t>
  </si>
  <si>
    <t>JANICKI SARAH</t>
  </si>
  <si>
    <t>ENGLER, DANIELLE E</t>
  </si>
  <si>
    <t>E0178099</t>
  </si>
  <si>
    <t>ENGLER DANIELLE E  MD</t>
  </si>
  <si>
    <t>ENGLER DANIELLE</t>
  </si>
  <si>
    <t xml:space="preserve">LIPANI, TRICIA </t>
  </si>
  <si>
    <t>E0304822</t>
  </si>
  <si>
    <t>LIPANI TRICIA</t>
  </si>
  <si>
    <t>LIPANI TRICIA DR.</t>
  </si>
  <si>
    <t>JONES, DEBORAH P</t>
  </si>
  <si>
    <t>E0044292</t>
  </si>
  <si>
    <t>JONES DEBORAH POLLARD MD</t>
  </si>
  <si>
    <t>JONES DEBORAH DR.</t>
  </si>
  <si>
    <t>Mitchell, W Beau</t>
  </si>
  <si>
    <t>E0080135</t>
  </si>
  <si>
    <t>MITCHELL W BEAU MD</t>
  </si>
  <si>
    <t>MITCHELL WILLIAM DR.</t>
  </si>
  <si>
    <t>MITCHELL WILLIAM B</t>
  </si>
  <si>
    <t>CUMC NYP Main</t>
  </si>
  <si>
    <t>NEW YORK PRESBYTERIAN HOSPITAL INC</t>
  </si>
  <si>
    <t>SHAPIRO, JEFFERY T</t>
  </si>
  <si>
    <t>E0141173</t>
  </si>
  <si>
    <t>SHAPIRO JEFFREY T MD</t>
  </si>
  <si>
    <t>Jonathan K. Kazam</t>
  </si>
  <si>
    <t>E0320163</t>
  </si>
  <si>
    <t>KAZAM JONATHAN MD</t>
  </si>
  <si>
    <t>(212) 305-1264</t>
  </si>
  <si>
    <t>KAZAM JONATHAN DR.</t>
  </si>
  <si>
    <t>Ivascu Natalia</t>
  </si>
  <si>
    <t>E0034610</t>
  </si>
  <si>
    <t>BROWN NATALIA SHARON IVASCU</t>
  </si>
  <si>
    <t>IVASCU NATALIA</t>
  </si>
  <si>
    <t>IVASCU NATALIA SHARON</t>
  </si>
  <si>
    <t>Mehta Aarti</t>
  </si>
  <si>
    <t>E0383500</t>
  </si>
  <si>
    <t>MEHTA AARTI</t>
  </si>
  <si>
    <t>MEHTA AARTI PURI</t>
  </si>
  <si>
    <t>PRAGER, KENNETH M</t>
  </si>
  <si>
    <t>E0245104</t>
  </si>
  <si>
    <t>PRAGER KENNETH M           MD</t>
  </si>
  <si>
    <t>PRAGER KENNETH DR.</t>
  </si>
  <si>
    <t>Yu Florence</t>
  </si>
  <si>
    <t>E0300750</t>
  </si>
  <si>
    <t>YU FLORENCE</t>
  </si>
  <si>
    <t>YU FLORENCE DR.</t>
  </si>
  <si>
    <t>Acety Gloria</t>
  </si>
  <si>
    <t>E0324981</t>
  </si>
  <si>
    <t>ACETY GLORIA A MD</t>
  </si>
  <si>
    <t>ACETY GLORIA</t>
  </si>
  <si>
    <t>170 WILLIAM ST FL 7</t>
  </si>
  <si>
    <t>E0303057</t>
  </si>
  <si>
    <t>DELANEY, SARAH W</t>
  </si>
  <si>
    <t>E0335219</t>
  </si>
  <si>
    <t>DELANEY SARAH W</t>
  </si>
  <si>
    <t>DELANEY SARAH</t>
  </si>
  <si>
    <t>21 AUDUBON AVENUE</t>
  </si>
  <si>
    <t>SMITH, CLARK C</t>
  </si>
  <si>
    <t>E0324466</t>
  </si>
  <si>
    <t>SMITH CLARK</t>
  </si>
  <si>
    <t>SMITH CLARK DR.</t>
  </si>
  <si>
    <t>Chen, Douglas Yuen Hsiang</t>
  </si>
  <si>
    <t>E0059682</t>
  </si>
  <si>
    <t>CHEN DOUGLAS</t>
  </si>
  <si>
    <t>CHEN DOUGLAS YUEN HSIANG</t>
  </si>
  <si>
    <t>303 9TH AVE</t>
  </si>
  <si>
    <t>E0162666</t>
  </si>
  <si>
    <t>CORNELL ANESTHESIOLOGY ASSOC</t>
  </si>
  <si>
    <t>TAN, PATRICIA T</t>
  </si>
  <si>
    <t>Leal David</t>
  </si>
  <si>
    <t>LEAL DAVID MR.</t>
  </si>
  <si>
    <t>170 WILLIAM ST, ROOM 354</t>
  </si>
  <si>
    <t>Ernst Lauren</t>
  </si>
  <si>
    <t>E0391587</t>
  </si>
  <si>
    <t>ERNST LAUREN MORTON</t>
  </si>
  <si>
    <t>ERNST LAUREN MRS.</t>
  </si>
  <si>
    <t>Giglio James</t>
  </si>
  <si>
    <t>E0157723</t>
  </si>
  <si>
    <t>GIGLIO JAMES F MD</t>
  </si>
  <si>
    <t>GIGLIO JAMES</t>
  </si>
  <si>
    <t>GIGLIO JAMES FREDERICK</t>
  </si>
  <si>
    <t>Hong Jin Ki</t>
  </si>
  <si>
    <t>E0289484</t>
  </si>
  <si>
    <t>JIN KI HONG</t>
  </si>
  <si>
    <t>HONG JIN KI MR.</t>
  </si>
  <si>
    <t>HONG JIN KI MD</t>
  </si>
  <si>
    <t>E0392732</t>
  </si>
  <si>
    <t>Salomao Marcela</t>
  </si>
  <si>
    <t>SALOMAO MARCELA</t>
  </si>
  <si>
    <t>13400 E SHEA BLVD</t>
  </si>
  <si>
    <t>Saqi Anjali</t>
  </si>
  <si>
    <t>E0013918</t>
  </si>
  <si>
    <t>SAQI ANJALI</t>
  </si>
  <si>
    <t>Stokes Michael</t>
  </si>
  <si>
    <t>E0024044</t>
  </si>
  <si>
    <t>STOKES MICHAEL</t>
  </si>
  <si>
    <t>Szabolcs Matthias</t>
  </si>
  <si>
    <t>E0102997</t>
  </si>
  <si>
    <t>SZABOLCS MATTHIAS</t>
  </si>
  <si>
    <t>SZABOLCS MATTHIAS DR.</t>
  </si>
  <si>
    <t>Tanji Kurenai</t>
  </si>
  <si>
    <t>E0013905</t>
  </si>
  <si>
    <t>TANJI KURENAI</t>
  </si>
  <si>
    <t>Teich Andrew</t>
  </si>
  <si>
    <t>TEICH ANDREW</t>
  </si>
  <si>
    <t>Vonsattel Jean Paul</t>
  </si>
  <si>
    <t>E0013916</t>
  </si>
  <si>
    <t>VONSATTEL JEAN-PAUL</t>
  </si>
  <si>
    <t>VONSATTEL JEAN PAUL</t>
  </si>
  <si>
    <t>Katzen Janine</t>
  </si>
  <si>
    <t>E0320233</t>
  </si>
  <si>
    <t>KATZEN JANINE T</t>
  </si>
  <si>
    <t>KATZEN JANINE DR.</t>
  </si>
  <si>
    <t>Levy Allison</t>
  </si>
  <si>
    <t>E0009804</t>
  </si>
  <si>
    <t>LEVY ALLISON DANA MD</t>
  </si>
  <si>
    <t>LEVY ALLISON DR.</t>
  </si>
  <si>
    <t>TRUSTEES OF COLUMBIA UNIVERSITY ADULT EKG GROUP</t>
  </si>
  <si>
    <t>E0055646</t>
  </si>
  <si>
    <t>Clark Jeanann</t>
  </si>
  <si>
    <t>E0288028</t>
  </si>
  <si>
    <t>CLARK JEANANN PA</t>
  </si>
  <si>
    <t>CLARK JEANANN</t>
  </si>
  <si>
    <t>525 E 68TH ST # P-501</t>
  </si>
  <si>
    <t>VILLENA, YOLANDA M</t>
  </si>
  <si>
    <t>E0152456</t>
  </si>
  <si>
    <t>VILLENA YOLANDA MARY</t>
  </si>
  <si>
    <t>VILLENA YOLANDA DR.</t>
  </si>
  <si>
    <t>829 PRESIDENT ST</t>
  </si>
  <si>
    <t>LU, JONATHAN T</t>
  </si>
  <si>
    <t>E0286231</t>
  </si>
  <si>
    <t>LU JONATHAN</t>
  </si>
  <si>
    <t>LU JONATHAN DR.</t>
  </si>
  <si>
    <t>LU JONATHAN TOSHI MD</t>
  </si>
  <si>
    <t>MARX, STEVEN O</t>
  </si>
  <si>
    <t>E0129732</t>
  </si>
  <si>
    <t>MARX STEVEN OWEN MD</t>
  </si>
  <si>
    <t>MARX STEVEN</t>
  </si>
  <si>
    <t>DUTKOWSKY, JOSEPH P</t>
  </si>
  <si>
    <t>Green, Cori M.</t>
  </si>
  <si>
    <t>E0021057</t>
  </si>
  <si>
    <t>GREEN CORI</t>
  </si>
  <si>
    <t>GREEN CORI M MD</t>
  </si>
  <si>
    <t>DI TULLIO, MARCO R</t>
  </si>
  <si>
    <t>E0136522</t>
  </si>
  <si>
    <t>DITULLIO MARCO R MD</t>
  </si>
  <si>
    <t>DI TULLIO MARCO DR.</t>
  </si>
  <si>
    <t>WONG, FRANKLIN J</t>
  </si>
  <si>
    <t>E0086889</t>
  </si>
  <si>
    <t>WONG FRANKLIN JOSEPH MD</t>
  </si>
  <si>
    <t>WONG FRANKLIN</t>
  </si>
  <si>
    <t>E0055942</t>
  </si>
  <si>
    <t>MAHLER, RICHARD J</t>
  </si>
  <si>
    <t>E0284191</t>
  </si>
  <si>
    <t>MAHLER RICHARD</t>
  </si>
  <si>
    <t>MAHLER RICHARD DR.</t>
  </si>
  <si>
    <t xml:space="preserve">MAYDAN, ELENA </t>
  </si>
  <si>
    <t>E0003579</t>
  </si>
  <si>
    <t>MAYDAN ELENA</t>
  </si>
  <si>
    <t>29 VILLAGE SQ</t>
  </si>
  <si>
    <t xml:space="preserve">GREEN, PETER </t>
  </si>
  <si>
    <t>E0239032</t>
  </si>
  <si>
    <t>GREEN PETER H R            MD</t>
  </si>
  <si>
    <t>GREEN PETER DR.</t>
  </si>
  <si>
    <t>SHUKLA, PARUL</t>
  </si>
  <si>
    <t>E0337874</t>
  </si>
  <si>
    <t>SHUKLA PARUL</t>
  </si>
  <si>
    <t>(212) 305-1331</t>
  </si>
  <si>
    <t>SHUKLA PARUL DR.</t>
  </si>
  <si>
    <t>SHUKLA PARUL JAIKRISHNA</t>
  </si>
  <si>
    <t>MACKAY-WIGGIN, JULIAN M</t>
  </si>
  <si>
    <t>E0067148</t>
  </si>
  <si>
    <t>MACKAY-WIGGAN JULIAN MD</t>
  </si>
  <si>
    <t>MACKAY-WIGGAN JULIAN DR.</t>
  </si>
  <si>
    <t>MACKAY-WIGGAN JULIAN MARIA</t>
  </si>
  <si>
    <t>Lehrer Moshe</t>
  </si>
  <si>
    <t>E0307458</t>
  </si>
  <si>
    <t>MOSHE D LEHRER</t>
  </si>
  <si>
    <t>LEHRER MOSHE DR.</t>
  </si>
  <si>
    <t>LEHRER MOSHE DOVID</t>
  </si>
  <si>
    <t>BOWE, BARBARA A</t>
  </si>
  <si>
    <t>E0162957</t>
  </si>
  <si>
    <t>BOWE BARBARA A MD</t>
  </si>
  <si>
    <t>BOWE BARBARA</t>
  </si>
  <si>
    <t>VC 205</t>
  </si>
  <si>
    <t>Rivera, Janet</t>
  </si>
  <si>
    <t>E0108000</t>
  </si>
  <si>
    <t>RIVERA JANET MARIE</t>
  </si>
  <si>
    <t>RIVERA JANET</t>
  </si>
  <si>
    <t xml:space="preserve">KOSS, TAMARA </t>
  </si>
  <si>
    <t>E0025695</t>
  </si>
  <si>
    <t>KOSS TAMARA MD</t>
  </si>
  <si>
    <t>KOSS TAMARA MS.</t>
  </si>
  <si>
    <t>260 E MAIN ST</t>
  </si>
  <si>
    <t>CELLUM, ILANA P</t>
  </si>
  <si>
    <t>E0296324</t>
  </si>
  <si>
    <t>CELLUM ILANA</t>
  </si>
  <si>
    <t>CELLUM ILANA PELZIG</t>
  </si>
  <si>
    <t>MINTZ, EMILY M</t>
  </si>
  <si>
    <t>E0346958</t>
  </si>
  <si>
    <t>MINTZ EMILY</t>
  </si>
  <si>
    <t>TRUSTEES OF COLUMBIA IN THE CITY OF NEW YORK</t>
  </si>
  <si>
    <t>161 FORT WASHINGTON AVE, 12TH FLOOR</t>
  </si>
  <si>
    <t>Kurtz, Jennifer Kate</t>
  </si>
  <si>
    <t>E0349063</t>
  </si>
  <si>
    <t>KURTZ JENNIFER KATE</t>
  </si>
  <si>
    <t>KURTZ JENNIFER DR.</t>
  </si>
  <si>
    <t xml:space="preserve">PUNALES-MOREJON, DIANA </t>
  </si>
  <si>
    <t>E0304853</t>
  </si>
  <si>
    <t>PUNALES-MOREJON DIANA</t>
  </si>
  <si>
    <t>PUNALES MOREJON DIANA DR.</t>
  </si>
  <si>
    <t>PUNALES MOREJON DIANA</t>
  </si>
  <si>
    <t>SANO, ELLEN D</t>
  </si>
  <si>
    <t>E0310124</t>
  </si>
  <si>
    <t>SANO ELLEN DOYLE</t>
  </si>
  <si>
    <t>SANO ELLEN DR.</t>
  </si>
  <si>
    <t>SLATER, EVE E</t>
  </si>
  <si>
    <t>E0221149</t>
  </si>
  <si>
    <t>SLATER EVE ELIZABETH       MD</t>
  </si>
  <si>
    <t>SLATER EVE DR.</t>
  </si>
  <si>
    <t>SMYTH, DEBORAH A</t>
  </si>
  <si>
    <t>E0341550</t>
  </si>
  <si>
    <t>SMYTH DEBORAH ANNE</t>
  </si>
  <si>
    <t>SMYTH DEBORAH MS.</t>
  </si>
  <si>
    <t>5141 BROADWAY 3 FIEL</t>
  </si>
  <si>
    <t>SOFTNESS, ANITA M</t>
  </si>
  <si>
    <t>E0108090</t>
  </si>
  <si>
    <t>SOFTNESS ANITA M  MD</t>
  </si>
  <si>
    <t>SOFTNESS ANITA DR.</t>
  </si>
  <si>
    <t xml:space="preserve">DIMATTIA, MICHELLE </t>
  </si>
  <si>
    <t>E0027270</t>
  </si>
  <si>
    <t>DIMATTIA MICHELLE STEMMLE SLP</t>
  </si>
  <si>
    <t>DI MATTIA MICHELLE</t>
  </si>
  <si>
    <t>Peter Sollaccio</t>
  </si>
  <si>
    <t>(212) 752-4988</t>
  </si>
  <si>
    <t>COLUMBIA PRESBYTERIAN MEDICAL CENTER</t>
  </si>
  <si>
    <t>622 W 168TH ST, ROOM PH1271</t>
  </si>
  <si>
    <t>COLUMBIA PRESBYTERIAN RADIOLOGISTS</t>
  </si>
  <si>
    <t>E0081460</t>
  </si>
  <si>
    <t>GLASSMAN, MELISSA E</t>
  </si>
  <si>
    <t>E0027519</t>
  </si>
  <si>
    <t>GLASSMAN MELISSA</t>
  </si>
  <si>
    <t>GLASSMAN MELISSA DR.</t>
  </si>
  <si>
    <t>GAINES, HENRY D</t>
  </si>
  <si>
    <t>E0144803</t>
  </si>
  <si>
    <t>GAINES HENRY D MD</t>
  </si>
  <si>
    <t>GAINES HENRY DR.</t>
  </si>
  <si>
    <t>PRESB HOSP</t>
  </si>
  <si>
    <t xml:space="preserve">VASSERMAN, ARIELA </t>
  </si>
  <si>
    <t>E0364180</t>
  </si>
  <si>
    <t>VASSERMAN ARIELA</t>
  </si>
  <si>
    <t>635 W 165TH ST 6TH F</t>
  </si>
  <si>
    <t>STOREY, JOAN E</t>
  </si>
  <si>
    <t>STOREY JOAN DR.</t>
  </si>
  <si>
    <t>275 W 96TH ST APT 23G</t>
  </si>
  <si>
    <t>rmartinez2@health.nyc.gov</t>
  </si>
  <si>
    <t xml:space="preserve"> 42-09 28th Street</t>
  </si>
  <si>
    <t>Calvary Hospital (CHHA)</t>
  </si>
  <si>
    <t>David@graysonco.com</t>
  </si>
  <si>
    <t>SPITZ, JOEL I</t>
  </si>
  <si>
    <t>LaGratta Maria</t>
  </si>
  <si>
    <t>E0012401</t>
  </si>
  <si>
    <t>LAGRATTA MARIA D MD</t>
  </si>
  <si>
    <t>LAGRATTA MARIA DR.</t>
  </si>
  <si>
    <t>LAGRATTA MARIA DIVINA</t>
  </si>
  <si>
    <t xml:space="preserve">JAMES, ELSY </t>
  </si>
  <si>
    <t>E0319206</t>
  </si>
  <si>
    <t>JAMES ELSY</t>
  </si>
  <si>
    <t>JAMES ELSY MRS.</t>
  </si>
  <si>
    <t>SILVERSTEIN, RICHARD N</t>
  </si>
  <si>
    <t>E0240527</t>
  </si>
  <si>
    <t>SILVERSTEIN RICHARD N MD   PC</t>
  </si>
  <si>
    <t>SILVERSTEIN RICHARD DR.</t>
  </si>
  <si>
    <t>3930 RICHMOND AVE</t>
  </si>
  <si>
    <t>BARNARD, JOHN T</t>
  </si>
  <si>
    <t>E0239064</t>
  </si>
  <si>
    <t>BARNARD JOHN THOMAS MD     PC</t>
  </si>
  <si>
    <t>BARNARD JOHN</t>
  </si>
  <si>
    <t>BARNARD JOHN THOMAS</t>
  </si>
  <si>
    <t>Solomon, Aliza B</t>
  </si>
  <si>
    <t>E0283378</t>
  </si>
  <si>
    <t>SOLOMON ALIZA B MD</t>
  </si>
  <si>
    <t>SOLOMON ALIZA DR.</t>
  </si>
  <si>
    <t>SOLOMON ALIZA B</t>
  </si>
  <si>
    <t>Faulk Lesley</t>
  </si>
  <si>
    <t>FAULK LESLEY</t>
  </si>
  <si>
    <t>Gordon Susan</t>
  </si>
  <si>
    <t>GORDON SUSAN MS.</t>
  </si>
  <si>
    <t>Gray Rachel</t>
  </si>
  <si>
    <t>GRAY RACHEL PROF.</t>
  </si>
  <si>
    <t>Griffin Katie</t>
  </si>
  <si>
    <t>GRIFFIN KATIE MRS.</t>
  </si>
  <si>
    <t xml:space="preserve">ODIA, YASMIN </t>
  </si>
  <si>
    <t>E0350500</t>
  </si>
  <si>
    <t>ODIA YAZMIN</t>
  </si>
  <si>
    <t>ODIA YAZMIN DR.</t>
  </si>
  <si>
    <t>710 WEST 168TH STREET</t>
  </si>
  <si>
    <t>SWAMINATHAN, RAJESH V</t>
  </si>
  <si>
    <t>E0333718</t>
  </si>
  <si>
    <t>SWAMINATHAN RAJESH VISWANATHAN MD</t>
  </si>
  <si>
    <t>SWAMINATHAN RAJESH</t>
  </si>
  <si>
    <t xml:space="preserve">LAL, SONALI </t>
  </si>
  <si>
    <t>E0013681</t>
  </si>
  <si>
    <t>LAL SONALI MD</t>
  </si>
  <si>
    <t>LAL SONALI</t>
  </si>
  <si>
    <t xml:space="preserve">KLEBANOFF, LOUISE </t>
  </si>
  <si>
    <t>E0189819</t>
  </si>
  <si>
    <t>KLEBANOFF LOUISE MICHELLE MD</t>
  </si>
  <si>
    <t>KLEBANOFF LOUISE</t>
  </si>
  <si>
    <t>WARD, ANGELA M</t>
  </si>
  <si>
    <t>WARD ANGELA</t>
  </si>
  <si>
    <t>99 FORT WASHINGTON AVE, 1ST FLOOR, ACN FT. WASHINGTON DENTAL</t>
  </si>
  <si>
    <t>Bassetti, Jennifer A.</t>
  </si>
  <si>
    <t>E0383019</t>
  </si>
  <si>
    <t>BASSETTI JENNIFER</t>
  </si>
  <si>
    <t>BASSETTI JENNIFER DR.</t>
  </si>
  <si>
    <t>BASSETTI JENNIFER ALISHA</t>
  </si>
  <si>
    <t>525 E 68TH ST # 128</t>
  </si>
  <si>
    <t>BARONE, DANIEL A</t>
  </si>
  <si>
    <t>E0329844</t>
  </si>
  <si>
    <t>BARONE DANIEL</t>
  </si>
  <si>
    <t>BARONE DANIEL MR.</t>
  </si>
  <si>
    <t>BARONE DANIEL ANTHONY</t>
  </si>
  <si>
    <t>SCHAMBRA, HEIDI</t>
  </si>
  <si>
    <t>E0340431</t>
  </si>
  <si>
    <t>SCHAMBRA HEIDI M</t>
  </si>
  <si>
    <t>(212) 305-1326</t>
  </si>
  <si>
    <t>SCHAMBRA HEIDI DR.</t>
  </si>
  <si>
    <t>ACMH, Inc. (FKA The Association for Rehabilitative Case Management and Housing, Inc.)</t>
  </si>
  <si>
    <t>Daniel K. Johansson, Exec. VP/CEO</t>
  </si>
  <si>
    <t>NAMI - NYC Metro</t>
  </si>
  <si>
    <t>BITMAN, LESLIE M</t>
  </si>
  <si>
    <t>Aledo, Alexander</t>
  </si>
  <si>
    <t>E0140841</t>
  </si>
  <si>
    <t>ALEDO ALEXANDER MD</t>
  </si>
  <si>
    <t>ALEDO ALEXANDER</t>
  </si>
  <si>
    <t xml:space="preserve">HARREN, PATRICIA </t>
  </si>
  <si>
    <t>E0114155</t>
  </si>
  <si>
    <t>HARREN PATRICIA ANN</t>
  </si>
  <si>
    <t>HARREN PATRICIA</t>
  </si>
  <si>
    <t>622 W 168TH ST PH 14C</t>
  </si>
  <si>
    <t>BROWN, REBECCA C</t>
  </si>
  <si>
    <t>E0002167</t>
  </si>
  <si>
    <t>REBECCA BROWN</t>
  </si>
  <si>
    <t>BROWN REBECCA</t>
  </si>
  <si>
    <t>BROWN REBECCA MD</t>
  </si>
  <si>
    <t xml:space="preserve">RUBINSTEIN, ROSALINDA </t>
  </si>
  <si>
    <t>E0345720</t>
  </si>
  <si>
    <t>RUBINSTEIN ROSALINDA</t>
  </si>
  <si>
    <t>RUBINSTEIN ROSALINDA MISS</t>
  </si>
  <si>
    <t xml:space="preserve">KIM, MINSOO </t>
  </si>
  <si>
    <t>E0297055</t>
  </si>
  <si>
    <t>MINSOO JOANNE KIM</t>
  </si>
  <si>
    <t>KIM MINSOO</t>
  </si>
  <si>
    <t>KIM MINSOO JOANNE</t>
  </si>
  <si>
    <t>KARCESKI, STEVEN C</t>
  </si>
  <si>
    <t>E0097691</t>
  </si>
  <si>
    <t>KARCESKI STEVEN C MD</t>
  </si>
  <si>
    <t>KARCESKI STEVEN DR.</t>
  </si>
  <si>
    <t>Killinger, James Scott</t>
  </si>
  <si>
    <t>E0010563</t>
  </si>
  <si>
    <t>KILLINGER JAMES MD</t>
  </si>
  <si>
    <t>KILLINGER JAMES DR.</t>
  </si>
  <si>
    <t xml:space="preserve">BAPTISTA NETO, LOURIVAL </t>
  </si>
  <si>
    <t>E0287461</t>
  </si>
  <si>
    <t>BAPTISTA NETO LOURIVAL</t>
  </si>
  <si>
    <t>BAPTISTA NETO LOURIVAL DR.</t>
  </si>
  <si>
    <t>BAPTISTA -NETO LOURIVAL</t>
  </si>
  <si>
    <t>CAMPOS, MACIEL A</t>
  </si>
  <si>
    <t>E0359936</t>
  </si>
  <si>
    <t>CAMPOS MACIEL A</t>
  </si>
  <si>
    <t>CAMPOS MACIEL DR.</t>
  </si>
  <si>
    <t>CAMPOS MACIEL ALEXANDRA</t>
  </si>
  <si>
    <t>Merchant, Sabiha</t>
  </si>
  <si>
    <t>E0021723</t>
  </si>
  <si>
    <t>MERCHANT SABIHA MD</t>
  </si>
  <si>
    <t>MERCHANT SABIHA</t>
  </si>
  <si>
    <t>MERCHANT SABIHA RASHIA</t>
  </si>
  <si>
    <t>MACAULAY, WILLIAM B</t>
  </si>
  <si>
    <t>E0101874</t>
  </si>
  <si>
    <t>MACAULAY WILLIAM BERNARD MD</t>
  </si>
  <si>
    <t>MACAULAY WILLIAM DR.</t>
  </si>
  <si>
    <t>WASSERMAN, HAL S</t>
  </si>
  <si>
    <t>E0198282</t>
  </si>
  <si>
    <t>WASSERMAN HAL S            MD</t>
  </si>
  <si>
    <t>WASSERMAN HAL</t>
  </si>
  <si>
    <t>Greenwald, Bruce</t>
  </si>
  <si>
    <t>E0185568</t>
  </si>
  <si>
    <t>GREENWALD BRUCE M MD</t>
  </si>
  <si>
    <t>GREENWALD BRUCE</t>
  </si>
  <si>
    <t>RM N309</t>
  </si>
  <si>
    <t>NICKOLAS, THOMAS L</t>
  </si>
  <si>
    <t>E0061992</t>
  </si>
  <si>
    <t>NICKOLAS THOMAS L MD</t>
  </si>
  <si>
    <t>NICKOLAS THOMAS DR.</t>
  </si>
  <si>
    <t>NICKOLAS THOMAS L</t>
  </si>
  <si>
    <t>ELIEZRI, YEHUDA D</t>
  </si>
  <si>
    <t>E0177842</t>
  </si>
  <si>
    <t>ELIEZRI YEHUDA DAVID MD</t>
  </si>
  <si>
    <t>ELIEZRI YEHUDA</t>
  </si>
  <si>
    <t>7A MEDICAL PARK DR</t>
  </si>
  <si>
    <t>E0160777</t>
  </si>
  <si>
    <t>Majid Adrian</t>
  </si>
  <si>
    <t>E0295870</t>
  </si>
  <si>
    <t>MAJID ADRIAN MOHINDER</t>
  </si>
  <si>
    <t>MAJID ADRIAN DR.</t>
  </si>
  <si>
    <t>Kiyatkin Michael</t>
  </si>
  <si>
    <t>KIYATKIN MICHAEL DR.</t>
  </si>
  <si>
    <t>Kohler Matthew</t>
  </si>
  <si>
    <t>KOHLER MATTHEW DR.</t>
  </si>
  <si>
    <t>622 W 168TH ST, PH-505</t>
  </si>
  <si>
    <t>Kron Matthew</t>
  </si>
  <si>
    <t>KRON MATTHEW</t>
  </si>
  <si>
    <t>2437 SW ARDEN RD</t>
  </si>
  <si>
    <t>Kwong Allen</t>
  </si>
  <si>
    <t>KWONG ALLEN</t>
  </si>
  <si>
    <t>Lan Victor</t>
  </si>
  <si>
    <t>LAN VICTOR</t>
  </si>
  <si>
    <t>622 W 168TH ST PH 5-133, COLUMBIA UNIVERSITY MEDICAL CENTER, DEPT OF ANES</t>
  </si>
  <si>
    <t>Le Giang</t>
  </si>
  <si>
    <t>LE GIANG DR.</t>
  </si>
  <si>
    <t>Lee Angela</t>
  </si>
  <si>
    <t>E0439971</t>
  </si>
  <si>
    <t>LEE ANGELA CATHERINE</t>
  </si>
  <si>
    <t>LEE ANGELA</t>
  </si>
  <si>
    <t>Dillon Sarah</t>
  </si>
  <si>
    <t>DILLON SARAH</t>
  </si>
  <si>
    <t>60 PRESIDENTIAL PLZ APT 612</t>
  </si>
  <si>
    <t>Chance Krempasky</t>
  </si>
  <si>
    <t>Hafiz Maje</t>
  </si>
  <si>
    <t>Nathan McGinnis</t>
  </si>
  <si>
    <t>Neasha McMeo</t>
  </si>
  <si>
    <t>Christine McPherson</t>
  </si>
  <si>
    <t>Vyacheslav Miklheyev</t>
  </si>
  <si>
    <t>Clemaine Mitchell</t>
  </si>
  <si>
    <t>Daniel Napolitano</t>
  </si>
  <si>
    <t>Safiyyah Okoye</t>
  </si>
  <si>
    <t>Rosemarie Olivera</t>
  </si>
  <si>
    <t>Fredrick Pelzman</t>
  </si>
  <si>
    <t>Jessica Petros</t>
  </si>
  <si>
    <t>Anna Porizkova</t>
  </si>
  <si>
    <t>Lindsay Price</t>
  </si>
  <si>
    <t>Carmen Ramis</t>
  </si>
  <si>
    <t>Flavia Robotti</t>
  </si>
  <si>
    <t>Terrence Cardinal Cooke SNF</t>
  </si>
  <si>
    <t>Terrence Cardinal Cooke OPWDD</t>
  </si>
  <si>
    <t>Terence Cardinal Cooke SNF</t>
  </si>
  <si>
    <t>McTague Maura</t>
  </si>
  <si>
    <t>MCTAGUE MAURA DR.</t>
  </si>
  <si>
    <t>Scott-Ranawake, Rebecca</t>
  </si>
  <si>
    <t>E0025343</t>
  </si>
  <si>
    <t>SCOTT-RANAWAKE REBECCA MD</t>
  </si>
  <si>
    <t>SCOTT-RANAWAKE REBECCA DR.</t>
  </si>
  <si>
    <t>Hamele-Bena Diane</t>
  </si>
  <si>
    <t>E0118911</t>
  </si>
  <si>
    <t>HAMELE-BENA DIANE</t>
  </si>
  <si>
    <t>Harik Lara</t>
  </si>
  <si>
    <t>E0295145</t>
  </si>
  <si>
    <t>HARIK LARA</t>
  </si>
  <si>
    <t>Denison Keith</t>
  </si>
  <si>
    <t>DENISON KEITH</t>
  </si>
  <si>
    <t>525 E 68TH ST, A-1015</t>
  </si>
  <si>
    <t>Dhar Panchali</t>
  </si>
  <si>
    <t>E0088978</t>
  </si>
  <si>
    <t>DHAR PANCHALI MD</t>
  </si>
  <si>
    <t>DHAR PANCHALI</t>
  </si>
  <si>
    <t>DiGioia Denise</t>
  </si>
  <si>
    <t>DIGIOIA DENISE</t>
  </si>
  <si>
    <t>400 E MAIN ST, NORTHERN WESTCHESTER HOSPITAL</t>
  </si>
  <si>
    <t>DORWIE, FLORENCE M</t>
  </si>
  <si>
    <t>E0026002</t>
  </si>
  <si>
    <t>DORWIE FLORENCE</t>
  </si>
  <si>
    <t>DORWIE FLORANCE MS.</t>
  </si>
  <si>
    <t>BAKER, JASON C</t>
  </si>
  <si>
    <t>E0284149</t>
  </si>
  <si>
    <t>BAKER JASON</t>
  </si>
  <si>
    <t>BAKER JASON CROSBY MD</t>
  </si>
  <si>
    <t>505 EAST 70TH STREET</t>
  </si>
  <si>
    <t>Remotti Helen</t>
  </si>
  <si>
    <t>E0013907</t>
  </si>
  <si>
    <t>REMOTTI HELEN</t>
  </si>
  <si>
    <t>Eskreis-Winkler Sarah</t>
  </si>
  <si>
    <t>ESKREIS-WINKLER SARAH</t>
  </si>
  <si>
    <t>ELIAS, RICHARD L</t>
  </si>
  <si>
    <t>E0085767</t>
  </si>
  <si>
    <t>ELIAS RICHARD L DMD</t>
  </si>
  <si>
    <t>ELIAS RICHARD DR.</t>
  </si>
  <si>
    <t>ANNENBERS 2 DPT OMFS</t>
  </si>
  <si>
    <t xml:space="preserve">MARGOLIS, AMY </t>
  </si>
  <si>
    <t>MARGOLIS AMY</t>
  </si>
  <si>
    <t>142 JORALEMON ST, # 3 E</t>
  </si>
  <si>
    <t>Stone, Anne</t>
  </si>
  <si>
    <t>E0004141</t>
  </si>
  <si>
    <t>STONE ANNE  E</t>
  </si>
  <si>
    <t>STONE ANNE</t>
  </si>
  <si>
    <t>STONE ANNE  E MD</t>
  </si>
  <si>
    <t>LEVY, OREN A</t>
  </si>
  <si>
    <t>E0002162</t>
  </si>
  <si>
    <t>LEVY OREN A MD</t>
  </si>
  <si>
    <t>LEVY OREN DR.</t>
  </si>
  <si>
    <t>LEVY OREN ABRAHAM MD</t>
  </si>
  <si>
    <t>Lukovic Elvedin</t>
  </si>
  <si>
    <t>LUKOVIC ELVEDIN DR.</t>
  </si>
  <si>
    <t>100 BLEECKER ST, APT 10C</t>
  </si>
  <si>
    <t>KOSTACOS, CONNIE H</t>
  </si>
  <si>
    <t>E0130555</t>
  </si>
  <si>
    <t>KOSTACOS CONNIE</t>
  </si>
  <si>
    <t>KOSTACOS CONNIE DR.</t>
  </si>
  <si>
    <t>Elizabeth O. Breslin</t>
  </si>
  <si>
    <t>BBreslin@nylag.org</t>
  </si>
  <si>
    <t>E0336303</t>
  </si>
  <si>
    <t>(212) 305-1261</t>
  </si>
  <si>
    <t>SHAH AKASH DEELIP</t>
  </si>
  <si>
    <t>Pallavi S. Utukuri</t>
  </si>
  <si>
    <t>E0308438</t>
  </si>
  <si>
    <t>PALLAVI S UTUKURI</t>
  </si>
  <si>
    <t>(212) 305-1262</t>
  </si>
  <si>
    <t>UTUKURI PALLAVI MS.</t>
  </si>
  <si>
    <t>UTUKURI PALLAVI S</t>
  </si>
  <si>
    <t>Kim Donald</t>
  </si>
  <si>
    <t>E0054210</t>
  </si>
  <si>
    <t>KIM DONALD M MD</t>
  </si>
  <si>
    <t>KIM DONALD DR.</t>
  </si>
  <si>
    <t>Labella Angelena</t>
  </si>
  <si>
    <t>E0335374</t>
  </si>
  <si>
    <t>LABELLA ANGELENA M</t>
  </si>
  <si>
    <t>LABELLA ANGELENA DR.</t>
  </si>
  <si>
    <t>Low Cari</t>
  </si>
  <si>
    <t>E0007396</t>
  </si>
  <si>
    <t>LOW CARI EVANS MD</t>
  </si>
  <si>
    <t>LOW CARI DR.</t>
  </si>
  <si>
    <t>Malakshanova-richards Marina</t>
  </si>
  <si>
    <t>E0063434</t>
  </si>
  <si>
    <t>MARINA K MALAKSHANOVA-RICHARDS</t>
  </si>
  <si>
    <t>MALAKSHANOVA-RICHARDS MARINA DR.</t>
  </si>
  <si>
    <t>Klein Michelle</t>
  </si>
  <si>
    <t>E0337275</t>
  </si>
  <si>
    <t>KLEIN MICHELLE ADRIANNE</t>
  </si>
  <si>
    <t>KLEIN MICHELLE DR.</t>
  </si>
  <si>
    <t>Lee Nicole</t>
  </si>
  <si>
    <t>E0418996</t>
  </si>
  <si>
    <t>LEE NICOLE DR.</t>
  </si>
  <si>
    <t>FISHMAN, LOREN M</t>
  </si>
  <si>
    <t>E0211956</t>
  </si>
  <si>
    <t>FISHMAN LOREN MARTIN       MD</t>
  </si>
  <si>
    <t>FISHMAN LOREN</t>
  </si>
  <si>
    <t>TRUSTEES OF COLUMBIA UNIVERSITY DEPT OF OBSTETRICS AND GYNECOLOGY</t>
  </si>
  <si>
    <t>E0044189</t>
  </si>
  <si>
    <t>DEPARTMENT OF OBSTETRICS GYN</t>
  </si>
  <si>
    <t>HAHN, REBECCA T</t>
  </si>
  <si>
    <t>E0182222</t>
  </si>
  <si>
    <t>HAHN REBECCA T MD</t>
  </si>
  <si>
    <t>HAHN REBECCA</t>
  </si>
  <si>
    <t>HERMANN, ALISON D</t>
  </si>
  <si>
    <t>E0344475</t>
  </si>
  <si>
    <t>HERMANN ALISON</t>
  </si>
  <si>
    <t>SHNEIDER, NEIL A</t>
  </si>
  <si>
    <t>E0091194</t>
  </si>
  <si>
    <t>SHNEIDER NEIL ALAN MD</t>
  </si>
  <si>
    <t>SHNEIDER NEIL DR.</t>
  </si>
  <si>
    <t>HAUG, CHRISTIE J</t>
  </si>
  <si>
    <t>E0011678</t>
  </si>
  <si>
    <t>HAUG CHRISTIE JOY</t>
  </si>
  <si>
    <t>HAUG CHRISTIE</t>
  </si>
  <si>
    <t>Popatia, Rizwana N.</t>
  </si>
  <si>
    <t>E0383505</t>
  </si>
  <si>
    <t>POPATIA RIZWANA</t>
  </si>
  <si>
    <t>POPATIA RIZWANA NURUDDIN</t>
  </si>
  <si>
    <t xml:space="preserve">SINGH, SARABJIT </t>
  </si>
  <si>
    <t>E0029531</t>
  </si>
  <si>
    <t>SINGH SARABJIT</t>
  </si>
  <si>
    <t>SINGH SARABJIT DR.</t>
  </si>
  <si>
    <t>LIN, FANGMING</t>
  </si>
  <si>
    <t>E0328514</t>
  </si>
  <si>
    <t>LIN FANGMING MD</t>
  </si>
  <si>
    <t>(212) 305-1286</t>
  </si>
  <si>
    <t>LIN FANGMING</t>
  </si>
  <si>
    <t>LAMBERT, SARAH M</t>
  </si>
  <si>
    <t>E0307198</t>
  </si>
  <si>
    <t>SARAH M LAMBERT MD</t>
  </si>
  <si>
    <t>LAMBERT SARAH</t>
  </si>
  <si>
    <t>LAMBERT SARAH M MD</t>
  </si>
  <si>
    <t>CUEVA, JEANETTE E</t>
  </si>
  <si>
    <t>E0148682</t>
  </si>
  <si>
    <t>CUEVA JEANETTE E MD</t>
  </si>
  <si>
    <t>CUEVA JEANETTE</t>
  </si>
  <si>
    <t>RM 625</t>
  </si>
  <si>
    <t xml:space="preserve">TSENG, STEPHANIE </t>
  </si>
  <si>
    <t>E0308209</t>
  </si>
  <si>
    <t>TSENG STEPHANIE</t>
  </si>
  <si>
    <t>TSENG STEPHANIE DR.</t>
  </si>
  <si>
    <t>LEDERMAN, MARTIN E</t>
  </si>
  <si>
    <t>E0210655</t>
  </si>
  <si>
    <t>LEDERMAN MARTIN EDWARD     MD</t>
  </si>
  <si>
    <t>LEDERMAN MARTIN</t>
  </si>
  <si>
    <t>10 CHESTER AVE</t>
  </si>
  <si>
    <t>Calamari Gail</t>
  </si>
  <si>
    <t>E0149469</t>
  </si>
  <si>
    <t>CALAMARI GAIL AMELIA MD</t>
  </si>
  <si>
    <t>CALAMARI GAIL DR.</t>
  </si>
  <si>
    <t>CALAMARI GAIL AMELIA</t>
  </si>
  <si>
    <t>Choi Paul</t>
  </si>
  <si>
    <t>E0021032</t>
  </si>
  <si>
    <t>CHOI PAUL</t>
  </si>
  <si>
    <t>CHOI PAUL S</t>
  </si>
  <si>
    <t>CANFIELD, STEPHEN M</t>
  </si>
  <si>
    <t>E0083212</t>
  </si>
  <si>
    <t>CANFIELD STEPHEN MARC MD</t>
  </si>
  <si>
    <t>CANFIELD STEPHEN DR.</t>
  </si>
  <si>
    <t>Perelstein, Eduardo M</t>
  </si>
  <si>
    <t>E0141001</t>
  </si>
  <si>
    <t>PERELSTEIN EDUARDO M MD</t>
  </si>
  <si>
    <t>PERELSTEIN EDUARDO</t>
  </si>
  <si>
    <t>CARRELLI, ANGELA L</t>
  </si>
  <si>
    <t>E0320571</t>
  </si>
  <si>
    <t>CARRELLI ANGELA LISA MD</t>
  </si>
  <si>
    <t>CARRELLI ANGELA DR.</t>
  </si>
  <si>
    <t xml:space="preserve">RIVLIN, KATHERINE </t>
  </si>
  <si>
    <t>E0348783</t>
  </si>
  <si>
    <t>KATHERINE LEE RIVLIN</t>
  </si>
  <si>
    <t>RIVLIN KATHERINE</t>
  </si>
  <si>
    <t>RIVLIN KATHERINE LEE</t>
  </si>
  <si>
    <t>PALADINE, HEATHER L</t>
  </si>
  <si>
    <t>E0007648</t>
  </si>
  <si>
    <t>PALADINE HEATHER LYNN</t>
  </si>
  <si>
    <t>PALADINE HEATHER</t>
  </si>
  <si>
    <t xml:space="preserve">CHIN, HAROLD </t>
  </si>
  <si>
    <t>E0156583</t>
  </si>
  <si>
    <t>CHIN HAROLD MD</t>
  </si>
  <si>
    <t>CHIN HAROLD</t>
  </si>
  <si>
    <t>505 E 70TH ST RM HT-4</t>
  </si>
  <si>
    <t xml:space="preserve">EIS, RENIE </t>
  </si>
  <si>
    <t>E0118931</t>
  </si>
  <si>
    <t>EIS RENIE</t>
  </si>
  <si>
    <t>EIS RENIE MS.</t>
  </si>
  <si>
    <t>YIN, XIAOSHUANG N</t>
  </si>
  <si>
    <t>Sullivan Courtney</t>
  </si>
  <si>
    <t>SULLIVAN COURTNEY</t>
  </si>
  <si>
    <t>Yacovone Joseph</t>
  </si>
  <si>
    <t>E0214609</t>
  </si>
  <si>
    <t>YACOVONE JOSEPH F          MD</t>
  </si>
  <si>
    <t>YACOVONE JOSEPH</t>
  </si>
  <si>
    <t>HORTON HOSP XRAY</t>
  </si>
  <si>
    <t>Min Robert</t>
  </si>
  <si>
    <t>E0099758</t>
  </si>
  <si>
    <t>MIN ROBERT J MD</t>
  </si>
  <si>
    <t>MIN ROBERT DR.</t>
  </si>
  <si>
    <t>COLENDA, MARYANN J</t>
  </si>
  <si>
    <t>E0326948</t>
  </si>
  <si>
    <t>COLENDA MARYANN</t>
  </si>
  <si>
    <t>COLENDA MARYANNE DR.</t>
  </si>
  <si>
    <t>Bao George</t>
  </si>
  <si>
    <t>E0390902</t>
  </si>
  <si>
    <t>BAO GEORGE CHENG XI</t>
  </si>
  <si>
    <t>Brown Claire</t>
  </si>
  <si>
    <t>E0011307</t>
  </si>
  <si>
    <t>BROWN CLAIRE MD</t>
  </si>
  <si>
    <t>BROWN CLAIRE DR.</t>
  </si>
  <si>
    <t>Bruneus Magalie</t>
  </si>
  <si>
    <t>E0349081</t>
  </si>
  <si>
    <t>BRUNEUS MAGALIE</t>
  </si>
  <si>
    <t>525 E 68TH ST # 130</t>
  </si>
  <si>
    <t>O'Neill Christopher</t>
  </si>
  <si>
    <t>O'NEILL CHRISTOPHER MR.</t>
  </si>
  <si>
    <t>Osorio James</t>
  </si>
  <si>
    <t>E0092183</t>
  </si>
  <si>
    <t>OSORIO JAMES ALBERT MD</t>
  </si>
  <si>
    <t>OSORIO JAMES DR.</t>
  </si>
  <si>
    <t>CORNELL ANESTH</t>
  </si>
  <si>
    <t>Pamnani Anup</t>
  </si>
  <si>
    <t>E0297421</t>
  </si>
  <si>
    <t>ANUP PAMNANI MD</t>
  </si>
  <si>
    <t>PAMNANI ANUP</t>
  </si>
  <si>
    <t>PAMNANI ANUP MD</t>
  </si>
  <si>
    <t>Parvathaneni Suma</t>
  </si>
  <si>
    <t>PARVATHANENI SUMA</t>
  </si>
  <si>
    <t>1414 YORK AVE</t>
  </si>
  <si>
    <t>Patt Minda</t>
  </si>
  <si>
    <t>E0338071</t>
  </si>
  <si>
    <t>PATT MINDA L</t>
  </si>
  <si>
    <t>PATT MINDA DR.</t>
  </si>
  <si>
    <t>PATT MINDA LISA</t>
  </si>
  <si>
    <t>Perley-Kwauk Rosemary</t>
  </si>
  <si>
    <t>PERLEYKWAUK ROSEMARY</t>
  </si>
  <si>
    <t>Pick Jeremy</t>
  </si>
  <si>
    <t>E0384888</t>
  </si>
  <si>
    <t>PICK JEREMY SAMUEL</t>
  </si>
  <si>
    <t>PICK JEREMY</t>
  </si>
  <si>
    <t>625 E 68TH ST</t>
  </si>
  <si>
    <t>RAIK, BARRIE L</t>
  </si>
  <si>
    <t>E0238177</t>
  </si>
  <si>
    <t>RAIK BARRIE LYNN           MD</t>
  </si>
  <si>
    <t>RAIK BARRIE</t>
  </si>
  <si>
    <t>VC 2-205 AIM</t>
  </si>
  <si>
    <t>Mesa-Jonassen Amy</t>
  </si>
  <si>
    <t>E0160432</t>
  </si>
  <si>
    <t>MESA-JONASSEN AMY  MD</t>
  </si>
  <si>
    <t>MESA-JONASSEN AMY DR.</t>
  </si>
  <si>
    <t>KOHN, SHERRY</t>
  </si>
  <si>
    <t>E0312215</t>
  </si>
  <si>
    <t>KOHN SHERRY R</t>
  </si>
  <si>
    <t>(212) 305-1276</t>
  </si>
  <si>
    <t>KOHN SHERRY MS.</t>
  </si>
  <si>
    <t>KOTSOVOS, ALEXANDRA</t>
  </si>
  <si>
    <t>E0323811</t>
  </si>
  <si>
    <t>KOTSOVOS ALEXANDRA KATERINA</t>
  </si>
  <si>
    <t>(212) 305-1278</t>
  </si>
  <si>
    <t>HAWKINS ALEXANDRA</t>
  </si>
  <si>
    <t>ORTIZ-NEU, CARMEN I</t>
  </si>
  <si>
    <t>E0260199</t>
  </si>
  <si>
    <t>NEU CARMEN IRENE ORTIZ</t>
  </si>
  <si>
    <t>ORTIZ-NEU CARMEN DR.</t>
  </si>
  <si>
    <t>GONDA, TAMAS A</t>
  </si>
  <si>
    <t>E0299506</t>
  </si>
  <si>
    <t>GONDA TAMAS ADAM MD</t>
  </si>
  <si>
    <t>GONDA TAMAS DR.</t>
  </si>
  <si>
    <t>Breen Lorna</t>
  </si>
  <si>
    <t>E0041209</t>
  </si>
  <si>
    <t>BREEN LORNA M MD</t>
  </si>
  <si>
    <t>BREEN LORNA</t>
  </si>
  <si>
    <t>Wang Xuan</t>
  </si>
  <si>
    <t>WANG XUAN</t>
  </si>
  <si>
    <t>246 INDUSTRIAL WAY W</t>
  </si>
  <si>
    <t>EATONTOWN</t>
  </si>
  <si>
    <t>Maslowski John</t>
  </si>
  <si>
    <t>MASLOWSKI JOHN</t>
  </si>
  <si>
    <t>Lock Barbara</t>
  </si>
  <si>
    <t>E0080575</t>
  </si>
  <si>
    <t>LOCK BARBARA GAETANA MD</t>
  </si>
  <si>
    <t>LOCK BARBARA</t>
  </si>
  <si>
    <t>LoPuzzo Sharon</t>
  </si>
  <si>
    <t>E0384965</t>
  </si>
  <si>
    <t>LOPUZZO SHARON A</t>
  </si>
  <si>
    <t>LOPUZZO SHARON MS.</t>
  </si>
  <si>
    <t>(212) 752-5003</t>
  </si>
  <si>
    <t>Goldklang Monica</t>
  </si>
  <si>
    <t>Goswami Sumeet</t>
  </si>
  <si>
    <t>E0015773</t>
  </si>
  <si>
    <t>GOSWAMI SUMEET MD</t>
  </si>
  <si>
    <t>GOSWAMI SUMEET</t>
  </si>
  <si>
    <t>Hastie Jonathan</t>
  </si>
  <si>
    <t>E0324860</t>
  </si>
  <si>
    <t>HASTIE JONATHAN MARK</t>
  </si>
  <si>
    <t>HASTIE JONATHAN</t>
  </si>
  <si>
    <t>Jordan Desmond</t>
  </si>
  <si>
    <t>E0197084</t>
  </si>
  <si>
    <t>JORDAN DESMOND ARTHUR</t>
  </si>
  <si>
    <t>JORDAN DESMOND</t>
  </si>
  <si>
    <t>ROOM 31</t>
  </si>
  <si>
    <t>Kantor Steve</t>
  </si>
  <si>
    <t>KANTOR STEVEN MR.</t>
  </si>
  <si>
    <t>177 FORT WASHINGTON AVE, COLUMBIA UNIVERSITY MEDICAL CENTER</t>
  </si>
  <si>
    <t>Kiamanesh David</t>
  </si>
  <si>
    <t>E0379197</t>
  </si>
  <si>
    <t>KIAMANESH DAVID ASHKAN</t>
  </si>
  <si>
    <t>KIAMANESH DAVID</t>
  </si>
  <si>
    <t>Miller Steven</t>
  </si>
  <si>
    <t>E0307558</t>
  </si>
  <si>
    <t>MILLER STEVEN ERIC MD</t>
  </si>
  <si>
    <t>MILLER STEVEN DR.</t>
  </si>
  <si>
    <t>Moitra Vivek</t>
  </si>
  <si>
    <t>E0017912</t>
  </si>
  <si>
    <t>MOITRA VIVEK K MD</t>
  </si>
  <si>
    <t>MOITRA VIVEK</t>
  </si>
  <si>
    <t>Chadha Deepa</t>
  </si>
  <si>
    <t>E0099002</t>
  </si>
  <si>
    <t>CHADHA DEEPA JAGDISH MD</t>
  </si>
  <si>
    <t>CHADHA DEEPA DR.</t>
  </si>
  <si>
    <t>MID-ROCKLAND IMAG</t>
  </si>
  <si>
    <t>SINHA, ABHINAV N</t>
  </si>
  <si>
    <t>E0010344</t>
  </si>
  <si>
    <t>SINHA ABHINAV NATH DDS</t>
  </si>
  <si>
    <t>SINHA ABHINAV</t>
  </si>
  <si>
    <t>SINHA ABHINAV NATH</t>
  </si>
  <si>
    <t xml:space="preserve">MANUSOV, MARINA </t>
  </si>
  <si>
    <t>MANUSOV MARINA MRS.</t>
  </si>
  <si>
    <t>57 W 57TH ST</t>
  </si>
  <si>
    <t>WINN, BRYAN J</t>
  </si>
  <si>
    <t>E0292558</t>
  </si>
  <si>
    <t>WINN BRYAN JON</t>
  </si>
  <si>
    <t>WINN BRYAN DR.</t>
  </si>
  <si>
    <t>635 WEST 165TH ST</t>
  </si>
  <si>
    <t xml:space="preserve">PAPPAS, DIMITRIOS </t>
  </si>
  <si>
    <t>E0321051</t>
  </si>
  <si>
    <t>PAPPAS DIMITRIOS</t>
  </si>
  <si>
    <t>PAPPAS DIMITRIOS DR.</t>
  </si>
  <si>
    <t xml:space="preserve">ASKANASE, ANA </t>
  </si>
  <si>
    <t>E0027991</t>
  </si>
  <si>
    <t>ASKANASE ANCA DINU MD</t>
  </si>
  <si>
    <t>ASKANASE ANCA</t>
  </si>
  <si>
    <t>RADECKI, JEFFREY</t>
  </si>
  <si>
    <t>E0128819</t>
  </si>
  <si>
    <t>QUIGLEY CLAIRE</t>
  </si>
  <si>
    <t>(212) 305-1320</t>
  </si>
  <si>
    <t>QUIGLEY CLAIRE MS.</t>
  </si>
  <si>
    <t>QUIGLEY CLAIRE MARGARET</t>
  </si>
  <si>
    <t>RAZA, KASHIF</t>
  </si>
  <si>
    <t>E0001695</t>
  </si>
  <si>
    <t>KASHIF RAZA</t>
  </si>
  <si>
    <t>(212) 305-1321</t>
  </si>
  <si>
    <t>RAZA KASHIF</t>
  </si>
  <si>
    <t>MCKEE, COURTNEY L</t>
  </si>
  <si>
    <t>E0328265</t>
  </si>
  <si>
    <t>MCKEE COURTNEY</t>
  </si>
  <si>
    <t>MCKEE COURTNEY MS.</t>
  </si>
  <si>
    <t>GOLDBERG, PABLO H</t>
  </si>
  <si>
    <t>E0298976</t>
  </si>
  <si>
    <t>GOLDBERG PABLO H</t>
  </si>
  <si>
    <t>GOLDBERG PABLO</t>
  </si>
  <si>
    <t>1051 RIVERSIDE DR UNIT 74 STE 2522</t>
  </si>
  <si>
    <t>GELBMAN, JOY M</t>
  </si>
  <si>
    <t>E0023327</t>
  </si>
  <si>
    <t>GELBMAN JOY MARLA MD</t>
  </si>
  <si>
    <t>GELBMAN JOY</t>
  </si>
  <si>
    <t>SATRA, KARIN H</t>
  </si>
  <si>
    <t>E0011674</t>
  </si>
  <si>
    <t>SATRA KARIN</t>
  </si>
  <si>
    <t>Sockolow, Robbyn E.</t>
  </si>
  <si>
    <t>E0164286</t>
  </si>
  <si>
    <t>SOCKOLOW ROBBYN ELLEN MD</t>
  </si>
  <si>
    <t>SOCKOLOW ROBBYN</t>
  </si>
  <si>
    <t xml:space="preserve">BAEUERLE, JOHANNA </t>
  </si>
  <si>
    <t>E0209841</t>
  </si>
  <si>
    <t>BAEUERLE JOHANNA           MD</t>
  </si>
  <si>
    <t>BAEUERLE JOHANNA DR.</t>
  </si>
  <si>
    <t>311 N MIDLAND AVE</t>
  </si>
  <si>
    <t>SAVILLO, ROBERT L</t>
  </si>
  <si>
    <t>E0227310</t>
  </si>
  <si>
    <t>SAVILLO ROBERT LOUIS       MD</t>
  </si>
  <si>
    <t>SAVILLO ROBERT</t>
  </si>
  <si>
    <t>COMP CARE CORNELL MD</t>
  </si>
  <si>
    <t>WARD, THERESA</t>
  </si>
  <si>
    <t>E0328390</t>
  </si>
  <si>
    <t>THERESA MONICA WARD</t>
  </si>
  <si>
    <t>(212) 305-1350</t>
  </si>
  <si>
    <t>WARD THERESA MS.</t>
  </si>
  <si>
    <t>WARD THERESA MONICA</t>
  </si>
  <si>
    <t>TERGAS, ANA</t>
  </si>
  <si>
    <t>E0362254</t>
  </si>
  <si>
    <t>TERGAS ANA ISABEL</t>
  </si>
  <si>
    <t>(212) 305-1344</t>
  </si>
  <si>
    <t>TERGAS ANA</t>
  </si>
  <si>
    <t>McKinsey, Scarlett</t>
  </si>
  <si>
    <t>E0348005</t>
  </si>
  <si>
    <t>MCKINSEY SCARLETT</t>
  </si>
  <si>
    <t>MCKINSEY SCARLETT DR.</t>
  </si>
  <si>
    <t>MCKINSEY SCARLETT KATE</t>
  </si>
  <si>
    <t>GEE, ELAINE</t>
  </si>
  <si>
    <t>E0320861</t>
  </si>
  <si>
    <t>GEE ELAINE Y</t>
  </si>
  <si>
    <t>(212) 305-1242</t>
  </si>
  <si>
    <t>GEE ELAINE DR.</t>
  </si>
  <si>
    <t>TODMAN, RALEIGH</t>
  </si>
  <si>
    <t>E0336327</t>
  </si>
  <si>
    <t>TODMAN RALEIGH W</t>
  </si>
  <si>
    <t>(212) 305-1345</t>
  </si>
  <si>
    <t>TODMAN RALEIGH</t>
  </si>
  <si>
    <t>MANDEL, ARTHUR M</t>
  </si>
  <si>
    <t>E0029467</t>
  </si>
  <si>
    <t>MANDEL ARTHUR M MD</t>
  </si>
  <si>
    <t>MANDEL ARTHUR DR.</t>
  </si>
  <si>
    <t xml:space="preserve">RUBIN, MICHAEL </t>
  </si>
  <si>
    <t>E0192989</t>
  </si>
  <si>
    <t>RUBIN MICHAEL MD</t>
  </si>
  <si>
    <t>RUBIN MICHAEL PROF.</t>
  </si>
  <si>
    <t>CUMC NEUROPHYSIOLOGY</t>
  </si>
  <si>
    <t xml:space="preserve">Lin, Deborah H. </t>
  </si>
  <si>
    <t>E0082140</t>
  </si>
  <si>
    <t>LIN DEBORAH H</t>
  </si>
  <si>
    <t>LIN DEBORAH</t>
  </si>
  <si>
    <t>125 WALKER ST FL 2N</t>
  </si>
  <si>
    <t>irisbmarti@gmail.com</t>
  </si>
  <si>
    <t xml:space="preserve">SZYLIT, JO ANN </t>
  </si>
  <si>
    <t>E0017405</t>
  </si>
  <si>
    <t>SZYLIT JOANNE</t>
  </si>
  <si>
    <t>SZYLIT JO-ANN DR.</t>
  </si>
  <si>
    <t>Yoder Matthew</t>
  </si>
  <si>
    <t>YODER MATTHEW MR.</t>
  </si>
  <si>
    <t>Yoon James</t>
  </si>
  <si>
    <t>YOON JAMES</t>
  </si>
  <si>
    <t>Zheng Xiwen</t>
  </si>
  <si>
    <t>ZHENG XIWEN</t>
  </si>
  <si>
    <t>Bourgeois Christian</t>
  </si>
  <si>
    <t>BOURGEOIS CHRISTIAN MR.</t>
  </si>
  <si>
    <t>Chen Martin</t>
  </si>
  <si>
    <t>E0349531</t>
  </si>
  <si>
    <t>CHEN MARTIN</t>
  </si>
  <si>
    <t>Minkowitz Shlomo</t>
  </si>
  <si>
    <t>MINKOWITZ SHLOMO</t>
  </si>
  <si>
    <t>Niogi Sumit</t>
  </si>
  <si>
    <t>NIOGI SUMIT DR.</t>
  </si>
  <si>
    <t>525 E 68TH ST, BOX 207</t>
  </si>
  <si>
    <t xml:space="preserve">JAN, KUNG-MING </t>
  </si>
  <si>
    <t>E0240443</t>
  </si>
  <si>
    <t>KMJAN LLC                  MD</t>
  </si>
  <si>
    <t>JAN KUNG-MING DR.</t>
  </si>
  <si>
    <t>COHALL, ALWYN T</t>
  </si>
  <si>
    <t>E0180413</t>
  </si>
  <si>
    <t>COHALL ALWYN MD</t>
  </si>
  <si>
    <t>COHALL ALWYN DR.</t>
  </si>
  <si>
    <t>ALCALAY, ROY N</t>
  </si>
  <si>
    <t>E0002079</t>
  </si>
  <si>
    <t>ALCALAY ROY N MD</t>
  </si>
  <si>
    <t>ALCALAY ROY</t>
  </si>
  <si>
    <t xml:space="preserve">HONG, EUNE </t>
  </si>
  <si>
    <t>E0325543</t>
  </si>
  <si>
    <t>HONG EUNE</t>
  </si>
  <si>
    <t>Asrani Ashwin</t>
  </si>
  <si>
    <t>E0307854</t>
  </si>
  <si>
    <t>ASRANI ASHWIN V</t>
  </si>
  <si>
    <t>ASRANI ASHWIN</t>
  </si>
  <si>
    <t>Belfi Lily</t>
  </si>
  <si>
    <t>E0011935</t>
  </si>
  <si>
    <t>BELFI LILY MARIE MD</t>
  </si>
  <si>
    <t>BELFI LILY DR.</t>
  </si>
  <si>
    <t>161 FT WASHINGTN AVE, IP 749</t>
  </si>
  <si>
    <t>ZORK, NOELIA M</t>
  </si>
  <si>
    <t>E0378947</t>
  </si>
  <si>
    <t>ZORK NOELIA MILENA MODAD</t>
  </si>
  <si>
    <t>ZORK NOELIA MRS.</t>
  </si>
  <si>
    <t>Chused Amy</t>
  </si>
  <si>
    <t>E0024972</t>
  </si>
  <si>
    <t>CHUSED AMY ELIZABETH MD</t>
  </si>
  <si>
    <t>CHUSED AMY DR.</t>
  </si>
  <si>
    <t>CHUSED AMY ELIZABETH</t>
  </si>
  <si>
    <t>Zhang Ying</t>
  </si>
  <si>
    <t>E0322082</t>
  </si>
  <si>
    <t>ZHANG YING</t>
  </si>
  <si>
    <t>(212) 305-1253</t>
  </si>
  <si>
    <t>Loukeris Kristina</t>
  </si>
  <si>
    <t>E0326063</t>
  </si>
  <si>
    <t>LOUKERIS KRISTINA</t>
  </si>
  <si>
    <t>(212) 305-1254</t>
  </si>
  <si>
    <t>LOUKERIS KRISTINA DR.</t>
  </si>
  <si>
    <t>170 WILLIAM ST 3RD FL</t>
  </si>
  <si>
    <t>Finkelstone Lee</t>
  </si>
  <si>
    <t>FINKELSTONE LEE</t>
  </si>
  <si>
    <t>Heiney Carrie</t>
  </si>
  <si>
    <t>HEINEY CARRIE</t>
  </si>
  <si>
    <t>1001 SOUTH GEORGE STREET</t>
  </si>
  <si>
    <t>Hom Adam</t>
  </si>
  <si>
    <t>E0144917</t>
  </si>
  <si>
    <t>HOM ADAM MD</t>
  </si>
  <si>
    <t>HOM ADAM</t>
  </si>
  <si>
    <t>Kjaer-Pedersen Klaus</t>
  </si>
  <si>
    <t>E0092189</t>
  </si>
  <si>
    <t>KJAER-PEDERSEN KLAUS MD</t>
  </si>
  <si>
    <t>KJAER-PEDERSEN KLAUS DR.</t>
  </si>
  <si>
    <t>Klein Carol</t>
  </si>
  <si>
    <t>KLEIN CAROL</t>
  </si>
  <si>
    <t>Koff Howard</t>
  </si>
  <si>
    <t>E0204213</t>
  </si>
  <si>
    <t>KOFF HOWARD DANIEL         MD</t>
  </si>
  <si>
    <t>KOFF HOWARD</t>
  </si>
  <si>
    <t>Kopman David</t>
  </si>
  <si>
    <t>E0033169</t>
  </si>
  <si>
    <t>KOPMAN DAVID MD</t>
  </si>
  <si>
    <t>KOPMAN DAVID</t>
  </si>
  <si>
    <t>Tedeschi Christopher</t>
  </si>
  <si>
    <t>E0010928</t>
  </si>
  <si>
    <t>TEDESCHI CHRISTOPHER MICHAEL MD</t>
  </si>
  <si>
    <t>TEDESCHI CHRISTOPHER DR.</t>
  </si>
  <si>
    <t>Jachno Stephanie</t>
  </si>
  <si>
    <t>JACHNO STEPHANIE</t>
  </si>
  <si>
    <t>Caputo Nicholas</t>
  </si>
  <si>
    <t>Carter Wallace</t>
  </si>
  <si>
    <t>E0119911</t>
  </si>
  <si>
    <t>CARTER WALLACE A JR MD</t>
  </si>
  <si>
    <t>CARTER WALLACE</t>
  </si>
  <si>
    <t xml:space="preserve">SHALEV, NOGA </t>
  </si>
  <si>
    <t>E0013902</t>
  </si>
  <si>
    <t>SHALEV NOGA</t>
  </si>
  <si>
    <t>SHALEV NOGA DR.</t>
  </si>
  <si>
    <t>Sepulveda Antonia</t>
  </si>
  <si>
    <t>E0352763</t>
  </si>
  <si>
    <t>SEPULVEDA ANTONIA</t>
  </si>
  <si>
    <t>(212) 305-1193</t>
  </si>
  <si>
    <t>SEPULVEDA ANTONIA DR.</t>
  </si>
  <si>
    <t>ARGUS COMMUNITY, INS</t>
  </si>
  <si>
    <t>Mario Drummonds</t>
  </si>
  <si>
    <t>(347) 489-4769</t>
  </si>
  <si>
    <t>mdrummonds@msn.com</t>
  </si>
  <si>
    <t>Peter Pasley</t>
  </si>
  <si>
    <t>(212) 752-4989</t>
  </si>
  <si>
    <t>(212) 752-4990</t>
  </si>
  <si>
    <t>DEMPSTER, JOANNE S</t>
  </si>
  <si>
    <t>E0090274</t>
  </si>
  <si>
    <t>DEMPSTER JOANNE</t>
  </si>
  <si>
    <t>JACOBS, JONATHAN L</t>
  </si>
  <si>
    <t>E0216257</t>
  </si>
  <si>
    <t>JACOBS JONATHAN LEWIS</t>
  </si>
  <si>
    <t>JACOBS JONATHAN</t>
  </si>
  <si>
    <t>525 E 68TH ST 24TH FL</t>
  </si>
  <si>
    <t>MOREL, KIMBERLY D</t>
  </si>
  <si>
    <t>E0102065</t>
  </si>
  <si>
    <t>MOREL KIMBERLY MD</t>
  </si>
  <si>
    <t>MOREL KIMBERLY DR.</t>
  </si>
  <si>
    <t>HARDICK-DACKO, ANNE C</t>
  </si>
  <si>
    <t>E0083938</t>
  </si>
  <si>
    <t>HARDICK DACKO ANNE C MD</t>
  </si>
  <si>
    <t>HARDICK DACKO ANNE DR.</t>
  </si>
  <si>
    <t>Decorato Douglas</t>
  </si>
  <si>
    <t>E0133632</t>
  </si>
  <si>
    <t>DECORATO DOUGLAS MD</t>
  </si>
  <si>
    <t>DECORATO DOUGLAS DR.</t>
  </si>
  <si>
    <t>NEW YORK RADIOLOGY</t>
  </si>
  <si>
    <t>Deyer Timothy</t>
  </si>
  <si>
    <t>E0314925</t>
  </si>
  <si>
    <t>DEYER TIMOTHY WILLIAM</t>
  </si>
  <si>
    <t>DEYER TIMOTHY DR.</t>
  </si>
  <si>
    <t>525 E 68TH ST BOX 585</t>
  </si>
  <si>
    <t>WEINER, SHEPARD D</t>
  </si>
  <si>
    <t>E0024241</t>
  </si>
  <si>
    <t>WEINER SHEPARD D MD</t>
  </si>
  <si>
    <t>WEINER SHEPARD DR.</t>
  </si>
  <si>
    <t>JOWZA, MARYAM</t>
  </si>
  <si>
    <t>E0323369</t>
  </si>
  <si>
    <t>JOWZA MARYAM</t>
  </si>
  <si>
    <t>(212) 305-1265</t>
  </si>
  <si>
    <t>JOWZA MARYAM DR.</t>
  </si>
  <si>
    <t>TAN, TIMOTHY M-H</t>
  </si>
  <si>
    <t>E0337638</t>
  </si>
  <si>
    <t>TAN TIMOTHY MENG-HONG</t>
  </si>
  <si>
    <t>TAN TIMOTHY DR.</t>
  </si>
  <si>
    <t>Doherty Kathleen</t>
  </si>
  <si>
    <t>E0323297</t>
  </si>
  <si>
    <t>DOHERTY KATHLEEN</t>
  </si>
  <si>
    <t>DOHERTY KATHLEEN DR.</t>
  </si>
  <si>
    <t>DOHERTY KATHLEEN MEGHAN</t>
  </si>
  <si>
    <t xml:space="preserve">LISS, HOWARD </t>
  </si>
  <si>
    <t>E0233529</t>
  </si>
  <si>
    <t>LISS HOWARD                MD</t>
  </si>
  <si>
    <t>LISS HOWARD DR.</t>
  </si>
  <si>
    <t>LISS HOWARD MD</t>
  </si>
  <si>
    <t xml:space="preserve">AL-DUJAILI, ZEENA </t>
  </si>
  <si>
    <t>E0383038</t>
  </si>
  <si>
    <t>AL-DUJAILI ZEENA</t>
  </si>
  <si>
    <t xml:space="preserve">PRADITPAN, PIYAPA </t>
  </si>
  <si>
    <t>E0378997</t>
  </si>
  <si>
    <t>PRADITPAN PIYAPA</t>
  </si>
  <si>
    <t>Chen Mildred</t>
  </si>
  <si>
    <t>E0041785</t>
  </si>
  <si>
    <t>CHEN MILDRED MD</t>
  </si>
  <si>
    <t>CHEN MILDRED DR.</t>
  </si>
  <si>
    <t>NYH CUMC RADIOLOGY</t>
  </si>
  <si>
    <t>Gumpeni Naveen</t>
  </si>
  <si>
    <t>E0294262</t>
  </si>
  <si>
    <t>GUMPENI NAVEEN</t>
  </si>
  <si>
    <t>GUMPENI NAVEEN DR.</t>
  </si>
  <si>
    <t>KRONISH, IAN M</t>
  </si>
  <si>
    <t>E0042629</t>
  </si>
  <si>
    <t>KRONISH IAN MATTHEW MD</t>
  </si>
  <si>
    <t>KRONISH IAN</t>
  </si>
  <si>
    <t>ALGERMISSEN, MOLLY A</t>
  </si>
  <si>
    <t>E0328158</t>
  </si>
  <si>
    <t>ALGERMISSEN MOLLY</t>
  </si>
  <si>
    <t>ALGERMISSEN MOLLY ANN</t>
  </si>
  <si>
    <t xml:space="preserve">BURTH, GLORIA </t>
  </si>
  <si>
    <t>E0293040</t>
  </si>
  <si>
    <t>BURTH GLORIA</t>
  </si>
  <si>
    <t>503 E 70TH ST FL 1</t>
  </si>
  <si>
    <t>MITCHELL, JOHN P</t>
  </si>
  <si>
    <t>Schneller, Netta</t>
  </si>
  <si>
    <t>E0405634</t>
  </si>
  <si>
    <t>SCHNELLER NETTA</t>
  </si>
  <si>
    <t>SCHNELLER NETTA DR.</t>
  </si>
  <si>
    <t>GULICK, ROY M</t>
  </si>
  <si>
    <t>E0115529</t>
  </si>
  <si>
    <t>GULICK ROY MOYER</t>
  </si>
  <si>
    <t>GULICK ROY</t>
  </si>
  <si>
    <t>525 E 68TH ST # 125</t>
  </si>
  <si>
    <t>Cynthia Kolbowski, LCSW</t>
  </si>
  <si>
    <t>E0001100</t>
  </si>
  <si>
    <t>KOLBOWSKI CYNTHIA</t>
  </si>
  <si>
    <t>(212) 942-8518</t>
  </si>
  <si>
    <t>KOLBOWSKI CYNTHIA MS.</t>
  </si>
  <si>
    <t>27 W 96TH ST APT 1E</t>
  </si>
  <si>
    <t>Amarilis Lendof, LCSW</t>
  </si>
  <si>
    <t>E0387999</t>
  </si>
  <si>
    <t>LENDOF AMARILIS</t>
  </si>
  <si>
    <t>(212) 942-8519</t>
  </si>
  <si>
    <t>EVANGELISTA, MARIA</t>
  </si>
  <si>
    <t>(212) 305-1233</t>
  </si>
  <si>
    <t>KNOBLER, ELIZABETH H</t>
  </si>
  <si>
    <t>E0135577</t>
  </si>
  <si>
    <t>KNOBLER ELIZABETH MD</t>
  </si>
  <si>
    <t>KNOBLER ELIZABETH DR.</t>
  </si>
  <si>
    <t>WCMC NYP Rehab</t>
  </si>
  <si>
    <t>CUMC NYP Dialysis</t>
  </si>
  <si>
    <t>THE NEW YORK AND PRESBYTERIAN HOSPITALS</t>
  </si>
  <si>
    <t>Joseph Darcie</t>
  </si>
  <si>
    <t>E0437490</t>
  </si>
  <si>
    <t>JOSEPH DARCIE</t>
  </si>
  <si>
    <t>Kuang Lana</t>
  </si>
  <si>
    <t>E0410030</t>
  </si>
  <si>
    <t>KUANG LANA RUOLAN</t>
  </si>
  <si>
    <t>KUANG LANA</t>
  </si>
  <si>
    <t>Dymphna M. Gilhooley</t>
  </si>
  <si>
    <t>(212) 752-4975</t>
  </si>
  <si>
    <t>Kerr Gregory</t>
  </si>
  <si>
    <t>E0180304</t>
  </si>
  <si>
    <t>KERR GREGORY MD</t>
  </si>
  <si>
    <t>KERR GREGORY DR.</t>
  </si>
  <si>
    <t>Gurny Marc</t>
  </si>
  <si>
    <t>E0452942</t>
  </si>
  <si>
    <t>GURNY MARC ANDREW</t>
  </si>
  <si>
    <t>GURNY MARC DR.</t>
  </si>
  <si>
    <t>MICHELLE JAMISON</t>
  </si>
  <si>
    <t>SMITH MICHELLE</t>
  </si>
  <si>
    <t>16125 NE 18TH AVE</t>
  </si>
  <si>
    <t>NORTH MIAMI BEACH</t>
  </si>
  <si>
    <t>ANOOP RAO</t>
  </si>
  <si>
    <t>RAO ANOOP DR.</t>
  </si>
  <si>
    <t>GAURI RAVAL</t>
  </si>
  <si>
    <t>RAVAL GAURI</t>
  </si>
  <si>
    <t>MARGARET RAY</t>
  </si>
  <si>
    <t>RAY MARGARET DR.</t>
  </si>
  <si>
    <t>KRISTEN SCHRATZ</t>
  </si>
  <si>
    <t>525 E 68th Street</t>
  </si>
  <si>
    <t>ANDREW SILVERMAN</t>
  </si>
  <si>
    <t>SILVERMAN ANDREW</t>
  </si>
  <si>
    <t>KATHERINE STILL</t>
  </si>
  <si>
    <t>STILL KATHERINE</t>
  </si>
  <si>
    <t>REBECCA TAMEZ</t>
  </si>
  <si>
    <t>TAMEZ REBECCA DR.</t>
  </si>
  <si>
    <t>JENNIFER TAYLOR</t>
  </si>
  <si>
    <t>YOFFE JENNIFER</t>
  </si>
  <si>
    <t>334 E 26TH ST, APT 17H1</t>
  </si>
  <si>
    <t>Baduashvili Amiran</t>
  </si>
  <si>
    <t>E0383231</t>
  </si>
  <si>
    <t>BADUASHVILI AMIRAN</t>
  </si>
  <si>
    <t>BADUASHVILI AMIRAN DR.</t>
  </si>
  <si>
    <t>Perzin Karl</t>
  </si>
  <si>
    <t>E0118872</t>
  </si>
  <si>
    <t>PERZIN KARL H</t>
  </si>
  <si>
    <t>PERZIN KARL</t>
  </si>
  <si>
    <t>Clemente Elizabeth</t>
  </si>
  <si>
    <t>E0383424</t>
  </si>
  <si>
    <t>CLEMENTE ELIZABETH</t>
  </si>
  <si>
    <t>CLEMENTE ELIZABETH DR.</t>
  </si>
  <si>
    <t>Stillman Joshua</t>
  </si>
  <si>
    <t>Suh Edward</t>
  </si>
  <si>
    <t>Pacheco-Fowler Victor</t>
  </si>
  <si>
    <t>Riley David</t>
  </si>
  <si>
    <t>E0090925</t>
  </si>
  <si>
    <t>RILEY DAVID CHRISTOPHER MD</t>
  </si>
  <si>
    <t>RILEY DAVID DR.</t>
  </si>
  <si>
    <t>Sabatino Jenna</t>
  </si>
  <si>
    <t>SABATINO JENNA</t>
  </si>
  <si>
    <t>254 EASTON AVE</t>
  </si>
  <si>
    <t>CORONA, KATHRYNE G</t>
  </si>
  <si>
    <t>E0310717</t>
  </si>
  <si>
    <t>CORONA KATHRYNE GEORGIANA</t>
  </si>
  <si>
    <t>CORONA KATHRYNE</t>
  </si>
  <si>
    <t xml:space="preserve">ABRAHAM, JIJI </t>
  </si>
  <si>
    <t>E0307057</t>
  </si>
  <si>
    <t>ABRAHAM JIJI</t>
  </si>
  <si>
    <t>ABRAHAM JIJI MRS.</t>
  </si>
  <si>
    <t>Tobias Maria</t>
  </si>
  <si>
    <t>TOBIAS MARIA MS.</t>
  </si>
  <si>
    <t>Chadburn Amy</t>
  </si>
  <si>
    <t>E0100913</t>
  </si>
  <si>
    <t>HARTMAN AMY</t>
  </si>
  <si>
    <t>(212) 305-1234</t>
  </si>
  <si>
    <t>CHADBURN AMY DR.</t>
  </si>
  <si>
    <t>D'Alfonso Timothy</t>
  </si>
  <si>
    <t>E0338852</t>
  </si>
  <si>
    <t>D'ALFONSO TIMOTHY</t>
  </si>
  <si>
    <t>(212) 305-1235</t>
  </si>
  <si>
    <t>D'ALFONSO TIMOTHY DR.</t>
  </si>
  <si>
    <t>Richmond Sonia</t>
  </si>
  <si>
    <t>RICHMOND SONIA MS.</t>
  </si>
  <si>
    <t>Robinson Andre</t>
  </si>
  <si>
    <t>E0335024</t>
  </si>
  <si>
    <t>ROBINSON ANDRE M ACNP</t>
  </si>
  <si>
    <t>ROBINSON ANDRE</t>
  </si>
  <si>
    <t>Santiago-Reyes Erlinda</t>
  </si>
  <si>
    <t>SANTIAGO ERLINDA</t>
  </si>
  <si>
    <t xml:space="preserve">NTABA, DZIWE </t>
  </si>
  <si>
    <t>E0324685</t>
  </si>
  <si>
    <t>NTABA DZIWE W</t>
  </si>
  <si>
    <t>NTABA DZIWE</t>
  </si>
  <si>
    <t>LEWIS, LINDA D</t>
  </si>
  <si>
    <t>E0277162</t>
  </si>
  <si>
    <t>LEWIS LINDA D              MD</t>
  </si>
  <si>
    <t>LEWIS LINDA DR.</t>
  </si>
  <si>
    <t>Schiffman Marc</t>
  </si>
  <si>
    <t>E0294584</t>
  </si>
  <si>
    <t>MARC HOWARD SCHIFFMAN</t>
  </si>
  <si>
    <t>SCHIFFMAN MARC DR.</t>
  </si>
  <si>
    <t>SCHIFFMAN MARC HOWARD MD</t>
  </si>
  <si>
    <t>Herman Sean</t>
  </si>
  <si>
    <t>E0002596</t>
  </si>
  <si>
    <t>HERMAN SEAN</t>
  </si>
  <si>
    <t>HERMAN SEAN KIRK MD</t>
  </si>
  <si>
    <t>Hobeika Peter</t>
  </si>
  <si>
    <t>Katz Richard</t>
  </si>
  <si>
    <t>E0115202</t>
  </si>
  <si>
    <t>KATZ RICHARD J MD</t>
  </si>
  <si>
    <t>KATZ RICHARD DR.</t>
  </si>
  <si>
    <t>Khoury Thomas</t>
  </si>
  <si>
    <t>Leong Marie</t>
  </si>
  <si>
    <t>E0132727</t>
  </si>
  <si>
    <t>LEONG MARIE L MD</t>
  </si>
  <si>
    <t>LEONG MARIE</t>
  </si>
  <si>
    <t>DIAG RAD ASSOC</t>
  </si>
  <si>
    <t>LIN, MICHAEL T</t>
  </si>
  <si>
    <t>E0111641</t>
  </si>
  <si>
    <t>LIN MICHAEL TAI-JU MD</t>
  </si>
  <si>
    <t>DELE-MICHAEL, ABIOLA O</t>
  </si>
  <si>
    <t>E0349036</t>
  </si>
  <si>
    <t>DELE-MICHAEL ABIOLA OLAYEMI</t>
  </si>
  <si>
    <t>DELE-MICHAEL ABIOLA DR.</t>
  </si>
  <si>
    <t xml:space="preserve">NUNEZ-MERCADO, ELIZABETH </t>
  </si>
  <si>
    <t>E0293051</t>
  </si>
  <si>
    <t>NUNEZ-MERCADO ELIZABETH</t>
  </si>
  <si>
    <t>635 W 185TH ST</t>
  </si>
  <si>
    <t>Rong Lisa</t>
  </si>
  <si>
    <t>E0389770</t>
  </si>
  <si>
    <t>RONG LISA Q</t>
  </si>
  <si>
    <t>RONG LISA</t>
  </si>
  <si>
    <t>525 E 68TH ST ANESTHESIOLOGY</t>
  </si>
  <si>
    <t>Rosario Rosina</t>
  </si>
  <si>
    <t>ROSARIO ROSINA MS.</t>
  </si>
  <si>
    <t>Rubin Lori</t>
  </si>
  <si>
    <t>E0184573</t>
  </si>
  <si>
    <t>RUBIN LORI A MD</t>
  </si>
  <si>
    <t>RUBIN LORI DR.</t>
  </si>
  <si>
    <t>Aronhime Shimon</t>
  </si>
  <si>
    <t>ARONHIME SHIMON</t>
  </si>
  <si>
    <t>630 W 168TH ST, P&amp;S BOX 28</t>
  </si>
  <si>
    <t>Eisler Lisa</t>
  </si>
  <si>
    <t>EISLER LISA</t>
  </si>
  <si>
    <t xml:space="preserve">KUO, SHENG-HAN </t>
  </si>
  <si>
    <t>E0310706</t>
  </si>
  <si>
    <t>KUO SHENH-HAN</t>
  </si>
  <si>
    <t>KUO SHENG-HAN</t>
  </si>
  <si>
    <t>NAVI, BABAK B</t>
  </si>
  <si>
    <t>E0323278</t>
  </si>
  <si>
    <t>NAVI BABAK</t>
  </si>
  <si>
    <t>NAVI BABAK DR.</t>
  </si>
  <si>
    <t>NAVI BABAK MD</t>
  </si>
  <si>
    <t>Neilson Kristi</t>
  </si>
  <si>
    <t>NEILSON KRISTI MISS</t>
  </si>
  <si>
    <t>800 E 28TH ST</t>
  </si>
  <si>
    <t>Nemade Monica</t>
  </si>
  <si>
    <t>NEMADE MONICA</t>
  </si>
  <si>
    <t>396B CARLTON AVE</t>
  </si>
  <si>
    <t>PISCATAWAY</t>
  </si>
  <si>
    <t>Norris Ashley</t>
  </si>
  <si>
    <t>NORRIS ASHLEY</t>
  </si>
  <si>
    <t>530 E 70TH ST</t>
  </si>
  <si>
    <t>Qian Sascha</t>
  </si>
  <si>
    <t>QIAN SASCHA DR.</t>
  </si>
  <si>
    <t>Robinson-Taylor Nicole</t>
  </si>
  <si>
    <t>ROBINSON NICOLE DR.</t>
  </si>
  <si>
    <t>Rosenberg Lauren</t>
  </si>
  <si>
    <t>ROSENBERG LAUREN</t>
  </si>
  <si>
    <t>GOWDA, DEEPTHIMAN K</t>
  </si>
  <si>
    <t>E0065066</t>
  </si>
  <si>
    <t>GOWDA DEEPTHIMAN</t>
  </si>
  <si>
    <t>GOWDA DEEPTHIMAN DR.</t>
  </si>
  <si>
    <t>MELTZER, ELLEN C</t>
  </si>
  <si>
    <t>E0317580</t>
  </si>
  <si>
    <t>MELTZER ELLEN COWEN</t>
  </si>
  <si>
    <t>MELTZER ELLEN DR.</t>
  </si>
  <si>
    <t>MARKS, KRISTEN M</t>
  </si>
  <si>
    <t>E0029368</t>
  </si>
  <si>
    <t>MARKS KRISTEN M MD</t>
  </si>
  <si>
    <t>MARKS KRISTEN</t>
  </si>
  <si>
    <t>JOBIN, CHARLES M</t>
  </si>
  <si>
    <t>E0340376</t>
  </si>
  <si>
    <t>JOBIN CHARLES MITCHELL</t>
  </si>
  <si>
    <t>JOBIN CHARLES DR.</t>
  </si>
  <si>
    <t>LAUREN, CHRISTINE T</t>
  </si>
  <si>
    <t>E0324458</t>
  </si>
  <si>
    <t>LAUREN CHRISTINE TRILIVAS</t>
  </si>
  <si>
    <t>LAUREN CHRISTINE</t>
  </si>
  <si>
    <t>Washington Heights Community Service / NYSPI (Inwood)</t>
  </si>
  <si>
    <t>E0222795</t>
  </si>
  <si>
    <t>NEW YORK                   PC</t>
  </si>
  <si>
    <t>dragats@nyspi.columbia.edu</t>
  </si>
  <si>
    <t>NEW YORK PSYCHIATRIC CENTER</t>
  </si>
  <si>
    <t xml:space="preserve">PALMAS, WALTER </t>
  </si>
  <si>
    <t>E0129563</t>
  </si>
  <si>
    <t>PALMAS WALTER</t>
  </si>
  <si>
    <t>PALMAS WALTER DR.</t>
  </si>
  <si>
    <t>PFEFFER, BETSY S</t>
  </si>
  <si>
    <t>E0143702</t>
  </si>
  <si>
    <t>PFEFFER BETSY S MD</t>
  </si>
  <si>
    <t>PFEFFER BETSY DR.</t>
  </si>
  <si>
    <t>MCBRIAN, DANIELLE K</t>
  </si>
  <si>
    <t>E0284694</t>
  </si>
  <si>
    <t>DANIELLE KENDA MCBRIAN</t>
  </si>
  <si>
    <t>MCBRIAN DANIELLE DR.</t>
  </si>
  <si>
    <t>MCBRIAN DANIELLE KENDA MD</t>
  </si>
  <si>
    <t>PATEL, VISHAL A</t>
  </si>
  <si>
    <t>E0350423</t>
  </si>
  <si>
    <t>PATEL VISHAL</t>
  </si>
  <si>
    <t>161 FORT WASHINGTON AVE FL 12</t>
  </si>
  <si>
    <t xml:space="preserve">MARTINEZ, JOHANNA </t>
  </si>
  <si>
    <t>E0012162</t>
  </si>
  <si>
    <t>MARTINEZ JOHANNA MD</t>
  </si>
  <si>
    <t>MARTINEZ JOHANNA</t>
  </si>
  <si>
    <t xml:space="preserve">WLODARCZYK-BISAGA, KATARZYNA </t>
  </si>
  <si>
    <t>E0362140</t>
  </si>
  <si>
    <t>WLODARCZYK-BISAGA KATARZYNA</t>
  </si>
  <si>
    <t>WLODARCZYK-BISAGA KATARZYNA DR.</t>
  </si>
  <si>
    <t>SHULMAN, JULIEANNE M</t>
  </si>
  <si>
    <t>E0373856</t>
  </si>
  <si>
    <t>SHULMAN JULIEANNE M</t>
  </si>
  <si>
    <t>SHULMAN JULIEANNE</t>
  </si>
  <si>
    <t xml:space="preserve">Soohoo, Jane            </t>
  </si>
  <si>
    <t>E0116658</t>
  </si>
  <si>
    <t>SOOHOO JANE</t>
  </si>
  <si>
    <t xml:space="preserve">Wong, Mei Fung       </t>
  </si>
  <si>
    <t>(212) 752-5000</t>
  </si>
  <si>
    <t>HILTON, TARA C</t>
  </si>
  <si>
    <t>E0335243</t>
  </si>
  <si>
    <t>HILTON TARA</t>
  </si>
  <si>
    <t>HILTON TARA MS.</t>
  </si>
  <si>
    <t>HEIGHTS PHARMACY INC</t>
  </si>
  <si>
    <t>E0062446</t>
  </si>
  <si>
    <t>719 W 181ST ST</t>
  </si>
  <si>
    <t>Boan Drugs, Inc.</t>
  </si>
  <si>
    <t>Mahtani Sarita</t>
  </si>
  <si>
    <t>E0352042</t>
  </si>
  <si>
    <t>MAHTANI SARITA MANU</t>
  </si>
  <si>
    <t>MAHTANI SARITA</t>
  </si>
  <si>
    <t>525 E 68TH ST # M-522</t>
  </si>
  <si>
    <t>Antonio Eduardo</t>
  </si>
  <si>
    <t>E0138907</t>
  </si>
  <si>
    <t>ANTONIO EDUARDO SANTIAGO RPA</t>
  </si>
  <si>
    <t>ANTONIO EDUARDO MR.</t>
  </si>
  <si>
    <t>ANTONIO EDUARDO SANTIAGO</t>
  </si>
  <si>
    <t>Anyanwu Chiedozie</t>
  </si>
  <si>
    <t>Bhatt Biren</t>
  </si>
  <si>
    <t>E0341988</t>
  </si>
  <si>
    <t>BHATT BIREN A</t>
  </si>
  <si>
    <t>BHATT BIREN DR.</t>
  </si>
  <si>
    <t>(212) 803-2861</t>
  </si>
  <si>
    <t>Malhotra Carolyn</t>
  </si>
  <si>
    <t>MALHOTRA CAROLYN MRS.</t>
  </si>
  <si>
    <t>101 NICOLLS RD</t>
  </si>
  <si>
    <t>Malhotra Jaideep</t>
  </si>
  <si>
    <t>E0057528</t>
  </si>
  <si>
    <t>MALHOTRA JAIDEEP KIRAN MD</t>
  </si>
  <si>
    <t>MALHOTRA JAIDEEP</t>
  </si>
  <si>
    <t>Malhotra Vinod</t>
  </si>
  <si>
    <t>E0261828</t>
  </si>
  <si>
    <t>MALHOTRA VINOD             MD</t>
  </si>
  <si>
    <t>MALHOTRA VINOD</t>
  </si>
  <si>
    <t>BANSAL, RAJENDRA K</t>
  </si>
  <si>
    <t>MULLIN, PAUL D</t>
  </si>
  <si>
    <t>E0062214</t>
  </si>
  <si>
    <t>MULLIN PAUL MD</t>
  </si>
  <si>
    <t>MULLIN PAUL</t>
  </si>
  <si>
    <t>BIRT, ADRIANE R</t>
  </si>
  <si>
    <t>E0118950</t>
  </si>
  <si>
    <t>BIRT ADRIENNE R</t>
  </si>
  <si>
    <t>BIRT ADRIANE DR.</t>
  </si>
  <si>
    <t>4588 BROADWAY FL 1</t>
  </si>
  <si>
    <t>THOMAS WALLACH</t>
  </si>
  <si>
    <t>E0414657</t>
  </si>
  <si>
    <t>WALLACH THOMAS EDWARD</t>
  </si>
  <si>
    <t>WALLACH THOMAS DR.</t>
  </si>
  <si>
    <t>ASHISH ANKOLA</t>
  </si>
  <si>
    <t>ANKOLA ASHISH DR.</t>
  </si>
  <si>
    <t>ASHLEY BLANCHARD</t>
  </si>
  <si>
    <t>BLANCHARD ASHLEY DR.</t>
  </si>
  <si>
    <t>NISHA BROODIE</t>
  </si>
  <si>
    <t>E0430191</t>
  </si>
  <si>
    <t>BROODIE NISHA MONIQUE</t>
  </si>
  <si>
    <t>BROODIE NISHA DR.</t>
  </si>
  <si>
    <t>WEE CHUA</t>
  </si>
  <si>
    <t>CHUA WEE JHONG DR.</t>
  </si>
  <si>
    <t>JENNIFER COHEN</t>
  </si>
  <si>
    <t>COHEN JENNIFER</t>
  </si>
  <si>
    <t>POOJA DESAI</t>
  </si>
  <si>
    <t>E0435384</t>
  </si>
  <si>
    <t>DESAI POOJA J</t>
  </si>
  <si>
    <t>DESAI POOJA DR.</t>
  </si>
  <si>
    <t>KENNETH MCKINLEY</t>
  </si>
  <si>
    <t>MCKINLEY KENNETH</t>
  </si>
  <si>
    <t>625 W 169TH ST, APT 42-C</t>
  </si>
  <si>
    <t>ANDREW WEHRMAN</t>
  </si>
  <si>
    <t>WEHRMAN ANDREW</t>
  </si>
  <si>
    <t>630 W 168TH ST, CHN 517</t>
  </si>
  <si>
    <t>ALEXANDER ABRAMOWICZ</t>
  </si>
  <si>
    <t>ABRAMOWICZ ALEXANDER</t>
  </si>
  <si>
    <t>505 E 70TH ST, WEILL CORNELL INTERNAL MEDICINE ASSOCIATES</t>
  </si>
  <si>
    <t>SARAH ADKINS</t>
  </si>
  <si>
    <t>ADKINS SARAH DR.</t>
  </si>
  <si>
    <t>MICHAEL ALEXANDER</t>
  </si>
  <si>
    <t>ALEXANDER MICHAEL</t>
  </si>
  <si>
    <t>KHAWIA ALI</t>
  </si>
  <si>
    <t>ALI KHAWLA MS.</t>
  </si>
  <si>
    <t>MOHAMED AL-KAZAZ</t>
  </si>
  <si>
    <t>AL-KAZAZ MOHAMED DR.</t>
  </si>
  <si>
    <t>1190 FIFTH AVENUE, GP1-CENTER, THE LAUDER FAMILY CARDIOVASCULAR AMBULATORY CENTER</t>
  </si>
  <si>
    <t>ZAID ALMARZOOQ</t>
  </si>
  <si>
    <t>ALMARZOOQ ZAID DR.</t>
  </si>
  <si>
    <t>505 EAST 70 STREET, WEILL CORNELL INTERNAL MEDICINE ASSOCIATES</t>
  </si>
  <si>
    <t>ANIKA ANAM</t>
  </si>
  <si>
    <t>ANAM ANIKA</t>
  </si>
  <si>
    <t>KAYLEY ANCY</t>
  </si>
  <si>
    <t>ANCY KAYLEY</t>
  </si>
  <si>
    <t>STACY LEE ANDERSON</t>
  </si>
  <si>
    <t>E0443511</t>
  </si>
  <si>
    <t>ANDERSON STACY LEE</t>
  </si>
  <si>
    <t>ANDERSON STACY MRS.</t>
  </si>
  <si>
    <t>CAROLINE ANDREW</t>
  </si>
  <si>
    <t>ANDREW CAROLINE</t>
  </si>
  <si>
    <t>MOHINI ARAS</t>
  </si>
  <si>
    <t>E0415076</t>
  </si>
  <si>
    <t>ARAS MOHINI</t>
  </si>
  <si>
    <t>525 E 68TH 5TH FL</t>
  </si>
  <si>
    <t>KERRI ARONSON</t>
  </si>
  <si>
    <t>E0412987</t>
  </si>
  <si>
    <t>ARONSON KERRI</t>
  </si>
  <si>
    <t>525 E 68TH ST # 5</t>
  </si>
  <si>
    <t>ASHLEY BEECY</t>
  </si>
  <si>
    <t>BEECY ASHLEY</t>
  </si>
  <si>
    <t>SHEILA BHARMAL</t>
  </si>
  <si>
    <t>BHARMAL SHEILA MS.</t>
  </si>
  <si>
    <t>HARPREET BHATIA</t>
  </si>
  <si>
    <t>BHATIA HARPREET</t>
  </si>
  <si>
    <t>AGATA BIELSKA</t>
  </si>
  <si>
    <t>BIELSKA AGATA</t>
  </si>
  <si>
    <t>CHRISTOPHER BROWN</t>
  </si>
  <si>
    <t>CHRISTINA CHAI</t>
  </si>
  <si>
    <t>CHAI CHRISTINA</t>
  </si>
  <si>
    <t>ERICA CHU</t>
  </si>
  <si>
    <t>CHU ERICA</t>
  </si>
  <si>
    <t>ELLIOT COBURN</t>
  </si>
  <si>
    <t>E0442659</t>
  </si>
  <si>
    <t>COBURN ELLIOTT SETH</t>
  </si>
  <si>
    <t>COBURN ELLIOT</t>
  </si>
  <si>
    <t>COBURN ELLIOT SETH</t>
  </si>
  <si>
    <t>SHIRLEY COHEN</t>
  </si>
  <si>
    <t>COHEN SHIRLEY</t>
  </si>
  <si>
    <t>JIGAR CONTRACTOR</t>
  </si>
  <si>
    <t>E0434040</t>
  </si>
  <si>
    <t>CONTRACTOR JIGAR</t>
  </si>
  <si>
    <t>525 E 68TH ST STE 5</t>
  </si>
  <si>
    <t>Sanchez Allen</t>
  </si>
  <si>
    <t>SANCHEZ ALLEN DR.</t>
  </si>
  <si>
    <t>Simon Katherine</t>
  </si>
  <si>
    <t>E0402647</t>
  </si>
  <si>
    <t>SIMON KATHERINE</t>
  </si>
  <si>
    <t>SIMON KATHERINE DR.</t>
  </si>
  <si>
    <t>DE MIGUEL, MARIA H</t>
  </si>
  <si>
    <t>E0298158</t>
  </si>
  <si>
    <t>MARIA ELENA HAMM MD</t>
  </si>
  <si>
    <t>DE MIGUEL MARIA DR.</t>
  </si>
  <si>
    <t>DE MIGUEL MARIA HAMM</t>
  </si>
  <si>
    <t xml:space="preserve">KOSLO, ELLEN </t>
  </si>
  <si>
    <t>E0011686</t>
  </si>
  <si>
    <t>KOSLO ELLEN</t>
  </si>
  <si>
    <t>KOSLO ELLEN DR.</t>
  </si>
  <si>
    <t>PEDIATRIC AUDIOLOGY</t>
  </si>
  <si>
    <t>WEIMER, LOUIS H</t>
  </si>
  <si>
    <t>E0142220</t>
  </si>
  <si>
    <t>WEIMER LOUIS MD</t>
  </si>
  <si>
    <t>WEIMER LOUIS DR.</t>
  </si>
  <si>
    <t>710 W 168TH ST # 193</t>
  </si>
  <si>
    <t xml:space="preserve">ROSENBERG, KATHY </t>
  </si>
  <si>
    <t>E0291909</t>
  </si>
  <si>
    <t>ROSENBERG KATHY</t>
  </si>
  <si>
    <t>ROSENBERG KATHRYN</t>
  </si>
  <si>
    <t>HONIG, LAWRENCE S</t>
  </si>
  <si>
    <t>E0086644</t>
  </si>
  <si>
    <t>HONIG LAWRENCE STERLING MD</t>
  </si>
  <si>
    <t>HONIG LAWRENCE DR.</t>
  </si>
  <si>
    <t xml:space="preserve">CHOI, HYUNMI </t>
  </si>
  <si>
    <t>E0075537</t>
  </si>
  <si>
    <t>CHOI HYUNMI MD</t>
  </si>
  <si>
    <t>CHOI HYUNMI DR.</t>
  </si>
  <si>
    <t>SANTELLI, JOHN S</t>
  </si>
  <si>
    <t>E0314165</t>
  </si>
  <si>
    <t>SANTELLI JOHN</t>
  </si>
  <si>
    <t>SANTELLI JOHN DR.</t>
  </si>
  <si>
    <t xml:space="preserve">Pong, Perry </t>
  </si>
  <si>
    <t>E0137099</t>
  </si>
  <si>
    <t>PONG PERRY MD</t>
  </si>
  <si>
    <t>PONG PERRY DR.</t>
  </si>
  <si>
    <t xml:space="preserve">Shen, Tsun You                                </t>
  </si>
  <si>
    <t>E0137585</t>
  </si>
  <si>
    <t>SHEN TSUN Y MD</t>
  </si>
  <si>
    <t>SHEN TSUN</t>
  </si>
  <si>
    <t>268 CANAL STREET</t>
  </si>
  <si>
    <t>Austin John</t>
  </si>
  <si>
    <t>E0256443</t>
  </si>
  <si>
    <t>AUSTIN JOHN H M            MD</t>
  </si>
  <si>
    <t>AUSTIN JOHN DR.</t>
  </si>
  <si>
    <t>DSouza Belinda</t>
  </si>
  <si>
    <t>E0019124</t>
  </si>
  <si>
    <t>DSOUZA BELINDA M MD</t>
  </si>
  <si>
    <t>DSOUZA BELINDA</t>
  </si>
  <si>
    <t>Pearson Gregory</t>
  </si>
  <si>
    <t>E0124100</t>
  </si>
  <si>
    <t>PEARSON GREGORY DAVID N MD</t>
  </si>
  <si>
    <t>PEARSON GREGORY</t>
  </si>
  <si>
    <t>Rozenshtein Anna</t>
  </si>
  <si>
    <t>E0140834</t>
  </si>
  <si>
    <t>ROZENSHTEIN ANNA MD</t>
  </si>
  <si>
    <t>ROZENSHTEIN ANNA</t>
  </si>
  <si>
    <t>Ayyala Rama</t>
  </si>
  <si>
    <t>E0377078</t>
  </si>
  <si>
    <t>AYYALA RAMA SOMAYAJULA</t>
  </si>
  <si>
    <t>AYYALA RAMA DR.</t>
  </si>
  <si>
    <t>Mamdani Fatemah</t>
  </si>
  <si>
    <t>MAMDANI FATEMAH</t>
  </si>
  <si>
    <t>Maniam Rajivan</t>
  </si>
  <si>
    <t>MANIAM RAJIVAN DR.</t>
  </si>
  <si>
    <t>Dizdarevic Anis</t>
  </si>
  <si>
    <t>E0006859</t>
  </si>
  <si>
    <t>ANIS DIZ DAREVIC MD</t>
  </si>
  <si>
    <t>DIZDAREVIC ANIS</t>
  </si>
  <si>
    <t>DIZDAREVIC ANIS MD</t>
  </si>
  <si>
    <t>Dilson Saul</t>
  </si>
  <si>
    <t>E0140169</t>
  </si>
  <si>
    <t>DILSON SAUL N DO</t>
  </si>
  <si>
    <t>DILSON SAUL</t>
  </si>
  <si>
    <t>Ee Pei-Lee</t>
  </si>
  <si>
    <t>E0034061</t>
  </si>
  <si>
    <t>EE PEI-LEE MD</t>
  </si>
  <si>
    <t>EE PEI-LEE</t>
  </si>
  <si>
    <t>Ehrlich Linda</t>
  </si>
  <si>
    <t>EHRLICH LINDA</t>
  </si>
  <si>
    <t>Exavier Theresa</t>
  </si>
  <si>
    <t>EXAVIER THERESA</t>
  </si>
  <si>
    <t>Francis Patricia</t>
  </si>
  <si>
    <t>FRANCIS PATRICIA</t>
  </si>
  <si>
    <t>4415 MICHAEL JAY ST</t>
  </si>
  <si>
    <t>Gatdula James</t>
  </si>
  <si>
    <t>GATDULA JAMES</t>
  </si>
  <si>
    <t>Goodman Sarah</t>
  </si>
  <si>
    <t>GOODMAN SARAH</t>
  </si>
  <si>
    <t>Hao Frank</t>
  </si>
  <si>
    <t>HAO FRANK</t>
  </si>
  <si>
    <t>147 WORCESTER ST, APT 7</t>
  </si>
  <si>
    <t>Kim Hyonah</t>
  </si>
  <si>
    <t>KIM HYONAH DR.</t>
  </si>
  <si>
    <t>Lanzman Bryan</t>
  </si>
  <si>
    <t>LANZMAN BRYAN</t>
  </si>
  <si>
    <t>698 W END AVE, #1D</t>
  </si>
  <si>
    <t>Lyall Ashima</t>
  </si>
  <si>
    <t>LYALL ASHIMA</t>
  </si>
  <si>
    <t>1214 31ST AVE, APT 5</t>
  </si>
  <si>
    <t>Maffie Jonathon</t>
  </si>
  <si>
    <t>MAFFIE JONATHON</t>
  </si>
  <si>
    <t>170 MORTON ST</t>
  </si>
  <si>
    <t>Mema Eralda</t>
  </si>
  <si>
    <t>MEMA ERALDA</t>
  </si>
  <si>
    <t>Patel Sejal</t>
  </si>
  <si>
    <t>836 W WELLINGTON AVE</t>
  </si>
  <si>
    <t>Sandhu Ranjit</t>
  </si>
  <si>
    <t>SANDHU RANJIT</t>
  </si>
  <si>
    <t>622 W 168TH ST, PB 1-301</t>
  </si>
  <si>
    <t xml:space="preserve">PAGE-WILSON, GABRIELLE </t>
  </si>
  <si>
    <t>E0320282</t>
  </si>
  <si>
    <t>PAGE-WILSON GABRIELLE</t>
  </si>
  <si>
    <t>WILSON GABRIELLE DR.</t>
  </si>
  <si>
    <t>WILSON GABRIELLE PAGE</t>
  </si>
  <si>
    <t>MAGUN, ARTHUR M</t>
  </si>
  <si>
    <t>E0223682</t>
  </si>
  <si>
    <t>MAGUN ARTHUR M             MD</t>
  </si>
  <si>
    <t>MAGUN ARTHUR DR.</t>
  </si>
  <si>
    <t>LEE, NANCY M</t>
  </si>
  <si>
    <t>E0013994</t>
  </si>
  <si>
    <t>LEE NANCY MS.</t>
  </si>
  <si>
    <t>GWON, KRISTA L</t>
  </si>
  <si>
    <t>E0301572</t>
  </si>
  <si>
    <t>BEISWENGER KRISTA</t>
  </si>
  <si>
    <t>GWON KRISTA</t>
  </si>
  <si>
    <t>BEISWENGER KRISTA LYNNE</t>
  </si>
  <si>
    <t>Poole-Di Salvo, Elizabeth A.</t>
  </si>
  <si>
    <t>E0286112</t>
  </si>
  <si>
    <t>POOLE-DI SALVO ELIZABETH</t>
  </si>
  <si>
    <t>POOLE-DI SALVO ELIZABETH DR.</t>
  </si>
  <si>
    <t>STRATIGOS, KATHARINE A</t>
  </si>
  <si>
    <t>E0291598</t>
  </si>
  <si>
    <t>STRATIGOS KATHARINE ANNE</t>
  </si>
  <si>
    <t>STRATIGOS KATHARINE DR.</t>
  </si>
  <si>
    <t>3959 BROADWAY 6TH FL NORTH</t>
  </si>
  <si>
    <t>SIEGLER, EUGENIA L</t>
  </si>
  <si>
    <t>E0139861</t>
  </si>
  <si>
    <t>SIEGLER EUGENIA L MD</t>
  </si>
  <si>
    <t>SIEGLER EUGENIA</t>
  </si>
  <si>
    <t>PRACTICE PLAN MGMNT</t>
  </si>
  <si>
    <t>FLECK, ELAINE M</t>
  </si>
  <si>
    <t>E0156079</t>
  </si>
  <si>
    <t>FLECK ELAINE M MD</t>
  </si>
  <si>
    <t>FLECK ELAINE DR.</t>
  </si>
  <si>
    <t>Kaushal, Rainu</t>
  </si>
  <si>
    <t>E0008788</t>
  </si>
  <si>
    <t>KAUSHAL RAINU MD</t>
  </si>
  <si>
    <t>KAUSHAL RAINU</t>
  </si>
  <si>
    <t>MENDOZA, AURORA M</t>
  </si>
  <si>
    <t>E0315993</t>
  </si>
  <si>
    <t>MENDOZA AURORA</t>
  </si>
  <si>
    <t>MENDOZA AURORA M</t>
  </si>
  <si>
    <t>515 W 182ND ST RM 101</t>
  </si>
  <si>
    <t>BONANNO, CLARISSA A</t>
  </si>
  <si>
    <t>E0293727</t>
  </si>
  <si>
    <t>BONANNO CLARISSA A MD</t>
  </si>
  <si>
    <t>BONANNO CLARISSA</t>
  </si>
  <si>
    <t>MATSEOANE-PETERSSEN, DARA N</t>
  </si>
  <si>
    <t>E0082296</t>
  </si>
  <si>
    <t>MATSEOANE DARA N MD</t>
  </si>
  <si>
    <t>MATSEOANE-PETERSSEN DARA</t>
  </si>
  <si>
    <t>THE ALLEN PAVILION</t>
  </si>
  <si>
    <t>CHENG, DANIEL H</t>
  </si>
  <si>
    <t>NAZIF, TAMIN M</t>
  </si>
  <si>
    <t>E0326439</t>
  </si>
  <si>
    <t>NAZIF TAMIM MICHAEL</t>
  </si>
  <si>
    <t>NAZIF TAMIM DR.</t>
  </si>
  <si>
    <t xml:space="preserve">CHARNEY, PAMELA </t>
  </si>
  <si>
    <t>E0115550</t>
  </si>
  <si>
    <t>CHARNEY PAMELA MD</t>
  </si>
  <si>
    <t>CHARNEY PAMELA</t>
  </si>
  <si>
    <t xml:space="preserve">COTLIAR, JEREMY </t>
  </si>
  <si>
    <t>E0350515</t>
  </si>
  <si>
    <t>COTLIAR JEREMY</t>
  </si>
  <si>
    <t>130 FORT WASHINGTON AVE STE 1M</t>
  </si>
  <si>
    <t>MAXFIELD, ROGER A</t>
  </si>
  <si>
    <t>E0255908</t>
  </si>
  <si>
    <t>MAXFIELD ROGER A MD</t>
  </si>
  <si>
    <t>MAXFIELD ROGER DR.</t>
  </si>
  <si>
    <t>SCHNEIDERMAN, PAUL I</t>
  </si>
  <si>
    <t>E0257607</t>
  </si>
  <si>
    <t>SCHNEIDERMAN PAUL I        MD</t>
  </si>
  <si>
    <t>SCHNEIDERMAN PAUL DR.</t>
  </si>
  <si>
    <t>239 BOYLE RD</t>
  </si>
  <si>
    <t>WEISS, MICHAEL J</t>
  </si>
  <si>
    <t>E0188319</t>
  </si>
  <si>
    <t>WEISS MICHAEL J MD</t>
  </si>
  <si>
    <t>WEISS MICHAEL DR.</t>
  </si>
  <si>
    <t>WILLNER, JOSEPH H</t>
  </si>
  <si>
    <t>E0205966</t>
  </si>
  <si>
    <t>WILLNER JOSEPH HARRISON    MD</t>
  </si>
  <si>
    <t>WILLNER JOSEPH</t>
  </si>
  <si>
    <t>DRS RABIN,WILNER,FR</t>
  </si>
  <si>
    <t>FOGELMAN, JOSHUA P</t>
  </si>
  <si>
    <t>E0066369</t>
  </si>
  <si>
    <t>FOGELMAN JOSHUA P MD</t>
  </si>
  <si>
    <t>FOGELMAN JOSHUA</t>
  </si>
  <si>
    <t>PREL PLZA STE 18</t>
  </si>
  <si>
    <t>POMERANTZ, BARRY M</t>
  </si>
  <si>
    <t>E0216340</t>
  </si>
  <si>
    <t>POMERANTZ BARRY MICHAEL    MD</t>
  </si>
  <si>
    <t>POMERANTZ BARRY DR.</t>
  </si>
  <si>
    <t>41 W 72ND ST</t>
  </si>
  <si>
    <t xml:space="preserve">WHANG, EUGENE </t>
  </si>
  <si>
    <t>YIP, NATALIE H-Y</t>
  </si>
  <si>
    <t>E0293190</t>
  </si>
  <si>
    <t>NATALIE HOI-YUN YIP</t>
  </si>
  <si>
    <t>YIP NATALIE DR.</t>
  </si>
  <si>
    <t>YIP NATALIE HOI-YUN MD</t>
  </si>
  <si>
    <t>TAU, GREGORY Z</t>
  </si>
  <si>
    <t>E0350382</t>
  </si>
  <si>
    <t>TAU GREGORY</t>
  </si>
  <si>
    <t>TAU GREGORY ZVI</t>
  </si>
  <si>
    <t>Block, Laurie A.</t>
  </si>
  <si>
    <t>BLOCK LAURIE</t>
  </si>
  <si>
    <t>9894 GENESEE AVE, 3RD FLOOR-</t>
  </si>
  <si>
    <t>WILKIN, TIMOTHY J</t>
  </si>
  <si>
    <t>E0061734</t>
  </si>
  <si>
    <t>WILKIN TIMOTHY JAMES</t>
  </si>
  <si>
    <t>WILKIN TIMOTHY</t>
  </si>
  <si>
    <t>525 E 68TH ST BOX 125</t>
  </si>
  <si>
    <t>HERMAN, SAMANTHA P</t>
  </si>
  <si>
    <t>E0383004</t>
  </si>
  <si>
    <t>HERMAN SAMANTHA</t>
  </si>
  <si>
    <t>HERMAN SAMANTHA DR.</t>
  </si>
  <si>
    <t>MAYER, ELIZABETH W</t>
  </si>
  <si>
    <t>E0118159</t>
  </si>
  <si>
    <t>MAYER ELIZABETH W</t>
  </si>
  <si>
    <t>MAYER ELIZABETH DR.</t>
  </si>
  <si>
    <t>WANG, DANIEL Y</t>
  </si>
  <si>
    <t>E0321192</t>
  </si>
  <si>
    <t>WANG DANIEL YU-CHUAN</t>
  </si>
  <si>
    <t>WANG DANIEL</t>
  </si>
  <si>
    <t xml:space="preserve">Kravitz, Helang Cho   </t>
  </si>
  <si>
    <t>E0059686</t>
  </si>
  <si>
    <t>KRAVITZ HELANG CHO</t>
  </si>
  <si>
    <t>KRAVITZ HELANG</t>
  </si>
  <si>
    <t xml:space="preserve">Lee, Catherine           </t>
  </si>
  <si>
    <t>E0039452</t>
  </si>
  <si>
    <t>LEE CATHERINE</t>
  </si>
  <si>
    <t xml:space="preserve">Nguyen, Y-Uyen Le </t>
  </si>
  <si>
    <t>E0283718</t>
  </si>
  <si>
    <t>NGUYEN Y-UYEN</t>
  </si>
  <si>
    <t>NGUYEN Y-UYEN DR.</t>
  </si>
  <si>
    <t>NGUYEN Y-UYEN LE MD</t>
  </si>
  <si>
    <t>268 CANAL ST FL 3</t>
  </si>
  <si>
    <t>Connolly Shanon</t>
  </si>
  <si>
    <t>E0338834</t>
  </si>
  <si>
    <t>CONNOLLY SHANON MARIE</t>
  </si>
  <si>
    <t>CONNOLLY SHANON DR.</t>
  </si>
  <si>
    <t>Mak Serena</t>
  </si>
  <si>
    <t>E0386398</t>
  </si>
  <si>
    <t>MAK SERENA</t>
  </si>
  <si>
    <t>MAK SERENA DR.</t>
  </si>
  <si>
    <t>BONNIE STARFIELD-NEWMARK</t>
  </si>
  <si>
    <t>E0320012</t>
  </si>
  <si>
    <t>STARFIELD-NEWMARK BONNIE</t>
  </si>
  <si>
    <t>STARFIELD NEWMARK BONNIE</t>
  </si>
  <si>
    <t>EILEEN STEWART</t>
  </si>
  <si>
    <t>E0378959</t>
  </si>
  <si>
    <t>STEWART EILEEN M</t>
  </si>
  <si>
    <t>STEWART EILEEN MRS.</t>
  </si>
  <si>
    <t>575 W 181ST ST</t>
  </si>
  <si>
    <t>JILL STOLBACH</t>
  </si>
  <si>
    <t>STOLBACH JILL MS.</t>
  </si>
  <si>
    <t>952 5TH AVE, SUITE 5C</t>
  </si>
  <si>
    <t>PETER SULTAN</t>
  </si>
  <si>
    <t>E0314101</t>
  </si>
  <si>
    <t>SULTAN V</t>
  </si>
  <si>
    <t>SULTAN PETER</t>
  </si>
  <si>
    <t>BAKER 525 E 68TH ST</t>
  </si>
  <si>
    <t>VICKI SUNSHINE</t>
  </si>
  <si>
    <t xml:space="preserve">SHAPIRO, FRAN </t>
  </si>
  <si>
    <t>E0011664</t>
  </si>
  <si>
    <t>SHAPIRO FRAN</t>
  </si>
  <si>
    <t>SHAPIRO FRAN MS.</t>
  </si>
  <si>
    <t>SHAPIRO FRAN M</t>
  </si>
  <si>
    <t>WALDMAN, ERIK H</t>
  </si>
  <si>
    <t>E0283190</t>
  </si>
  <si>
    <t>WALDMAN ERIK HOWARD MD</t>
  </si>
  <si>
    <t>WALDMAN ERIK</t>
  </si>
  <si>
    <t>MINGUEZ, XIOMARA M</t>
  </si>
  <si>
    <t>E0022763</t>
  </si>
  <si>
    <t>MINGUEZ XIOMARA MD</t>
  </si>
  <si>
    <t>MINGUEZ XIOMARA DR.</t>
  </si>
  <si>
    <t>DIXON, JEREMY J</t>
  </si>
  <si>
    <t>E0068748</t>
  </si>
  <si>
    <t>DIXON JEREMY JAMES DDS</t>
  </si>
  <si>
    <t>DIXON JEREMY DR.</t>
  </si>
  <si>
    <t xml:space="preserve">PERRY, MELBA </t>
  </si>
  <si>
    <t>E0313100</t>
  </si>
  <si>
    <t>PERRY MELBA</t>
  </si>
  <si>
    <t>HEIER, LINDA</t>
  </si>
  <si>
    <t>E0183300</t>
  </si>
  <si>
    <t>HEIER LINDA ANN MD</t>
  </si>
  <si>
    <t>HEIER LINDA</t>
  </si>
  <si>
    <t>SAMPSON, JACINDA B</t>
  </si>
  <si>
    <t>E0336659</t>
  </si>
  <si>
    <t>SAMPSON JACINDA</t>
  </si>
  <si>
    <t xml:space="preserve">SOBOL, IRINA </t>
  </si>
  <si>
    <t>E0292256</t>
  </si>
  <si>
    <t>SOBOL IRINA MD</t>
  </si>
  <si>
    <t>SOBOL IRINA</t>
  </si>
  <si>
    <t>KRAUSE, MARGARET C</t>
  </si>
  <si>
    <t>E0110940</t>
  </si>
  <si>
    <t>KRAUSE MARGARET CHRISTINE MD</t>
  </si>
  <si>
    <t>KRAUSE MARGARET DR.</t>
  </si>
  <si>
    <t>COLUMBIA UNIV PED</t>
  </si>
  <si>
    <t>MCKITTRICK, MARTHA T</t>
  </si>
  <si>
    <t>MCKITTRICK MARTHA</t>
  </si>
  <si>
    <t>30 CENTRAL PARK S RM 13A</t>
  </si>
  <si>
    <t>WEILL CORNELL IMAGING AT NYP</t>
  </si>
  <si>
    <t>520 E 70TH ST, JO</t>
  </si>
  <si>
    <t>GIARDINA, ELSA-GRACE V</t>
  </si>
  <si>
    <t>E0265594</t>
  </si>
  <si>
    <t>GIARDINA ELSA-GRACE V      MD</t>
  </si>
  <si>
    <t>GIARDINA ELSA DR.</t>
  </si>
  <si>
    <t xml:space="preserve">IRANI, DINAZ </t>
  </si>
  <si>
    <t>SMITH, PAULA V</t>
  </si>
  <si>
    <t>E0308195</t>
  </si>
  <si>
    <t>SMITH PAULA MISS</t>
  </si>
  <si>
    <t>BAZIL, CARL W</t>
  </si>
  <si>
    <t>E0140827</t>
  </si>
  <si>
    <t>BAZIL CARL WALTER MD</t>
  </si>
  <si>
    <t>BAZIL CARL DR.</t>
  </si>
  <si>
    <t>SORBELLINI, MAXIMIL</t>
  </si>
  <si>
    <t>E0344669</t>
  </si>
  <si>
    <t>SORBELLINI MAXIMILIANO</t>
  </si>
  <si>
    <t>(212) 305-1337</t>
  </si>
  <si>
    <t>SORBELLINI MAXIMILIANO DR.</t>
  </si>
  <si>
    <t>Atiya Christina</t>
  </si>
  <si>
    <t>ATIYA CHRISTINA</t>
  </si>
  <si>
    <t>Azeez Abdul</t>
  </si>
  <si>
    <t>Wyler Daniel</t>
  </si>
  <si>
    <t>WYLER DANIEL DR.</t>
  </si>
  <si>
    <t>Yoshii Isaac</t>
  </si>
  <si>
    <t>YOSHII ISAAC</t>
  </si>
  <si>
    <t>300 PASTEUR DR, ROOM H3580</t>
  </si>
  <si>
    <t>Zhu Shiyin</t>
  </si>
  <si>
    <t>ZHU SHIYIN</t>
  </si>
  <si>
    <t>Katherine Wiesinger</t>
  </si>
  <si>
    <t>Community Healthcare Network Health Home</t>
  </si>
  <si>
    <t>WATERS, CHERYL H</t>
  </si>
  <si>
    <t>E0100665</t>
  </si>
  <si>
    <t>WATERS CHERYL H MD</t>
  </si>
  <si>
    <t>WATERS CHERYL DR.</t>
  </si>
  <si>
    <t>TURNER, WILLIAM C</t>
  </si>
  <si>
    <t>E0084534</t>
  </si>
  <si>
    <t>TURNER WILLIAM C MD</t>
  </si>
  <si>
    <t>Dayton, Jeffrey D.</t>
  </si>
  <si>
    <t>E0308509</t>
  </si>
  <si>
    <t>DAYTON JEFFREY DANIEL</t>
  </si>
  <si>
    <t>DAYTON JEFFREY</t>
  </si>
  <si>
    <t>525 E 68TH STREET F666</t>
  </si>
  <si>
    <t>OELSNER, ELIZABETH C</t>
  </si>
  <si>
    <t>E0321124</t>
  </si>
  <si>
    <t>OELSNER ELIZABETH</t>
  </si>
  <si>
    <t>OELSNER ELIZABETH DR.</t>
  </si>
  <si>
    <t>OELSNER ELIZABETH C</t>
  </si>
  <si>
    <t xml:space="preserve">AGARWAL, SACHIN </t>
  </si>
  <si>
    <t>E0336253</t>
  </si>
  <si>
    <t>AGARWAL SACHIN</t>
  </si>
  <si>
    <t>AGARWAL SACHIN DR.</t>
  </si>
  <si>
    <t>HOCHREITER, CLARE</t>
  </si>
  <si>
    <t>E0208169</t>
  </si>
  <si>
    <t>HOCHREITER CLARE A          MD</t>
  </si>
  <si>
    <t>(212) 305-1257</t>
  </si>
  <si>
    <t>HOCHREITER CLARE</t>
  </si>
  <si>
    <t>Fernandes Helen</t>
  </si>
  <si>
    <t>(212) 305-1236</t>
  </si>
  <si>
    <t>FERNANDES HELEN</t>
  </si>
  <si>
    <t>8 HUFF RD</t>
  </si>
  <si>
    <t>WAYNE</t>
  </si>
  <si>
    <t>Giorgadze Tamara</t>
  </si>
  <si>
    <t>E0369217</t>
  </si>
  <si>
    <t>GIORGADZE TAMARA</t>
  </si>
  <si>
    <t>(212) 305-1237</t>
  </si>
  <si>
    <t>GIORGADZE TAMARA DR.</t>
  </si>
  <si>
    <t>LERNER, JODI</t>
  </si>
  <si>
    <t>E0162098</t>
  </si>
  <si>
    <t>LERNER JODI P MD</t>
  </si>
  <si>
    <t>(212) 305-1282</t>
  </si>
  <si>
    <t>LERNER JODI</t>
  </si>
  <si>
    <t>Monique Jenkins</t>
  </si>
  <si>
    <t>David John</t>
  </si>
  <si>
    <t>Davis Nicholas</t>
  </si>
  <si>
    <t>E0385694</t>
  </si>
  <si>
    <t>DAVIS NICHOLAS A</t>
  </si>
  <si>
    <t>DAVIS NICHOLAS</t>
  </si>
  <si>
    <t>CITYDRUG &amp; SURGICAL INC</t>
  </si>
  <si>
    <t>E0142539</t>
  </si>
  <si>
    <t>2039 AMSTERDAM AVE</t>
  </si>
  <si>
    <t>Rao Rema</t>
  </si>
  <si>
    <t>E0374519</t>
  </si>
  <si>
    <t>RAO REMA</t>
  </si>
  <si>
    <t>(212) 305-1213</t>
  </si>
  <si>
    <t>Rennert Hanna</t>
  </si>
  <si>
    <t>(212) 305-1214</t>
  </si>
  <si>
    <t>RENNERT HANNA PROF.</t>
  </si>
  <si>
    <t>Schuetz Audrey</t>
  </si>
  <si>
    <t>E0002610</t>
  </si>
  <si>
    <t>SCHUETZ AUDREY</t>
  </si>
  <si>
    <t>(212) 305-1215</t>
  </si>
  <si>
    <t>SCHUETZ AUDREY DR.</t>
  </si>
  <si>
    <t>Subramaniyam Shivakumar</t>
  </si>
  <si>
    <t>SUBRAMANIYAN SHIVAKUMER</t>
  </si>
  <si>
    <t>Renjen Pooja</t>
  </si>
  <si>
    <t>E0348049</t>
  </si>
  <si>
    <t>RENJEN POOJA</t>
  </si>
  <si>
    <t xml:space="preserve">HERNANDEZ-KENIS, PATRICIA </t>
  </si>
  <si>
    <t>E0293020</t>
  </si>
  <si>
    <t>KENIS PATRICIA</t>
  </si>
  <si>
    <t xml:space="preserve">SOREN, KAREN </t>
  </si>
  <si>
    <t>E0189950</t>
  </si>
  <si>
    <t>SOREN KAREN MD</t>
  </si>
  <si>
    <t>SOREN KAREN DR.</t>
  </si>
  <si>
    <t>DOBKIN, JAY F</t>
  </si>
  <si>
    <t>E0193897</t>
  </si>
  <si>
    <t>DOBKIN JAY FRANKLIN MD</t>
  </si>
  <si>
    <t>DOBKIN JAY DR.</t>
  </si>
  <si>
    <t>COLUMBIA UNIVERSITY PATHOLOGISTS</t>
  </si>
  <si>
    <t>COLUMBIA PRESBYTERIAN PATHOLOGISTS</t>
  </si>
  <si>
    <t>622 W 168TH ST, VC 14-215</t>
  </si>
  <si>
    <t>NEW YORK COLUMBIA PRESBYTERIAN</t>
  </si>
  <si>
    <t>161 FORT WASHINGTON AVE, 629</t>
  </si>
  <si>
    <t>THE TRUSTEES OF COLUMBIA IN THE CITY OF NY DIGESTIVE AND LIVER DISE</t>
  </si>
  <si>
    <t>E0008522</t>
  </si>
  <si>
    <t>THE TRUSTEES OF COLUMBIA IN THE</t>
  </si>
  <si>
    <t xml:space="preserve">FATIMI, TANYA </t>
  </si>
  <si>
    <t>E0003594</t>
  </si>
  <si>
    <t>FATIMI TANYA</t>
  </si>
  <si>
    <t>FATIMI TANYA AZRA</t>
  </si>
  <si>
    <t>LOUIS, PRIYA P</t>
  </si>
  <si>
    <t>E0366440</t>
  </si>
  <si>
    <t>LOUIS PRIYA PAILY</t>
  </si>
  <si>
    <t>LOUIS PRIYA MRS.</t>
  </si>
  <si>
    <t>DUFFY, MARY</t>
  </si>
  <si>
    <t>E0332867</t>
  </si>
  <si>
    <t>DUFFY MARY ELIZABETH</t>
  </si>
  <si>
    <t>DUFFY MARY MS.</t>
  </si>
  <si>
    <t>COLUMBIA UNIVERSITY HEALTH CARE</t>
  </si>
  <si>
    <t>E0124323</t>
  </si>
  <si>
    <t>COLUMBIA UNIV HLTH CARE</t>
  </si>
  <si>
    <t>ALONSO, ELENA M</t>
  </si>
  <si>
    <t>E0315994</t>
  </si>
  <si>
    <t>ALONSO ELENA</t>
  </si>
  <si>
    <t>ALONSO ELENA M</t>
  </si>
  <si>
    <t>LYNN TOMILOWICZ</t>
  </si>
  <si>
    <t>TOMILOWICZ LYNN MS.</t>
  </si>
  <si>
    <t>7 BALINT DR, APT. #221</t>
  </si>
  <si>
    <t>JAIMIE UVA</t>
  </si>
  <si>
    <t>UVA JAIMIE</t>
  </si>
  <si>
    <t>YVONNE VALLE</t>
  </si>
  <si>
    <t>E0293059</t>
  </si>
  <si>
    <t>VALLE YVONNE</t>
  </si>
  <si>
    <t>VALLE YVONNE MS.</t>
  </si>
  <si>
    <t>SANDRA VALLE</t>
  </si>
  <si>
    <t>E0293019</t>
  </si>
  <si>
    <t>VALLE SANDRA</t>
  </si>
  <si>
    <t>VALLE SANDRA MS.</t>
  </si>
  <si>
    <t>NADIUSKA VAZQUEZ</t>
  </si>
  <si>
    <t>E0442953</t>
  </si>
  <si>
    <t>VASQUEZ NADIUSKA</t>
  </si>
  <si>
    <t>VASQUEZ NADIUSKA MRS.</t>
  </si>
  <si>
    <t>JOHN VERZI</t>
  </si>
  <si>
    <t>E0293064</t>
  </si>
  <si>
    <t>VERZI JOHN E</t>
  </si>
  <si>
    <t>VERZI JOHN MR.</t>
  </si>
  <si>
    <t>JASON VILLARREAL</t>
  </si>
  <si>
    <t>E0343429</t>
  </si>
  <si>
    <t>VILLARREAL JASON</t>
  </si>
  <si>
    <t>HOLLY WARFEL</t>
  </si>
  <si>
    <t>LORUSSO HOLLY</t>
  </si>
  <si>
    <t>CARYS WAYNE</t>
  </si>
  <si>
    <t>ALAN WEITZ</t>
  </si>
  <si>
    <t>JUDITH WILLIAMS</t>
  </si>
  <si>
    <t>WILLIAMS JUDITH MS.</t>
  </si>
  <si>
    <t>241 CENTRAL PARK W APT 1C</t>
  </si>
  <si>
    <t>NICOLE WILLIAMSON</t>
  </si>
  <si>
    <t>E0307044</t>
  </si>
  <si>
    <t>WILLIAMSON NICOLE</t>
  </si>
  <si>
    <t>LINDA WOJTOWCIZ</t>
  </si>
  <si>
    <t>E0128832</t>
  </si>
  <si>
    <t>WOJTOWICZ LINDA</t>
  </si>
  <si>
    <t>WOJTOWICZ LINDA MS.</t>
  </si>
  <si>
    <t>ALYSSA WYNN</t>
  </si>
  <si>
    <t>E0293053</t>
  </si>
  <si>
    <t>MASTROIANNI ALYSSA</t>
  </si>
  <si>
    <t>WYNN ALYSSA MS.</t>
  </si>
  <si>
    <t>JOSEPH ZAGAME</t>
  </si>
  <si>
    <t>E0305869</t>
  </si>
  <si>
    <t>ZAGAME JOSEPH</t>
  </si>
  <si>
    <t>ZAGAME JOSEPH MR.</t>
  </si>
  <si>
    <t>DAVID BECK</t>
  </si>
  <si>
    <t>BECK DAVID DR.</t>
  </si>
  <si>
    <t>630 W 168TH ST, PH 8 EAST ROOM 105</t>
  </si>
  <si>
    <t>STEFFEN HAIDER</t>
  </si>
  <si>
    <t>HAIDER STEFFEN</t>
  </si>
  <si>
    <t>Sadeghi Neda</t>
  </si>
  <si>
    <t>Schaff Jacob</t>
  </si>
  <si>
    <t>E0456056</t>
  </si>
  <si>
    <t>SCHAFF JACOB ELLIOTT</t>
  </si>
  <si>
    <t>SCHAFF JACOB</t>
  </si>
  <si>
    <t>Shaikh Safa</t>
  </si>
  <si>
    <t>SHAIKH SAFA MS.</t>
  </si>
  <si>
    <t>ASSOCIATION TO BENEFIT CHILDREN</t>
  </si>
  <si>
    <t>E0009848</t>
  </si>
  <si>
    <t>ASSOCIATION TO BENEFIT CHILD</t>
  </si>
  <si>
    <t>ASSOC TO BENEFIT CHILDREN</t>
  </si>
  <si>
    <t>1841 PARK AVE # C/92041201</t>
  </si>
  <si>
    <t>LANE, JOSEPH M</t>
  </si>
  <si>
    <t>E0238726</t>
  </si>
  <si>
    <t>LANE JOSEPH M</t>
  </si>
  <si>
    <t>LANE JOSEPH</t>
  </si>
  <si>
    <t>JOKL-KAUFFMAN, DAN H</t>
  </si>
  <si>
    <t>E0275769</t>
  </si>
  <si>
    <t>JOKL DAN HIRSCH-KAUFFMANN</t>
  </si>
  <si>
    <t>JOKL DAN DR.</t>
  </si>
  <si>
    <t>SCHER, DAVID M</t>
  </si>
  <si>
    <t xml:space="preserve">ABRISHAMI, MICHAEL </t>
  </si>
  <si>
    <t>E0001934</t>
  </si>
  <si>
    <t>ABRISHAMI MICHAEL</t>
  </si>
  <si>
    <t>MASO, MARTHA J</t>
  </si>
  <si>
    <t>E0017387</t>
  </si>
  <si>
    <t>MASO MARTHA</t>
  </si>
  <si>
    <t>MASO MARTHA DR.</t>
  </si>
  <si>
    <t>EGGERS, HOWARD M</t>
  </si>
  <si>
    <t>E0234931</t>
  </si>
  <si>
    <t>EGGERS HOWARD M            MD</t>
  </si>
  <si>
    <t>EGGERS HOWARD</t>
  </si>
  <si>
    <t>MARIS, PETER J.G.</t>
  </si>
  <si>
    <t>E0024774</t>
  </si>
  <si>
    <t>MARIS JR PETER J G MD</t>
  </si>
  <si>
    <t>MARIS PETER DR.</t>
  </si>
  <si>
    <t>MARIS PETER J G JR MD</t>
  </si>
  <si>
    <t>HOLLOWAY, RAYMOND A</t>
  </si>
  <si>
    <t>E0293996</t>
  </si>
  <si>
    <t>HOLLOWAY RAYMOND</t>
  </si>
  <si>
    <t>HOLLOWAY RAYMOND MR.</t>
  </si>
  <si>
    <t>TOWER 503 E 70 ST 1F</t>
  </si>
  <si>
    <t>Children's Rehabiliation Center</t>
  </si>
  <si>
    <t>KEATING, CLAIRE L</t>
  </si>
  <si>
    <t>E0293047</t>
  </si>
  <si>
    <t>KEATING CLAIR</t>
  </si>
  <si>
    <t>KEATING CLAIRE</t>
  </si>
  <si>
    <t>KEATING CLAIRE  MD</t>
  </si>
  <si>
    <t>OUCHIDA, KARIN E</t>
  </si>
  <si>
    <t>E0012043</t>
  </si>
  <si>
    <t>OUCHIDA KARIN-ELIZABETH MICHELLE MD</t>
  </si>
  <si>
    <t>OUCHIDA KARIN-ELIZABETH DR.</t>
  </si>
  <si>
    <t>Mansukhani Mahesh</t>
  </si>
  <si>
    <t>E0013894</t>
  </si>
  <si>
    <t>MANSUKHANI MAHESH</t>
  </si>
  <si>
    <t>MANSUKHANI MAHESH DR.</t>
  </si>
  <si>
    <t>Hod Eldad</t>
  </si>
  <si>
    <t>E0314133</t>
  </si>
  <si>
    <t>HOD ELDAD</t>
  </si>
  <si>
    <t>Kratz Alexander</t>
  </si>
  <si>
    <t>E0008930</t>
  </si>
  <si>
    <t>KRATZ ALEXANDER</t>
  </si>
  <si>
    <t>KRATZ ALEXANDER DR.</t>
  </si>
  <si>
    <t>Silverberg Lynn</t>
  </si>
  <si>
    <t>E0088937</t>
  </si>
  <si>
    <t>SILVERBERG LYNN R</t>
  </si>
  <si>
    <t>SILVERBERG LYNN MRS.</t>
  </si>
  <si>
    <t>Sorrel-Mosk Gail</t>
  </si>
  <si>
    <t>E0129275</t>
  </si>
  <si>
    <t>SORREL-MOSK GAIL P MD</t>
  </si>
  <si>
    <t>SORREL-MOSK GAIL DR.</t>
  </si>
  <si>
    <t>Pickering Sean</t>
  </si>
  <si>
    <t>E0106633</t>
  </si>
  <si>
    <t>PICKERING SEAN P MD</t>
  </si>
  <si>
    <t>PICKERING SEAN</t>
  </si>
  <si>
    <t>PICKERING SEAN PIERRE MD</t>
  </si>
  <si>
    <t>Hansberry Shawn</t>
  </si>
  <si>
    <t>HANSBERRY SHAWN DR.</t>
  </si>
  <si>
    <t>2301 ERWIN ROAD</t>
  </si>
  <si>
    <t>SINGH, HARJOT K</t>
  </si>
  <si>
    <t>E0041138</t>
  </si>
  <si>
    <t>SINGH HARJOT KAUR MD</t>
  </si>
  <si>
    <t>SINGH HARJOT DR.</t>
  </si>
  <si>
    <t>Simon Jeremy</t>
  </si>
  <si>
    <t>E0106430</t>
  </si>
  <si>
    <t>ROSENBAUM SIMON JEREMY MD</t>
  </si>
  <si>
    <t>ROSENBAUM SIMON JEREMY</t>
  </si>
  <si>
    <t>Canals-Ferrat Pedro</t>
  </si>
  <si>
    <t>E0111725</t>
  </si>
  <si>
    <t>CANALS-FERRAT PEDRO MD</t>
  </si>
  <si>
    <t>CANALS-FERRAT PEDRO</t>
  </si>
  <si>
    <t>Chin Jeffrey</t>
  </si>
  <si>
    <t>E0308419</t>
  </si>
  <si>
    <t>CHIN JEFFREY YEE-SOON MD</t>
  </si>
  <si>
    <t>CHIN JEFFREY DR.</t>
  </si>
  <si>
    <t>Chisolm Douglas</t>
  </si>
  <si>
    <t>CHISOLM DOUGLAS</t>
  </si>
  <si>
    <t>Choi Sandra</t>
  </si>
  <si>
    <t>Crowell Kathleen</t>
  </si>
  <si>
    <t>CROWELL KATHLEEN</t>
  </si>
  <si>
    <t>Palanivel Vikram</t>
  </si>
  <si>
    <t>E0349102</t>
  </si>
  <si>
    <t>PALANIVEL VIKRAM</t>
  </si>
  <si>
    <t>PALANIVEL VIKRAM RATHNAM</t>
  </si>
  <si>
    <t>WILLIAMS, DANIEL T</t>
  </si>
  <si>
    <t>E0260625</t>
  </si>
  <si>
    <t>WILLIAMS DANIEL T          MD</t>
  </si>
  <si>
    <t>WILLIAMS DANIEL DR.</t>
  </si>
  <si>
    <t>Lombardi-Karl Laura</t>
  </si>
  <si>
    <t>LOMBARDI LAURA</t>
  </si>
  <si>
    <t>Ko Riva</t>
  </si>
  <si>
    <t>E0057669</t>
  </si>
  <si>
    <t>AKERMAN RIVA R MD</t>
  </si>
  <si>
    <t>KO RIVA DR.</t>
  </si>
  <si>
    <t>KO RIVA RACHEL  MD</t>
  </si>
  <si>
    <t>Kubacki Tatiana</t>
  </si>
  <si>
    <t>E0041146</t>
  </si>
  <si>
    <t>KUBACKI TATIANA MD</t>
  </si>
  <si>
    <t>KUBACKI TATIANA DR.</t>
  </si>
  <si>
    <t>NY PRESBY HSP</t>
  </si>
  <si>
    <t xml:space="preserve">JAN, HELEN </t>
  </si>
  <si>
    <t>E0376384</t>
  </si>
  <si>
    <t>JAN HELEN</t>
  </si>
  <si>
    <t>GESKIN, LARISA J</t>
  </si>
  <si>
    <t>E0081120</t>
  </si>
  <si>
    <t>GESKIN LARISA MD</t>
  </si>
  <si>
    <t>GESKIN LARISA DR.</t>
  </si>
  <si>
    <t>GESKIN LARISA</t>
  </si>
  <si>
    <t>3601 5TH AVE</t>
  </si>
  <si>
    <t>BASNER, ROBERT C</t>
  </si>
  <si>
    <t>E0099199</t>
  </si>
  <si>
    <t>BASNER ROBERT CHARLES MD</t>
  </si>
  <si>
    <t>BASNER ROBERT DR.</t>
  </si>
  <si>
    <t>RUIZ, PETER R</t>
  </si>
  <si>
    <t>E0393146</t>
  </si>
  <si>
    <t>TRUSTEES OF COLUMBIA UNIVERSITY IN THE DEPARTMENT OF OTOLARYNGOLOGY</t>
  </si>
  <si>
    <t>180 FORT WASHINGTON AVE FL 7</t>
  </si>
  <si>
    <t>E0048369</t>
  </si>
  <si>
    <t>SIROTA, DANA R</t>
  </si>
  <si>
    <t>E0297888</t>
  </si>
  <si>
    <t>SIROTA DANA REINE</t>
  </si>
  <si>
    <t>SIROTA DANA DR.</t>
  </si>
  <si>
    <t>Stephen Brand, PhD</t>
  </si>
  <si>
    <t>(212) 942-8505</t>
  </si>
  <si>
    <t>BRAND STEPHEN DR.</t>
  </si>
  <si>
    <t>Barbara Brown, RN</t>
  </si>
  <si>
    <t>E0361770</t>
  </si>
  <si>
    <t>BROWN BARBARA R</t>
  </si>
  <si>
    <t>(212) 942-8506</t>
  </si>
  <si>
    <t>BROWN BARBARA MISS</t>
  </si>
  <si>
    <t>SALTZMAN, STEVEN P</t>
  </si>
  <si>
    <t>SALTZMAN STEVEN DR.</t>
  </si>
  <si>
    <t>2323 AVENUE R</t>
  </si>
  <si>
    <t>Laura Polania, MD</t>
  </si>
  <si>
    <t>(212) 942-8527</t>
  </si>
  <si>
    <t xml:space="preserve">GRUNSTEIN, ELI </t>
  </si>
  <si>
    <t>E0020004</t>
  </si>
  <si>
    <t>GRUNSTEIN ELI MD</t>
  </si>
  <si>
    <t>GRUNSTEIN ELI</t>
  </si>
  <si>
    <t>Mennitt Kevin</t>
  </si>
  <si>
    <t>E0061489</t>
  </si>
  <si>
    <t>MENNITT KEVIN</t>
  </si>
  <si>
    <t>MENNITT KEVIN DR.</t>
  </si>
  <si>
    <t>TRAUB, REBECCA E</t>
  </si>
  <si>
    <t>E0327990</t>
  </si>
  <si>
    <t>TRAUB REBECCA</t>
  </si>
  <si>
    <t>TRAUB REBECCA DR.</t>
  </si>
  <si>
    <t>Bostwick, Susan B</t>
  </si>
  <si>
    <t>E0125505</t>
  </si>
  <si>
    <t>BOSTWICK SUSAN B MD</t>
  </si>
  <si>
    <t>BOSTWICK SUSAN</t>
  </si>
  <si>
    <t xml:space="preserve">CARRILLO, JUAN EMILIO </t>
  </si>
  <si>
    <t>E0134446</t>
  </si>
  <si>
    <t>CARRILLO JUAN EMILIO MD</t>
  </si>
  <si>
    <t>CARRILLO JUAN</t>
  </si>
  <si>
    <t>212 E 69TH ST</t>
  </si>
  <si>
    <t>FARRAND, ERICA D</t>
  </si>
  <si>
    <t>E0355527</t>
  </si>
  <si>
    <t>FARRAND ERICA</t>
  </si>
  <si>
    <t>FARRAND ERICA DR.</t>
  </si>
  <si>
    <t>575 WEST 181ST STREE</t>
  </si>
  <si>
    <t>LOGIO, LIA S</t>
  </si>
  <si>
    <t>E0086853</t>
  </si>
  <si>
    <t>LOGIO LIA SUZANNE</t>
  </si>
  <si>
    <t>LOGIO LIA DR.</t>
  </si>
  <si>
    <t>MARKOWITZ, STEVEN M</t>
  </si>
  <si>
    <t>E0163902</t>
  </si>
  <si>
    <t>MARKOWITZ STEVEN M  MD</t>
  </si>
  <si>
    <t>MARKOWITZ STEVEN</t>
  </si>
  <si>
    <t>MARKOWITZ STEVEN MATTHEW</t>
  </si>
  <si>
    <t>CARDIOLOGY ASSOC ST4</t>
  </si>
  <si>
    <t xml:space="preserve">KIM, HEAKYUNG </t>
  </si>
  <si>
    <t>COLUMBIA RADIOLOGY AT LAWRENCE</t>
  </si>
  <si>
    <t>Soun Jennifer</t>
  </si>
  <si>
    <t>SOUN JENNIFER DR.</t>
  </si>
  <si>
    <t>180 FORT WASHINGTON AVE, 3RD FLOOR</t>
  </si>
  <si>
    <t>St. Amour Edgar</t>
  </si>
  <si>
    <t>ST. AMOUR EDGAR</t>
  </si>
  <si>
    <t>622 W 168TH ST, PH-1 RADIOLOGY</t>
  </si>
  <si>
    <t>DE MENTO, FRANK J</t>
  </si>
  <si>
    <t>E0278528</t>
  </si>
  <si>
    <t>DE MENTO FRANK J           MD</t>
  </si>
  <si>
    <t>DEMENTO FRANK</t>
  </si>
  <si>
    <t>Citymeals on Wheels</t>
  </si>
  <si>
    <t>Rachel Sherrow</t>
  </si>
  <si>
    <t>(212) 687-1234</t>
  </si>
  <si>
    <t>rachel@citymeals.org</t>
  </si>
  <si>
    <t>355 Lexington Ave</t>
  </si>
  <si>
    <t>Kirschenbaum Shoshana</t>
  </si>
  <si>
    <t>Kiselev Michael</t>
  </si>
  <si>
    <t>E0091464</t>
  </si>
  <si>
    <t>KISELEV MICHAEL MD</t>
  </si>
  <si>
    <t>KISELEV MICHAEL</t>
  </si>
  <si>
    <t>Feldman Daniel</t>
  </si>
  <si>
    <t>E0455073</t>
  </si>
  <si>
    <t>FELDMAN DANIEL</t>
  </si>
  <si>
    <t>Fisher Andrew</t>
  </si>
  <si>
    <t>FISHER ANDREW DR.</t>
  </si>
  <si>
    <t>HENRY, ERICA D</t>
  </si>
  <si>
    <t>E0303433</t>
  </si>
  <si>
    <t>HENRY ERICA DENISE</t>
  </si>
  <si>
    <t>HENRY ERICA MS.</t>
  </si>
  <si>
    <t>525 E 68TH ST, BOX 585</t>
  </si>
  <si>
    <t>E0057729</t>
  </si>
  <si>
    <t>E0154314</t>
  </si>
  <si>
    <t># STARR-455</t>
  </si>
  <si>
    <t>525 E 68TH ST, ST. 505</t>
  </si>
  <si>
    <t>E0296361</t>
  </si>
  <si>
    <t>WEILL MED COLLEGE OF CORNELL UNIV</t>
  </si>
  <si>
    <t>Lee Ka-Eun</t>
  </si>
  <si>
    <t>E0383165</t>
  </si>
  <si>
    <t>LEE KA-EUN</t>
  </si>
  <si>
    <t>LEE KA-EUN MELISSA</t>
  </si>
  <si>
    <t>Stancato-Pasik Agata</t>
  </si>
  <si>
    <t>E0179335</t>
  </si>
  <si>
    <t>STANCATO-PASIK AGATA  MD</t>
  </si>
  <si>
    <t>STANCATO-PASIK AGATA</t>
  </si>
  <si>
    <t>Gobin Yves</t>
  </si>
  <si>
    <t>E0079250</t>
  </si>
  <si>
    <t>GOBIN YVES PIERRE MD</t>
  </si>
  <si>
    <t>GOBIN YVES</t>
  </si>
  <si>
    <t>NYH-CUMC RADIOLOGY G</t>
  </si>
  <si>
    <t>Meyers Philip</t>
  </si>
  <si>
    <t>E0081077</t>
  </si>
  <si>
    <t>MEYERS PHILIP M MD</t>
  </si>
  <si>
    <t>MEYERS PHILIP</t>
  </si>
  <si>
    <t>Chheang Sophie</t>
  </si>
  <si>
    <t>E0355705</t>
  </si>
  <si>
    <t>CHHEANG SOPHIE</t>
  </si>
  <si>
    <t>Bassik Noy</t>
  </si>
  <si>
    <t>BASSIK NOY</t>
  </si>
  <si>
    <t>525 E 68TH ST, BOX 141 ATTENTION: RADIOLOGY RESIDENCY</t>
  </si>
  <si>
    <t>Bratt Alexander</t>
  </si>
  <si>
    <t>BRATT ALEXANDER MR.</t>
  </si>
  <si>
    <t>Pandey Nisheeth</t>
  </si>
  <si>
    <t>PANDEY NISHEETH MR.</t>
  </si>
  <si>
    <t>WYNN, RALPH</t>
  </si>
  <si>
    <t>E0327713</t>
  </si>
  <si>
    <t>WYNN RALPH T</t>
  </si>
  <si>
    <t>(212) 305-1359</t>
  </si>
  <si>
    <t>WYNN RALPH</t>
  </si>
  <si>
    <t>CORNELL UNIVERSITY MEDICAL COLLEGE</t>
  </si>
  <si>
    <t>525 E 68TH ST, SUITE M014</t>
  </si>
  <si>
    <t>525 E 68TH ST, F838A S.PELTON</t>
  </si>
  <si>
    <t>CAMPBELL, MELANIE</t>
  </si>
  <si>
    <t>E0341732</t>
  </si>
  <si>
    <t>CAMPBELL MELANIE ELIZABETH</t>
  </si>
  <si>
    <t>CAMPBELL MELANIE</t>
  </si>
  <si>
    <t>Khilnani Neil</t>
  </si>
  <si>
    <t>E0174753</t>
  </si>
  <si>
    <t>KHILNANI NEIL M MD</t>
  </si>
  <si>
    <t>KHILNANI NEIL</t>
  </si>
  <si>
    <t>Li David</t>
  </si>
  <si>
    <t>E0349105</t>
  </si>
  <si>
    <t>LI DAVID</t>
  </si>
  <si>
    <t>LI DAVID DR.</t>
  </si>
  <si>
    <t>Mehta Alpesh</t>
  </si>
  <si>
    <t>E0383117</t>
  </si>
  <si>
    <t>MEHTA ALPESH</t>
  </si>
  <si>
    <t>MEHTA ALPESH ASHWIN</t>
  </si>
  <si>
    <t>Staron Ronald</t>
  </si>
  <si>
    <t>E0203815</t>
  </si>
  <si>
    <t>STARON RONALD B            MD</t>
  </si>
  <si>
    <t>STARON RONALD</t>
  </si>
  <si>
    <t>Hodges J</t>
  </si>
  <si>
    <t>E0110062</t>
  </si>
  <si>
    <t>HODGES JOANNE K MD</t>
  </si>
  <si>
    <t>HODGES JOANNE</t>
  </si>
  <si>
    <t>Abdo Farid</t>
  </si>
  <si>
    <t>Li Jinglan</t>
  </si>
  <si>
    <t>LI JINGLAN</t>
  </si>
  <si>
    <t>69 GOLD ST APT 4D</t>
  </si>
  <si>
    <t>Ahmad Aziz</t>
  </si>
  <si>
    <t>E0069953</t>
  </si>
  <si>
    <t>AHMAD AZIZ MD</t>
  </si>
  <si>
    <t>AHMAD AZIZ</t>
  </si>
  <si>
    <t>Goss Cheryl</t>
  </si>
  <si>
    <t>E0292955</t>
  </si>
  <si>
    <t>GOSS CHERYL</t>
  </si>
  <si>
    <t>(212) 305-1238</t>
  </si>
  <si>
    <t>GOSS CHERYL DR.</t>
  </si>
  <si>
    <t>GOSS CHERYL ANNE</t>
  </si>
  <si>
    <t>Hayden Joshua</t>
  </si>
  <si>
    <t>(212) 305-1239</t>
  </si>
  <si>
    <t>HAYDEN JOSHUA</t>
  </si>
  <si>
    <t>1959 NE PACIFIC ST, NW120</t>
  </si>
  <si>
    <t>Graboff Dave</t>
  </si>
  <si>
    <t>GRABOFF DAVID</t>
  </si>
  <si>
    <t>1423 CHAPEL ST</t>
  </si>
  <si>
    <t>Greco Michael</t>
  </si>
  <si>
    <t>GRECO MICHAEL</t>
  </si>
  <si>
    <t>Gschossmann Sonja</t>
  </si>
  <si>
    <t>GSCHOSSMANN SONJA</t>
  </si>
  <si>
    <t>Gurvitch Dana</t>
  </si>
  <si>
    <t>E0132650</t>
  </si>
  <si>
    <t>GURVITCH DANA LYNN</t>
  </si>
  <si>
    <t>GURVITCH DANA DR.</t>
  </si>
  <si>
    <t>Gutzler Marcus</t>
  </si>
  <si>
    <t>E0036704</t>
  </si>
  <si>
    <t>GUTZLER MARCUS MD</t>
  </si>
  <si>
    <t>GUTZLER MARCUS</t>
  </si>
  <si>
    <t>Halleran Kerry</t>
  </si>
  <si>
    <t>HALLERAN KERRY MS.</t>
  </si>
  <si>
    <t>Halpern Neil</t>
  </si>
  <si>
    <t>E0351235</t>
  </si>
  <si>
    <t>HALPERN NEIL A</t>
  </si>
  <si>
    <t>HALPERN NEIL</t>
  </si>
  <si>
    <t>Hames Brooke</t>
  </si>
  <si>
    <t>HAMES BROOKE MRS.</t>
  </si>
  <si>
    <t>223 HAMPSHIRE DOWNS DR</t>
  </si>
  <si>
    <t>RUTMAN, MATTHEW P</t>
  </si>
  <si>
    <t>E0035645</t>
  </si>
  <si>
    <t>RUTMAN MATTHEW P MD</t>
  </si>
  <si>
    <t>RUTMAN MATTHEW</t>
  </si>
  <si>
    <t>ST VINCENT DE PAUL RESIDENCE ASSIST (ALF)</t>
  </si>
  <si>
    <t>E0344666</t>
  </si>
  <si>
    <t>ST VINCENT DE PAUL RESIDENCE ASSIST</t>
  </si>
  <si>
    <t xml:space="preserve">eeng@archcare.org </t>
  </si>
  <si>
    <t>JACOBS, THOMAS P</t>
  </si>
  <si>
    <t>E0154774</t>
  </si>
  <si>
    <t>JACOBS THOMAS P MD</t>
  </si>
  <si>
    <t>JACOBS THOMAS DR.</t>
  </si>
  <si>
    <t>YUNAKOV, MICHAEL J</t>
  </si>
  <si>
    <t>E0111238</t>
  </si>
  <si>
    <t>YUNAKOV MICHAEL</t>
  </si>
  <si>
    <t>KUO, JOYCE S</t>
  </si>
  <si>
    <t>E0350474</t>
  </si>
  <si>
    <t>KUO JOYCE</t>
  </si>
  <si>
    <t>KUO JOYCE DR.</t>
  </si>
  <si>
    <t>Barajas Matthew</t>
  </si>
  <si>
    <t>BARAJAS MATTHEW</t>
  </si>
  <si>
    <t>Pulijaal Venkat</t>
  </si>
  <si>
    <t>PULIJAAL VENKAT DR.</t>
  </si>
  <si>
    <t>462 1ST AVE, BELLEVUE HOSPITAL</t>
  </si>
  <si>
    <t>Suissa Zohra</t>
  </si>
  <si>
    <t>E0382373</t>
  </si>
  <si>
    <t>SUISSA ZOHRA</t>
  </si>
  <si>
    <t>NICOLE CRUZ</t>
  </si>
  <si>
    <t>CRUZ NICOLE</t>
  </si>
  <si>
    <t>ROGELIO CRUZ</t>
  </si>
  <si>
    <t>E0442667</t>
  </si>
  <si>
    <t>CRUZ ROGELIO</t>
  </si>
  <si>
    <t>CRUZ ROGELIO MR.</t>
  </si>
  <si>
    <t>AMANDA DEMAURO</t>
  </si>
  <si>
    <t>RENAGHAN AMANDA DR.</t>
  </si>
  <si>
    <t>VINICIUS DOMINGUES</t>
  </si>
  <si>
    <t>COSTADINIZ DOMINGUES VINICIUS DR.</t>
  </si>
  <si>
    <t>CARRIE DOWN</t>
  </si>
  <si>
    <t>E0435168</t>
  </si>
  <si>
    <t>DOWN CARRIE MICHELLE</t>
  </si>
  <si>
    <t>DOWN CARRIE</t>
  </si>
  <si>
    <t>DOWN CARRIE MICHELE</t>
  </si>
  <si>
    <t>JASON DUKES</t>
  </si>
  <si>
    <t>E0421438</t>
  </si>
  <si>
    <t>DUKES JASON COREY</t>
  </si>
  <si>
    <t>DUKES JASON</t>
  </si>
  <si>
    <t>ANDREW DUNBAR</t>
  </si>
  <si>
    <t>DUNBAR ANDREW</t>
  </si>
  <si>
    <t>DANIEL EDMONSTON</t>
  </si>
  <si>
    <t>EDMONSTON DANIEL</t>
  </si>
  <si>
    <t>EMILY EICHENBERGER</t>
  </si>
  <si>
    <t>EICHENBERGER EMILY</t>
  </si>
  <si>
    <t>GUILLERMO ESPINOZA</t>
  </si>
  <si>
    <t>ESPINOZA GUILLERMO DR.</t>
  </si>
  <si>
    <t>JOHN FERRARONE</t>
  </si>
  <si>
    <t>E0433413</t>
  </si>
  <si>
    <t>FERRARONE JOHN ROBERT</t>
  </si>
  <si>
    <t>FERRARONE JOHN DR.</t>
  </si>
  <si>
    <t>MARISSA FRIEDMAN</t>
  </si>
  <si>
    <t>RYBSTEIN MARISSA</t>
  </si>
  <si>
    <t>MICHAEL GAO</t>
  </si>
  <si>
    <t>GAO MICHAEL</t>
  </si>
  <si>
    <t>JOSHUA GELERIS</t>
  </si>
  <si>
    <t>GELERIS JOSHUA</t>
  </si>
  <si>
    <t>HSU, ANDREW</t>
  </si>
  <si>
    <t>E0350996</t>
  </si>
  <si>
    <t>HSU ANDREW CHUNG-PI</t>
  </si>
  <si>
    <t>(212) 305-1258</t>
  </si>
  <si>
    <t>HSU ANDREW</t>
  </si>
  <si>
    <t>9200 W WISCONSIN AVE</t>
  </si>
  <si>
    <t>UYTTENDAELE, HENDRIK I</t>
  </si>
  <si>
    <t>E0053836</t>
  </si>
  <si>
    <t>UYTTENDAELE HENDRIK</t>
  </si>
  <si>
    <t>UYTTENDAELE HENDRIK DR.</t>
  </si>
  <si>
    <t>Zhao, Jingbo</t>
  </si>
  <si>
    <t>Union Settlement Association</t>
  </si>
  <si>
    <t>David Nocenti</t>
  </si>
  <si>
    <t>(212) 828-6046</t>
  </si>
  <si>
    <t>dnocenti@unionsettlement.org</t>
  </si>
  <si>
    <t>SUAREZ, MONICA I</t>
  </si>
  <si>
    <t>E0355549</t>
  </si>
  <si>
    <t>SUAREZ MONICA</t>
  </si>
  <si>
    <t>SUAREZ MONICA INEZ</t>
  </si>
  <si>
    <t>YIN, MICHAEL T</t>
  </si>
  <si>
    <t>E0098987</t>
  </si>
  <si>
    <t>YIN MICHAEL TING-PONG MD</t>
  </si>
  <si>
    <t>YIN MICHAEL DR.</t>
  </si>
  <si>
    <t>WISLER, DARYL J</t>
  </si>
  <si>
    <t>E0038962</t>
  </si>
  <si>
    <t>WISLER-SCHER DARYL</t>
  </si>
  <si>
    <t>WISLER DARYL DR.</t>
  </si>
  <si>
    <t xml:space="preserve">BRESGI, IVAN </t>
  </si>
  <si>
    <t>E0118947</t>
  </si>
  <si>
    <t>BRESGI IVAN</t>
  </si>
  <si>
    <t>BRESGI IVAN DR.</t>
  </si>
  <si>
    <t>FRATTINI, MARK</t>
  </si>
  <si>
    <t>E0343637</t>
  </si>
  <si>
    <t>FRATTINI MARK G</t>
  </si>
  <si>
    <t>FRATTINI MARK</t>
  </si>
  <si>
    <t>Memoudou Abalola</t>
  </si>
  <si>
    <t>(212) 752-4974</t>
  </si>
  <si>
    <t>BANK, DAVID A</t>
  </si>
  <si>
    <t>E0369271</t>
  </si>
  <si>
    <t>BANK DAVID</t>
  </si>
  <si>
    <t>BANK DAVID DR.</t>
  </si>
  <si>
    <t>BEUTLER, HEIDI E</t>
  </si>
  <si>
    <t>E0185604</t>
  </si>
  <si>
    <t>BEUTLER HEIDI MD</t>
  </si>
  <si>
    <t>BEUTLER HEIDI DR.</t>
  </si>
  <si>
    <t>BROADWAY ACNC</t>
  </si>
  <si>
    <t>REID, MANNEY C</t>
  </si>
  <si>
    <t>E0063538</t>
  </si>
  <si>
    <t>REID MANNEY C JR MD</t>
  </si>
  <si>
    <t>REID MANNEY</t>
  </si>
  <si>
    <t>I.S. WRIGHT CENTER</t>
  </si>
  <si>
    <t xml:space="preserve">SRINIVASAN, SHRADDHA </t>
  </si>
  <si>
    <t>E0326941</t>
  </si>
  <si>
    <t>SRINIVASAN SHRADDHA</t>
  </si>
  <si>
    <t>SRINIVASAN SHRADDHA DR.</t>
  </si>
  <si>
    <t xml:space="preserve">CHANDRA, SUBANI </t>
  </si>
  <si>
    <t>E0326774</t>
  </si>
  <si>
    <t>CHANDRA SUBANI</t>
  </si>
  <si>
    <t>CHANDRA SUBANI DR.</t>
  </si>
  <si>
    <t>Chan, Angela Mei</t>
  </si>
  <si>
    <t>ANG, VIVIEN JEAN T</t>
  </si>
  <si>
    <t>E0007257</t>
  </si>
  <si>
    <t>VIVIEN JEAN ANG</t>
  </si>
  <si>
    <t>ANG VIVIEN JEAN</t>
  </si>
  <si>
    <t xml:space="preserve">CATALLOZZI, MARINA </t>
  </si>
  <si>
    <t>E0097828</t>
  </si>
  <si>
    <t>CATALLOZZI MARINA MD</t>
  </si>
  <si>
    <t>CATALLOZZI MARINA DR.</t>
  </si>
  <si>
    <t>PRESBYTERIAN HSP CITY OF NY</t>
  </si>
  <si>
    <t>Service program for older people - Outpatient mental health clinic - Stanley Isaacs Center</t>
  </si>
  <si>
    <t>ROSENBAUM, EDWARD A</t>
  </si>
  <si>
    <t>E0101650</t>
  </si>
  <si>
    <t>ROSENBAUM EDWARD</t>
  </si>
  <si>
    <t>ROSENBAUM EDWARD DR.</t>
  </si>
  <si>
    <t>Village Center for Care Home Care</t>
  </si>
  <si>
    <t>Northside Center for Child Development, Inc (Multiple locations)</t>
  </si>
  <si>
    <t>Jean Holland, MD</t>
  </si>
  <si>
    <t xml:space="preserve">GONTER, NEIL </t>
  </si>
  <si>
    <t>E0038752</t>
  </si>
  <si>
    <t>GONTER NEIL</t>
  </si>
  <si>
    <t>GONTER NEIL JEFFREY</t>
  </si>
  <si>
    <t>1415 QUEEN ANNE RD</t>
  </si>
  <si>
    <t>BOQUIN, CYRUS A</t>
  </si>
  <si>
    <t>E0018836</t>
  </si>
  <si>
    <t>BOQUIN CYRUS AMIR MD</t>
  </si>
  <si>
    <t>BOQUIN CYRUS DR.</t>
  </si>
  <si>
    <t>Glodowski Seth</t>
  </si>
  <si>
    <t>GLODOWSKI SETH</t>
  </si>
  <si>
    <t>Gottlieb David</t>
  </si>
  <si>
    <t>E0427210</t>
  </si>
  <si>
    <t>GOTTLIEB DAVID</t>
  </si>
  <si>
    <t>Griffiths Keren</t>
  </si>
  <si>
    <t>GRIFFITHS KEREN</t>
  </si>
  <si>
    <t>525 E 68TH ST, BOX#312</t>
  </si>
  <si>
    <t>CANTOR, MATTHEW</t>
  </si>
  <si>
    <t>E0355787</t>
  </si>
  <si>
    <t>CANTOR MATTHEW DAVID</t>
  </si>
  <si>
    <t>CANTOR MATTHEW DR.</t>
  </si>
  <si>
    <t>CERVINI, CHRISTINE</t>
  </si>
  <si>
    <t>E0330186</t>
  </si>
  <si>
    <t>CERVINI CHRISTINE MARIE</t>
  </si>
  <si>
    <t>CERVINI CHRISTINE MS.</t>
  </si>
  <si>
    <t>Cassis Henry, MD</t>
  </si>
  <si>
    <t>(212) 942-8515</t>
  </si>
  <si>
    <t>Duren Andrew</t>
  </si>
  <si>
    <t>DUREN ANDREW</t>
  </si>
  <si>
    <t>Brill Paula</t>
  </si>
  <si>
    <t>E0250771</t>
  </si>
  <si>
    <t>BRILL PAULA                MD</t>
  </si>
  <si>
    <t>BRILL PAULA</t>
  </si>
  <si>
    <t>Kovanlikaya Arzu</t>
  </si>
  <si>
    <t>E0001328</t>
  </si>
  <si>
    <t>KOVANLIKAYA ARZU MD</t>
  </si>
  <si>
    <t>KOVANLIKAYA ARZU</t>
  </si>
  <si>
    <t>Nagy Peter</t>
  </si>
  <si>
    <t>E0318175</t>
  </si>
  <si>
    <t>NAGY PETER</t>
  </si>
  <si>
    <t>Long Yang</t>
  </si>
  <si>
    <t>LONG YANG</t>
  </si>
  <si>
    <t>622 W 168TH ST, PH5-133, NEW YORK PRESBYTERIAN HOSPITAL, DEPT OF ANESTHESIOLOGY</t>
  </si>
  <si>
    <t>NOVOGRODER, MICHAEL</t>
  </si>
  <si>
    <t>E0214678</t>
  </si>
  <si>
    <t>NOVOGRODER MICHAEL</t>
  </si>
  <si>
    <t>(212) 305-1306</t>
  </si>
  <si>
    <t>O-BRIEN, MEGHAN</t>
  </si>
  <si>
    <t>E0317795</t>
  </si>
  <si>
    <t>MEGHAN OBRIEN</t>
  </si>
  <si>
    <t>(212) 305-1308</t>
  </si>
  <si>
    <t>OBRIEN MEGHAN</t>
  </si>
  <si>
    <t>OBRIEN MEGHAN MARY</t>
  </si>
  <si>
    <t>O-NEIL, SARAH</t>
  </si>
  <si>
    <t>E0356870</t>
  </si>
  <si>
    <t>ONEIL SARAH CAITLIN</t>
  </si>
  <si>
    <t>(212) 305-1309</t>
  </si>
  <si>
    <t>O'NEIL SARAH MS.</t>
  </si>
  <si>
    <t>1305 YORK AVE FL 4</t>
  </si>
  <si>
    <t>Johnston Taylor</t>
  </si>
  <si>
    <t>E0009526</t>
  </si>
  <si>
    <t>JOHNSTON TAYLOR A MD</t>
  </si>
  <si>
    <t>JOHNSTON TAYLOR DR.</t>
  </si>
  <si>
    <t>Kachulis Bessie</t>
  </si>
  <si>
    <t>E0089932</t>
  </si>
  <si>
    <t>KACHULIS BESSIE MD</t>
  </si>
  <si>
    <t>KACHULIS BESSIE DR.</t>
  </si>
  <si>
    <t>Lo Sansan</t>
  </si>
  <si>
    <t>E0299192</t>
  </si>
  <si>
    <t>LO SANSAN SHELLEY MD</t>
  </si>
  <si>
    <t>LO SANSAN DR.</t>
  </si>
  <si>
    <t>Mulaikal Teresa</t>
  </si>
  <si>
    <t>E0352623</t>
  </si>
  <si>
    <t>MULAIKAL TERESA ANITA</t>
  </si>
  <si>
    <t>MULAIKAL TERESA</t>
  </si>
  <si>
    <t>Nishanian Ervant</t>
  </si>
  <si>
    <t>E0085751</t>
  </si>
  <si>
    <t>NISHANIAN ERVANT VAHE MD</t>
  </si>
  <si>
    <t>NISHANIAN ERVANT</t>
  </si>
  <si>
    <t>Reichman Melissa</t>
  </si>
  <si>
    <t>E0320130</t>
  </si>
  <si>
    <t>MELISSA BIRNBAUM REICHMAN</t>
  </si>
  <si>
    <t>REICHMAN MELISSA</t>
  </si>
  <si>
    <t>REICHMAN MELISSA BIRNBAUM</t>
  </si>
  <si>
    <t>Frisby Xenia</t>
  </si>
  <si>
    <t>E0293220</t>
  </si>
  <si>
    <t>XENIA YVETTE FRISBY</t>
  </si>
  <si>
    <t>FRISBY XENIA</t>
  </si>
  <si>
    <t>FRISBY XENIA YVETTE MD</t>
  </si>
  <si>
    <t>Joseph Julie</t>
  </si>
  <si>
    <t>E0019689</t>
  </si>
  <si>
    <t>JOSEPH JULIE T MD</t>
  </si>
  <si>
    <t>JOSEPH JULIE</t>
  </si>
  <si>
    <t>Bhasin Vikram</t>
  </si>
  <si>
    <t>BHASIN VIKRAM</t>
  </si>
  <si>
    <t>22 S GREENE ST, N3E09</t>
  </si>
  <si>
    <t>Boparai Harmandeep</t>
  </si>
  <si>
    <t>BOPARAI HARMANDEEP</t>
  </si>
  <si>
    <t>525 E 68TH ST RM M-312</t>
  </si>
  <si>
    <t>Bowen Robert</t>
  </si>
  <si>
    <t>BOWEN ROBERT</t>
  </si>
  <si>
    <t>Bracken Donna</t>
  </si>
  <si>
    <t>E0451949</t>
  </si>
  <si>
    <t>BRACKEN DONNA</t>
  </si>
  <si>
    <t>BRACKEN DONNA DR.</t>
  </si>
  <si>
    <t>Brar Jasmit</t>
  </si>
  <si>
    <t>BRAR JASMIT</t>
  </si>
  <si>
    <t>5614 DAVIS FORD RD</t>
  </si>
  <si>
    <t>MANASSAS</t>
  </si>
  <si>
    <t>Burdick-Will Joshua</t>
  </si>
  <si>
    <t>BURDICK-WILL JOSHUA</t>
  </si>
  <si>
    <t>445 E 69TH ST</t>
  </si>
  <si>
    <t>Chavoustie Eric</t>
  </si>
  <si>
    <t>CHAVOUSTIE ERIC DR.</t>
  </si>
  <si>
    <t>LYNDA NGO</t>
  </si>
  <si>
    <t>NGO LYNDA DR.</t>
  </si>
  <si>
    <t>JENNIFER SMALL</t>
  </si>
  <si>
    <t>SMALL JENNIFER</t>
  </si>
  <si>
    <t>ANDRES GOTTFRIED BLACKMORE</t>
  </si>
  <si>
    <t>GOTTFRIED BLACKMORE ANDRES</t>
  </si>
  <si>
    <t>STEPHANIE GUO</t>
  </si>
  <si>
    <t>GUO STEPHANIE</t>
  </si>
  <si>
    <t>SERGEY GUREVICH</t>
  </si>
  <si>
    <t>GUREVICH SERGEY DR.</t>
  </si>
  <si>
    <t>CHRISTOPHER HACKETT</t>
  </si>
  <si>
    <t>HACKETT CHRISTOPHER</t>
  </si>
  <si>
    <t>505 E 70TH ST, HELMSLEY TOWER, 4TH FLOOR</t>
  </si>
  <si>
    <t>ZACHARY HAGER</t>
  </si>
  <si>
    <t>HAGER ZACHARY</t>
  </si>
  <si>
    <t>HORATIO HOLZER</t>
  </si>
  <si>
    <t>E0428561</t>
  </si>
  <si>
    <t>HOLZER HORATIO EDWARD</t>
  </si>
  <si>
    <t>HOLZER HORATIO DR.</t>
  </si>
  <si>
    <t>POLYDOROS KAMPAKTYSIS</t>
  </si>
  <si>
    <t>KAMPAKTSIS POLYDOROS</t>
  </si>
  <si>
    <t>YULIAN KHAGI</t>
  </si>
  <si>
    <t>KHAGI YULIAN</t>
  </si>
  <si>
    <t>JARED KIRZNER</t>
  </si>
  <si>
    <t>KIRZNER JARED</t>
  </si>
  <si>
    <t>439 E 71ST ST</t>
  </si>
  <si>
    <t>JERARD KNEIFATI-HAYEK</t>
  </si>
  <si>
    <t>KNEIFATI-HAYEK JERARD</t>
  </si>
  <si>
    <t>DAVID KNORR</t>
  </si>
  <si>
    <t>KNORR DAVID</t>
  </si>
  <si>
    <t>CHRYSTAL LANDRY</t>
  </si>
  <si>
    <t>LANDRY CHRYSTAL</t>
  </si>
  <si>
    <t>DUSTIN LEE</t>
  </si>
  <si>
    <t>LEE DUSTIN DR.</t>
  </si>
  <si>
    <t>MICHELE LEE</t>
  </si>
  <si>
    <t>RICHARD LEITER</t>
  </si>
  <si>
    <t>E0407424</t>
  </si>
  <si>
    <t>LEITER RICHARD</t>
  </si>
  <si>
    <t>LEITER RICHARD ELLIOT</t>
  </si>
  <si>
    <t>PEGGY LEUNG</t>
  </si>
  <si>
    <t>LEUNG PEGGY</t>
  </si>
  <si>
    <t>LILY LI</t>
  </si>
  <si>
    <t>LI LILY</t>
  </si>
  <si>
    <t>HANA LIM</t>
  </si>
  <si>
    <t>LIM HANA</t>
  </si>
  <si>
    <t>SIDNEY LU</t>
  </si>
  <si>
    <t>LU SYDNEY</t>
  </si>
  <si>
    <t>PAUL LU</t>
  </si>
  <si>
    <t>LU PAUL</t>
  </si>
  <si>
    <t>EMILY LU</t>
  </si>
  <si>
    <t>LU EMILY</t>
  </si>
  <si>
    <t>RAJ MACHHAR</t>
  </si>
  <si>
    <t>E0437781</t>
  </si>
  <si>
    <t>MACHHAR RAJ PRAKASH</t>
  </si>
  <si>
    <t>MACHHAR RAJ</t>
  </si>
  <si>
    <t>REED MAGLEBY</t>
  </si>
  <si>
    <t>MAGLEBY REED</t>
  </si>
  <si>
    <t>ELIZABETH MAINA</t>
  </si>
  <si>
    <t>E0422546</t>
  </si>
  <si>
    <t>MAINA ELIZABETH NJOROGE</t>
  </si>
  <si>
    <t>MAINA ELIZABETH</t>
  </si>
  <si>
    <t>NAHAL MANSOURI</t>
  </si>
  <si>
    <t>MANSOURI NAHAL</t>
  </si>
  <si>
    <t>220 E 70TH ST, 4D</t>
  </si>
  <si>
    <t>SHEENA MATTHEW</t>
  </si>
  <si>
    <t>MATHEW SHEENA</t>
  </si>
  <si>
    <t>DEREK MAZIQUE</t>
  </si>
  <si>
    <t>MAZIQUE DEREK</t>
  </si>
  <si>
    <t>MARSHALL MILLER</t>
  </si>
  <si>
    <t>E0437802</t>
  </si>
  <si>
    <t>MILLER MARSHALL</t>
  </si>
  <si>
    <t>MILLER MARSHALL CURTIS</t>
  </si>
  <si>
    <t>TAYSEER MOSLEH</t>
  </si>
  <si>
    <t>MOSLEH TAYSEER DR.</t>
  </si>
  <si>
    <t>SAIF MUHSIN</t>
  </si>
  <si>
    <t>MUHSIN SAIF DR.</t>
  </si>
  <si>
    <t>KUMAR NAIR</t>
  </si>
  <si>
    <t>NAIR KUMAR</t>
  </si>
  <si>
    <t>JOSEPH NEGUSEI</t>
  </si>
  <si>
    <t>NEGUSEI JOSEPH</t>
  </si>
  <si>
    <t>JORDAN NESTOR</t>
  </si>
  <si>
    <t>NESTOR JORDAN DR.</t>
  </si>
  <si>
    <t>Zininberg Elena</t>
  </si>
  <si>
    <t>ZININBERG ELENA</t>
  </si>
  <si>
    <t>525 E 68TH ST, BOX 124 ROOM N312</t>
  </si>
  <si>
    <t>Aaronson Jaime</t>
  </si>
  <si>
    <t>E0383200</t>
  </si>
  <si>
    <t>AARONSON JAIME</t>
  </si>
  <si>
    <t>Francois Karen</t>
  </si>
  <si>
    <t>E0409842</t>
  </si>
  <si>
    <t>FRANCOIS KAREN TAMAR</t>
  </si>
  <si>
    <t>FRANCOIS KAREN</t>
  </si>
  <si>
    <t>Tan, Chyne</t>
  </si>
  <si>
    <t>Chang Betty</t>
  </si>
  <si>
    <t>E0030945</t>
  </si>
  <si>
    <t>CHANG BETTY CHIA WEN MD</t>
  </si>
  <si>
    <t>CHANG BETTY DR.</t>
  </si>
  <si>
    <t>Chisolm-Straker Makini</t>
  </si>
  <si>
    <t>Cordi Heidi</t>
  </si>
  <si>
    <t>E0115333</t>
  </si>
  <si>
    <t>CORDI HEIDI P MD</t>
  </si>
  <si>
    <t>CORDI HEIDI</t>
  </si>
  <si>
    <t>PRICE, DAVID D</t>
  </si>
  <si>
    <t>E0059787</t>
  </si>
  <si>
    <t>PRICE DAVID</t>
  </si>
  <si>
    <t>PRICE DAVID MR.</t>
  </si>
  <si>
    <t>PRICE DAVID D</t>
  </si>
  <si>
    <t>CHAUDHARI, PARU R</t>
  </si>
  <si>
    <t>E0345777</t>
  </si>
  <si>
    <t>CHAUDHARI PARU</t>
  </si>
  <si>
    <t>CHAUDHARI PARU DR.</t>
  </si>
  <si>
    <t>BRAUNSTEIN, ALEXANDRA L</t>
  </si>
  <si>
    <t>E0354097</t>
  </si>
  <si>
    <t>BRAUNSTEIN ALEXANDRA LARA</t>
  </si>
  <si>
    <t>BRAUNSTEIN ALEXANDRA DR.</t>
  </si>
  <si>
    <t>ZUCKERBROT, RACHEL A</t>
  </si>
  <si>
    <t>E0007615</t>
  </si>
  <si>
    <t>ZUCKERBROT RACHEL</t>
  </si>
  <si>
    <t>ZUCKERBROT RACHEL DR.</t>
  </si>
  <si>
    <t>ZUCKERBROT RACHEL ARYELLA</t>
  </si>
  <si>
    <t>FAVA, ATANASIO G</t>
  </si>
  <si>
    <t>E0294008</t>
  </si>
  <si>
    <t>FAVA ATANASIO</t>
  </si>
  <si>
    <t>FAVA ATANASIO GAETANO MR.</t>
  </si>
  <si>
    <t>622 W 168TH ST FL</t>
  </si>
  <si>
    <t>FOCA, FRANCIS J</t>
  </si>
  <si>
    <t>E0155326</t>
  </si>
  <si>
    <t>FOCA FRANCIS J MD</t>
  </si>
  <si>
    <t>FOCA FRANCIS DR.</t>
  </si>
  <si>
    <t>LMC MED CENTER</t>
  </si>
  <si>
    <t xml:space="preserve">WHITE, HALINA </t>
  </si>
  <si>
    <t>E0310725</t>
  </si>
  <si>
    <t>WHITE HALINA</t>
  </si>
  <si>
    <t>WHITE HALINA DR.</t>
  </si>
  <si>
    <t>SCHLUGER, NEIL W</t>
  </si>
  <si>
    <t>E0117500</t>
  </si>
  <si>
    <t>SCHLUGER NEIL W MD</t>
  </si>
  <si>
    <t>SCHLUGER NEIL DR.</t>
  </si>
  <si>
    <t>SCHLUGER NEIL WARREN</t>
  </si>
  <si>
    <t>nbullock@setonpediatric.org</t>
  </si>
  <si>
    <t>Dianna Dragatsi, MD</t>
  </si>
  <si>
    <t>E0018211</t>
  </si>
  <si>
    <t>DRAGATSI DIANNA</t>
  </si>
  <si>
    <t>(212) 942-8511</t>
  </si>
  <si>
    <t>DRAGATSI DIANNA DR.</t>
  </si>
  <si>
    <t>WARSHOFSKY, MARK K</t>
  </si>
  <si>
    <t>E0125059</t>
  </si>
  <si>
    <t>WARSHOFSKY MARK KEVIN MD</t>
  </si>
  <si>
    <t>WARSHOFSKY MARK</t>
  </si>
  <si>
    <t>PRESBYTERIAN HOSP. , 622 WEST 168TH ST.</t>
  </si>
  <si>
    <t>ROBBINS-MILNE, LAURA E</t>
  </si>
  <si>
    <t>E0151235</t>
  </si>
  <si>
    <t>ROBBINS-MILNE LAURA E MD</t>
  </si>
  <si>
    <t>ROBBINS-MILNE LAURA DR.</t>
  </si>
  <si>
    <t>COL-PRESB VC2-205</t>
  </si>
  <si>
    <t>SCHICCHI, JOHN S</t>
  </si>
  <si>
    <t>E0108858</t>
  </si>
  <si>
    <t>JOHN DARIO SALAZAR SCHICCHI</t>
  </si>
  <si>
    <t>SCHICCHI JOHN DR.</t>
  </si>
  <si>
    <t xml:space="preserve">ABDULLA, HEBA </t>
  </si>
  <si>
    <t>E0320041</t>
  </si>
  <si>
    <t>ABDULLA HEBA</t>
  </si>
  <si>
    <t>ABDULLA HEBA DR.</t>
  </si>
  <si>
    <t>FRY, ANDREA</t>
  </si>
  <si>
    <t>E0285445</t>
  </si>
  <si>
    <t>FRY ANDREA LEE</t>
  </si>
  <si>
    <t>FRY ANDREA MS.</t>
  </si>
  <si>
    <t>FUENTES, DEBORAH</t>
  </si>
  <si>
    <t>E0294380</t>
  </si>
  <si>
    <t>FUENTES DEBORAH ANN</t>
  </si>
  <si>
    <t>(212) 305-1240</t>
  </si>
  <si>
    <t>FUENTES DEBORAH</t>
  </si>
  <si>
    <t>Emily Gastelum, MD</t>
  </si>
  <si>
    <t>E0348377</t>
  </si>
  <si>
    <t>GASTELUM EMILY DAVIES</t>
  </si>
  <si>
    <t>(212) 942-8512</t>
  </si>
  <si>
    <t>GASTELUM EMILY DR.</t>
  </si>
  <si>
    <t>GASTELUM EMILY D</t>
  </si>
  <si>
    <t>COHEN, DAVID A</t>
  </si>
  <si>
    <t>E0337482</t>
  </si>
  <si>
    <t>COHEN DAVID ADAM</t>
  </si>
  <si>
    <t>COHEN DAVID DR.</t>
  </si>
  <si>
    <t>525 EAST 68TH ST  F2008</t>
  </si>
  <si>
    <t>WEILL CORNELL MEDICAL COLLEGE / NEW YORK PRESBYTERIAN</t>
  </si>
  <si>
    <t>Steinberg, Leonard</t>
  </si>
  <si>
    <t>E0163370</t>
  </si>
  <si>
    <t>STEINBERG LEONARD GARY MD</t>
  </si>
  <si>
    <t>STEINBERG LEONARD GARY DR.</t>
  </si>
  <si>
    <t>Bussel, James B</t>
  </si>
  <si>
    <t>E0233888</t>
  </si>
  <si>
    <t>BUSSEL JAMES BRUCE         MD</t>
  </si>
  <si>
    <t>BUSSEL JAMES</t>
  </si>
  <si>
    <t>DANTZIG, PAUL I</t>
  </si>
  <si>
    <t>E0242532</t>
  </si>
  <si>
    <t>DANTZIG PAUL I</t>
  </si>
  <si>
    <t>DANTZIG PAUL DR.</t>
  </si>
  <si>
    <t>30 E 60TH ST RM 508</t>
  </si>
  <si>
    <t>BARBERA, LISA G</t>
  </si>
  <si>
    <t>E0188428</t>
  </si>
  <si>
    <t>BARBERA LISA G MD</t>
  </si>
  <si>
    <t>BARBERA LISA DR.</t>
  </si>
  <si>
    <t>BERKOWITZ, RHONDA K</t>
  </si>
  <si>
    <t>E0102846</t>
  </si>
  <si>
    <t>BERKOWITZ RHONDA</t>
  </si>
  <si>
    <t>BERKOWITZ RHONDA DR.</t>
  </si>
  <si>
    <t>WEISER, JESSICA A</t>
  </si>
  <si>
    <t>E0330463</t>
  </si>
  <si>
    <t>WEISER JESSICA</t>
  </si>
  <si>
    <t>WEISER JESSICA DR.</t>
  </si>
  <si>
    <t>CHIRIBOGA-KLEIN, CLAUDIA A</t>
  </si>
  <si>
    <t>E0188687</t>
  </si>
  <si>
    <t>CHIRIBOGA KLEIN CLAUDIA MD</t>
  </si>
  <si>
    <t>CHIRIBOGA CLAUDIA DR.</t>
  </si>
  <si>
    <t>RM 4185</t>
  </si>
  <si>
    <t>BLANCO, FIONA R-P</t>
  </si>
  <si>
    <t>E0008933</t>
  </si>
  <si>
    <t>BLANCO FIONA</t>
  </si>
  <si>
    <t>BLANCO FIONA MRS.</t>
  </si>
  <si>
    <t>BELSITO, DONALD V</t>
  </si>
  <si>
    <t>E0222701</t>
  </si>
  <si>
    <t>BELSITO DONALD VINCENT</t>
  </si>
  <si>
    <t>BELSITO DONALD</t>
  </si>
  <si>
    <t>DIANE WANG</t>
  </si>
  <si>
    <t>WANG DIANE</t>
  </si>
  <si>
    <t>1740 W TAYLOR ST</t>
  </si>
  <si>
    <t>ANDREW BEENKEN</t>
  </si>
  <si>
    <t>BEENKEN ANDREW DR.</t>
  </si>
  <si>
    <t>DAVID BEJAR</t>
  </si>
  <si>
    <t>BEJAR DAVID DR.</t>
  </si>
  <si>
    <t>RACHEL BRING</t>
  </si>
  <si>
    <t>BRING RACHEL DR.</t>
  </si>
  <si>
    <t>GIUSEPPE CULLARO</t>
  </si>
  <si>
    <t>CULLARO GIUSEPPE MR.</t>
  </si>
  <si>
    <t>41 ROCHELLE DR</t>
  </si>
  <si>
    <t>MATTHEW CUMMINGS</t>
  </si>
  <si>
    <t>E0437786</t>
  </si>
  <si>
    <t>CUMMINGS MATTHEW</t>
  </si>
  <si>
    <t>CUMMINGS MATTHEW DR.</t>
  </si>
  <si>
    <t>CUMMINGS MATTHEW JOHN</t>
  </si>
  <si>
    <t>MARTIN DOMINGUEZ</t>
  </si>
  <si>
    <t>DOMINGUEZ MARTIN DR.</t>
  </si>
  <si>
    <t>ADAM FAYE</t>
  </si>
  <si>
    <t>E0437376</t>
  </si>
  <si>
    <t>FAYE ADAM SCOTTE</t>
  </si>
  <si>
    <t>FAYE ADAM</t>
  </si>
  <si>
    <t>SHALOM FRAGER</t>
  </si>
  <si>
    <t>FRAGER SHALOM</t>
  </si>
  <si>
    <t>SABRINA GARD</t>
  </si>
  <si>
    <t>E0437869</t>
  </si>
  <si>
    <t>GARD SABRINA</t>
  </si>
  <si>
    <t>GARD SABRINA DR.</t>
  </si>
  <si>
    <t>GARD SABRINA JANIE</t>
  </si>
  <si>
    <t>SHIVANI GUPTA</t>
  </si>
  <si>
    <t>GUPTA SHIVANI</t>
  </si>
  <si>
    <t>3673 FOXFIRE PL</t>
  </si>
  <si>
    <t>MARTINEZ</t>
  </si>
  <si>
    <t>NORRISA HAYNES</t>
  </si>
  <si>
    <t>HAYNES NORRISA MS.</t>
  </si>
  <si>
    <t>630 W 168TH STREET</t>
  </si>
  <si>
    <t>FARAH HUSSAIN</t>
  </si>
  <si>
    <t>3400 SPRUCE STREET, 5 MALONEY</t>
  </si>
  <si>
    <t>SYDNEY KATZ</t>
  </si>
  <si>
    <t>E0435089</t>
  </si>
  <si>
    <t>KATZ SYDNEY E</t>
  </si>
  <si>
    <t>KATZ SYDNEY</t>
  </si>
  <si>
    <t>MAIA KAYAL</t>
  </si>
  <si>
    <t>KAYAL MAIA</t>
  </si>
  <si>
    <t>MAYA KOTAS</t>
  </si>
  <si>
    <t>KOTAS MAYA</t>
  </si>
  <si>
    <t>ANNA KRIGEL</t>
  </si>
  <si>
    <t>E0437372</t>
  </si>
  <si>
    <t>KRIGEL ANNA E</t>
  </si>
  <si>
    <t>KRIGEL ANNA</t>
  </si>
  <si>
    <t>BRYAN LEPPERT</t>
  </si>
  <si>
    <t>E0434451</t>
  </si>
  <si>
    <t>LEPPERT BRYAN CHARLES</t>
  </si>
  <si>
    <t>LEPPERT BRYAN</t>
  </si>
  <si>
    <t>YING LIU</t>
  </si>
  <si>
    <t>E0442870</t>
  </si>
  <si>
    <t>LIU YING</t>
  </si>
  <si>
    <t>LIU YING DR.</t>
  </si>
  <si>
    <t>THOMAS MCCONVILLE</t>
  </si>
  <si>
    <t>MCCONVILLE THOMAS DR.</t>
  </si>
  <si>
    <t>JONATHAN MCINTYRE</t>
  </si>
  <si>
    <t>DANIEL MUSIKANTOW</t>
  </si>
  <si>
    <t>MUSIKANTOW DANIEL DR.</t>
  </si>
  <si>
    <t>622 W 168TH ST, 11E</t>
  </si>
  <si>
    <t>DAVID NAROTSKY</t>
  </si>
  <si>
    <t>NAROTSKY DAVID</t>
  </si>
  <si>
    <t>622 WEST 168TH STREET, 2ND FLOOR, AIM CLINIC</t>
  </si>
  <si>
    <t>FERRANDO ORTIZ</t>
  </si>
  <si>
    <t>ORTIZ FERNANDO DR.</t>
  </si>
  <si>
    <t>ALTAF PIRMOHAMED</t>
  </si>
  <si>
    <t>PIRMOHAMED ALTAF</t>
  </si>
  <si>
    <t>7304 PETER PL</t>
  </si>
  <si>
    <t>MC LEAN</t>
  </si>
  <si>
    <t>ARMEEN POOR</t>
  </si>
  <si>
    <t>POOR ARMEEN</t>
  </si>
  <si>
    <t>ONE GUSTAVE L LEVY PLACE, MOUNT SINAI MEDICAL CENTER, DEPT OF MEDICINE</t>
  </si>
  <si>
    <t>DAVID RAWSON</t>
  </si>
  <si>
    <t>E0443461</t>
  </si>
  <si>
    <t>RAWSON DAVID W</t>
  </si>
  <si>
    <t>RAWSON DAVID DR.</t>
  </si>
  <si>
    <t>STEFANIE REIFF</t>
  </si>
  <si>
    <t>E0437758</t>
  </si>
  <si>
    <t>REIFF STEFANIE</t>
  </si>
  <si>
    <t>REIFF STEFANIE NICOLE</t>
  </si>
  <si>
    <t>LACEY ROBINSON</t>
  </si>
  <si>
    <t>ROBINSON LACEY</t>
  </si>
  <si>
    <t>SAACHI SACHDEV</t>
  </si>
  <si>
    <t>E0437804</t>
  </si>
  <si>
    <t>SACHDEV SAACHI</t>
  </si>
  <si>
    <t>SACHDEV SAACHI DR.</t>
  </si>
  <si>
    <t>NIKHIL SEVAL</t>
  </si>
  <si>
    <t>E0435148</t>
  </si>
  <si>
    <t>SEVAL NIKHIL SRINIVAS</t>
  </si>
  <si>
    <t>SEVAL NIKHIL</t>
  </si>
  <si>
    <t>622 W 168TH ST VC2 S</t>
  </si>
  <si>
    <t>RAJANI SHARMA</t>
  </si>
  <si>
    <t>SHARMA RAJANI</t>
  </si>
  <si>
    <t>177 FORT WASHINGTON AVE, MEDICINE RESIDENCY PROGRAM, 6TH FLOOR CENTER, ROOM 12</t>
  </si>
  <si>
    <t>DAVID SHIM</t>
  </si>
  <si>
    <t>SHIM DAVID DR.</t>
  </si>
  <si>
    <t>622 W 168TH ST, 2ND FLOOR, AIM CLINIC</t>
  </si>
  <si>
    <t>NICOLAS VILLANUEVA</t>
  </si>
  <si>
    <t>VILLANUEVA NICOLAS</t>
  </si>
  <si>
    <t>SARA VIOLA</t>
  </si>
  <si>
    <t>VIOLA SARA</t>
  </si>
  <si>
    <t>100 HAVEN AVE, APT 29A</t>
  </si>
  <si>
    <t>LACHS, MARK S</t>
  </si>
  <si>
    <t>E0081389</t>
  </si>
  <si>
    <t>LACHS MARK STEVEN MD</t>
  </si>
  <si>
    <t>LACHS MARK</t>
  </si>
  <si>
    <t>MOLINARO, MICHAEL J</t>
  </si>
  <si>
    <t>E0011676</t>
  </si>
  <si>
    <t>MOLINARO MICHAEL</t>
  </si>
  <si>
    <t>MOLINARO MICHAEL DR.</t>
  </si>
  <si>
    <t>00243527 NY INFIRM</t>
  </si>
  <si>
    <t>SKLAR, JEFFREY A</t>
  </si>
  <si>
    <t>E0116541</t>
  </si>
  <si>
    <t>SKLAR JEFFREY</t>
  </si>
  <si>
    <t>Kazim Robert</t>
  </si>
  <si>
    <t>E0161836</t>
  </si>
  <si>
    <t>KAZIM ROBERT MD</t>
  </si>
  <si>
    <t>KAZIM ROBERT DR.</t>
  </si>
  <si>
    <t>WINAWER, MELODIE R</t>
  </si>
  <si>
    <t>E0089254</t>
  </si>
  <si>
    <t>WINAWER MELODIE MD</t>
  </si>
  <si>
    <t>WINAWER MELODIE DR.</t>
  </si>
  <si>
    <t>(212) 752-5011</t>
  </si>
  <si>
    <t>(212) 752-5012</t>
  </si>
  <si>
    <t>(212) 752-5005</t>
  </si>
  <si>
    <t>Browne William</t>
  </si>
  <si>
    <t>BROWNE WILLIAM</t>
  </si>
  <si>
    <t>Chalifoux Jason</t>
  </si>
  <si>
    <t>CHALIFOUX JASON DR.</t>
  </si>
  <si>
    <t>Mattingly James</t>
  </si>
  <si>
    <t>MATTINGLY JAMES MR.</t>
  </si>
  <si>
    <t>Mecca Breea</t>
  </si>
  <si>
    <t>MECCA BREEA</t>
  </si>
  <si>
    <t>622 W 168TH ST, PH 5-505C</t>
  </si>
  <si>
    <t>Meenan Margaret</t>
  </si>
  <si>
    <t>MEENAN MARGARET</t>
  </si>
  <si>
    <t>5 LEDGEWOOD COMMONS</t>
  </si>
  <si>
    <t>MILLWOOD</t>
  </si>
  <si>
    <t>Nigro Lisa</t>
  </si>
  <si>
    <t>NIGRO LISA MS.</t>
  </si>
  <si>
    <t>535 E 70TH ST, HSS DEPT. OF ANESTHESIOLOGY</t>
  </si>
  <si>
    <t>Mercer John</t>
  </si>
  <si>
    <t>E0175502</t>
  </si>
  <si>
    <t>MERCER JOHN STEPHEN MD</t>
  </si>
  <si>
    <t>MERCER JOHN DR.</t>
  </si>
  <si>
    <t>Pagano Parwane</t>
  </si>
  <si>
    <t>E0005579</t>
  </si>
  <si>
    <t>PARWANE PARSA PAGANO MD</t>
  </si>
  <si>
    <t>PAGANO PARWANE</t>
  </si>
  <si>
    <t>PAGANO PARWANE PARSA  MD</t>
  </si>
  <si>
    <t>Raker Richard</t>
  </si>
  <si>
    <t>E0274791</t>
  </si>
  <si>
    <t>RAKER RICHARD              MD</t>
  </si>
  <si>
    <t>RAKER RICHARD DR.</t>
  </si>
  <si>
    <t>RAKER RICHARD</t>
  </si>
  <si>
    <t>Sheth, Sujit</t>
  </si>
  <si>
    <t>E0123469</t>
  </si>
  <si>
    <t>SHETH SUJIT S MD</t>
  </si>
  <si>
    <t>SHETH SUJIT DR.</t>
  </si>
  <si>
    <t>SHETH SUJIT SHARAD</t>
  </si>
  <si>
    <t>HP 554</t>
  </si>
  <si>
    <t>QUEST, DONALD O</t>
  </si>
  <si>
    <t>E0275497</t>
  </si>
  <si>
    <t>QUEST DONALD O             MD</t>
  </si>
  <si>
    <t>QUEST DONALD DR.</t>
  </si>
  <si>
    <t>SANCHEZ, CARLOS A</t>
  </si>
  <si>
    <t xml:space="preserve">IYER, SHILESH </t>
  </si>
  <si>
    <t>E0323399</t>
  </si>
  <si>
    <t>IYER SHILESH</t>
  </si>
  <si>
    <t>IYER SHILESH MR.</t>
  </si>
  <si>
    <t>36 7TH AVE # 2ND</t>
  </si>
  <si>
    <t>Roy-Burman Paula</t>
  </si>
  <si>
    <t>E0339610</t>
  </si>
  <si>
    <t>ROY-BURMAN PAULA</t>
  </si>
  <si>
    <t>Shin Joseph</t>
  </si>
  <si>
    <t>Liang Yongguang</t>
  </si>
  <si>
    <t>LIANG YONGGUANG</t>
  </si>
  <si>
    <t>177 FORT WASHINGTON AVE, MILSTEIN BLDG ROOM #3-265B</t>
  </si>
  <si>
    <t xml:space="preserve">HRILJAC, INGRID </t>
  </si>
  <si>
    <t>E0045712</t>
  </si>
  <si>
    <t>HRILJAC INGRID MD</t>
  </si>
  <si>
    <t>HRILJAC INGRID</t>
  </si>
  <si>
    <t>CARDIOLOGY ST4</t>
  </si>
  <si>
    <t>Remotti Fabrizio</t>
  </si>
  <si>
    <t>E0013899</t>
  </si>
  <si>
    <t>REMOTTI FABRIZIO</t>
  </si>
  <si>
    <t>Sladen Robert</t>
  </si>
  <si>
    <t>E0119885</t>
  </si>
  <si>
    <t>SLADEN ROBERT N MD</t>
  </si>
  <si>
    <t>SLADEN ROBERT</t>
  </si>
  <si>
    <t>ANES SVCS OF CPMC</t>
  </si>
  <si>
    <t>Sobol Julia</t>
  </si>
  <si>
    <t>E0324599</t>
  </si>
  <si>
    <t>SOBOL JULIA BERNARD</t>
  </si>
  <si>
    <t>SOBOL JULIA</t>
  </si>
  <si>
    <t>Tupper Kelly</t>
  </si>
  <si>
    <t>E0006445</t>
  </si>
  <si>
    <t>KELLY TUPPER PA</t>
  </si>
  <si>
    <t>TUPPER KELLY</t>
  </si>
  <si>
    <t>TUPPER KELLY JEAN RPA</t>
  </si>
  <si>
    <t>Calloway James</t>
  </si>
  <si>
    <t>E0369878</t>
  </si>
  <si>
    <t>CALLOWAY JAMES JULIUS III</t>
  </si>
  <si>
    <t>CALLOWAY JAMES</t>
  </si>
  <si>
    <t>GAUTHIER, SUSAN A</t>
  </si>
  <si>
    <t>E0014216</t>
  </si>
  <si>
    <t>GAUTHIER SUSAN  DO</t>
  </si>
  <si>
    <t>GAUTHIER SUSAN</t>
  </si>
  <si>
    <t>Allied Service Center NYC (ASCNYC)</t>
  </si>
  <si>
    <t>Marcy Rae Thompson</t>
  </si>
  <si>
    <t>HIV/AIDS Provider</t>
  </si>
  <si>
    <t>City-Pro Group, Inc.</t>
  </si>
  <si>
    <t>E0312827</t>
  </si>
  <si>
    <t>CITY-PRO GROUP INC</t>
  </si>
  <si>
    <t>Dr. Braden Josephson</t>
  </si>
  <si>
    <t>(718) 769-2698</t>
  </si>
  <si>
    <t>bjosephson@cityprogroup.com</t>
  </si>
  <si>
    <t>CITY PRO GROUP, INC.</t>
  </si>
  <si>
    <t xml:space="preserve">Create Inc </t>
  </si>
  <si>
    <t>E0123541</t>
  </si>
  <si>
    <t>CREATE,INC.</t>
  </si>
  <si>
    <t xml:space="preserve">Jacques Nir, LCSW </t>
  </si>
  <si>
    <t>(212) 663-1975</t>
  </si>
  <si>
    <t xml:space="preserve">jnir@createinc.org </t>
  </si>
  <si>
    <t>CREATE, INC.</t>
  </si>
  <si>
    <t>73-75 LENOX AVE</t>
  </si>
  <si>
    <t>NIR JACQUES MR.</t>
  </si>
  <si>
    <t>50 LEXINGTON AVE, PROFESSIONAL SUITES 101</t>
  </si>
  <si>
    <t xml:space="preserve">Iris Cohen, LCSW -R </t>
  </si>
  <si>
    <t>1 GUSTAVE L LEVY PLACE, 1059</t>
  </si>
  <si>
    <t xml:space="preserve">Lauren Levy,  MHC </t>
  </si>
  <si>
    <t>LEVY LAUREN</t>
  </si>
  <si>
    <t xml:space="preserve">Alexis Acevedo MHC </t>
  </si>
  <si>
    <t xml:space="preserve">71-73 Lenox avenue </t>
  </si>
  <si>
    <t xml:space="preserve">Dennis Smalls  CASAC </t>
  </si>
  <si>
    <t>SMALLS DENNIS MR.</t>
  </si>
  <si>
    <t xml:space="preserve">Reggie Johnson CASAC </t>
  </si>
  <si>
    <t xml:space="preserve">Philip Kierstedt MA; CASAC-T </t>
  </si>
  <si>
    <t>KIERSTEDT PHILIP MR.</t>
  </si>
  <si>
    <t>150 EAST LAKE AVE</t>
  </si>
  <si>
    <t xml:space="preserve">Rezbi Monnan MHC </t>
  </si>
  <si>
    <t>MONNAN REZBI MS.</t>
  </si>
  <si>
    <t>73-75 LENOX AVENUE</t>
  </si>
  <si>
    <t xml:space="preserve">Sidney Hargrave CASAC </t>
  </si>
  <si>
    <t>HARGRAVE SIDNEY</t>
  </si>
  <si>
    <t xml:space="preserve">Jessica Prichett MHC </t>
  </si>
  <si>
    <t xml:space="preserve">Samantha Sudano MHC </t>
  </si>
  <si>
    <t xml:space="preserve">Renee De Lyon CRC </t>
  </si>
  <si>
    <t>Dr. Neil Berlinder: CAQH 10502503</t>
  </si>
  <si>
    <t xml:space="preserve">Dr. Guy Pean: CAQH 12344773 </t>
  </si>
  <si>
    <t>E0129878</t>
  </si>
  <si>
    <t>PEAN GUY JEAN MD</t>
  </si>
  <si>
    <t>PEAN GUY</t>
  </si>
  <si>
    <t>177 E 122ND ST</t>
  </si>
  <si>
    <t xml:space="preserve">Sara Brickman-Lipson RN </t>
  </si>
  <si>
    <t>BRICKMAN-LIPSON SARA</t>
  </si>
  <si>
    <t>NIVEE AMIN</t>
  </si>
  <si>
    <t>E0380372</t>
  </si>
  <si>
    <t>AMIN NIVEE PRADIP</t>
  </si>
  <si>
    <t>AMIN NIVEE DR.</t>
  </si>
  <si>
    <t>STACY BAIRD</t>
  </si>
  <si>
    <t>E0385483</t>
  </si>
  <si>
    <t>BAIRD STACY WANG</t>
  </si>
  <si>
    <t>BAIRD STACY DR.</t>
  </si>
  <si>
    <t>YANINA BARBALAT</t>
  </si>
  <si>
    <t>E0383205</t>
  </si>
  <si>
    <t>BARBALAT YANINA</t>
  </si>
  <si>
    <t>RUTH BARROW</t>
  </si>
  <si>
    <t>E0135541</t>
  </si>
  <si>
    <t>BARROW RUTH M MD</t>
  </si>
  <si>
    <t>BARROW RUTH</t>
  </si>
  <si>
    <t>NY PRESBY.ALLEN PAVI</t>
  </si>
  <si>
    <t>ANNA BENDER</t>
  </si>
  <si>
    <t>E0337974</t>
  </si>
  <si>
    <t>BENDER ANNA MARGARET</t>
  </si>
  <si>
    <t>BENDER ANNA DR.</t>
  </si>
  <si>
    <t>BARBARA BENHAMROUN</t>
  </si>
  <si>
    <t>E0107085</t>
  </si>
  <si>
    <t>BENHAMROUN BARBARA</t>
  </si>
  <si>
    <t>BENHAMROUN BARBARA LYNN</t>
  </si>
  <si>
    <t>ELANA BERNSTEIN</t>
  </si>
  <si>
    <t>E0368389</t>
  </si>
  <si>
    <t>BERNSTEIN ELANA JAYE</t>
  </si>
  <si>
    <t>BERNSTEIN ELANA</t>
  </si>
  <si>
    <t>JODY BLANCO</t>
  </si>
  <si>
    <t>E0200035</t>
  </si>
  <si>
    <t>BLANCO JODY MD</t>
  </si>
  <si>
    <t>BLANCO JODY</t>
  </si>
  <si>
    <t>ANNA BURGANSKY</t>
  </si>
  <si>
    <t>E0059230</t>
  </si>
  <si>
    <t>BURGANSKY ANNA MD</t>
  </si>
  <si>
    <t>BURGANSKY ANNA</t>
  </si>
  <si>
    <t>PH 12</t>
  </si>
  <si>
    <t>ANDREA CARD</t>
  </si>
  <si>
    <t>SHREE CHANCHANI</t>
  </si>
  <si>
    <t>E0310368</t>
  </si>
  <si>
    <t>CHANCHANI SHREE</t>
  </si>
  <si>
    <t>JONATHAN CHANG</t>
  </si>
  <si>
    <t>E0383388</t>
  </si>
  <si>
    <t>CHANG JONATHAN</t>
  </si>
  <si>
    <t>635 WEST 165TH ST FLANZER</t>
  </si>
  <si>
    <t>STEPHEN CHASEN</t>
  </si>
  <si>
    <t>E0113774</t>
  </si>
  <si>
    <t>CHASEN STEPHEN T MD</t>
  </si>
  <si>
    <t>CHASEN STEPHEN</t>
  </si>
  <si>
    <t>LILLIAN LAVALLE</t>
  </si>
  <si>
    <t>ROYCE CHEN</t>
  </si>
  <si>
    <t>E0386189</t>
  </si>
  <si>
    <t>CHEN ROYCE</t>
  </si>
  <si>
    <t>CHEN ROYCE DR.</t>
  </si>
  <si>
    <t>KAREN CHERNOFF</t>
  </si>
  <si>
    <t>E0383362</t>
  </si>
  <si>
    <t>CHERNOFF KAREN</t>
  </si>
  <si>
    <t>157 WILLIAM ST FL 11</t>
  </si>
  <si>
    <t>NATAKI DOUGLAS</t>
  </si>
  <si>
    <t>E0298966</t>
  </si>
  <si>
    <t>DOUGLAS NATAKI</t>
  </si>
  <si>
    <t>DOUGLAS NATAKI DR.</t>
  </si>
  <si>
    <t>HIMABINDU EKANADHAM</t>
  </si>
  <si>
    <t>PAMELA ELIACH</t>
  </si>
  <si>
    <t>E0165707</t>
  </si>
  <si>
    <t>ELIACH PAMELA G MD</t>
  </si>
  <si>
    <t>ELIACH PAMELA DR.</t>
  </si>
  <si>
    <t>GISMONDI PAGLIA SHER</t>
  </si>
  <si>
    <t>CHARLES ESENWA</t>
  </si>
  <si>
    <t>E0383386</t>
  </si>
  <si>
    <t>ESENWA CHARLES</t>
  </si>
  <si>
    <t>ESENWA CHARLES CHUCK</t>
  </si>
  <si>
    <t>CRISTINA FERNANDEZ</t>
  </si>
  <si>
    <t>E0382405</t>
  </si>
  <si>
    <t>FERNANDEZ CRISTINA RAQUEL</t>
  </si>
  <si>
    <t>FERNANDEZ CRISTINA DR.</t>
  </si>
  <si>
    <t>JENNY FRANCIS</t>
  </si>
  <si>
    <t>E0383056</t>
  </si>
  <si>
    <t>FRANCIS JENNY</t>
  </si>
  <si>
    <t>FRANCIS JENNY DR.</t>
  </si>
  <si>
    <t>FRANCIS JENNY K RODRIGUEZ</t>
  </si>
  <si>
    <t>DANIEL FREEDBERG</t>
  </si>
  <si>
    <t>E0377658</t>
  </si>
  <si>
    <t>FREEDBERG DANIEL EZRA</t>
  </si>
  <si>
    <t>FREEDBERG DANIEL DR.</t>
  </si>
  <si>
    <t>SUZANNE FRIEDMAN</t>
  </si>
  <si>
    <t>E0383100</t>
  </si>
  <si>
    <t>FRIEDMAN SUZANNE</t>
  </si>
  <si>
    <t>THOMASHOW, BYRON M</t>
  </si>
  <si>
    <t>E0252965</t>
  </si>
  <si>
    <t>THOMASHOW BYRON M          MD</t>
  </si>
  <si>
    <t>THOMASHOW BYRON</t>
  </si>
  <si>
    <t>THOMASHOW BYRON M MD</t>
  </si>
  <si>
    <t>VELEZ-GRAU, CAROLINA M</t>
  </si>
  <si>
    <t>E0286319</t>
  </si>
  <si>
    <t>VELEZ-GRAU CAROLINA</t>
  </si>
  <si>
    <t>Barfield, Elaine B.</t>
  </si>
  <si>
    <t>E0383050</t>
  </si>
  <si>
    <t>BARFIELD ELAINE</t>
  </si>
  <si>
    <t>BARFIELD ELAINE DR.</t>
  </si>
  <si>
    <t>BARFIELD ELAINE BETTY</t>
  </si>
  <si>
    <t>525 E 68TH ST # 214</t>
  </si>
  <si>
    <t>Rumley Joseph</t>
  </si>
  <si>
    <t>E0006716</t>
  </si>
  <si>
    <t>RUMLEY JOSEPH JAMES MD</t>
  </si>
  <si>
    <t>RUMLEY JOSEPH DR.</t>
  </si>
  <si>
    <t>RUMLEY JOSEPH JAMES</t>
  </si>
  <si>
    <t>Salgo Peter</t>
  </si>
  <si>
    <t>E0240651</t>
  </si>
  <si>
    <t>SALGO PETER L              MD</t>
  </si>
  <si>
    <t>SALGO PETER</t>
  </si>
  <si>
    <t>Robinson Brian</t>
  </si>
  <si>
    <t>E0313107</t>
  </si>
  <si>
    <t>ROBINSON BRIAN</t>
  </si>
  <si>
    <t>(212) 305-1228</t>
  </si>
  <si>
    <t>Rubin Mark</t>
  </si>
  <si>
    <t>E0002689</t>
  </si>
  <si>
    <t>(212) 305-1229</t>
  </si>
  <si>
    <t>Scognamiglio Theresa</t>
  </si>
  <si>
    <t>E0013914</t>
  </si>
  <si>
    <t>SCONGNAMIGLIO THERESA</t>
  </si>
  <si>
    <t>(212) 305-1230</t>
  </si>
  <si>
    <t>SCOGNAMIGLIO THERESA DR.</t>
  </si>
  <si>
    <t>AJS BROOKLYN MEDICAL PRACTICE PC</t>
  </si>
  <si>
    <t>E0385270</t>
  </si>
  <si>
    <t>348 13TH ST STE 201</t>
  </si>
  <si>
    <t>AIDS HEALTHCARE FOUNDATION</t>
  </si>
  <si>
    <t>E0338533</t>
  </si>
  <si>
    <t>45 MELVILLE PARK RD</t>
  </si>
  <si>
    <t>MELBRAN DRUGS INC</t>
  </si>
  <si>
    <t>E0032854</t>
  </si>
  <si>
    <t>605 W 168TH ST</t>
  </si>
  <si>
    <t>APPLIED BEHAVIORAL INTERVENTIONS, PSYCHOLOGY, PT, OT, SLP, LMSW, PLLC.</t>
  </si>
  <si>
    <t>2625 E 14TH ST, SUITE 200</t>
  </si>
  <si>
    <t>CHERIFF, ADAM D</t>
  </si>
  <si>
    <t>E0084855</t>
  </si>
  <si>
    <t>CHERIFF ADAM DAVID MD</t>
  </si>
  <si>
    <t>CHERIFF ADAM</t>
  </si>
  <si>
    <t xml:space="preserve">STULMAN, JAMES </t>
  </si>
  <si>
    <t>E0165076</t>
  </si>
  <si>
    <t>STULMAN JAMES K MD</t>
  </si>
  <si>
    <t>STULMAN JAMES DR.</t>
  </si>
  <si>
    <t>TIMKO, NIKKI L</t>
  </si>
  <si>
    <t>E0228857</t>
  </si>
  <si>
    <t>TIMKO NIKKI LYNN           MD</t>
  </si>
  <si>
    <t>TIMKO NIKKI DR.</t>
  </si>
  <si>
    <t>Mia Kandel</t>
  </si>
  <si>
    <t>(212) 218-0423</t>
  </si>
  <si>
    <t>mkandel@lenoxhill.org</t>
  </si>
  <si>
    <t>331 E 70th Street</t>
  </si>
  <si>
    <t>New york</t>
  </si>
  <si>
    <t>JOINER, GAIL M</t>
  </si>
  <si>
    <t>E0016313</t>
  </si>
  <si>
    <t>JOINER GAIL MARINE DDS</t>
  </si>
  <si>
    <t>JOINER GAIL DR.</t>
  </si>
  <si>
    <t>432 E 116TH ST</t>
  </si>
  <si>
    <t>Furusawa-Stratton Lance</t>
  </si>
  <si>
    <t>FURUSAWA-STRATTON LANCE</t>
  </si>
  <si>
    <t>Crapanzano John</t>
  </si>
  <si>
    <t>E0013898</t>
  </si>
  <si>
    <t>CRAPANZANO JOHN</t>
  </si>
  <si>
    <t>CRAPANZANO JOHN DR.</t>
  </si>
  <si>
    <t>Madoff David</t>
  </si>
  <si>
    <t>E0315289</t>
  </si>
  <si>
    <t>MADOFF DAVID CRAIG</t>
  </si>
  <si>
    <t>MADOFF DAVID</t>
  </si>
  <si>
    <t xml:space="preserve">KANDULA, PADMAJA </t>
  </si>
  <si>
    <t>E0026428</t>
  </si>
  <si>
    <t>KANDULA PADMAJA MD</t>
  </si>
  <si>
    <t>KANDULA PADMAJA DR.</t>
  </si>
  <si>
    <t>Lekarev, Oksana</t>
  </si>
  <si>
    <t>E0313394</t>
  </si>
  <si>
    <t>LEKAREV OKSANA</t>
  </si>
  <si>
    <t xml:space="preserve">OSCAR, SWEENE </t>
  </si>
  <si>
    <t>E0321114</t>
  </si>
  <si>
    <t>OSCAR SWEENE COLLEEN</t>
  </si>
  <si>
    <t>OSCAR SWEENE DR.</t>
  </si>
  <si>
    <t>PHILLIPS, ERICA G</t>
  </si>
  <si>
    <t>Weinberg Roniel</t>
  </si>
  <si>
    <t>E0284586</t>
  </si>
  <si>
    <t>RONIEL YEHUDA WEINBERG MD</t>
  </si>
  <si>
    <t>WEINBERG RONIEL</t>
  </si>
  <si>
    <t>WEINBERG RONIEL YEHUDA MD</t>
  </si>
  <si>
    <t>1305 YORK AVE FL 10</t>
  </si>
  <si>
    <t>Kitikova-Arslanov Luiza</t>
  </si>
  <si>
    <t xml:space="preserve">CAPPELL, JOSHUA </t>
  </si>
  <si>
    <t>E0037990</t>
  </si>
  <si>
    <t>CAPPELL JOSHUA MD</t>
  </si>
  <si>
    <t>CAPPELL JOSHUA DR.</t>
  </si>
  <si>
    <t>WALCZYK, JOHN S</t>
  </si>
  <si>
    <t>E0116343</t>
  </si>
  <si>
    <t>WALCZYK JOHN</t>
  </si>
  <si>
    <t>Waga Patrick</t>
  </si>
  <si>
    <t>WAGA PATRICKPAUL MR.</t>
  </si>
  <si>
    <t>345 E 94TH ST APT 21G</t>
  </si>
  <si>
    <t>Wallhauser Emily</t>
  </si>
  <si>
    <t>WALLHAUSER EMILY</t>
  </si>
  <si>
    <t>Wang Cindy</t>
  </si>
  <si>
    <t>E0408482</t>
  </si>
  <si>
    <t>WANG CINDY J</t>
  </si>
  <si>
    <t>WANG CINDY DR.</t>
  </si>
  <si>
    <t>PAVON, ALEX R</t>
  </si>
  <si>
    <t>MACKEY, STEVEN L</t>
  </si>
  <si>
    <t>E0125079</t>
  </si>
  <si>
    <t>MACKEY STEVEN LEE MD</t>
  </si>
  <si>
    <t>MACKEY STEVEN DR.</t>
  </si>
  <si>
    <t>Jayaraman Arun</t>
  </si>
  <si>
    <t>E0383061</t>
  </si>
  <si>
    <t>JAYARAMAN ARUN</t>
  </si>
  <si>
    <t>JAYARAMAN ARUN DR.</t>
  </si>
  <si>
    <t>Poppers Jeremy</t>
  </si>
  <si>
    <t>E0296407</t>
  </si>
  <si>
    <t>JEREMY SAMUEL POPPERS MD</t>
  </si>
  <si>
    <t>POPPERS JEREMY DR.</t>
  </si>
  <si>
    <t>POPPERS JEREMY SAMUEL MD</t>
  </si>
  <si>
    <t>Shanewise Jack</t>
  </si>
  <si>
    <t>E0036985</t>
  </si>
  <si>
    <t>SHANEWISE JACK MD</t>
  </si>
  <si>
    <t>SHANEWISE JACK DR.</t>
  </si>
  <si>
    <t>NEW YORK PRESBY HOSP</t>
  </si>
  <si>
    <t>DESAI, URMI A</t>
  </si>
  <si>
    <t>E0348028</t>
  </si>
  <si>
    <t>DESAI URMI A</t>
  </si>
  <si>
    <t>DESAI URMI DR.</t>
  </si>
  <si>
    <t>FINKELSTEIN, EMILY S</t>
  </si>
  <si>
    <t>E0293237</t>
  </si>
  <si>
    <t>FINKELSTEIN EMILY SAMUEL MD</t>
  </si>
  <si>
    <t>FINKELSTEIN EMILY</t>
  </si>
  <si>
    <t xml:space="preserve">Stacy K. Leung </t>
  </si>
  <si>
    <t>Guerra Rodney</t>
  </si>
  <si>
    <t>E0335324</t>
  </si>
  <si>
    <t>GUERRA RODNEY</t>
  </si>
  <si>
    <t>GUERRA RODNEY MR.</t>
  </si>
  <si>
    <t>Francis Richard</t>
  </si>
  <si>
    <t>FRANCIS RICHARD</t>
  </si>
  <si>
    <t>622 WEST 168TH ST, PH 1564W</t>
  </si>
  <si>
    <t>Spellman Jessica</t>
  </si>
  <si>
    <t>E0295729</t>
  </si>
  <si>
    <t>SPELLMAN JESSICA LEIA STANLEY MD</t>
  </si>
  <si>
    <t>STANLEY SPELLMAN JESSICA</t>
  </si>
  <si>
    <t>Leung David</t>
  </si>
  <si>
    <t>E0292647</t>
  </si>
  <si>
    <t>DAVID K LEUNG</t>
  </si>
  <si>
    <t>LEUNG DAVID</t>
  </si>
  <si>
    <t>LEUNG DAVID K MD</t>
  </si>
  <si>
    <t>Arleo Elizabeth</t>
  </si>
  <si>
    <t>E0294159</t>
  </si>
  <si>
    <t>ARLEO ELIZABETH KAGAN MD</t>
  </si>
  <si>
    <t>ARLEO ELIZABETH DR.</t>
  </si>
  <si>
    <t>Babagbemi Kemi</t>
  </si>
  <si>
    <t>E0017983</t>
  </si>
  <si>
    <t>BABAGBEMI T-KEMI MD</t>
  </si>
  <si>
    <t>BABAGBEMI TOKUNBO</t>
  </si>
  <si>
    <t>Massimi Gregory</t>
  </si>
  <si>
    <t>E0349074</t>
  </si>
  <si>
    <t>MASSIMI GREGORY</t>
  </si>
  <si>
    <t>(212) 305-1252</t>
  </si>
  <si>
    <t>Santiago Miguel</t>
  </si>
  <si>
    <t>Sayan Osman</t>
  </si>
  <si>
    <t>E0157805</t>
  </si>
  <si>
    <t>SAYAN OSMAN RAFAEL MD</t>
  </si>
  <si>
    <t>SAYAN OSMAN</t>
  </si>
  <si>
    <t>Maietta Pauline</t>
  </si>
  <si>
    <t>MAIETTA PAULINE</t>
  </si>
  <si>
    <t>RACHANA GAVARA</t>
  </si>
  <si>
    <t>E0013145</t>
  </si>
  <si>
    <t>GAVARA RACHANA MD</t>
  </si>
  <si>
    <t>GAVARA RACHANA</t>
  </si>
  <si>
    <t>LASSMAN, ANDREW B</t>
  </si>
  <si>
    <t>E0330476</t>
  </si>
  <si>
    <t>LASSMAN ANDREW</t>
  </si>
  <si>
    <t>LASSMAN ANDREW DR.</t>
  </si>
  <si>
    <t>Siegel, Brooke L.</t>
  </si>
  <si>
    <t>E0388588</t>
  </si>
  <si>
    <t>SIEGEL BROOKE ILANA</t>
  </si>
  <si>
    <t>SPECTOR BROOKE</t>
  </si>
  <si>
    <t>SPECTOR BROOKE ILANA</t>
  </si>
  <si>
    <t>Perlman, Jeffrey M.</t>
  </si>
  <si>
    <t>E0051090</t>
  </si>
  <si>
    <t>PERLMAN JEFFREY M MD</t>
  </si>
  <si>
    <t>PERLMAN JEFFREY</t>
  </si>
  <si>
    <t>NY PRSBYT HSP WMC</t>
  </si>
  <si>
    <t>Wu, Duchu</t>
  </si>
  <si>
    <t>E0324394</t>
  </si>
  <si>
    <t>WU DUCHU</t>
  </si>
  <si>
    <t>WU DUCHU DR.</t>
  </si>
  <si>
    <t>FINK, MARY J</t>
  </si>
  <si>
    <t>E0157869</t>
  </si>
  <si>
    <t>FINK MARY JOHANNA MD</t>
  </si>
  <si>
    <t>FINK MARY JOHANNA DR.</t>
  </si>
  <si>
    <t>Service program for older people - Outpatient mental health clinic - Carter Burden Center</t>
  </si>
  <si>
    <t>Service program for older people - Outpatient mental health clinic - Health and Wellness</t>
  </si>
  <si>
    <t>BEHRMAN, DAVID A</t>
  </si>
  <si>
    <t>E0216027</t>
  </si>
  <si>
    <t>BEHRMAN DAVID A           DDS</t>
  </si>
  <si>
    <t>BEHRMAN DAVID</t>
  </si>
  <si>
    <t>Desai, Bhumika</t>
  </si>
  <si>
    <t>E0383469</t>
  </si>
  <si>
    <t>DESAI BHUMIKA</t>
  </si>
  <si>
    <t>HERBST, KENNETH J</t>
  </si>
  <si>
    <t>E0323883</t>
  </si>
  <si>
    <t>HERBST KENNETH JAMES</t>
  </si>
  <si>
    <t>HERBST KENNETH MR.</t>
  </si>
  <si>
    <t>TLOUGAN, BROOK E</t>
  </si>
  <si>
    <t xml:space="preserve">CHANG, STANLEY </t>
  </si>
  <si>
    <t>E0236911</t>
  </si>
  <si>
    <t>CHANG STANLEY              MD</t>
  </si>
  <si>
    <t>CHANG STANLEY DR.</t>
  </si>
  <si>
    <t>CHANG STANLEY</t>
  </si>
  <si>
    <t>Bauchman, Gail Beth</t>
  </si>
  <si>
    <t>E0154278</t>
  </si>
  <si>
    <t>BAUCHMAN GAIL MD</t>
  </si>
  <si>
    <t>BAUCHMAN GAIL DR.</t>
  </si>
  <si>
    <t>INST FOR URB FAM HLT</t>
  </si>
  <si>
    <t>Haimes Alison</t>
  </si>
  <si>
    <t>E0115185</t>
  </si>
  <si>
    <t>HAIMES ALISON B MD</t>
  </si>
  <si>
    <t>HAIMES ALISON</t>
  </si>
  <si>
    <t>CARDULLO, ALICE C</t>
  </si>
  <si>
    <t>E0018210</t>
  </si>
  <si>
    <t>CARDULLO ALICE</t>
  </si>
  <si>
    <t>CARDULLO ALICE DR.</t>
  </si>
  <si>
    <t>LERMAN, BRUCE B</t>
  </si>
  <si>
    <t>E0182642</t>
  </si>
  <si>
    <t>LERMAN BRUCE B MD</t>
  </si>
  <si>
    <t>LERMAN BRUCE</t>
  </si>
  <si>
    <t>NY HOSP ST 4</t>
  </si>
  <si>
    <t xml:space="preserve">JELIC, SANJA </t>
  </si>
  <si>
    <t>E0068914</t>
  </si>
  <si>
    <t>JELIC SANJA MD</t>
  </si>
  <si>
    <t>JELIC SANJA DR.</t>
  </si>
  <si>
    <t>PUDIL, JOANNA L</t>
  </si>
  <si>
    <t>E0291874</t>
  </si>
  <si>
    <t>PUDIL JOANNA</t>
  </si>
  <si>
    <t>PUDIL JOANNA L.</t>
  </si>
  <si>
    <t>TOMB, MEGHAN F</t>
  </si>
  <si>
    <t>E0360080</t>
  </si>
  <si>
    <t>TOMB MEGHAN FARRELL</t>
  </si>
  <si>
    <t>TOMB MEGHAN</t>
  </si>
  <si>
    <t>SPENCER, CRAIG</t>
  </si>
  <si>
    <t>E0328503</t>
  </si>
  <si>
    <t>SPENCER CRAIG A</t>
  </si>
  <si>
    <t>(212) 305-1339</t>
  </si>
  <si>
    <t>SPENCER CRAIG DR.</t>
  </si>
  <si>
    <t>NYCHAY, STEPHEN G</t>
  </si>
  <si>
    <t>E0332809</t>
  </si>
  <si>
    <t>NYCHAY STEPHEN</t>
  </si>
  <si>
    <t>NYCHAY STEPHEN DR.</t>
  </si>
  <si>
    <t>Traube, Chani S.</t>
  </si>
  <si>
    <t>E0019835</t>
  </si>
  <si>
    <t>TRAUBE CHANI MD</t>
  </si>
  <si>
    <t>TRAUBE CHANI</t>
  </si>
  <si>
    <t>Dena Hanna</t>
  </si>
  <si>
    <t>Ludwig Robert</t>
  </si>
  <si>
    <t>E0195348</t>
  </si>
  <si>
    <t>LUDWIG ROBERT LEWIS        MD</t>
  </si>
  <si>
    <t>LUDWIG ROBERT</t>
  </si>
  <si>
    <t>NORTHERN WEST RADIOL</t>
  </si>
  <si>
    <t>Minken Todd</t>
  </si>
  <si>
    <t xml:space="preserve">INFANTINO, SANDRA </t>
  </si>
  <si>
    <t>E0061989</t>
  </si>
  <si>
    <t>INFANTINO SANDRA</t>
  </si>
  <si>
    <t>INFANTINO SANDRA MS.</t>
  </si>
  <si>
    <t>21 W 86TH ST</t>
  </si>
  <si>
    <t>D'ALESSANDRO, ANGELA M</t>
  </si>
  <si>
    <t>WU, YU-HSIN</t>
  </si>
  <si>
    <t>E0340717</t>
  </si>
  <si>
    <t>WU YU-HSIN</t>
  </si>
  <si>
    <t>(212) 305-1358</t>
  </si>
  <si>
    <t>2315 BROADWAY</t>
  </si>
  <si>
    <t>Singh Vishwas</t>
  </si>
  <si>
    <t>E0287964</t>
  </si>
  <si>
    <t>SINGH VISHWAS ANAND</t>
  </si>
  <si>
    <t>SINGH VISHWAS DR.</t>
  </si>
  <si>
    <t>Shin Sandra</t>
  </si>
  <si>
    <t>E0076468</t>
  </si>
  <si>
    <t>SHIN SANDRA J</t>
  </si>
  <si>
    <t>(212) 305-1232</t>
  </si>
  <si>
    <t>SHIN SANDRA DR.</t>
  </si>
  <si>
    <t>Yantiss Rhonda</t>
  </si>
  <si>
    <t>E0013872</t>
  </si>
  <si>
    <t>YANTISS RHONDA</t>
  </si>
  <si>
    <t>YANTISS RHONDA DR.</t>
  </si>
  <si>
    <t>Schwartz Lawrence</t>
  </si>
  <si>
    <t>E0297952</t>
  </si>
  <si>
    <t>SCHWARTZ LAWRENCE HOWARD</t>
  </si>
  <si>
    <t>SCHWARTZ LAWRENCE</t>
  </si>
  <si>
    <t>Gandolfo Lisa</t>
  </si>
  <si>
    <t>E0157508</t>
  </si>
  <si>
    <t>CIMINO-GANDOLFO LISA HILARY</t>
  </si>
  <si>
    <t>GANDOLFO LISA</t>
  </si>
  <si>
    <t>Gruss Leah</t>
  </si>
  <si>
    <t>E0174678</t>
  </si>
  <si>
    <t>GRUSS LEAH P MD</t>
  </si>
  <si>
    <t>GRUSS LEAH</t>
  </si>
  <si>
    <t>Brown Marc</t>
  </si>
  <si>
    <t>E0133001</t>
  </si>
  <si>
    <t>BROWN MARC MD</t>
  </si>
  <si>
    <t>Ornstein Eugene</t>
  </si>
  <si>
    <t>E0226963</t>
  </si>
  <si>
    <t>ORNSTEIN EUGENE            MD</t>
  </si>
  <si>
    <t>ORNSTEIN EUGENE DR.</t>
  </si>
  <si>
    <t>ORNSTEIN EUGENE</t>
  </si>
  <si>
    <t>Gallos George</t>
  </si>
  <si>
    <t>E0006718</t>
  </si>
  <si>
    <t>GEORGE GALLOS MD</t>
  </si>
  <si>
    <t>GALLOS GEORGE DR.</t>
  </si>
  <si>
    <t>GALLOS GEORGE MD</t>
  </si>
  <si>
    <t>Dixon-Banks Sharese</t>
  </si>
  <si>
    <t>DIXON-BANKS SHARESE MS.</t>
  </si>
  <si>
    <t xml:space="preserve">TOLANI, SONIA </t>
  </si>
  <si>
    <t>E0352627</t>
  </si>
  <si>
    <t>TOLANI SONIA N</t>
  </si>
  <si>
    <t>TOLANI SONIA DR.</t>
  </si>
  <si>
    <t>KARAS, MARIA G</t>
  </si>
  <si>
    <t>E0347776</t>
  </si>
  <si>
    <t>KARAS MARIA G</t>
  </si>
  <si>
    <t>KARAS MARIA DR.</t>
  </si>
  <si>
    <t>GREEBEL, GENNIFER J</t>
  </si>
  <si>
    <t>E0323406</t>
  </si>
  <si>
    <t>GREEBEL GENNIFER J MD</t>
  </si>
  <si>
    <t>GREEBEL GENNIFER DR.</t>
  </si>
  <si>
    <t>3020 WESTCHESTER AVE STE 402</t>
  </si>
  <si>
    <t xml:space="preserve">ZAHARAKIS, YVONNE </t>
  </si>
  <si>
    <t>E0309458</t>
  </si>
  <si>
    <t>ZAHARAKIS YVONNE</t>
  </si>
  <si>
    <t>ZAHARAKIS YVONNE MISS</t>
  </si>
  <si>
    <t>E0333601</t>
  </si>
  <si>
    <t>THEODORE C.DOCU MD, PC</t>
  </si>
  <si>
    <t>E0007888</t>
  </si>
  <si>
    <t>THEODORE C DOCU MD PC</t>
  </si>
  <si>
    <t>506 FORT WASHINGTON AVE 1F</t>
  </si>
  <si>
    <t>QUICK RX DRUGS INC</t>
  </si>
  <si>
    <t>E0057311</t>
  </si>
  <si>
    <t>516 US HIGHWAY 80 W</t>
  </si>
  <si>
    <t>RIVERSTONE SENIOR LIFE SERVICES, INC.</t>
  </si>
  <si>
    <t>E0424460</t>
  </si>
  <si>
    <t>RIVERSTONE SENIOR LIFE SERVICES</t>
  </si>
  <si>
    <t>99 FORT WASHINGTON AVE BSMT</t>
  </si>
  <si>
    <t>Bogdanov Emil</t>
  </si>
  <si>
    <t>E0333561</t>
  </si>
  <si>
    <t>BOGDANOV EMIL NIKOLAEV</t>
  </si>
  <si>
    <t>BOGDANOV EMIL</t>
  </si>
  <si>
    <t>Brumberger Eric</t>
  </si>
  <si>
    <t>E0298980</t>
  </si>
  <si>
    <t>BRUMBERGER ERIC DARREN</t>
  </si>
  <si>
    <t>BRUMBERGER ERIC DR.</t>
  </si>
  <si>
    <t>Choxi Sarah</t>
  </si>
  <si>
    <t>CHOXI SARAH</t>
  </si>
  <si>
    <t>Cui Yan</t>
  </si>
  <si>
    <t>CUI YAN</t>
  </si>
  <si>
    <t>525 E 68TH ST, DEPT OF ANESTHESIOLOGY</t>
  </si>
  <si>
    <t>Dharmappa Ajay</t>
  </si>
  <si>
    <t>DHARMAPPA AJAY DR.</t>
  </si>
  <si>
    <t>Diskina Dina</t>
  </si>
  <si>
    <t>DISKINA DINA DR.</t>
  </si>
  <si>
    <t>525 E 68TH ST, ROOM M312</t>
  </si>
  <si>
    <t>Fardelmann Kristen</t>
  </si>
  <si>
    <t>FARDELMANN KRISTEN</t>
  </si>
  <si>
    <t>Casciano Mary</t>
  </si>
  <si>
    <t>E0310532</t>
  </si>
  <si>
    <t>MARY CASCIANO</t>
  </si>
  <si>
    <t>GENEVE MARY DR.</t>
  </si>
  <si>
    <t>CASCIANO MARY</t>
  </si>
  <si>
    <t>KIPP, CLAUDINE</t>
  </si>
  <si>
    <t>E0324696</t>
  </si>
  <si>
    <t>CLAUDINE KIPP</t>
  </si>
  <si>
    <t>(212) 305-1274</t>
  </si>
  <si>
    <t>KIPP CLAUDINE</t>
  </si>
  <si>
    <t>DEL CARMEN, TESSA MARIE L</t>
  </si>
  <si>
    <t>E0311353</t>
  </si>
  <si>
    <t>DEL CARMEN TESSA MARIE LOPEZ MD</t>
  </si>
  <si>
    <t>DELCARMEN TESSA MARIE DR.</t>
  </si>
  <si>
    <t>110 HENDERSON AVE</t>
  </si>
  <si>
    <t>Veloria Evangeline</t>
  </si>
  <si>
    <t>E0022017</t>
  </si>
  <si>
    <t>VELORIA EVANGELINE N NP</t>
  </si>
  <si>
    <t>VELORIA EVANGELINE MS.</t>
  </si>
  <si>
    <t>VELORIA EVANGELINE NATIVIDAD NP</t>
  </si>
  <si>
    <t>Volek Allyson</t>
  </si>
  <si>
    <t>Wood Margaret</t>
  </si>
  <si>
    <t>E0134788</t>
  </si>
  <si>
    <t>WOOD MARGARET HICKS MD</t>
  </si>
  <si>
    <t>WOOD MARGARET DR.</t>
  </si>
  <si>
    <t>Wuhrman Elsa</t>
  </si>
  <si>
    <t>E0035795</t>
  </si>
  <si>
    <t>WUHRMAN  ELSA</t>
  </si>
  <si>
    <t>WUHRMAN ELSA MS.</t>
  </si>
  <si>
    <t>WUHRMAN  ELSA H</t>
  </si>
  <si>
    <t>POSNER, JONATHAN E</t>
  </si>
  <si>
    <t>E0314166</t>
  </si>
  <si>
    <t>Baergen Rebecca</t>
  </si>
  <si>
    <t>BAERGEN REBECCA DR.</t>
  </si>
  <si>
    <t>525 EAST 68TH STREET, BOX 69</t>
  </si>
  <si>
    <t>Beneck Debra</t>
  </si>
  <si>
    <t>E0110947</t>
  </si>
  <si>
    <t>BENECK DEBRA</t>
  </si>
  <si>
    <t>BENECK DEBRA DR.</t>
  </si>
  <si>
    <t>Cesarman Ethel</t>
  </si>
  <si>
    <t>E0116703</t>
  </si>
  <si>
    <t>CESARMAN ETHEL</t>
  </si>
  <si>
    <t>CESARMAN ETHEL DR.</t>
  </si>
  <si>
    <t>Chen Yao-Tseng</t>
  </si>
  <si>
    <t>E0116712</t>
  </si>
  <si>
    <t>CHEN YAO-TSENG</t>
  </si>
  <si>
    <t>CHEN YAO-TSENG DR.</t>
  </si>
  <si>
    <t>Ellenson Lora</t>
  </si>
  <si>
    <t>E0023923</t>
  </si>
  <si>
    <t>ELLENSON LORA</t>
  </si>
  <si>
    <t>ELLENSON LORA DR.</t>
  </si>
  <si>
    <t>Hoda Syed</t>
  </si>
  <si>
    <t>E0129285</t>
  </si>
  <si>
    <t>HODA SYED A</t>
  </si>
  <si>
    <t>HODA SYED DR.</t>
  </si>
  <si>
    <t>Lavi Ehud</t>
  </si>
  <si>
    <t>E0013882</t>
  </si>
  <si>
    <t>LAVI EHUD</t>
  </si>
  <si>
    <t>Magro Cynthia</t>
  </si>
  <si>
    <t>E0013890</t>
  </si>
  <si>
    <t>MAGRO CYNTHIA</t>
  </si>
  <si>
    <t>(212) 305-1224</t>
  </si>
  <si>
    <t>MAGRO CYNTHIA DR.</t>
  </si>
  <si>
    <t>Terrence Cardinal Cooke Health Cente</t>
  </si>
  <si>
    <t xml:space="preserve">PEREZ, ROSALIE </t>
  </si>
  <si>
    <t>E0301577</t>
  </si>
  <si>
    <t>PEREZ ROSALIE</t>
  </si>
  <si>
    <t>INGRASSIA ROSALIE MRS.</t>
  </si>
  <si>
    <t>INGRASSIA ROSALIE</t>
  </si>
  <si>
    <t xml:space="preserve">RILLERA-PLAN, VICTRINA </t>
  </si>
  <si>
    <t>E0321091</t>
  </si>
  <si>
    <t>RILLERA-PLAN VICTRINA</t>
  </si>
  <si>
    <t>PLAN VICTRINA MS.</t>
  </si>
  <si>
    <t>RILLERA-PLAN VICTRINA O</t>
  </si>
  <si>
    <t>MOCHE, JASON A</t>
  </si>
  <si>
    <t>E0315671</t>
  </si>
  <si>
    <t>MOCHE JASON ANDREW</t>
  </si>
  <si>
    <t>MOCHE JASON</t>
  </si>
  <si>
    <t>Oliver-Krasinski Jennifer</t>
  </si>
  <si>
    <t>OLIVER-KRASINSKI JENNIFER DR.</t>
  </si>
  <si>
    <t>3401 CIVIC CENTER BLVD, DIVISION OF PATHOLOGY</t>
  </si>
  <si>
    <t>Rosenstiel Paul</t>
  </si>
  <si>
    <t>(212) 305-1191</t>
  </si>
  <si>
    <t>ROSENSTIEL PAUL DR.</t>
  </si>
  <si>
    <t>THOMAS NICHOLSON</t>
  </si>
  <si>
    <t>NICHOLSON THOMAS</t>
  </si>
  <si>
    <t>ALEKSEY NOVIKOV</t>
  </si>
  <si>
    <t>NOVIKOV ALEKSEY</t>
  </si>
  <si>
    <t>JULIE NUSBAUM</t>
  </si>
  <si>
    <t>NUSBAUM JULIE</t>
  </si>
  <si>
    <t>RAYMOND PASHUN</t>
  </si>
  <si>
    <t>PASHUN RAYMOND</t>
  </si>
  <si>
    <t>AGAM PATEL</t>
  </si>
  <si>
    <t>PATEL AGAM</t>
  </si>
  <si>
    <t>PARIMAL PATEL</t>
  </si>
  <si>
    <t>PATEL PARIMAL</t>
  </si>
  <si>
    <t>ELIZABETH PENNER</t>
  </si>
  <si>
    <t>PENNER ELIZABETH</t>
  </si>
  <si>
    <t>985582 NEBRASKA MEDICAL CTR, CU DEPARTMENT OF PSYCHIATRY</t>
  </si>
  <si>
    <t>STEPHEN PERAZZELLI</t>
  </si>
  <si>
    <t>E0408972</t>
  </si>
  <si>
    <t>PERAZZELLI STEPHEN MICHAEL</t>
  </si>
  <si>
    <t>PERAZZELLI STEPHEN</t>
  </si>
  <si>
    <t>DANIEL PU</t>
  </si>
  <si>
    <t>PU DANIEL</t>
  </si>
  <si>
    <t>234 GOODMAN ST, ML 0781</t>
  </si>
  <si>
    <t>SCOTT PURGA</t>
  </si>
  <si>
    <t>E0452007</t>
  </si>
  <si>
    <t>PURGA SCOTT LAWRENCE</t>
  </si>
  <si>
    <t>PURGA SCOTT</t>
  </si>
  <si>
    <t>COLIN RAELSON</t>
  </si>
  <si>
    <t>RAELSON COLIN</t>
  </si>
  <si>
    <t>505 E 70TH ST, HELMSLEY TOWER 4TH FLOOR</t>
  </si>
  <si>
    <t>JOHANNA RHODES</t>
  </si>
  <si>
    <t>RHODES JOANNA</t>
  </si>
  <si>
    <t>OKTAY RIFKI</t>
  </si>
  <si>
    <t>RIFKI OKTAY DR.</t>
  </si>
  <si>
    <t>ARGELIS RIVERA</t>
  </si>
  <si>
    <t>1111 AMSTERDAM AVE STE CLARK7</t>
  </si>
  <si>
    <t>JOHN RUFFINO</t>
  </si>
  <si>
    <t>RUFFINO JOHN DR.</t>
  </si>
  <si>
    <t>DANIEL SANCHEZ</t>
  </si>
  <si>
    <t>E0435163</t>
  </si>
  <si>
    <t>SANCHEZ DANIEL</t>
  </si>
  <si>
    <t>SANCHEZ DANIEL MR.</t>
  </si>
  <si>
    <t>SANCHEZ DANIEL LUIS</t>
  </si>
  <si>
    <t>Kosofsky, Barry E.</t>
  </si>
  <si>
    <t>E0042395</t>
  </si>
  <si>
    <t>KOSOFSKY BARRY E MD</t>
  </si>
  <si>
    <t>KOSOFSKY BARRY</t>
  </si>
  <si>
    <t>WEILL MED CORNELL</t>
  </si>
  <si>
    <t>BRITTON, CAROLYN B</t>
  </si>
  <si>
    <t>E0217150</t>
  </si>
  <si>
    <t>BRITTON CAROLYN B          MD</t>
  </si>
  <si>
    <t>BRITTON CAROLYN DR.</t>
  </si>
  <si>
    <t>P &amp; S 8-453</t>
  </si>
  <si>
    <t xml:space="preserve">WILLHEIM, ERICA </t>
  </si>
  <si>
    <t>E0004717</t>
  </si>
  <si>
    <t>WILLHEIM ERICA</t>
  </si>
  <si>
    <t>WILLHEIM ERICA DR.</t>
  </si>
  <si>
    <t>TOMLINSON, WILLIAM C</t>
  </si>
  <si>
    <t>E0029535</t>
  </si>
  <si>
    <t>TOMLINSON WILLIAM C</t>
  </si>
  <si>
    <t>TOMLINSON W. DR.</t>
  </si>
  <si>
    <t>DOLDER, SARAH E</t>
  </si>
  <si>
    <t>E0328348</t>
  </si>
  <si>
    <t>DOLDER SARAH</t>
  </si>
  <si>
    <t>Groves, Alan M.</t>
  </si>
  <si>
    <t>E0362224</t>
  </si>
  <si>
    <t>GROVES ALAN</t>
  </si>
  <si>
    <t>GROVES ALAN DR.</t>
  </si>
  <si>
    <t>GROVES ALAN MARTIN</t>
  </si>
  <si>
    <t>EISENBERG, MARC S</t>
  </si>
  <si>
    <t>E0086394</t>
  </si>
  <si>
    <t>EISENBERG MARC SABIN MD</t>
  </si>
  <si>
    <t>EISENBERG MARC DR.</t>
  </si>
  <si>
    <t>LEVY, KIRK J</t>
  </si>
  <si>
    <t>E0301571</t>
  </si>
  <si>
    <t>LEVY KIRK</t>
  </si>
  <si>
    <t>LEVY KIRK DR.</t>
  </si>
  <si>
    <t>622 W 168TH ST # 10</t>
  </si>
  <si>
    <t>Recio, Evita I.</t>
  </si>
  <si>
    <t>E0383315</t>
  </si>
  <si>
    <t>142866734RECIO EVITA</t>
  </si>
  <si>
    <t>RECIO EVITA DR.</t>
  </si>
  <si>
    <t>RECIO EVITA</t>
  </si>
  <si>
    <t>Auh Yong</t>
  </si>
  <si>
    <t>E0249239</t>
  </si>
  <si>
    <t>AUH YONG HO                MD</t>
  </si>
  <si>
    <t>AUH YONG DR.</t>
  </si>
  <si>
    <t>Boyajian David</t>
  </si>
  <si>
    <t>E0294357</t>
  </si>
  <si>
    <t>BOYAJIAN DAVID ASHOD</t>
  </si>
  <si>
    <t>BOYAJIAN DAVID DR.</t>
  </si>
  <si>
    <t xml:space="preserve">MONTALVO, JANE </t>
  </si>
  <si>
    <t>MONTALVO JANE</t>
  </si>
  <si>
    <t>99 FORTWASHINGTON AVE #1ST FLOOR, NYPH AMBULATORY CARE</t>
  </si>
  <si>
    <t>So, Shiu Hung</t>
  </si>
  <si>
    <t>E0269430</t>
  </si>
  <si>
    <t>SO SHIU H                  MD</t>
  </si>
  <si>
    <t>SO SHIU HUNG</t>
  </si>
  <si>
    <t>WILLEY, JOSHUA Z</t>
  </si>
  <si>
    <t>HICKEY, KATHLEEN</t>
  </si>
  <si>
    <t>E0303588</t>
  </si>
  <si>
    <t>HICKEY KATHLEEN THERESA</t>
  </si>
  <si>
    <t>(212) 305-1256</t>
  </si>
  <si>
    <t>HICKEY KATHLEEN</t>
  </si>
  <si>
    <t>SIMPSON, LYNN</t>
  </si>
  <si>
    <t>E0100648</t>
  </si>
  <si>
    <t>SIMPSON LYNN LOUISE MD</t>
  </si>
  <si>
    <t>(212) 305-1333</t>
  </si>
  <si>
    <t>SIMPSON LYNN</t>
  </si>
  <si>
    <t xml:space="preserve">SHERMAN, WARREN </t>
  </si>
  <si>
    <t>TRUSTEES OF COLUMBIA UNIVERSITY IN THE CITY NEW YORK</t>
  </si>
  <si>
    <t>E0026308</t>
  </si>
  <si>
    <t xml:space="preserve">GORMAN, B. DAVID </t>
  </si>
  <si>
    <t>BOWERS-JOHNSON, SUSAN G</t>
  </si>
  <si>
    <t>E0118948</t>
  </si>
  <si>
    <t>BOWERS-JOHNSON SUSAN MD</t>
  </si>
  <si>
    <t>BOWERS-JOHNSON SUSAN DR.</t>
  </si>
  <si>
    <t>PRESBYTERIAN MED CAR</t>
  </si>
  <si>
    <t>MCKEARNEY, KAREN R</t>
  </si>
  <si>
    <t>E0290537</t>
  </si>
  <si>
    <t>MCKEARNEY KAREN</t>
  </si>
  <si>
    <t>MCKEARNEY KAREN MS.</t>
  </si>
  <si>
    <t>ANDEWS, ALAN D</t>
  </si>
  <si>
    <t>E0017408</t>
  </si>
  <si>
    <t>ANDREWS ALAN</t>
  </si>
  <si>
    <t>ANDREWS ALAN DR.</t>
  </si>
  <si>
    <t>Garcia Juan</t>
  </si>
  <si>
    <t>E0108864</t>
  </si>
  <si>
    <t>GARCIA JUAN</t>
  </si>
  <si>
    <t>Marthe Abraham</t>
  </si>
  <si>
    <t>Evelyn Addo-Wallace</t>
  </si>
  <si>
    <t>Addante Rocco</t>
  </si>
  <si>
    <t>ADDANTE ROCCO</t>
  </si>
  <si>
    <t>Amusa Ganiyu</t>
  </si>
  <si>
    <t>Anwar Sara</t>
  </si>
  <si>
    <t>ANWAR SARA</t>
  </si>
  <si>
    <t>Cheng Stephanie</t>
  </si>
  <si>
    <t>E0392469</t>
  </si>
  <si>
    <t>CHENG STEPHANIE I</t>
  </si>
  <si>
    <t>CHENG STEPHANIE</t>
  </si>
  <si>
    <t>Smith John</t>
  </si>
  <si>
    <t>SMITH JOHN</t>
  </si>
  <si>
    <t>Snay Kurtis</t>
  </si>
  <si>
    <t>SNAY KURTIS</t>
  </si>
  <si>
    <t>177 FORT WASHINGTON AVE, 4GN-446 (DEPT. OF ANESTHESIA)</t>
  </si>
  <si>
    <t>SCHULMAN, AARON P</t>
  </si>
  <si>
    <t>Yvette Ortiz</t>
  </si>
  <si>
    <t>Yvette Ortiz, MD</t>
  </si>
  <si>
    <t>FELDMAN, DMITRIY N</t>
  </si>
  <si>
    <t>E0004296</t>
  </si>
  <si>
    <t>FELDMAN DMITRIY N MD</t>
  </si>
  <si>
    <t>FELDMAN DMITRIY</t>
  </si>
  <si>
    <t>HARTMAN, RACHAEL D</t>
  </si>
  <si>
    <t>E0330470</t>
  </si>
  <si>
    <t>HARTMAN RACHAEL</t>
  </si>
  <si>
    <t>HARTMAN RACHAEL DR.</t>
  </si>
  <si>
    <t>CONNERS, ROBERT D</t>
  </si>
  <si>
    <t>E0362174</t>
  </si>
  <si>
    <t>CONNORS ROBERT DR.</t>
  </si>
  <si>
    <t>CONNORS ROBERT DEDICK</t>
  </si>
  <si>
    <t>KIM, LUKE K</t>
  </si>
  <si>
    <t>E0320159</t>
  </si>
  <si>
    <t>KIM LUKE KWON</t>
  </si>
  <si>
    <t>KIM LUKE DR.</t>
  </si>
  <si>
    <t>Repuyan Maria Eloisa</t>
  </si>
  <si>
    <t>DELA PENA REPUYAN MARIA ELOISA MS.</t>
  </si>
  <si>
    <t>Ernst Garcon</t>
  </si>
  <si>
    <t>E0013621</t>
  </si>
  <si>
    <t>GARCON ERNST MD</t>
  </si>
  <si>
    <t>(212) 305-1259</t>
  </si>
  <si>
    <t>GARCON ERNST</t>
  </si>
  <si>
    <t>MABRY, GLORIA J</t>
  </si>
  <si>
    <t>E0081983</t>
  </si>
  <si>
    <t>MABRY GLORIA</t>
  </si>
  <si>
    <t>MABRY GLORIA MS.</t>
  </si>
  <si>
    <t>OKIN, PETER M</t>
  </si>
  <si>
    <t>E0208550</t>
  </si>
  <si>
    <t>OKIN PETER M               MD</t>
  </si>
  <si>
    <t>OKIN PETER</t>
  </si>
  <si>
    <t>OKIN PETER M</t>
  </si>
  <si>
    <t>BRUDNEY, KAREN F</t>
  </si>
  <si>
    <t>E0188031</t>
  </si>
  <si>
    <t>BRUDNEY KAREN MD</t>
  </si>
  <si>
    <t>BRUDNEY KAREN DR.</t>
  </si>
  <si>
    <t>TEODORO, ALVIN PATRICK B</t>
  </si>
  <si>
    <t>E0383289</t>
  </si>
  <si>
    <t>TEODORO ALVIN P</t>
  </si>
  <si>
    <t>TEODORO ALVIN PATRICK DR.</t>
  </si>
  <si>
    <t>FIEBACH, NICHOLAS H</t>
  </si>
  <si>
    <t>E0051126</t>
  </si>
  <si>
    <t>FIEBACH NICHOLAS H MD</t>
  </si>
  <si>
    <t>FIEBACH NICHOLAS DR.</t>
  </si>
  <si>
    <t>RAMSAROOP, SHARDA D</t>
  </si>
  <si>
    <t>E0022912</t>
  </si>
  <si>
    <t>RAMSAROOP SHARDA D MD</t>
  </si>
  <si>
    <t>RAMSAROOP SHARDA</t>
  </si>
  <si>
    <t xml:space="preserve">SALVATORE, MIRELLA </t>
  </si>
  <si>
    <t>E0286219</t>
  </si>
  <si>
    <t>SALVATORE MIRELLA</t>
  </si>
  <si>
    <t>SALVATORE MIRELLA DR.</t>
  </si>
  <si>
    <t>BISHOP, TARA F</t>
  </si>
  <si>
    <t>E0284188</t>
  </si>
  <si>
    <t>BISHOP TARA</t>
  </si>
  <si>
    <t>BISHOP TARA FERNANDO MD</t>
  </si>
  <si>
    <t>BRISMAN, STACEY F</t>
  </si>
  <si>
    <t>E0299840</t>
  </si>
  <si>
    <t>BRISMAN STACEY</t>
  </si>
  <si>
    <t>BRISMAN STACEY DR.</t>
  </si>
  <si>
    <t>SPICER, CLINTON E</t>
  </si>
  <si>
    <t>E0160399</t>
  </si>
  <si>
    <t>SPICER CLINTON EDUARDO DDS</t>
  </si>
  <si>
    <t>SPICER CLINTON DR.</t>
  </si>
  <si>
    <t>SPICER CLINTON EDUARDO</t>
  </si>
  <si>
    <t>Jackson Jacob</t>
  </si>
  <si>
    <t>JACKSON JACOB DR.</t>
  </si>
  <si>
    <t>Pryor Kane</t>
  </si>
  <si>
    <t>E0028900</t>
  </si>
  <si>
    <t>PRYOR KANE OWEN MD</t>
  </si>
  <si>
    <t>PRYOR KANE</t>
  </si>
  <si>
    <t>KOLODNER, DEBRA ANN Q</t>
  </si>
  <si>
    <t>E0083211</t>
  </si>
  <si>
    <t>QUINN DEBRA ANN MD</t>
  </si>
  <si>
    <t>KOLODNER DEBRA DR.</t>
  </si>
  <si>
    <t>KOLODNER DEBRA A QUINN MD</t>
  </si>
  <si>
    <t>622 WEST 168TH SREET</t>
  </si>
  <si>
    <t>Paolicchi, Juliann M.</t>
  </si>
  <si>
    <t>E0333886</t>
  </si>
  <si>
    <t>PAOLICCHI JULIANN MARIE</t>
  </si>
  <si>
    <t>PAOLICCHI JULIANN</t>
  </si>
  <si>
    <t>CHRISTIAN WILSON</t>
  </si>
  <si>
    <t>E0453885</t>
  </si>
  <si>
    <t>WILSON CHRISTIAN</t>
  </si>
  <si>
    <t>WILSON CHRISTIAN DR.</t>
  </si>
  <si>
    <t>WILSON CHRISTIAN CHASE</t>
  </si>
  <si>
    <t>JESSICA YANG</t>
  </si>
  <si>
    <t>YANG JESSICA</t>
  </si>
  <si>
    <t>600 NORTH WOLFE ST.</t>
  </si>
  <si>
    <t>JESSE YANG</t>
  </si>
  <si>
    <t>YANG JESSE</t>
  </si>
  <si>
    <t>JUSTIN AARON</t>
  </si>
  <si>
    <t>AARON JUSTIN</t>
  </si>
  <si>
    <t>RITA ABDELMESSIH</t>
  </si>
  <si>
    <t>ABDELMESSIH RITA</t>
  </si>
  <si>
    <t>BARAN AKSUT</t>
  </si>
  <si>
    <t>AKSUT BARAN DR.</t>
  </si>
  <si>
    <t>DIANA ANDERSON</t>
  </si>
  <si>
    <t>ANDERSON DIANA DR.</t>
  </si>
  <si>
    <t>720 W 170TH ST APT 6A</t>
  </si>
  <si>
    <t>EMILY BANEMAN</t>
  </si>
  <si>
    <t>E0414986</t>
  </si>
  <si>
    <t>BANEMAN EMILY</t>
  </si>
  <si>
    <t>BANEMAN EMILY DR.</t>
  </si>
  <si>
    <t>BANEMAN EMILY MICHELLE</t>
  </si>
  <si>
    <t>BRIAN BLOCK</t>
  </si>
  <si>
    <t>E0407386</t>
  </si>
  <si>
    <t>BLOCK BRIAN</t>
  </si>
  <si>
    <t>BLOCK BRIAN LEWIS</t>
  </si>
  <si>
    <t>MATTHEW SCHOENFELD</t>
  </si>
  <si>
    <t>SCHOENFELD MATTHEW DR.</t>
  </si>
  <si>
    <t>FAISAL SHAIKH</t>
  </si>
  <si>
    <t>SHAIKH FAISAL</t>
  </si>
  <si>
    <t>NICOLE SHEN</t>
  </si>
  <si>
    <t>SHEN NICOLE</t>
  </si>
  <si>
    <t>AVANI SINHA</t>
  </si>
  <si>
    <t>SINHA AVANI MS.</t>
  </si>
  <si>
    <t>JOSHUA SMITH</t>
  </si>
  <si>
    <t>SMITH JOSHUA</t>
  </si>
  <si>
    <t>MADELINE STERLING</t>
  </si>
  <si>
    <t>STERLING MADELINE</t>
  </si>
  <si>
    <t>505 E 70TH ST, HELMSLEY MEDICAL TOWER SUITE 4</t>
  </si>
  <si>
    <t>MICHAEL TANOUE</t>
  </si>
  <si>
    <t>TANOUE MICHAEL</t>
  </si>
  <si>
    <t>BEVERLY TCHANG</t>
  </si>
  <si>
    <t>TCHANG BEVERLY MS.</t>
  </si>
  <si>
    <t>NANCY TRAY</t>
  </si>
  <si>
    <t>E0422550</t>
  </si>
  <si>
    <t>TRAY NANCY JANE</t>
  </si>
  <si>
    <t>TRAY NANCY</t>
  </si>
  <si>
    <t>AJAYRAM ULLAL</t>
  </si>
  <si>
    <t>ULLAL AJAYRAM</t>
  </si>
  <si>
    <t>505 E 70TH ST, 505 E 70TH ST</t>
  </si>
  <si>
    <t>HARIKIRAN VASU</t>
  </si>
  <si>
    <t>DAVID VEAL</t>
  </si>
  <si>
    <t>E0417014</t>
  </si>
  <si>
    <t>VEAL DAVID</t>
  </si>
  <si>
    <t>VEAL DAVID DR.</t>
  </si>
  <si>
    <t>VEAL DAVID RICHARD</t>
  </si>
  <si>
    <t>PRASHANTH VENKATESH</t>
  </si>
  <si>
    <t>SHUDAN WANG</t>
  </si>
  <si>
    <t>WANG SHUDAN</t>
  </si>
  <si>
    <t>RICHARD WANG</t>
  </si>
  <si>
    <t>WANG RICHARD</t>
  </si>
  <si>
    <t>RUI WANG</t>
  </si>
  <si>
    <t>WANG RUI</t>
  </si>
  <si>
    <t>RUSSELL WEG</t>
  </si>
  <si>
    <t>WEG RUSSELL MR.</t>
  </si>
  <si>
    <t>NEEHA ZAIDI</t>
  </si>
  <si>
    <t>ZAIDI NEEHA DR.</t>
  </si>
  <si>
    <t>WILLIAM ZHANG</t>
  </si>
  <si>
    <t>E0412966</t>
  </si>
  <si>
    <t>ZHANG WILLIAM</t>
  </si>
  <si>
    <t>ZHANG WILLIAM ZHENGYANG</t>
  </si>
  <si>
    <t>GHAITH ABU ZEINAH</t>
  </si>
  <si>
    <t>ABU ZEINAH GHAITH DR.</t>
  </si>
  <si>
    <t>1484 1ST AVE, WEILL CORNELL INTERNAL MEDICINE AT WRIGHT</t>
  </si>
  <si>
    <t>DANIEL BACHMAN</t>
  </si>
  <si>
    <t>BACHMAN DANIEL DR.</t>
  </si>
  <si>
    <t>KELLY BOLTON</t>
  </si>
  <si>
    <t>BOLTON KELLY MRS.</t>
  </si>
  <si>
    <t>530 E 70TH ST # M-528</t>
  </si>
  <si>
    <t>JENNIFER CHESTER</t>
  </si>
  <si>
    <t>E0412924</t>
  </si>
  <si>
    <t>CHESTER JENNIFER</t>
  </si>
  <si>
    <t>CHESTER JENNIFER DR.</t>
  </si>
  <si>
    <t>CHESTER JENNIFER GONIK</t>
  </si>
  <si>
    <t>ATTILA FEHER</t>
  </si>
  <si>
    <t>FEHER ATTILA</t>
  </si>
  <si>
    <t>PATRICK MCNAIR</t>
  </si>
  <si>
    <t>E0409968</t>
  </si>
  <si>
    <t>MCNAIR PATRICK WILLIAM</t>
  </si>
  <si>
    <t>MCNAIR PATRICK</t>
  </si>
  <si>
    <t>DANIEL PAGET</t>
  </si>
  <si>
    <t>E0446251</t>
  </si>
  <si>
    <t>PAGET DANIEL</t>
  </si>
  <si>
    <t>PAGET DANIEL MARC</t>
  </si>
  <si>
    <t>KAARTIGA SIVANESAN</t>
  </si>
  <si>
    <t>SIVANESAN KAARTIGA</t>
  </si>
  <si>
    <t>ZAID TAFESH</t>
  </si>
  <si>
    <t>TAFESH ZAID DR.</t>
  </si>
  <si>
    <t>TIRIT ADANE</t>
  </si>
  <si>
    <t>ADANE TIRSIT</t>
  </si>
  <si>
    <t>14103 FAIRHILL AVENUE</t>
  </si>
  <si>
    <t>EDMOND</t>
  </si>
  <si>
    <t>CHRISTINE CHANG</t>
  </si>
  <si>
    <t>DANIELA DIAZ</t>
  </si>
  <si>
    <t>E0411427</t>
  </si>
  <si>
    <t>DIAZ DANIELA C</t>
  </si>
  <si>
    <t>DIAZ DANIELA</t>
  </si>
  <si>
    <t>155 MAIN ST</t>
  </si>
  <si>
    <t>Ha Richard</t>
  </si>
  <si>
    <t>E0334546</t>
  </si>
  <si>
    <t>HA RICHARD S</t>
  </si>
  <si>
    <t>HA RICHARD</t>
  </si>
  <si>
    <t>Howell, Joy D.</t>
  </si>
  <si>
    <t>E0085007</t>
  </si>
  <si>
    <t>HOWELL JOY DEANNA MD</t>
  </si>
  <si>
    <t>HOWELL JOY</t>
  </si>
  <si>
    <t>Cheung Cindy</t>
  </si>
  <si>
    <t>Cheung Jenny</t>
  </si>
  <si>
    <t>CHEUNG JENNY MS.</t>
  </si>
  <si>
    <t>Chiao Franklin</t>
  </si>
  <si>
    <t>E0388015</t>
  </si>
  <si>
    <t>CHIAO FRANKLIN B</t>
  </si>
  <si>
    <t>CHIAO FRANKLIN</t>
  </si>
  <si>
    <t>Chirlin Elizabeth</t>
  </si>
  <si>
    <t>CHIRLIN ELIZABETH</t>
  </si>
  <si>
    <t>9507 BENCHMARK LN</t>
  </si>
  <si>
    <t>BLUE ASH</t>
  </si>
  <si>
    <t>Chung David</t>
  </si>
  <si>
    <t>CHUNG DAVID</t>
  </si>
  <si>
    <t>932 THROGGMORTON AVE</t>
  </si>
  <si>
    <t>Conine Cheryl</t>
  </si>
  <si>
    <t>CONINE CHERYL</t>
  </si>
  <si>
    <t>525 E 68TH ST, DEPARTMENT OF ANESTHESIA</t>
  </si>
  <si>
    <t>Cudilo Elizabeth</t>
  </si>
  <si>
    <t>E0398656</t>
  </si>
  <si>
    <t>CUDILO ELIZABETH MARIA</t>
  </si>
  <si>
    <t>CUDILO ELIZABETH</t>
  </si>
  <si>
    <t>Cuomo Stacey</t>
  </si>
  <si>
    <t>CUOMO STACEY</t>
  </si>
  <si>
    <t>Cushing Erin</t>
  </si>
  <si>
    <t>CUSHING ERIN</t>
  </si>
  <si>
    <t>593 EDDY STREET, DAVOL 129</t>
  </si>
  <si>
    <t>JURGRAU-VOULGARIS, ANDREA S</t>
  </si>
  <si>
    <t>E0061409</t>
  </si>
  <si>
    <t>JURGRAU ANDREA S</t>
  </si>
  <si>
    <t>JURGRAU-VOULGARIS ANDREA MS.</t>
  </si>
  <si>
    <t>JURGRAU-VOULGARIS ANDREA SUZANNE</t>
  </si>
  <si>
    <t>Theodore C. Docu</t>
  </si>
  <si>
    <t>Hemo Bodhu</t>
  </si>
  <si>
    <t>(718) 601-0627</t>
  </si>
  <si>
    <t>t92p95@aol.com</t>
  </si>
  <si>
    <t>Roth, Lisa Giulino</t>
  </si>
  <si>
    <t>E0346320</t>
  </si>
  <si>
    <t>ROTH LISA GIULINO</t>
  </si>
  <si>
    <t xml:space="preserve">LEBWOHL, BENJAMIN </t>
  </si>
  <si>
    <t>E0024240</t>
  </si>
  <si>
    <t>LEBWOHL BENJAMIN MD</t>
  </si>
  <si>
    <t>LEBWOHL BENJAMIN DR.</t>
  </si>
  <si>
    <t>KANG, JANE S</t>
  </si>
  <si>
    <t>E0299281</t>
  </si>
  <si>
    <t>KANG JANE SUNMI</t>
  </si>
  <si>
    <t>KANG JANE</t>
  </si>
  <si>
    <t>FLORSHEIM, REBECCA</t>
  </si>
  <si>
    <t>E0320128</t>
  </si>
  <si>
    <t>FLORSHEIM REBECCA LYNN</t>
  </si>
  <si>
    <t>FLORSHEIM REBECCA DR.</t>
  </si>
  <si>
    <t>ADEN, BRANDON J</t>
  </si>
  <si>
    <t>E0009708</t>
  </si>
  <si>
    <t>ADEN BRANDON</t>
  </si>
  <si>
    <t>ADEN BRANDON DR.</t>
  </si>
  <si>
    <t>MIELE GOMEZ, KATHERINE A</t>
  </si>
  <si>
    <t>E0300536</t>
  </si>
  <si>
    <t>MIELE GOMEZ KATHERINE</t>
  </si>
  <si>
    <t>MIELE GOMEZ KATHERINE DR.</t>
  </si>
  <si>
    <t xml:space="preserve">O'DONNELL, MAX </t>
  </si>
  <si>
    <t>E0309049</t>
  </si>
  <si>
    <t>O'DONNELL MAX ROE MD</t>
  </si>
  <si>
    <t>O'DONNELL MAX</t>
  </si>
  <si>
    <t>OLENDER, SUSAN A</t>
  </si>
  <si>
    <t>E0020120</t>
  </si>
  <si>
    <t>OLENDER SUSAN AILEEN MD</t>
  </si>
  <si>
    <t>OLENDER SUSAN DR.</t>
  </si>
  <si>
    <t xml:space="preserve">CARNEVALE, CAROLINE </t>
  </si>
  <si>
    <t xml:space="preserve">MUFSON, LAURA </t>
  </si>
  <si>
    <t>E0118881</t>
  </si>
  <si>
    <t>MUFSON LAURA</t>
  </si>
  <si>
    <t>MUFSON LAURA DR.</t>
  </si>
  <si>
    <t xml:space="preserve">STEIN, EMILY </t>
  </si>
  <si>
    <t>E0000867</t>
  </si>
  <si>
    <t>STEIN EMILY MARGARET</t>
  </si>
  <si>
    <t>KATHRYN LOUGHLIN</t>
  </si>
  <si>
    <t>LAURIE KATHRYN</t>
  </si>
  <si>
    <t>16 GOLF LN</t>
  </si>
  <si>
    <t>RIDGEFIELD</t>
  </si>
  <si>
    <t>MATTHEW MARKS</t>
  </si>
  <si>
    <t>E0412955</t>
  </si>
  <si>
    <t>MARKS MATTHEW S</t>
  </si>
  <si>
    <t>MARKS MATTHEW DR.</t>
  </si>
  <si>
    <t>NINA MBADIWE</t>
  </si>
  <si>
    <t>MBADIWE NINA DR.</t>
  </si>
  <si>
    <t>5841 S MARYLAND AVE, M/C 0810</t>
  </si>
  <si>
    <t>SON MCLAREN</t>
  </si>
  <si>
    <t>MCLAREN SON DR.</t>
  </si>
  <si>
    <t>SONDRA  NEMETSKI</t>
  </si>
  <si>
    <t>NEMETSKI SONDRA DR.</t>
  </si>
  <si>
    <t>525 E 68TH ST, M-610</t>
  </si>
  <si>
    <t>EILEEN NICOLETTI</t>
  </si>
  <si>
    <t>NICOLETTI EILEEN DR.</t>
  </si>
  <si>
    <t>TARA O'DONOHUE</t>
  </si>
  <si>
    <t>O'DONOHUE TARA</t>
  </si>
  <si>
    <t>525 E 68TH ST, DEPT. OF PEDIATRICS AT WEILL CORNELL MEDICAL CENTER</t>
  </si>
  <si>
    <t>JOSEPH OVED</t>
  </si>
  <si>
    <t>OVED JOSEPH</t>
  </si>
  <si>
    <t>880 5TH AVE APT 20B</t>
  </si>
  <si>
    <t>JORDANNA PLATT</t>
  </si>
  <si>
    <t>PLATT JORDANNA</t>
  </si>
  <si>
    <t>1945 EASTCHESTER RD, APT 6A</t>
  </si>
  <si>
    <t>SARAH SIDHU</t>
  </si>
  <si>
    <t>SONIA SINGH</t>
  </si>
  <si>
    <t>SINGH SONIA</t>
  </si>
  <si>
    <t>MARIEL SMITH</t>
  </si>
  <si>
    <t>SMITH MARIEL</t>
  </si>
  <si>
    <t>525 E 68TH ST, DEPT OF PEDIATRICS</t>
  </si>
  <si>
    <t>MEGAN TOAL</t>
  </si>
  <si>
    <t>TOAL MEGAN</t>
  </si>
  <si>
    <t>NICOLE ULIASSI</t>
  </si>
  <si>
    <t>ULIASSI NICOLE</t>
  </si>
  <si>
    <t>6000 EXECUTIVE BLVD, SUITE 310</t>
  </si>
  <si>
    <t>ROCHELLE WITT</t>
  </si>
  <si>
    <t>WITT ROCHELLE DR.</t>
  </si>
  <si>
    <t>525 E 68TH ST, ROOM M-610</t>
  </si>
  <si>
    <t>SHARI GELBER</t>
  </si>
  <si>
    <t>E0323276</t>
  </si>
  <si>
    <t>GELBER SHARI</t>
  </si>
  <si>
    <t>GELBER SHARI DR.</t>
  </si>
  <si>
    <t>GELBER SHARI E</t>
  </si>
  <si>
    <t>525 E 68TH ST # J130 # 122</t>
  </si>
  <si>
    <t>MICHAEL GOLDBERG</t>
  </si>
  <si>
    <t>E0029952</t>
  </si>
  <si>
    <t>GOLDBERG MICHAEL ELLIS MD</t>
  </si>
  <si>
    <t>SHRAVYA GOVINDAPPAGARI</t>
  </si>
  <si>
    <t>E0379178</t>
  </si>
  <si>
    <t>GOVINDAPPAGARI SHRAVYA</t>
  </si>
  <si>
    <t>GOVINDAPPAGARI SHRAVYA DR.</t>
  </si>
  <si>
    <t>DIVYA GUPTA</t>
  </si>
  <si>
    <t>E0020604</t>
  </si>
  <si>
    <t>GUPTA DIVYA MD</t>
  </si>
  <si>
    <t>GUPTA DIVYA</t>
  </si>
  <si>
    <t>JOSE GUTIERREZ-CONTRERAS</t>
  </si>
  <si>
    <t>E0352671</t>
  </si>
  <si>
    <t>GUTIERREZ-CONTRERAS JOSE</t>
  </si>
  <si>
    <t>GUTIERREZ CONTRERAS JOSE DR.</t>
  </si>
  <si>
    <t>710 WEST 168TH ST</t>
  </si>
  <si>
    <t>KEVIN HOLCOMB</t>
  </si>
  <si>
    <t>E0104126</t>
  </si>
  <si>
    <t>HOLCOMB KEVIN M</t>
  </si>
  <si>
    <t>HOLCOMB KEVIN</t>
  </si>
  <si>
    <t>STE 4C</t>
  </si>
  <si>
    <t>RUJIN JU</t>
  </si>
  <si>
    <t>E0352738</t>
  </si>
  <si>
    <t>JU RUJIN</t>
  </si>
  <si>
    <t>ROSE KARANICOLAS</t>
  </si>
  <si>
    <t>E0365412</t>
  </si>
  <si>
    <t>KARANICOLAS ROSE</t>
  </si>
  <si>
    <t>KARANICOLAS ROSE DR.</t>
  </si>
  <si>
    <t>TAMARA KELLY</t>
  </si>
  <si>
    <t>E0383464</t>
  </si>
  <si>
    <t>KELLY TAMARA</t>
  </si>
  <si>
    <t>KELLY TAMARA P</t>
  </si>
  <si>
    <t>SARAH KELLY</t>
  </si>
  <si>
    <t>E0214621</t>
  </si>
  <si>
    <t>KELLY SARAH HORTON MD</t>
  </si>
  <si>
    <t>KELLY SARAH</t>
  </si>
  <si>
    <t>ROSANNE KHO</t>
  </si>
  <si>
    <t>E0379377</t>
  </si>
  <si>
    <t>KHO ROSANNE MARIE</t>
  </si>
  <si>
    <t>KHO ROSANNE DR.</t>
  </si>
  <si>
    <t>JIN HEE KIM</t>
  </si>
  <si>
    <t>E0299040</t>
  </si>
  <si>
    <t>KIM JIN HEE JEANNIE</t>
  </si>
  <si>
    <t>KIM JIN HEE</t>
  </si>
  <si>
    <t>SUNEETA KRISHNAREDDY</t>
  </si>
  <si>
    <t>E0386191</t>
  </si>
  <si>
    <t>KRISHNAREDDY SUNEETA</t>
  </si>
  <si>
    <t>KRISHNAREDDY SUNEETA DR.</t>
  </si>
  <si>
    <t>LANA LIPKIN</t>
  </si>
  <si>
    <t>E0288515</t>
  </si>
  <si>
    <t>LIPKIN LANA ELIZABETH MD</t>
  </si>
  <si>
    <t>LIPKIN LANA</t>
  </si>
  <si>
    <t>SHARI LIPNER</t>
  </si>
  <si>
    <t>E0296838</t>
  </si>
  <si>
    <t>LIPNER SHARI R MD</t>
  </si>
  <si>
    <t>LIPNER SHARI DR.</t>
  </si>
  <si>
    <t>LAWRENCE LUSTIG</t>
  </si>
  <si>
    <t>E0391023</t>
  </si>
  <si>
    <t>LUSTIG MD LAWRENCE R</t>
  </si>
  <si>
    <t>LUSTIG LAWRENCE DR.</t>
  </si>
  <si>
    <t>THOMAS LYNCH</t>
  </si>
  <si>
    <t>E0393079</t>
  </si>
  <si>
    <t>LYNCH THOMAS</t>
  </si>
  <si>
    <t>LYNCH THOMAS DR.</t>
  </si>
  <si>
    <t>AMY MAGNESON</t>
  </si>
  <si>
    <t>E0022226</t>
  </si>
  <si>
    <t>MAGNESON AMY TYE MD</t>
  </si>
  <si>
    <t>MAGNESON AMY</t>
  </si>
  <si>
    <t>ALICIA MECKLAI</t>
  </si>
  <si>
    <t>E0349025</t>
  </si>
  <si>
    <t>MECKLAI ALICIA</t>
  </si>
  <si>
    <t>MECKLAI ALICIA DR.</t>
  </si>
  <si>
    <t>MECKLAI ALICIA AMIN</t>
  </si>
  <si>
    <t>TRACY-ANN MOO</t>
  </si>
  <si>
    <t>E0352641</t>
  </si>
  <si>
    <t>MOO TRACY-ANN SYREETA</t>
  </si>
  <si>
    <t>MOO TRACY-ANN</t>
  </si>
  <si>
    <t>525 E 68TH ST # 232</t>
  </si>
  <si>
    <t>MAGAN MROCZKOWSKI</t>
  </si>
  <si>
    <t>E0363898</t>
  </si>
  <si>
    <t>MROCZKOWSKI MEGAN MARIE</t>
  </si>
  <si>
    <t>MROCZKOWSKI MEGAN</t>
  </si>
  <si>
    <t>1 PARK AVE # 8-213</t>
  </si>
  <si>
    <t>SWAPNA NALGONDA</t>
  </si>
  <si>
    <t>E0324552</t>
  </si>
  <si>
    <t>NALGONDA SWAPNA</t>
  </si>
  <si>
    <t>NALGONDA SWAPNA DR.</t>
  </si>
  <si>
    <t>JAMES NOBLE</t>
  </si>
  <si>
    <t>E0024614</t>
  </si>
  <si>
    <t>NOBLE JAMES M MD</t>
  </si>
  <si>
    <t>NOBLE JAMES DR.</t>
  </si>
  <si>
    <t>NOBLE JAMES MCCALLUM</t>
  </si>
  <si>
    <t>CHARLES NUSS</t>
  </si>
  <si>
    <t>E0284589</t>
  </si>
  <si>
    <t>NUSS CHARLES RONALD MD</t>
  </si>
  <si>
    <t>NUSS CHARLES</t>
  </si>
  <si>
    <t>PUJA PARIKH</t>
  </si>
  <si>
    <t>E0387937</t>
  </si>
  <si>
    <t>PARIKH PUJA BIPIN</t>
  </si>
  <si>
    <t>PARIKH PUJA DR.</t>
  </si>
  <si>
    <t>LATHA PASUPULETI</t>
  </si>
  <si>
    <t>E0383382</t>
  </si>
  <si>
    <t>PASUPULETI LATHA</t>
  </si>
  <si>
    <t>PASUPULETI LATHA DR.</t>
  </si>
  <si>
    <t>HAMASHI PERERA</t>
  </si>
  <si>
    <t>E0353099</t>
  </si>
  <si>
    <t>PERERA HEMASHI KASHILA</t>
  </si>
  <si>
    <t>PERERA HEMASHI DR.</t>
  </si>
  <si>
    <t>KALPANA PETHE</t>
  </si>
  <si>
    <t>E0383531</t>
  </si>
  <si>
    <t>PETHE KALPANA</t>
  </si>
  <si>
    <t>CARISA PETRIS</t>
  </si>
  <si>
    <t>VEERAWAT PHONGTANKUEL</t>
  </si>
  <si>
    <t>E0383501</t>
  </si>
  <si>
    <t>PHONGTANKUEL VEERAWAT</t>
  </si>
  <si>
    <t>PHONGTANKUEL VEERAWAT DR.</t>
  </si>
  <si>
    <t>MARGARET POLANECZKY</t>
  </si>
  <si>
    <t>E0160861</t>
  </si>
  <si>
    <t>POLANECZKY MARGARET M MD</t>
  </si>
  <si>
    <t>POLANECZKY MARGARET</t>
  </si>
  <si>
    <t>525 E 68TH ST # J-130</t>
  </si>
  <si>
    <t>LONA PRASAD</t>
  </si>
  <si>
    <t>E0020410</t>
  </si>
  <si>
    <t>PRASAD LONA MD</t>
  </si>
  <si>
    <t>PRASAD LONA</t>
  </si>
  <si>
    <t>ANTHONY PUCILLO</t>
  </si>
  <si>
    <t>E0220529</t>
  </si>
  <si>
    <t>PUCILLO ANTHONY L          MD</t>
  </si>
  <si>
    <t>PUCILLO ANTHONY DR.</t>
  </si>
  <si>
    <t>PUCILLO ANTHONY L</t>
  </si>
  <si>
    <t>OSCAR PURUGGANAN</t>
  </si>
  <si>
    <t>E0111000</t>
  </si>
  <si>
    <t>PURUGGANAN OSCAR H MD</t>
  </si>
  <si>
    <t>PURUGGANAN OSCAR</t>
  </si>
  <si>
    <t>200 WESTAGE BUSINES CTR</t>
  </si>
  <si>
    <t>BETH RACKOW</t>
  </si>
  <si>
    <t>E0328358</t>
  </si>
  <si>
    <t>RACKOW BETH</t>
  </si>
  <si>
    <t>RACKOW BETH DR.</t>
  </si>
  <si>
    <t>RINI RATAN</t>
  </si>
  <si>
    <t>E0060488</t>
  </si>
  <si>
    <t>RATAN RINI BANERJEE MD</t>
  </si>
  <si>
    <t>RATAN RINI</t>
  </si>
  <si>
    <t>NEW YORK PRESBYTERIA</t>
  </si>
  <si>
    <t>NICHOLAS ROMAS</t>
  </si>
  <si>
    <t>TIMOTHY RYNTZ</t>
  </si>
  <si>
    <t>ASHANDA SAINT JEAN</t>
  </si>
  <si>
    <t>E0057447</t>
  </si>
  <si>
    <t>PHILLIPS ASHANDA MYRNA MD</t>
  </si>
  <si>
    <t>SAINT JEAN ASHANDA</t>
  </si>
  <si>
    <t>SAINT JEAN ASHANDA MD</t>
  </si>
  <si>
    <t>FERDOUSE SARTAWI</t>
  </si>
  <si>
    <t>E0323060</t>
  </si>
  <si>
    <t>SARTAWI FERDOUSE</t>
  </si>
  <si>
    <t>KARIN SCHOTT</t>
  </si>
  <si>
    <t>E0284457</t>
  </si>
  <si>
    <t>SCHOTT KARIN A</t>
  </si>
  <si>
    <t>SCHOTT KARIN</t>
  </si>
  <si>
    <t>SCHOTT KARIN ALYSE MD</t>
  </si>
  <si>
    <t>ROSHAN SHAH</t>
  </si>
  <si>
    <t>E0388205</t>
  </si>
  <si>
    <t>SHAH ROSHAN PRADIP</t>
  </si>
  <si>
    <t>SHAH ROSHAN</t>
  </si>
  <si>
    <t>HIRAL SHAH</t>
  </si>
  <si>
    <t>E0324488</t>
  </si>
  <si>
    <t>LAROIA HIRAL</t>
  </si>
  <si>
    <t>SHAH HIRAL DR.</t>
  </si>
  <si>
    <t>SHAH HIRAL GAUTAM</t>
  </si>
  <si>
    <t>BARRY SHAKTMAN</t>
  </si>
  <si>
    <t>E0094787</t>
  </si>
  <si>
    <t>SHAKTMAN BARRY DAVID MD</t>
  </si>
  <si>
    <t>SHAKTMAN BARRY</t>
  </si>
  <si>
    <t>NY PRESB OB J-130</t>
  </si>
  <si>
    <t>JEAN-JU SHEEN</t>
  </si>
  <si>
    <t>E0051112</t>
  </si>
  <si>
    <t>SHEEN JEAN-JU MD</t>
  </si>
  <si>
    <t>SHEEN JEAN-JU DR.</t>
  </si>
  <si>
    <t>SAMEER SHETH</t>
  </si>
  <si>
    <t>E0347342</t>
  </si>
  <si>
    <t>SHETH SAMEER MD</t>
  </si>
  <si>
    <t>SHETH SAMEER</t>
  </si>
  <si>
    <t>RACHE SIMMONS</t>
  </si>
  <si>
    <t>E0139864</t>
  </si>
  <si>
    <t>SIMMONS RACHE M MD</t>
  </si>
  <si>
    <t>SIMMONS RACHE</t>
  </si>
  <si>
    <t>ROBIN BRUSEN</t>
  </si>
  <si>
    <t>BRUSEN ROBIN</t>
  </si>
  <si>
    <t>1959 NE PACIFIC ST</t>
  </si>
  <si>
    <t>RACHEL BYSTRITSKY</t>
  </si>
  <si>
    <t>E0407411</t>
  </si>
  <si>
    <t>BYSTRITSKY RACHEL</t>
  </si>
  <si>
    <t>MATTHEW CHAMPION</t>
  </si>
  <si>
    <t>CHAMPION MATTHEW</t>
  </si>
  <si>
    <t>NALINI COLACO</t>
  </si>
  <si>
    <t>COLACO NALINI DR.</t>
  </si>
  <si>
    <t>50 W 72ND ST, APT 708</t>
  </si>
  <si>
    <t>YVONNE COVIN</t>
  </si>
  <si>
    <t>COVIN YVONNE DR.</t>
  </si>
  <si>
    <t>5303 HAMILTON WOLFE RD APT 1003</t>
  </si>
  <si>
    <t>DAVID FALECK</t>
  </si>
  <si>
    <t>FALECK DAVID DR.</t>
  </si>
  <si>
    <t>JUSTIN FRIED</t>
  </si>
  <si>
    <t>FRIED JUSTIN</t>
  </si>
  <si>
    <t>TOVA FULLER</t>
  </si>
  <si>
    <t>FULLER TOVA DR.</t>
  </si>
  <si>
    <t>101 DUDLEY AVE APT 309</t>
  </si>
  <si>
    <t>AKASH GOEL</t>
  </si>
  <si>
    <t>GOEL AKASH</t>
  </si>
  <si>
    <t>622 30TH ST</t>
  </si>
  <si>
    <t>ANDREW GOLDSTEIN</t>
  </si>
  <si>
    <t>E0408433</t>
  </si>
  <si>
    <t>GOLDSTEIN ANDREW D</t>
  </si>
  <si>
    <t>GOLDSTEIN ANDREW</t>
  </si>
  <si>
    <t>RUBY GREYWOODE</t>
  </si>
  <si>
    <t>GREYWOODE RUBY</t>
  </si>
  <si>
    <t>622 W 168TH ST, 2ND FLOOR</t>
  </si>
  <si>
    <t>JENNIFER HEINEN</t>
  </si>
  <si>
    <t>E0423478</t>
  </si>
  <si>
    <t>HEINEN JENNIFER ANN</t>
  </si>
  <si>
    <t>HEINEN JENNIFER DR.</t>
  </si>
  <si>
    <t>DANIEL HENDERSON</t>
  </si>
  <si>
    <t>HENDERSON DANIEL DR.</t>
  </si>
  <si>
    <t>15 PARKMAN ST, WANG CENTER, 6TH FLOOR</t>
  </si>
  <si>
    <t>ANDREW HIGGINS</t>
  </si>
  <si>
    <t>E0414994</t>
  </si>
  <si>
    <t>HIGGINS ANDREW</t>
  </si>
  <si>
    <t>HIGGINS ANDREW ROSS</t>
  </si>
  <si>
    <t>VERN KERCHBERGER</t>
  </si>
  <si>
    <t>KERCHBERGER VERN DR.</t>
  </si>
  <si>
    <t>1161 21ST AVE S, T-1218, MCN</t>
  </si>
  <si>
    <t>ROBERT KNOTTS</t>
  </si>
  <si>
    <t>KNOTTS ROBERT</t>
  </si>
  <si>
    <t>JENNIFER LEE</t>
  </si>
  <si>
    <t>622 W 168TH ST, VC 10TH FLOOR</t>
  </si>
  <si>
    <t>AKINBOWALE OYALOWO</t>
  </si>
  <si>
    <t>OYALOWO AKINBOWALE</t>
  </si>
  <si>
    <t>3400 CIVIC CENTER BLVD, DIV OF GASTROENTEROLOGY, PCAM - SOUTH PAVILION, 7TH FL</t>
  </si>
  <si>
    <t>FARAH QUYYUMI</t>
  </si>
  <si>
    <t>QUYYUMI FARAH</t>
  </si>
  <si>
    <t>1200 N STATE ST, CT-A7D</t>
  </si>
  <si>
    <t>AMANDA RAMSDELL</t>
  </si>
  <si>
    <t>E0407518</t>
  </si>
  <si>
    <t>RAMSDELL AMANDA</t>
  </si>
  <si>
    <t>RAMSDELL AMANDA DR.</t>
  </si>
  <si>
    <t>RAMSDELL AMANDA KATHERINE KNAPP</t>
  </si>
  <si>
    <t>NATHANIEL REISINGER</t>
  </si>
  <si>
    <t>REISINGER NATHANIEL</t>
  </si>
  <si>
    <t>2121 MARKET ST #223, 223</t>
  </si>
  <si>
    <t>ARIELLE RODMAN</t>
  </si>
  <si>
    <t>E0407299</t>
  </si>
  <si>
    <t>LANGER ARIELLE LYON</t>
  </si>
  <si>
    <t>LANGER ARIELLE DR.</t>
  </si>
  <si>
    <t>GEOFFREY RUBIN</t>
  </si>
  <si>
    <t>RUBIN GEOFFREY</t>
  </si>
  <si>
    <t>KELLY SCHOENBECK</t>
  </si>
  <si>
    <t>SCHOENBECK KELLY</t>
  </si>
  <si>
    <t>GREGORY SERRAO</t>
  </si>
  <si>
    <t>SERRAO GREGORY DR.</t>
  </si>
  <si>
    <t>622 W 168TH ST FL 2, SUITE 215</t>
  </si>
  <si>
    <t>ANKIT SHAH</t>
  </si>
  <si>
    <t>SHAH ANKIT DR.</t>
  </si>
  <si>
    <t>JORGE SUAREZ</t>
  </si>
  <si>
    <t>SUAREZ JORGE DR.</t>
  </si>
  <si>
    <t>11040 SW 44TH ST</t>
  </si>
  <si>
    <t>RAHUL VANJANI</t>
  </si>
  <si>
    <t>VANJANI RAHUL DR.</t>
  </si>
  <si>
    <t>622 W 168TH ST, AIM CLINIC, 2ND FLOOR, RM. 240</t>
  </si>
  <si>
    <t>SIRISH VULLAGANTI</t>
  </si>
  <si>
    <t>VULLAGANTI SIRISH DR.</t>
  </si>
  <si>
    <t>JEFFERY WESSLER</t>
  </si>
  <si>
    <t>E0407494</t>
  </si>
  <si>
    <t>WESSLER JEFFREY</t>
  </si>
  <si>
    <t>WESSLER JEFFREY D</t>
  </si>
  <si>
    <t>AMANDA ADELEYE</t>
  </si>
  <si>
    <t>ADELEYE AMANDA</t>
  </si>
  <si>
    <t>SHANNON DEVORE</t>
  </si>
  <si>
    <t>DEVORE SHANNON DR.</t>
  </si>
  <si>
    <t>622 W 168TH ST, PH 16</t>
  </si>
  <si>
    <t>CASSANDRA DUFFY</t>
  </si>
  <si>
    <t>DUFFY CASSANDRA</t>
  </si>
  <si>
    <t>VICTORIA FRATTO</t>
  </si>
  <si>
    <t>FRATTO VICTORIA</t>
  </si>
  <si>
    <t>622 W 168TH ST, PH 16-29</t>
  </si>
  <si>
    <t>ERIN GEORGE</t>
  </si>
  <si>
    <t>GEORGE ERIN DR.</t>
  </si>
  <si>
    <t>60 HAVEN AVE, APT 4B</t>
  </si>
  <si>
    <t>D'Agati Vivette</t>
  </si>
  <si>
    <t>E0111519</t>
  </si>
  <si>
    <t>D'AGATI VIVETTE</t>
  </si>
  <si>
    <t>(212) 803-2863</t>
  </si>
  <si>
    <t>(212) 803-2867</t>
  </si>
  <si>
    <t>GRANIERI, EVELYN C</t>
  </si>
  <si>
    <t xml:space="preserve">SEDIGHI, ABDOLIAH </t>
  </si>
  <si>
    <t>E0042975</t>
  </si>
  <si>
    <t>SEDIGHI ABDOLLAH MD</t>
  </si>
  <si>
    <t>SEDIGHI ABDOLLAH DR.</t>
  </si>
  <si>
    <t>SEDIGHI ABDOLLAH</t>
  </si>
  <si>
    <t>SAHS, JOHN A</t>
  </si>
  <si>
    <t>E0118863</t>
  </si>
  <si>
    <t>SAHS JOHN ARTHUR</t>
  </si>
  <si>
    <t>SAHS JOHN</t>
  </si>
  <si>
    <t>HOLSTEIN, STANLEY B</t>
  </si>
  <si>
    <t>Parow, Aimee</t>
  </si>
  <si>
    <t>E0348078</t>
  </si>
  <si>
    <t>PAROW AIMEE</t>
  </si>
  <si>
    <t>PAROW AIMEE M</t>
  </si>
  <si>
    <t>525N E 68TH ST</t>
  </si>
  <si>
    <t>Raquel Ramos, LCSW</t>
  </si>
  <si>
    <t>E0393148</t>
  </si>
  <si>
    <t>RAMOS RAQUEL E</t>
  </si>
  <si>
    <t>(212) 942-8529</t>
  </si>
  <si>
    <t>RAMOS RAQUEL MS.</t>
  </si>
  <si>
    <t>Beverly Timothy</t>
  </si>
  <si>
    <t>Hatchett Morgan</t>
  </si>
  <si>
    <t>E0352882</t>
  </si>
  <si>
    <t>HATCHETT MORGAN</t>
  </si>
  <si>
    <t xml:space="preserve">SHEARER, LEE </t>
  </si>
  <si>
    <t>E0349040</t>
  </si>
  <si>
    <t>SHEARER LEE</t>
  </si>
  <si>
    <t>SHEARER LEE DR.</t>
  </si>
  <si>
    <t>SOBIESZCZYK, MAGDALENA E</t>
  </si>
  <si>
    <t>E0035466</t>
  </si>
  <si>
    <t>SOBIESZCZYK MAGDALENA E MD</t>
  </si>
  <si>
    <t>SOBIESZCZYK MAGDALENA DR.</t>
  </si>
  <si>
    <t xml:space="preserve">NAMBURI, SWATHI </t>
  </si>
  <si>
    <t>E0355289</t>
  </si>
  <si>
    <t>NAMBURI SWATHI</t>
  </si>
  <si>
    <t>Huah Amy</t>
  </si>
  <si>
    <t>HSU AMY</t>
  </si>
  <si>
    <t>3642A DAYTON AVE N, PH5-133 STEM</t>
  </si>
  <si>
    <t>Lee H. Thomas</t>
  </si>
  <si>
    <t>E0089440</t>
  </si>
  <si>
    <t>LEE H THOMAS MD</t>
  </si>
  <si>
    <t>LEE H DR.</t>
  </si>
  <si>
    <t>COLUMBIS PRESBY HSP</t>
  </si>
  <si>
    <t>Patel Ashmi</t>
  </si>
  <si>
    <t>E0080504</t>
  </si>
  <si>
    <t>PATEL ASHMI A MD</t>
  </si>
  <si>
    <t>PATEL ASHMI DR.</t>
  </si>
  <si>
    <t>Shah Deepa</t>
  </si>
  <si>
    <t>E0000343</t>
  </si>
  <si>
    <t>DEEPA V SHAH</t>
  </si>
  <si>
    <t>SHAH DEEPA DR.</t>
  </si>
  <si>
    <t>SHAH DEEPA V MD</t>
  </si>
  <si>
    <t>Stoepker Jeremy</t>
  </si>
  <si>
    <t>E0306422</t>
  </si>
  <si>
    <t>STOEPKER JEREMY ISAAC</t>
  </si>
  <si>
    <t>STOEPKER JEREMY</t>
  </si>
  <si>
    <t>Tiru Claudette</t>
  </si>
  <si>
    <t>E0030825</t>
  </si>
  <si>
    <t>TIRU CLAUDETTE O MD</t>
  </si>
  <si>
    <t>TIRU CLAUDETTE DR.</t>
  </si>
  <si>
    <t>The Bridge, Inc.</t>
  </si>
  <si>
    <t>thebridge</t>
  </si>
  <si>
    <t>Community League of the Heights</t>
  </si>
  <si>
    <t>Yvonne Stennett</t>
  </si>
  <si>
    <t>ystennett@cloth159.org</t>
  </si>
  <si>
    <t>Pasamba Michelle</t>
  </si>
  <si>
    <t>E0413292</t>
  </si>
  <si>
    <t>PASAMBA MICHELLE ONGKINGO</t>
  </si>
  <si>
    <t>PASAMBA MICHELLE</t>
  </si>
  <si>
    <t>Piracha Mohammad</t>
  </si>
  <si>
    <t>E0435232</t>
  </si>
  <si>
    <t>PIRACHA MOHAMMAD M</t>
  </si>
  <si>
    <t>PIRACHA MOHAMMAD</t>
  </si>
  <si>
    <t>Rasamny Lee</t>
  </si>
  <si>
    <t>RASAMNY LEE</t>
  </si>
  <si>
    <t>Reznikova Katerina</t>
  </si>
  <si>
    <t>REZNIKOVA KATERINA</t>
  </si>
  <si>
    <t>Rim Catherine</t>
  </si>
  <si>
    <t>RIM CATHERINE</t>
  </si>
  <si>
    <t>Rose Sydney</t>
  </si>
  <si>
    <t>ROSE SYDNEY DR.</t>
  </si>
  <si>
    <t>3181 SW SAM JACKSON PARK RD, HRC 5TH FL</t>
  </si>
  <si>
    <t>Safavynia Seyed</t>
  </si>
  <si>
    <t>SAFAVYNIA SEYED</t>
  </si>
  <si>
    <t>JULIA KIM</t>
  </si>
  <si>
    <t>KIM JULIA DR.</t>
  </si>
  <si>
    <t>MARK ABRAMS</t>
  </si>
  <si>
    <t>ABRAMS MARK DR.</t>
  </si>
  <si>
    <t>575 W 181ST ST, FLOOR 2</t>
  </si>
  <si>
    <t>GRACE BERRY</t>
  </si>
  <si>
    <t>BERRY GRACE</t>
  </si>
  <si>
    <t>180 HARVESTER DR, SUITE 110</t>
  </si>
  <si>
    <t>BARRY BREAUX</t>
  </si>
  <si>
    <t>BREAUX BARRY DR.</t>
  </si>
  <si>
    <t>177 FT WASHINGTN AVE, 6C12</t>
  </si>
  <si>
    <t>JESSICA FLEITMAN</t>
  </si>
  <si>
    <t>FLEITMAN JESSICA</t>
  </si>
  <si>
    <t>JASON HONG</t>
  </si>
  <si>
    <t>HONG JASON</t>
  </si>
  <si>
    <t>325 9TH AVE</t>
  </si>
  <si>
    <t>JARED KUSHNER</t>
  </si>
  <si>
    <t>KUSHNER JARED</t>
  </si>
  <si>
    <t>177 FT. WASHINGTON AVE, DEPARTMENT OF MEDICINE</t>
  </si>
  <si>
    <t>CHRISTOPHER LAWTON</t>
  </si>
  <si>
    <t>LAWTON CHRISTOPHER</t>
  </si>
  <si>
    <t xml:space="preserve">WEI, ESTHER </t>
  </si>
  <si>
    <t>E0005416</t>
  </si>
  <si>
    <t>WEI ESTHER</t>
  </si>
  <si>
    <t xml:space="preserve">MAZZONI, PIETRO </t>
  </si>
  <si>
    <t>E0085197</t>
  </si>
  <si>
    <t>MAZZONI PIETRO MD</t>
  </si>
  <si>
    <t>MAZZONI PIETRO DR.</t>
  </si>
  <si>
    <t xml:space="preserve">ABRAMS, DARRYL </t>
  </si>
  <si>
    <t>E0296388</t>
  </si>
  <si>
    <t>DARRYL CHAD ABRAMS MD</t>
  </si>
  <si>
    <t>ABRAMS DARRYL DR.</t>
  </si>
  <si>
    <t>ABRAMS DARRYL CHAD MD</t>
  </si>
  <si>
    <t>VAN NORTWICK, NICOLE A</t>
  </si>
  <si>
    <t>E0029514</t>
  </si>
  <si>
    <t>VAN NORTWICK NICOLE</t>
  </si>
  <si>
    <t>VAN NORTWICK NICOLE DR.</t>
  </si>
  <si>
    <t>VAN NORTWICK NICOLE ANNE</t>
  </si>
  <si>
    <t>Stember Joseph</t>
  </si>
  <si>
    <t>STEMBER JOSEPH DR.</t>
  </si>
  <si>
    <t>208 E BROADWAY APT J1306</t>
  </si>
  <si>
    <t>BANSAL, MIMI G</t>
  </si>
  <si>
    <t>E0094175</t>
  </si>
  <si>
    <t>BANSAL MIMI GOEL MD</t>
  </si>
  <si>
    <t>BANSAL MIMI DR.</t>
  </si>
  <si>
    <t>ISRAEL, HOWARD A</t>
  </si>
  <si>
    <t>E0212000</t>
  </si>
  <si>
    <t>ISRAEL HOWARD             DDS</t>
  </si>
  <si>
    <t>ISRAEL HOWARD DR.</t>
  </si>
  <si>
    <t>KATZ, MELISSA D</t>
  </si>
  <si>
    <t>E0120727</t>
  </si>
  <si>
    <t>KATZ MELISSA D MD</t>
  </si>
  <si>
    <t>KATZ MELISSA DEE MD</t>
  </si>
  <si>
    <t>KBAKER 2019</t>
  </si>
  <si>
    <t>CARRASCO, CESAR D</t>
  </si>
  <si>
    <t>E0319245</t>
  </si>
  <si>
    <t>CARRASCO CESAR D</t>
  </si>
  <si>
    <t>CARRASCO CESAR MR.</t>
  </si>
  <si>
    <t>CHOU, DENISE E</t>
  </si>
  <si>
    <t>E0336625</t>
  </si>
  <si>
    <t>CHOU DENISE</t>
  </si>
  <si>
    <t>CHOU DENISE DR.</t>
  </si>
  <si>
    <t>Jeffrey Tomlinson</t>
  </si>
  <si>
    <t>(212) 942-8536</t>
  </si>
  <si>
    <t>Dirk Winter, MD</t>
  </si>
  <si>
    <t>E0357884</t>
  </si>
  <si>
    <t>WINTER DIRK C</t>
  </si>
  <si>
    <t>(212) 942-8537</t>
  </si>
  <si>
    <t>WINTER DIRK</t>
  </si>
  <si>
    <t>WINTER DIRK CHRISTOPHER</t>
  </si>
  <si>
    <t xml:space="preserve">MARY MANNING WALSH HOME </t>
  </si>
  <si>
    <t>ALBERT, DAVID A</t>
  </si>
  <si>
    <t>E0165687</t>
  </si>
  <si>
    <t>ALBERT DAVID ALAN DDS</t>
  </si>
  <si>
    <t>ORAL SURGERY VC7226</t>
  </si>
  <si>
    <t>ALI, ZIAD A</t>
  </si>
  <si>
    <t>E0339696</t>
  </si>
  <si>
    <t>ALI ZIAD ANWAR</t>
  </si>
  <si>
    <t>ALI ZIAD DR.</t>
  </si>
  <si>
    <t xml:space="preserve">SPANONDIS, CATHERINE </t>
  </si>
  <si>
    <t>E0018201</t>
  </si>
  <si>
    <t>SPANONDIS CATHERINE</t>
  </si>
  <si>
    <t>SPANONDIS CATHERINE MS.</t>
  </si>
  <si>
    <t>SHAPIRO, SASHA T</t>
  </si>
  <si>
    <t>E0335249</t>
  </si>
  <si>
    <t>SHAPIRO SASHA</t>
  </si>
  <si>
    <t>SHAPIRO SASHA DR.</t>
  </si>
  <si>
    <t>ROACH, KEITH W</t>
  </si>
  <si>
    <t>E0146139</t>
  </si>
  <si>
    <t>CORNELL NEPHROLOGY ASSOCIATES</t>
  </si>
  <si>
    <t>Osorio, Snezana N.</t>
  </si>
  <si>
    <t>E0135170</t>
  </si>
  <si>
    <t>OSORIO SNEZANA NENA</t>
  </si>
  <si>
    <t>OSORIO SNEZANA</t>
  </si>
  <si>
    <t>Ono, Jennie G.</t>
  </si>
  <si>
    <t>E0307588</t>
  </si>
  <si>
    <t>ONO JENNIE G</t>
  </si>
  <si>
    <t>ONO JENNIE</t>
  </si>
  <si>
    <t>KURAS, MARK F</t>
  </si>
  <si>
    <t>E0118893</t>
  </si>
  <si>
    <t>KURAS MARK</t>
  </si>
  <si>
    <t>CHEUNG, JIM W</t>
  </si>
  <si>
    <t>E0023051</t>
  </si>
  <si>
    <t>CHEUNG JIM WAY MD</t>
  </si>
  <si>
    <t>CHEUNG JIM</t>
  </si>
  <si>
    <t>Lee Raymond</t>
  </si>
  <si>
    <t>E0383188</t>
  </si>
  <si>
    <t>LEE RAYMOND</t>
  </si>
  <si>
    <t>Legasto Alan</t>
  </si>
  <si>
    <t>McGinty Geraldine</t>
  </si>
  <si>
    <t>Raddatz Melissa</t>
  </si>
  <si>
    <t>E0391723</t>
  </si>
  <si>
    <t>RADDATZ MELISSA ANNE</t>
  </si>
  <si>
    <t>RADDATZ MELISSA MS.</t>
  </si>
  <si>
    <t>Syed Shahla</t>
  </si>
  <si>
    <t>E0383423</t>
  </si>
  <si>
    <t>SYED SHAHLA</t>
  </si>
  <si>
    <t>Truong Quynh</t>
  </si>
  <si>
    <t>E0373378</t>
  </si>
  <si>
    <t>TROUNG QUYNH ANH</t>
  </si>
  <si>
    <t>TRUONG QUYNH DR.</t>
  </si>
  <si>
    <t>TRUONG QUYNH ANH</t>
  </si>
  <si>
    <t>Zitrin Jaron</t>
  </si>
  <si>
    <t>E0349093</t>
  </si>
  <si>
    <t>ZITRIN JARON</t>
  </si>
  <si>
    <t>ZITRIN JARON DR.</t>
  </si>
  <si>
    <t>ZITRIN JARON BENNETT</t>
  </si>
  <si>
    <t>1305 YORK AVE FL 3</t>
  </si>
  <si>
    <t>Al Khori Noor</t>
  </si>
  <si>
    <t>AL KHORI NOOR</t>
  </si>
  <si>
    <t>1000 MONROE AVE NW</t>
  </si>
  <si>
    <t>GRAND RAPIDS</t>
  </si>
  <si>
    <t>Grif Alexander</t>
  </si>
  <si>
    <t>He Cong</t>
  </si>
  <si>
    <t>Wolk Risa</t>
  </si>
  <si>
    <t>WOLK RISA</t>
  </si>
  <si>
    <t>622 W 168TH ST, PH5-505</t>
  </si>
  <si>
    <t>Wong Joshua</t>
  </si>
  <si>
    <t>WONG JOSHUA DR.</t>
  </si>
  <si>
    <t>Yeldandi Swetha</t>
  </si>
  <si>
    <t>SANGHVI SWETHA</t>
  </si>
  <si>
    <t>Yen Albert</t>
  </si>
  <si>
    <t>YEN ALBERT</t>
  </si>
  <si>
    <t>Miller Lumei</t>
  </si>
  <si>
    <t>MILLER LUMEI DR.</t>
  </si>
  <si>
    <t>5551 CENTRE AVE APT 614</t>
  </si>
  <si>
    <t>Mohammed Asif</t>
  </si>
  <si>
    <t>MOHAMMED ASIF DR.</t>
  </si>
  <si>
    <t>Chang Peter</t>
  </si>
  <si>
    <t>CHANG PETER DR.</t>
  </si>
  <si>
    <t>180 FORT WASHINGTON AVE, HARKNESS PAVILLION, ROOM 313</t>
  </si>
  <si>
    <t>Samuels Jon</t>
  </si>
  <si>
    <t>E0178247</t>
  </si>
  <si>
    <t>SAMUELS JON D  MD</t>
  </si>
  <si>
    <t>SAMUELS JON DR.</t>
  </si>
  <si>
    <t>Savard Peter</t>
  </si>
  <si>
    <t>E0019273</t>
  </si>
  <si>
    <t>SAVARD PETER MARC CHOWDHURY</t>
  </si>
  <si>
    <t>SAVARD PETER DR.</t>
  </si>
  <si>
    <t>Belon Craig</t>
  </si>
  <si>
    <t>BELON CRAIG DR.</t>
  </si>
  <si>
    <t>Bernstein Kyra</t>
  </si>
  <si>
    <t>BERNSTEIN KYRA</t>
  </si>
  <si>
    <t>Joshi Shailendra</t>
  </si>
  <si>
    <t>E0121769</t>
  </si>
  <si>
    <t>JOSHI SHAILENDRA MD</t>
  </si>
  <si>
    <t>JOSHI SHAILENDRA DR.</t>
  </si>
  <si>
    <t>Guevara Silvia</t>
  </si>
  <si>
    <t>E0327084</t>
  </si>
  <si>
    <t>GUEVARA SILVIA ACNP</t>
  </si>
  <si>
    <t>GUEVARA SILVIA MRS.</t>
  </si>
  <si>
    <t>Hua May</t>
  </si>
  <si>
    <t>E0329221</t>
  </si>
  <si>
    <t>HUA MAY S R</t>
  </si>
  <si>
    <t>HUA MAY</t>
  </si>
  <si>
    <t>Huang Mary</t>
  </si>
  <si>
    <t>E0051747</t>
  </si>
  <si>
    <t>HUANG MARY YAJEN</t>
  </si>
  <si>
    <t>HUANG MARY MS.</t>
  </si>
  <si>
    <t>410 LAKEVILLE RD STE 105</t>
  </si>
  <si>
    <t>Vecino Stephanie</t>
  </si>
  <si>
    <t>E0447842</t>
  </si>
  <si>
    <t>VECINO STEPHANIE MARIE</t>
  </si>
  <si>
    <t>VECINO STEPHANIE</t>
  </si>
  <si>
    <t>FUNT, TINA K</t>
  </si>
  <si>
    <t>E0116491</t>
  </si>
  <si>
    <t>FUNT TINA</t>
  </si>
  <si>
    <t>LUPU, ALISSA J</t>
  </si>
  <si>
    <t>LUPU ALISSA MRS.</t>
  </si>
  <si>
    <t>1315 YORK AVE, JAY MONAHAN CENTER</t>
  </si>
  <si>
    <t>LANE-BRADLEY, MARIELLEN M</t>
  </si>
  <si>
    <t>E0162872</t>
  </si>
  <si>
    <t>LANE MARIELLEN MARGARET  MD</t>
  </si>
  <si>
    <t>LANE MARIELLEN MR.</t>
  </si>
  <si>
    <t>ANGEVINE, PETER D</t>
  </si>
  <si>
    <t>E0013917</t>
  </si>
  <si>
    <t>ANGEVINE PETER MD</t>
  </si>
  <si>
    <t>ANGEVINE PETER</t>
  </si>
  <si>
    <t>VAAMONDE, CARLOS M</t>
  </si>
  <si>
    <t>E0090069</t>
  </si>
  <si>
    <t>VAAMONDE CARLOS MARTIN MD</t>
  </si>
  <si>
    <t>VAAMONDE CARLOS DR.</t>
  </si>
  <si>
    <t>VAAMONDE CARLOS MARTIN</t>
  </si>
  <si>
    <t>CSS F24</t>
  </si>
  <si>
    <t xml:space="preserve">JONES, SIAN </t>
  </si>
  <si>
    <t>E0125033</t>
  </si>
  <si>
    <t>JONES SIAN MD</t>
  </si>
  <si>
    <t>JONES SIAN</t>
  </si>
  <si>
    <t>LEUNG, DENISE F</t>
  </si>
  <si>
    <t>MORAN, ANDREW E</t>
  </si>
  <si>
    <t>E0013465</t>
  </si>
  <si>
    <t>MORAN ANDREW EDWARD MD</t>
  </si>
  <si>
    <t>MORAN ANDREW DR.</t>
  </si>
  <si>
    <t>SIDDIQUE, MUSTAQ A</t>
  </si>
  <si>
    <t>Keown, Mary</t>
  </si>
  <si>
    <t>E0359338</t>
  </si>
  <si>
    <t>KEOWN MARY</t>
  </si>
  <si>
    <t>KEOWN MARY KATHLEEN</t>
  </si>
  <si>
    <t>DIMANGO, EMILY A</t>
  </si>
  <si>
    <t>E0155855</t>
  </si>
  <si>
    <t>DIMANGO EMILY MD</t>
  </si>
  <si>
    <t>DIMANGO EMILY DR.</t>
  </si>
  <si>
    <t>RHETT, DONYA V</t>
  </si>
  <si>
    <t>E0324439</t>
  </si>
  <si>
    <t>RHETT DONYA</t>
  </si>
  <si>
    <t>RHETT DONYA DR.</t>
  </si>
  <si>
    <t>6 EDGECOMBE AVE</t>
  </si>
  <si>
    <t>Min James</t>
  </si>
  <si>
    <t>E0033974</t>
  </si>
  <si>
    <t>MIN JAMES K MD</t>
  </si>
  <si>
    <t>MIN JAMES</t>
  </si>
  <si>
    <t>FUCHS, KARIN M</t>
  </si>
  <si>
    <t>E0294012</t>
  </si>
  <si>
    <t>FUCHS KARIN</t>
  </si>
  <si>
    <t>FUCHS KARIN DR.</t>
  </si>
  <si>
    <t>FUCHS KARIN MARTINA</t>
  </si>
  <si>
    <t xml:space="preserve">MIKKILINENI, RADHA </t>
  </si>
  <si>
    <t>E0383031</t>
  </si>
  <si>
    <t>MIKKILINENI RADHA</t>
  </si>
  <si>
    <t>MIKKILINENI RADHA DR.</t>
  </si>
  <si>
    <t xml:space="preserve">NICOLAIDES, ALEXANDER </t>
  </si>
  <si>
    <t>E0070695</t>
  </si>
  <si>
    <t>NICOLAIDES ALEXANDER</t>
  </si>
  <si>
    <t>SLRHC DERMATOLOGY</t>
  </si>
  <si>
    <t>CUSANO, NATALIE E</t>
  </si>
  <si>
    <t>E0336311</t>
  </si>
  <si>
    <t>CUSANO NATALIE E</t>
  </si>
  <si>
    <t>CUSANO NATALIE</t>
  </si>
  <si>
    <t>622W W 168TH ST</t>
  </si>
  <si>
    <t>CENTER FOR WOMEN'S REPRODUCTIVE CARE</t>
  </si>
  <si>
    <t>QUEZADA, WILSON A</t>
  </si>
  <si>
    <t>E0308639</t>
  </si>
  <si>
    <t>WILSON ARISMENDY QUEZADA</t>
  </si>
  <si>
    <t>QUEZADA WILSON DR.</t>
  </si>
  <si>
    <t>QUEZADA WILSON ARISMENDY</t>
  </si>
  <si>
    <t>BROWN, ROBERT S</t>
  </si>
  <si>
    <t>E0106779</t>
  </si>
  <si>
    <t>BROWN JR. ROBERT</t>
  </si>
  <si>
    <t>BROWN ROBERT STEPHEN JR</t>
  </si>
  <si>
    <t>Corrigan Devlyn</t>
  </si>
  <si>
    <t>E0061397</t>
  </si>
  <si>
    <t>CORRIGAN DEVLYN LEE MD</t>
  </si>
  <si>
    <t>CORRIGAN DEVLYN DR.</t>
  </si>
  <si>
    <t>Smith Sarah</t>
  </si>
  <si>
    <t>E0329809</t>
  </si>
  <si>
    <t>SMITH SARAH C MD</t>
  </si>
  <si>
    <t>SMITH SARAH</t>
  </si>
  <si>
    <t>Huang, Vivian Wei-Wei</t>
  </si>
  <si>
    <t>E0306005</t>
  </si>
  <si>
    <t>HUANG VIVIAN</t>
  </si>
  <si>
    <t>HUANG VIVIAN DR.</t>
  </si>
  <si>
    <t>HUANG VIVIAN WEI-WEI</t>
  </si>
  <si>
    <t>Flynn, Patrick A</t>
  </si>
  <si>
    <t>E0148757</t>
  </si>
  <si>
    <t>FLYNN PATRICK ALEX MD</t>
  </si>
  <si>
    <t>FLYNN PATRICK</t>
  </si>
  <si>
    <t>COLEMAN, DONALD J</t>
  </si>
  <si>
    <t>E0236910</t>
  </si>
  <si>
    <t>COLEMAN DONALD J           MD</t>
  </si>
  <si>
    <t>COLEMAN DONALD</t>
  </si>
  <si>
    <t>CV STARR PAVILLION</t>
  </si>
  <si>
    <t>E0375440</t>
  </si>
  <si>
    <t>Samaru Mahendranauth</t>
  </si>
  <si>
    <t>E0418230</t>
  </si>
  <si>
    <t>SAMARU MAHENDRANAUTH</t>
  </si>
  <si>
    <t>Santiago Jason</t>
  </si>
  <si>
    <t>SANTIAGO JASON</t>
  </si>
  <si>
    <t>1320 YORK AVE APT 28A</t>
  </si>
  <si>
    <t>Sattler Christopher</t>
  </si>
  <si>
    <t>SATTLER CHRISTOPHER</t>
  </si>
  <si>
    <t>Yim Peter</t>
  </si>
  <si>
    <t>E0456054</t>
  </si>
  <si>
    <t>YIM PETER D</t>
  </si>
  <si>
    <t>YIM PETER</t>
  </si>
  <si>
    <t>Gomillion Matthew</t>
  </si>
  <si>
    <t>E0186282</t>
  </si>
  <si>
    <t>GOMILLION MATTHEW C MD</t>
  </si>
  <si>
    <t>GOMILLION MATTHEW DR.</t>
  </si>
  <si>
    <t>BOX 585</t>
  </si>
  <si>
    <t>Jose Dizon</t>
  </si>
  <si>
    <t>E0144980</t>
  </si>
  <si>
    <t>DIZON JOSE M MD</t>
  </si>
  <si>
    <t>DIZON JOSE DR.</t>
  </si>
  <si>
    <t>James Reiffel</t>
  </si>
  <si>
    <t>E0276888</t>
  </si>
  <si>
    <t>REIFFEL JAMES A            MD</t>
  </si>
  <si>
    <t>REIFFEL JAMES DR.</t>
  </si>
  <si>
    <t>Carrie Ruzal-Shapiro</t>
  </si>
  <si>
    <t>E0191198</t>
  </si>
  <si>
    <t>RUZAL SHAPIRO CARRIE B MD</t>
  </si>
  <si>
    <t>RUZAL-SHAPIRO CARRIE</t>
  </si>
  <si>
    <t>ROSENBERG, RICHARD M</t>
  </si>
  <si>
    <t>E0182167</t>
  </si>
  <si>
    <t>ROSENBERG RICHARD M MD</t>
  </si>
  <si>
    <t>ROSENBERG RICHARD MR.</t>
  </si>
  <si>
    <t>LIBRE, PETER E</t>
  </si>
  <si>
    <t>E0144551</t>
  </si>
  <si>
    <t>LIBRE PETER EUGENE MD</t>
  </si>
  <si>
    <t>LIBRE PETER DR.</t>
  </si>
  <si>
    <t xml:space="preserve">SMOK, DOROTHY </t>
  </si>
  <si>
    <t>E0032237</t>
  </si>
  <si>
    <t>SMOK DOROTHY MD</t>
  </si>
  <si>
    <t>SMOK DOROTHY</t>
  </si>
  <si>
    <t>POH, MAUREEN B</t>
  </si>
  <si>
    <t>E0197338</t>
  </si>
  <si>
    <t>POH MAUREEN B              MD</t>
  </si>
  <si>
    <t>POH MAUREEN DR.</t>
  </si>
  <si>
    <t>DERM &amp; MED RES ASC</t>
  </si>
  <si>
    <t>STEERE, KATHERINE A</t>
  </si>
  <si>
    <t>E0341539</t>
  </si>
  <si>
    <t>STEERE KATHERINE</t>
  </si>
  <si>
    <t>E0029149</t>
  </si>
  <si>
    <t>E0125171</t>
  </si>
  <si>
    <t>E0249534</t>
  </si>
  <si>
    <t>CORNELL INTERNAL MED ASSOC</t>
  </si>
  <si>
    <t>Santoriello Dominick</t>
  </si>
  <si>
    <t>(212) 305-1192</t>
  </si>
  <si>
    <t>SANTORIELLO DOMINICK</t>
  </si>
  <si>
    <t>Barron Beth</t>
  </si>
  <si>
    <t>E0038280</t>
  </si>
  <si>
    <t>BARRON BETH MD</t>
  </si>
  <si>
    <t>BARRON BETH DR.</t>
  </si>
  <si>
    <t>Basulto Dean</t>
  </si>
  <si>
    <t>E0115266</t>
  </si>
  <si>
    <t>BASULTO DEAN ANTHONY MD</t>
  </si>
  <si>
    <t>BASULTO DEAN DR.</t>
  </si>
  <si>
    <t>Bhattacharya Alokananda</t>
  </si>
  <si>
    <t>E0100975</t>
  </si>
  <si>
    <t>BHATTACHARYA ALEKANANDA MD</t>
  </si>
  <si>
    <t>BHATTACHARYA ALOKANANDA DR.</t>
  </si>
  <si>
    <t>BHATTACHARYA ALOKANANDA MD</t>
  </si>
  <si>
    <t>Bourjolly Wilson</t>
  </si>
  <si>
    <t>E0064494</t>
  </si>
  <si>
    <t>BOURJOLLY WILSON MD</t>
  </si>
  <si>
    <t>BOURJOLLY WILSON DR.</t>
  </si>
  <si>
    <t>E0126740</t>
  </si>
  <si>
    <t xml:space="preserve">PAREKH, MADHAVI </t>
  </si>
  <si>
    <t>E0389198</t>
  </si>
  <si>
    <t>PAREKH MADHAVI JAYANT</t>
  </si>
  <si>
    <t>PAREKH MADHAVI DR.</t>
  </si>
  <si>
    <t>RILEY, CLAIRE S</t>
  </si>
  <si>
    <t>E0006307</t>
  </si>
  <si>
    <t>CLAIRE SEBASTIAN RILEY</t>
  </si>
  <si>
    <t>RILEY CLAIRE MISS</t>
  </si>
  <si>
    <t>RILEY CLAIRE SEBASTIAN MD</t>
  </si>
  <si>
    <t>KREISL, WILLIAM C</t>
  </si>
  <si>
    <t>E0390255</t>
  </si>
  <si>
    <t>KREISL WILLIAM C</t>
  </si>
  <si>
    <t>KREISL WILLIAM</t>
  </si>
  <si>
    <t>KREISL WILLIAM CHARLES</t>
  </si>
  <si>
    <t>Jerome Elizabeth</t>
  </si>
  <si>
    <t>E0132896</t>
  </si>
  <si>
    <t>JEROME ELIZABETH HEIDI MD</t>
  </si>
  <si>
    <t>JEROME ELIZABETH DR.</t>
  </si>
  <si>
    <t>CORNELL ANESTHESIA</t>
  </si>
  <si>
    <t>THEVENTHIRAN, ALEX B</t>
  </si>
  <si>
    <t>SINGH, HARSIMRAN S</t>
  </si>
  <si>
    <t>E0334902</t>
  </si>
  <si>
    <t>SINGH HARSIMRAN SACHDEVA</t>
  </si>
  <si>
    <t>SINGH HARSIMRAN DR.</t>
  </si>
  <si>
    <t>520 EAST 70TH STREET</t>
  </si>
  <si>
    <t>NOBLE, KIMBERLY G</t>
  </si>
  <si>
    <t>E0310699</t>
  </si>
  <si>
    <t>NOBLE KIMBERLY</t>
  </si>
  <si>
    <t>NOBLE KIMBERLY DR.</t>
  </si>
  <si>
    <t>NOBLE KIMBERLY GAYLE</t>
  </si>
  <si>
    <t>3969 BROADWAY</t>
  </si>
  <si>
    <t>ROBERTS, JAMES K</t>
  </si>
  <si>
    <t>E0102953</t>
  </si>
  <si>
    <t>ROBERTS JAMES KIRKLAND MD</t>
  </si>
  <si>
    <t>ROBERTS JAMES DR.</t>
  </si>
  <si>
    <t># 201A</t>
  </si>
  <si>
    <t>Rainaldi, Matthew A.</t>
  </si>
  <si>
    <t>RESNICK, DAVID J</t>
  </si>
  <si>
    <t>E0127370</t>
  </si>
  <si>
    <t>RESNICK DAVID J</t>
  </si>
  <si>
    <t>RESNICK DAVID DR.</t>
  </si>
  <si>
    <t>HORN, EVELYN M</t>
  </si>
  <si>
    <t>E0206721</t>
  </si>
  <si>
    <t>HORN EVELYN M MD</t>
  </si>
  <si>
    <t>HORN EVELYN DR.</t>
  </si>
  <si>
    <t xml:space="preserve">ROBINSON, ALICIA </t>
  </si>
  <si>
    <t>E0301579</t>
  </si>
  <si>
    <t>ROBINSON ALICIA</t>
  </si>
  <si>
    <t>ROBINSON ALICIA MISS</t>
  </si>
  <si>
    <t>MCDONOUGH, TIFFANI L</t>
  </si>
  <si>
    <t>E0382988</t>
  </si>
  <si>
    <t>MCDONOUGH TIFFANI</t>
  </si>
  <si>
    <t>MCDONOUGH TIFFANI DR.</t>
  </si>
  <si>
    <t>MCDONOUGH TIFFANI LEIGH</t>
  </si>
  <si>
    <t>ODEL, JEFFERY G</t>
  </si>
  <si>
    <t>E0188374</t>
  </si>
  <si>
    <t>ODEL JEFFREY G MD</t>
  </si>
  <si>
    <t>ODEL JEFFREY DR.</t>
  </si>
  <si>
    <t xml:space="preserve">GUSHUE, GEORGE </t>
  </si>
  <si>
    <t>E0029554</t>
  </si>
  <si>
    <t>GUSHUE GEORGE</t>
  </si>
  <si>
    <t>GUSHUE GEORGE DR.</t>
  </si>
  <si>
    <t>GUSHUE GEORGE VINCENT</t>
  </si>
  <si>
    <t xml:space="preserve">MOHAN, SUMIT </t>
  </si>
  <si>
    <t>E0016115</t>
  </si>
  <si>
    <t>MOHAN SUMIT MD</t>
  </si>
  <si>
    <t>MOHAN SUMIT DR.</t>
  </si>
  <si>
    <t xml:space="preserve">MUSABEGOVICH, AIDA </t>
  </si>
  <si>
    <t>E0029540</t>
  </si>
  <si>
    <t>MUSABEGOVICH AIDA</t>
  </si>
  <si>
    <t>MUSABEGOVICH AIDA DR.</t>
  </si>
  <si>
    <t>Bartolotta Roger</t>
  </si>
  <si>
    <t>E0345674</t>
  </si>
  <si>
    <t>BARTOLOTTA ROGER</t>
  </si>
  <si>
    <t>BARTOLOTTA ROGER DR.</t>
  </si>
  <si>
    <t>BARTOLOTTA ROGER J</t>
  </si>
  <si>
    <t>Fisher Jessica</t>
  </si>
  <si>
    <t>E0349094</t>
  </si>
  <si>
    <t>FISHER JESSICA</t>
  </si>
  <si>
    <t>Montes Lucresia</t>
  </si>
  <si>
    <t>Musa Hussein</t>
  </si>
  <si>
    <t>MUSA HUSSEIN</t>
  </si>
  <si>
    <t>Niles Clyde</t>
  </si>
  <si>
    <t>E0452985</t>
  </si>
  <si>
    <t>NILES CLYDE MATTHEW</t>
  </si>
  <si>
    <t>NILES CLYDE DR.</t>
  </si>
  <si>
    <t>Orji Obinna</t>
  </si>
  <si>
    <t>ORJI OBINNA</t>
  </si>
  <si>
    <t>9 BRIDLE CT</t>
  </si>
  <si>
    <t>Fullerton Douglas</t>
  </si>
  <si>
    <t>FULLERTON DOUGLAS</t>
  </si>
  <si>
    <t>1320 YORK AVE, APT. 22N</t>
  </si>
  <si>
    <t>635 W 165TH ST, FLANZER SUITE</t>
  </si>
  <si>
    <t>E0304884</t>
  </si>
  <si>
    <t>HAMEED, FARAH</t>
  </si>
  <si>
    <t>E0340486</t>
  </si>
  <si>
    <t>HAMEED FARAH</t>
  </si>
  <si>
    <t>HAMEED FARAH DR.</t>
  </si>
  <si>
    <t xml:space="preserve">PHO, ANTHONY </t>
  </si>
  <si>
    <t>E0332370</t>
  </si>
  <si>
    <t>PHO ANTHONY TUANDUC</t>
  </si>
  <si>
    <t>PHO ANTHONY MR.</t>
  </si>
  <si>
    <t xml:space="preserve">LEVINE, ALYSON </t>
  </si>
  <si>
    <t>WALTHER, ROBERT R</t>
  </si>
  <si>
    <t>E0135587</t>
  </si>
  <si>
    <t>WALTHER ROBERT R MD</t>
  </si>
  <si>
    <t>WALTHER ROBERT</t>
  </si>
  <si>
    <t>WALTHER ROBERT R</t>
  </si>
  <si>
    <t>WEBB, LEIGH-ANN J</t>
  </si>
  <si>
    <t>E0361385</t>
  </si>
  <si>
    <t>WEBB LEIGH-ANN JONES</t>
  </si>
  <si>
    <t>WEBB LEIGH-ANN DR.</t>
  </si>
  <si>
    <t>GOREN, GAYLE S</t>
  </si>
  <si>
    <t>E0029524</t>
  </si>
  <si>
    <t>GOREN GAYLE</t>
  </si>
  <si>
    <t>GOREN GAYLE DR.</t>
  </si>
  <si>
    <t>Duke Gavin</t>
  </si>
  <si>
    <t>E0002683</t>
  </si>
  <si>
    <t>DUKE GAVIN</t>
  </si>
  <si>
    <t>DUKE GAVIN DR.</t>
  </si>
  <si>
    <t>DUKE GAVIN LANCE MD</t>
  </si>
  <si>
    <t>Greenberg Stephen</t>
  </si>
  <si>
    <t>E0142568</t>
  </si>
  <si>
    <t>GREENBERG STEPHEN DR.</t>
  </si>
  <si>
    <t>GREENBERG STEPHEN DAVID MD</t>
  </si>
  <si>
    <t>COLETTA LUCAS, JACLYN M</t>
  </si>
  <si>
    <t>E0334875</t>
  </si>
  <si>
    <t>COLETTA LUCAS JACLYN MARIE</t>
  </si>
  <si>
    <t>COLETTA LUCAS JACLYN DR.</t>
  </si>
  <si>
    <t>5141 BROADWAY FL 3</t>
  </si>
  <si>
    <t>Goodman Stephanie</t>
  </si>
  <si>
    <t>E0117531</t>
  </si>
  <si>
    <t>GOODMAN STEPHANIE R MD</t>
  </si>
  <si>
    <t>GOODMAN STEPHANIE DR.</t>
  </si>
  <si>
    <t>Borczuk Alain</t>
  </si>
  <si>
    <t>E0119132</t>
  </si>
  <si>
    <t>BORCZUK ALAIN C MD</t>
  </si>
  <si>
    <t>BORCZUK ALAIN</t>
  </si>
  <si>
    <t>Canoll Peter</t>
  </si>
  <si>
    <t>E0013865</t>
  </si>
  <si>
    <t>CANOLL PETER</t>
  </si>
  <si>
    <t>ALWEISS, GARY S</t>
  </si>
  <si>
    <t>E0145806</t>
  </si>
  <si>
    <t>ALWEISS GARY S MD</t>
  </si>
  <si>
    <t>ALWEISS GARY</t>
  </si>
  <si>
    <t>25 ROCKWOOD PL STE 105</t>
  </si>
  <si>
    <t>CANTOR, RICHARD S</t>
  </si>
  <si>
    <t>KIM, ROBERT J</t>
  </si>
  <si>
    <t>E0015091</t>
  </si>
  <si>
    <t>KIM ROBERT JASON MD</t>
  </si>
  <si>
    <t>KIM ROBERT DR.</t>
  </si>
  <si>
    <t>KIM ROBERT JASON</t>
  </si>
  <si>
    <t>525 E 68TH ST FL 4</t>
  </si>
  <si>
    <t>SLANKARD, MARJORIE L</t>
  </si>
  <si>
    <t>E0223678</t>
  </si>
  <si>
    <t>SLANKARD MARJORIE L</t>
  </si>
  <si>
    <t>SLANKARD MARJORIE DR.</t>
  </si>
  <si>
    <t>Hsing, Deyin Doreen</t>
  </si>
  <si>
    <t>E0020414</t>
  </si>
  <si>
    <t>HSING DEYIN DOREEN</t>
  </si>
  <si>
    <t>HSING DEYIN</t>
  </si>
  <si>
    <t>525 E 68TH ST # M508</t>
  </si>
  <si>
    <t xml:space="preserve">KRAEBBER, MARKUS </t>
  </si>
  <si>
    <t>E0033324</t>
  </si>
  <si>
    <t>KRAEBBER MARKUS JAMES MD</t>
  </si>
  <si>
    <t>KRAEBBER MARKUS</t>
  </si>
  <si>
    <t>Yap, Vivien L.</t>
  </si>
  <si>
    <t>E0367568</t>
  </si>
  <si>
    <t>YAP VIVIEN LIM</t>
  </si>
  <si>
    <t>YAP VIVIEN DR.</t>
  </si>
  <si>
    <t>252 E 68TH ST # N-506</t>
  </si>
  <si>
    <t>DANVERS, ANTOINETTE A</t>
  </si>
  <si>
    <t>E0383445</t>
  </si>
  <si>
    <t>DANVERS ANTOINETTE</t>
  </si>
  <si>
    <t>DANVERS ANTOINETTE DR.</t>
  </si>
  <si>
    <t>Antal, Zoltan</t>
  </si>
  <si>
    <t>E0287362</t>
  </si>
  <si>
    <t>ANTAL ZOLTAN</t>
  </si>
  <si>
    <t>ANTAL ZOLTAN MD</t>
  </si>
  <si>
    <t>Baird Jeffrey</t>
  </si>
  <si>
    <t>E0030118</t>
  </si>
  <si>
    <t>BAIRD JEFFREY M MD</t>
  </si>
  <si>
    <t>BAIRD JEFFREY DR.</t>
  </si>
  <si>
    <t>Brentjens Tricia</t>
  </si>
  <si>
    <t>E0118254</t>
  </si>
  <si>
    <t>BRENTJENS TRICIA E MD</t>
  </si>
  <si>
    <t>BRENTJENS TRICIA</t>
  </si>
  <si>
    <t>Darrah Daniela</t>
  </si>
  <si>
    <t>E0349420</t>
  </si>
  <si>
    <t>DARRAH DANIELA MARIE</t>
  </si>
  <si>
    <t>DARRAH DANIELA</t>
  </si>
  <si>
    <t>Ferrer Ronald</t>
  </si>
  <si>
    <t>FERRER RONALD</t>
  </si>
  <si>
    <t>703 MAIN ST, ST. JOSEPH'S REGIONAL MEDICAL CENTER</t>
  </si>
  <si>
    <t>Fish Douglas</t>
  </si>
  <si>
    <t>E0415183</t>
  </si>
  <si>
    <t>FISH DOUGLAS JOHN</t>
  </si>
  <si>
    <t>Gaffney Alan</t>
  </si>
  <si>
    <t>E0352704</t>
  </si>
  <si>
    <t>GAFFNEY ALAN MICHAEL</t>
  </si>
  <si>
    <t>GAFFNEY ALAN</t>
  </si>
  <si>
    <t>LUCHSINGER, JOSE A</t>
  </si>
  <si>
    <t>E0111676</t>
  </si>
  <si>
    <t>LUCHSINGER JOSE A</t>
  </si>
  <si>
    <t>LUCHSINGER JOSE DR.</t>
  </si>
  <si>
    <t>Kiros Weldeab Meron</t>
  </si>
  <si>
    <t>E0390885</t>
  </si>
  <si>
    <t>KIROS WELDEAB MERON</t>
  </si>
  <si>
    <t>Wieland Matthew</t>
  </si>
  <si>
    <t>E0390981</t>
  </si>
  <si>
    <t>WIELAND MATTHEW</t>
  </si>
  <si>
    <t>Wyer Peter</t>
  </si>
  <si>
    <t>E0237660</t>
  </si>
  <si>
    <t>WYER PETER C               MD</t>
  </si>
  <si>
    <t>WYER PETER</t>
  </si>
  <si>
    <t>BALL, SUSAN C</t>
  </si>
  <si>
    <t>E0191410</t>
  </si>
  <si>
    <t>BALL SUSAN C MD</t>
  </si>
  <si>
    <t>BALL SUSAN DR.</t>
  </si>
  <si>
    <t>KHARA SIMPSON</t>
  </si>
  <si>
    <t>E0374337</t>
  </si>
  <si>
    <t>SIMPSON KHARA MICHELLE</t>
  </si>
  <si>
    <t>SIMPSON KHARA</t>
  </si>
  <si>
    <t>DARAS, MICHAEL D</t>
  </si>
  <si>
    <t>E0265081</t>
  </si>
  <si>
    <t>DARAS MICHAEL              MD</t>
  </si>
  <si>
    <t>DARAS MICHAEL DR.</t>
  </si>
  <si>
    <t>MONTROSE MED BLDG</t>
  </si>
  <si>
    <t xml:space="preserve">BEARELLY, SRILAXMI </t>
  </si>
  <si>
    <t>E0302498</t>
  </si>
  <si>
    <t>SRILAXMI BEARELLY</t>
  </si>
  <si>
    <t>BEARELLY SRILAXMI</t>
  </si>
  <si>
    <t>Tedore Tiffany</t>
  </si>
  <si>
    <t>E0024459</t>
  </si>
  <si>
    <t>TEDORE TIFFANY MD</t>
  </si>
  <si>
    <t>TEDORE TIFFANY</t>
  </si>
  <si>
    <t>Tennessee Tracey</t>
  </si>
  <si>
    <t>Thomas Stephen</t>
  </si>
  <si>
    <t>E0184503</t>
  </si>
  <si>
    <t>THOMAS STEPHEN J MD</t>
  </si>
  <si>
    <t>THOMAS STEPHEN DR.</t>
  </si>
  <si>
    <t>Thompson Kawanna</t>
  </si>
  <si>
    <t>THOMPSON KAWANNA MS.</t>
  </si>
  <si>
    <t>Tjan Joseph</t>
  </si>
  <si>
    <t>E0154756</t>
  </si>
  <si>
    <t>TJAN JOSEPH MD</t>
  </si>
  <si>
    <t>TJAN JOSEPH DR.</t>
  </si>
  <si>
    <t>CORNELL ANESTH ASSOC</t>
  </si>
  <si>
    <t>Torres Cresencio</t>
  </si>
  <si>
    <t>TORRES CRESCENCIO</t>
  </si>
  <si>
    <t>1300 YORK AVE, DEPATMENT OF CARDIAC ANESTHESIA</t>
  </si>
  <si>
    <t>Turner Liebert</t>
  </si>
  <si>
    <t>E0273469</t>
  </si>
  <si>
    <t>TURNER LIEBERT             MD</t>
  </si>
  <si>
    <t>TURNER LIEBERT DR.</t>
  </si>
  <si>
    <t>TURNER LIEBERT</t>
  </si>
  <si>
    <t>Usenko Jaroslav</t>
  </si>
  <si>
    <t>E0313612</t>
  </si>
  <si>
    <t>USENKO JAROSLAV K</t>
  </si>
  <si>
    <t>USENKO JAROSLAV</t>
  </si>
  <si>
    <t>Isabella Geriatric Center, Inc.</t>
  </si>
  <si>
    <t xml:space="preserve">SOTO-ARMSTRONG, MIGDALIA </t>
  </si>
  <si>
    <t>E0000567</t>
  </si>
  <si>
    <t>SOTO ARMSTRONG MIGDALIA</t>
  </si>
  <si>
    <t>SOTOARMSTRONG MIGDALIA MS.</t>
  </si>
  <si>
    <t>Washington Heights CORNER Project</t>
  </si>
  <si>
    <t>Taeko Frost, MPH, Executive Director</t>
  </si>
  <si>
    <t>(212) 923-7600</t>
  </si>
  <si>
    <t>taeko@cornerproject.org</t>
  </si>
  <si>
    <t>FLYNN, MELISSA A</t>
  </si>
  <si>
    <t>FLYNN MELISSA MRS.</t>
  </si>
  <si>
    <t xml:space="preserve">DORO, STEPHEN </t>
  </si>
  <si>
    <t>E0203017</t>
  </si>
  <si>
    <t>DORO STEPHEN               MD</t>
  </si>
  <si>
    <t>DORO STEPHEN</t>
  </si>
  <si>
    <t>STE 903</t>
  </si>
  <si>
    <t>Nair Sreejit</t>
  </si>
  <si>
    <t>E0383028</t>
  </si>
  <si>
    <t>NAIR SREEJIT</t>
  </si>
  <si>
    <t>NAIR SREEJIT DR.</t>
  </si>
  <si>
    <t>FUFA, DURETTI T</t>
  </si>
  <si>
    <t>E0363304</t>
  </si>
  <si>
    <t>FUFA DURETTI TEFERI</t>
  </si>
  <si>
    <t>FUFA DURETTI DR.</t>
  </si>
  <si>
    <t>523 E 68TH ST</t>
  </si>
  <si>
    <t>ROCHE, CATHERINE A</t>
  </si>
  <si>
    <t>E0324454</t>
  </si>
  <si>
    <t>ROCHE CATHERINE</t>
  </si>
  <si>
    <t>ROCHE CATHERINE DR.</t>
  </si>
  <si>
    <t>SETHI, NITIN K</t>
  </si>
  <si>
    <t>E0287932</t>
  </si>
  <si>
    <t>SETHI NITIN KUMAR MD</t>
  </si>
  <si>
    <t>SETHI NITIN DR.</t>
  </si>
  <si>
    <t>NEUROLOGY FACULTY PRACTICE</t>
  </si>
  <si>
    <t>DIFELICE, GREGORY S</t>
  </si>
  <si>
    <t>MENDELSOHN CURENAJ, FELICIA A</t>
  </si>
  <si>
    <t>E0362810</t>
  </si>
  <si>
    <t>MENDELSOHN FELICIA A</t>
  </si>
  <si>
    <t>MENDELSOHN CURANAJ FELICIA DR.</t>
  </si>
  <si>
    <t>ABELES, GWEN D</t>
  </si>
  <si>
    <t>E0095997</t>
  </si>
  <si>
    <t>ABELES GWEN DEE MD</t>
  </si>
  <si>
    <t>ABELES GWEN</t>
  </si>
  <si>
    <t>WCMC NYP Dialysis</t>
  </si>
  <si>
    <t>LONDON, CATHLEEN</t>
  </si>
  <si>
    <t>E0096016</t>
  </si>
  <si>
    <t>LONDON CATHLEEN GREENBERG</t>
  </si>
  <si>
    <t>(212) 305-1289</t>
  </si>
  <si>
    <t>LONDON CATHLEEN DR.</t>
  </si>
  <si>
    <t>425 E 61ST ST FL 11</t>
  </si>
  <si>
    <t>LORICH, DEAN</t>
  </si>
  <si>
    <t>E0115399</t>
  </si>
  <si>
    <t>LORICH DEAN GERARD MD</t>
  </si>
  <si>
    <t>(212) 305-1290</t>
  </si>
  <si>
    <t>LORICH DEAN DR.</t>
  </si>
  <si>
    <t>LEE, JAMES A</t>
  </si>
  <si>
    <t>E0023303</t>
  </si>
  <si>
    <t>LEE JAMES MD</t>
  </si>
  <si>
    <t>LEE JAMES DR.</t>
  </si>
  <si>
    <t>Henke Vanessa</t>
  </si>
  <si>
    <t>E0383460</t>
  </si>
  <si>
    <t>HENKE VANESSA</t>
  </si>
  <si>
    <t>HENKE VANESSA DR.</t>
  </si>
  <si>
    <t>Hill Shanna</t>
  </si>
  <si>
    <t>E0044309</t>
  </si>
  <si>
    <t>HILL SHANNA SYKES MD</t>
  </si>
  <si>
    <t>HILL SHANNA DR.</t>
  </si>
  <si>
    <t>Hoffmeister Kurt</t>
  </si>
  <si>
    <t>HOFFMEISTER KURT MR.</t>
  </si>
  <si>
    <t>LEE, SONG E</t>
  </si>
  <si>
    <t>E0350952</t>
  </si>
  <si>
    <t>LEE SONG EUN</t>
  </si>
  <si>
    <t>Hache Manon</t>
  </si>
  <si>
    <t>E0036116</t>
  </si>
  <si>
    <t>HACHE MANON</t>
  </si>
  <si>
    <t>HACHE MANON DR.</t>
  </si>
  <si>
    <t>Houck Philipp</t>
  </si>
  <si>
    <t>E0036208</t>
  </si>
  <si>
    <t>HOUCK PHILIPP JOANNIS MD</t>
  </si>
  <si>
    <t>HOUCK PHILIPP</t>
  </si>
  <si>
    <t>Arthur Katherine</t>
  </si>
  <si>
    <t>ARTHUR KATHERINE</t>
  </si>
  <si>
    <t>80 DEKALB AVE APT 14A</t>
  </si>
  <si>
    <t>Band Eric</t>
  </si>
  <si>
    <t>BAND ERIC DR.</t>
  </si>
  <si>
    <t>27 PARK ST</t>
  </si>
  <si>
    <t>HYANNIS</t>
  </si>
  <si>
    <t>Banton Daryl</t>
  </si>
  <si>
    <t>BANTON DARYL</t>
  </si>
  <si>
    <t>621 MADISON AVE APT B</t>
  </si>
  <si>
    <t>CHARLOTTESVILLE</t>
  </si>
  <si>
    <t>Michael Rasiej,?MD</t>
  </si>
  <si>
    <t>E0294373</t>
  </si>
  <si>
    <t>RASIEJ MICHAEL J</t>
  </si>
  <si>
    <t>(212) 305-1263</t>
  </si>
  <si>
    <t>RASIEJ MICHAEL</t>
  </si>
  <si>
    <t>Lynch Lisa</t>
  </si>
  <si>
    <t>E0389389</t>
  </si>
  <si>
    <t>LYNCH LISA RENEE</t>
  </si>
  <si>
    <t>LYNCH LISA DR.</t>
  </si>
  <si>
    <t>Monteleone Matthew</t>
  </si>
  <si>
    <t>E0383164</t>
  </si>
  <si>
    <t>MONTELEONE MATTHEW</t>
  </si>
  <si>
    <t>MONTELEONE MATTHEW DR.</t>
  </si>
  <si>
    <t>Brown Anthony</t>
  </si>
  <si>
    <t>E0186779</t>
  </si>
  <si>
    <t>BROWN ANTHONY REUBEN MD</t>
  </si>
  <si>
    <t>BROWN ANTHONY DR.</t>
  </si>
  <si>
    <t>Emala Charles</t>
  </si>
  <si>
    <t>E0112784</t>
  </si>
  <si>
    <t>EMALA CHARLES W MD</t>
  </si>
  <si>
    <t>EMALA CHARLES DR.</t>
  </si>
  <si>
    <t>Maniker Robert</t>
  </si>
  <si>
    <t>E0329223</t>
  </si>
  <si>
    <t>MANIKER ROBERT BRADLEY</t>
  </si>
  <si>
    <t>MANIKER ROBERT DR.</t>
  </si>
  <si>
    <t>Ankrah Reginald</t>
  </si>
  <si>
    <t>ANKRAH REGINALD</t>
  </si>
  <si>
    <t>Assem Sophia</t>
  </si>
  <si>
    <t>ASSEM SOPHIA</t>
  </si>
  <si>
    <t>622 WEST 168TH STREET, NEW YORK PRESBYTERIAN HOSPITAL, DEPT. OF ANESTHESIOLOGY</t>
  </si>
  <si>
    <t>Bosede Kareem</t>
  </si>
  <si>
    <t>BOSEDE KAREEM MR.</t>
  </si>
  <si>
    <t>Boyd Donald</t>
  </si>
  <si>
    <t>BOYD DONALD MR.</t>
  </si>
  <si>
    <t>Cauley Keith</t>
  </si>
  <si>
    <t>E0284446</t>
  </si>
  <si>
    <t>CAULEY KEITH MD</t>
  </si>
  <si>
    <t>CAULEY KEITH DR.</t>
  </si>
  <si>
    <t>CAULEY KEITH ALAN MD</t>
  </si>
  <si>
    <t>Dinner Miles</t>
  </si>
  <si>
    <t>E0231983</t>
  </si>
  <si>
    <t>DINNER MILES</t>
  </si>
  <si>
    <t>Pastor Gideon</t>
  </si>
  <si>
    <t>PASTOR GIDEON MR.</t>
  </si>
  <si>
    <t>Pinyavat Teeda</t>
  </si>
  <si>
    <t>E0310276</t>
  </si>
  <si>
    <t>PINYAVAT TEEDA MD</t>
  </si>
  <si>
    <t>PINYAVAT TEEDA DR.</t>
  </si>
  <si>
    <t>Rainey Amanda</t>
  </si>
  <si>
    <t>RAINEY LEEPER AMANDA</t>
  </si>
  <si>
    <t>Reznik Tatyana</t>
  </si>
  <si>
    <t>REZNIK TATYANA</t>
  </si>
  <si>
    <t>CRISTINE ESPINOSA</t>
  </si>
  <si>
    <t>E0418330</t>
  </si>
  <si>
    <t>ESPINOSO CRISTINE MARIA</t>
  </si>
  <si>
    <t>ESPINOSA CRISTINE MS.</t>
  </si>
  <si>
    <t>ESPINOSA CRISTINE MARIA</t>
  </si>
  <si>
    <t>ARUNA HARDUARSINGH</t>
  </si>
  <si>
    <t>HARDUARSINGH-PERMAUL ARUNA MISS</t>
  </si>
  <si>
    <t>3020 14TH ST NW</t>
  </si>
  <si>
    <t>EMILY HOLT</t>
  </si>
  <si>
    <t>HOLT EMILY DR.</t>
  </si>
  <si>
    <t>ZANE MARTINDALE</t>
  </si>
  <si>
    <t>MARTINDALE ZANE</t>
  </si>
  <si>
    <t>OLIVIA PERLMUTT</t>
  </si>
  <si>
    <t>E0447662</t>
  </si>
  <si>
    <t>PERLMUTT OLIVIA SEEHUSEN</t>
  </si>
  <si>
    <t>PERLMUTT OLIVIA</t>
  </si>
  <si>
    <t>ANOOP RAMAN</t>
  </si>
  <si>
    <t>RAMAN ANOOP DR.</t>
  </si>
  <si>
    <t>MICHAEL SPERTUS</t>
  </si>
  <si>
    <t>E0447688</t>
  </si>
  <si>
    <t>SPERTUS MICHAEL SCOTT</t>
  </si>
  <si>
    <t>SPERTUS MICHAEL</t>
  </si>
  <si>
    <t>SARAH VAN WAGNER</t>
  </si>
  <si>
    <t>E0412882</t>
  </si>
  <si>
    <t>VAN WAGNER SARAH</t>
  </si>
  <si>
    <t>VAN WAGNER SARAH DR.</t>
  </si>
  <si>
    <t>VAN WAGNER SARAH ELIZABETH</t>
  </si>
  <si>
    <t>DAVID WEISS</t>
  </si>
  <si>
    <t>BRANDI ADAMS</t>
  </si>
  <si>
    <t>ADAMS BRANDI</t>
  </si>
  <si>
    <t>6909 PROSPERITY CHURCH RD</t>
  </si>
  <si>
    <t>HUNTERSVILLE</t>
  </si>
  <si>
    <t>Landau Cahana Ruth</t>
  </si>
  <si>
    <t>E0080060</t>
  </si>
  <si>
    <t>LANDAU CAHANA RUTH MD</t>
  </si>
  <si>
    <t>LANDAU RUTH</t>
  </si>
  <si>
    <t>LANDAU CAHANA RUTH</t>
  </si>
  <si>
    <t>Mankowitz Suzanne</t>
  </si>
  <si>
    <t>E0078760</t>
  </si>
  <si>
    <t>MANKOWITZ SUZANNE K MD</t>
  </si>
  <si>
    <t>MANKOWITZ SUZANNE DR.</t>
  </si>
  <si>
    <t>Reitman-Ivashkov Elena</t>
  </si>
  <si>
    <t>E0324620</t>
  </si>
  <si>
    <t>REITMAN-IVASHKOV ELENA</t>
  </si>
  <si>
    <t>Ring Laurence</t>
  </si>
  <si>
    <t>E0309112</t>
  </si>
  <si>
    <t>RING LAURENCE ELLIOT MD</t>
  </si>
  <si>
    <t>RING LAURENCE DR.</t>
  </si>
  <si>
    <t>Smiley Richard</t>
  </si>
  <si>
    <t>E0198712</t>
  </si>
  <si>
    <t>SMILEY RICHARD M           MD</t>
  </si>
  <si>
    <t>SMILEY RICHARD DR.</t>
  </si>
  <si>
    <t>Lee Allison</t>
  </si>
  <si>
    <t>E0338554</t>
  </si>
  <si>
    <t>LEE ALLISON JOANNA</t>
  </si>
  <si>
    <t>LEE ALLISON DR.</t>
  </si>
  <si>
    <t>622 W 168TH ST STE 505C</t>
  </si>
  <si>
    <t>Mark Laurence</t>
  </si>
  <si>
    <t>E0222001</t>
  </si>
  <si>
    <t>MARK LAURENCE P            MD</t>
  </si>
  <si>
    <t>MARK LAURENCE DR.</t>
  </si>
  <si>
    <t>COLUMBIA PRESB MED C</t>
  </si>
  <si>
    <t>Mathew Leena</t>
  </si>
  <si>
    <t>E0061617</t>
  </si>
  <si>
    <t>MATHEW LEENA MD</t>
  </si>
  <si>
    <t>MATHEW LEENA</t>
  </si>
  <si>
    <t>Sonty Nomita</t>
  </si>
  <si>
    <t>E0108768</t>
  </si>
  <si>
    <t>SONTY NOMITA PHD</t>
  </si>
  <si>
    <t>SONTY NOMITA DR.</t>
  </si>
  <si>
    <t>SONTY NOMITA</t>
  </si>
  <si>
    <t>Weinberger Michael</t>
  </si>
  <si>
    <t>E0108056</t>
  </si>
  <si>
    <t>WEINBERGER MICHAEL MD</t>
  </si>
  <si>
    <t>WEINBERGER MICHAEL DR.</t>
  </si>
  <si>
    <t>COLUMBIA PRESBTERIAN</t>
  </si>
  <si>
    <t>DEMAR, LEON K</t>
  </si>
  <si>
    <t>E0274666</t>
  </si>
  <si>
    <t>DEMAR LEON K               MD</t>
  </si>
  <si>
    <t>DEMAR LEON DR.</t>
  </si>
  <si>
    <t>COLUMBIA PRESB HOSP</t>
  </si>
  <si>
    <t xml:space="preserve">GANDA, ANJALI </t>
  </si>
  <si>
    <t>E0293321</t>
  </si>
  <si>
    <t>GANDA ANJALI MD</t>
  </si>
  <si>
    <t>GANDA ANJALI DR.</t>
  </si>
  <si>
    <t xml:space="preserve">MOISE, NATHALIE </t>
  </si>
  <si>
    <t>E0350475</t>
  </si>
  <si>
    <t>MOISE NATHALIE</t>
  </si>
  <si>
    <t>DILLON, GREGORY C</t>
  </si>
  <si>
    <t>E0029550</t>
  </si>
  <si>
    <t>DILLON GREGORY</t>
  </si>
  <si>
    <t>DILLON GREGORY DR.</t>
  </si>
  <si>
    <t>Whittington Robert</t>
  </si>
  <si>
    <t>E0136719</t>
  </si>
  <si>
    <t>WHITTINGTON ROBERT MD</t>
  </si>
  <si>
    <t>WHITTINGTON ROBERT DR.</t>
  </si>
  <si>
    <t>ANESTH SVC OF CPMC</t>
  </si>
  <si>
    <t>Zhao Yejun</t>
  </si>
  <si>
    <t>E0078759</t>
  </si>
  <si>
    <t>ZHAO YEJUN MD</t>
  </si>
  <si>
    <t>ZHAO YEJUN DR.</t>
  </si>
  <si>
    <t>Yocum Gene</t>
  </si>
  <si>
    <t>E0379841</t>
  </si>
  <si>
    <t>YOCUM GENE THOMAS</t>
  </si>
  <si>
    <t>YOCUM GENE DR.</t>
  </si>
  <si>
    <t>Anastasian Zirka</t>
  </si>
  <si>
    <t>E0297934</t>
  </si>
  <si>
    <t>ANASTASIAN ZIRKA HOROCHIWSKY MD</t>
  </si>
  <si>
    <t>ANASTASIAN ZIRKA</t>
  </si>
  <si>
    <t>Berman Mitchell</t>
  </si>
  <si>
    <t>E0198964</t>
  </si>
  <si>
    <t>BERMAN MITCHELL FREDERICK  MD</t>
  </si>
  <si>
    <t>BERMAN MITCHELL DR.</t>
  </si>
  <si>
    <t>NEW YORK PRESBYTERIAN</t>
  </si>
  <si>
    <t>Parnes Allyson</t>
  </si>
  <si>
    <t>E0348344</t>
  </si>
  <si>
    <t>PARNES ALLYSON NANCY</t>
  </si>
  <si>
    <t>PARNES ALLYSON</t>
  </si>
  <si>
    <t>51 W 51ST ST STE 300</t>
  </si>
  <si>
    <t xml:space="preserve">Wendy Cheong </t>
  </si>
  <si>
    <t>Menshenina Julia</t>
  </si>
  <si>
    <t>MENSHENINA JULIA</t>
  </si>
  <si>
    <t>774 GULL AVE</t>
  </si>
  <si>
    <t>FOSTER CITY</t>
  </si>
  <si>
    <t>Siegelin Markus</t>
  </si>
  <si>
    <t>SIEGELIN MARKUS</t>
  </si>
  <si>
    <t>Tanhehco Yvette</t>
  </si>
  <si>
    <t>TANHEHCO YVETTE</t>
  </si>
  <si>
    <t>630 WEST 168TH ST, PH 1564W</t>
  </si>
  <si>
    <t>BROOKS, STEVEN E</t>
  </si>
  <si>
    <t>BRANNAGAN , THOMAS H</t>
  </si>
  <si>
    <t>E0132658</t>
  </si>
  <si>
    <t>BRANNAGAN THOMAS HYATT III MD</t>
  </si>
  <si>
    <t>BRANNAGAN THOMAS</t>
  </si>
  <si>
    <t>OLIVER STROEH</t>
  </si>
  <si>
    <t>E0382954</t>
  </si>
  <si>
    <t>STROEH OLIVER</t>
  </si>
  <si>
    <t>STROEH OLIVER DR.</t>
  </si>
  <si>
    <t>STROEH OLIVER MAX</t>
  </si>
  <si>
    <t>DEBRA TAUBEL</t>
  </si>
  <si>
    <t>E0098886</t>
  </si>
  <si>
    <t>RESKO TAUBEL DEBRA ANN MD</t>
  </si>
  <si>
    <t>TAUBEL DEBRA</t>
  </si>
  <si>
    <t>OB/GYN CUMC</t>
  </si>
  <si>
    <t>DIANE THOMPSON</t>
  </si>
  <si>
    <t>E0383475</t>
  </si>
  <si>
    <t>THOMPSON DIANE A</t>
  </si>
  <si>
    <t>THOMPSON DIANE DR.</t>
  </si>
  <si>
    <t>MIREILLE TRUONG</t>
  </si>
  <si>
    <t>E0368398</t>
  </si>
  <si>
    <t>TRUONG MIREILLE DIEM-MY</t>
  </si>
  <si>
    <t>TRUONG MIREILLE</t>
  </si>
  <si>
    <t>MATTHEW VARGHESE</t>
  </si>
  <si>
    <t>E0225478</t>
  </si>
  <si>
    <t>VARGHESE MATHEW C          MD</t>
  </si>
  <si>
    <t>VARGHESE MATHEW</t>
  </si>
  <si>
    <t>NY HOSP STARR 301A</t>
  </si>
  <si>
    <t>MICHAEL WARREN</t>
  </si>
  <si>
    <t>E0044684</t>
  </si>
  <si>
    <t>WARREN MICHAEL S MD</t>
  </si>
  <si>
    <t>WARREN MICHAEL</t>
  </si>
  <si>
    <t>STEVEN WEISEN</t>
  </si>
  <si>
    <t>E0345652</t>
  </si>
  <si>
    <t>WEISEN STEVEN</t>
  </si>
  <si>
    <t>WEISEN STEVEN FRED</t>
  </si>
  <si>
    <t>2 CROSFIELD AVE STE 407</t>
  </si>
  <si>
    <t>VELEKA WILLIS</t>
  </si>
  <si>
    <t>E0294085</t>
  </si>
  <si>
    <t>WILLIS VELEKA M  MD</t>
  </si>
  <si>
    <t>WILLIS VELEKA DR.</t>
  </si>
  <si>
    <t>RALF ZIMMERMAN</t>
  </si>
  <si>
    <t>E0142218</t>
  </si>
  <si>
    <t>ZIMMERMAN RALF C MD</t>
  </si>
  <si>
    <t>ZIMMERMANN RALF DR.</t>
  </si>
  <si>
    <t>NANCY ADDISON</t>
  </si>
  <si>
    <t>ADDISON NANCY MRS.</t>
  </si>
  <si>
    <t>3069 47TH ST</t>
  </si>
  <si>
    <t>CARMEN ADORNO-SMAKOVIC</t>
  </si>
  <si>
    <t>E0293042</t>
  </si>
  <si>
    <t>ADORNO CARMEN</t>
  </si>
  <si>
    <t>ADORNO CARMEN MS.</t>
  </si>
  <si>
    <t>ALBERTO ALONSO</t>
  </si>
  <si>
    <t>E0376366</t>
  </si>
  <si>
    <t>ALONSO ALBERTO</t>
  </si>
  <si>
    <t>ALONSO ALBERTO MR.</t>
  </si>
  <si>
    <t>SARAH ANDREWS</t>
  </si>
  <si>
    <t>E0291890</t>
  </si>
  <si>
    <t>ANDREWS SARAH MRS.</t>
  </si>
  <si>
    <t>BAKER 525 E. 68TH ST</t>
  </si>
  <si>
    <t>ARLENE AVILES</t>
  </si>
  <si>
    <t>E0314075</t>
  </si>
  <si>
    <t>AVILES ARLENE</t>
  </si>
  <si>
    <t>AVILES ARLENE MS.</t>
  </si>
  <si>
    <t>JENNER BASTIDAS</t>
  </si>
  <si>
    <t>E0376379</t>
  </si>
  <si>
    <t>BASTIDAS JENNER</t>
  </si>
  <si>
    <t>BASTIDAS JENNER MS.</t>
  </si>
  <si>
    <t>YADIRA BATIZ DOLMO</t>
  </si>
  <si>
    <t>E0382469</t>
  </si>
  <si>
    <t>BATIZ DOLMO YADIRA PATRICIA</t>
  </si>
  <si>
    <t>BATIZ DOLMO YADIRA DR.</t>
  </si>
  <si>
    <t>ELYSSA BAUMOHL</t>
  </si>
  <si>
    <t>E0359221</t>
  </si>
  <si>
    <t>BAUMOHL ELYSSA</t>
  </si>
  <si>
    <t>BAUMOHL ELYSSA MS.</t>
  </si>
  <si>
    <t>MARLA BERMAN</t>
  </si>
  <si>
    <t>E0314081</t>
  </si>
  <si>
    <t>BERMAN MARLA</t>
  </si>
  <si>
    <t>BERMAN MARLA MS.</t>
  </si>
  <si>
    <t>LISETTE BLANCO-WOLF</t>
  </si>
  <si>
    <t>E0293048</t>
  </si>
  <si>
    <t>BLANCO LISETTE</t>
  </si>
  <si>
    <t>BLANCO LISETTE MS.</t>
  </si>
  <si>
    <t>JULIANA BLITZER</t>
  </si>
  <si>
    <t>E0392525</t>
  </si>
  <si>
    <t>BLITZER JULIANA R</t>
  </si>
  <si>
    <t>BLITZER JULIANA MS.</t>
  </si>
  <si>
    <t>BERTHA BOGDAN</t>
  </si>
  <si>
    <t>E0314010</t>
  </si>
  <si>
    <t>BOGDAN BERTHA ISABEL</t>
  </si>
  <si>
    <t>BOGDAN BERTHA MRS.</t>
  </si>
  <si>
    <t>CARROL BRANDT</t>
  </si>
  <si>
    <t>E0303427</t>
  </si>
  <si>
    <t>BRANDT CARROL</t>
  </si>
  <si>
    <t>DANIELLE BRECHTER</t>
  </si>
  <si>
    <t>E0009137</t>
  </si>
  <si>
    <t>BRECHTER DANIELE LYNETTE RN</t>
  </si>
  <si>
    <t>BRECHTER DANIELLE MRS.</t>
  </si>
  <si>
    <t>300 CENTER DR</t>
  </si>
  <si>
    <t>CATHERINA BURNS</t>
  </si>
  <si>
    <t>E0392527</t>
  </si>
  <si>
    <t>BURNS CATHERINA</t>
  </si>
  <si>
    <t>BURNS CATHERINA DR.</t>
  </si>
  <si>
    <t>AMANDA CAMPOS</t>
  </si>
  <si>
    <t>E0386166</t>
  </si>
  <si>
    <t>CAMPOS AMANDA</t>
  </si>
  <si>
    <t>KIM CARAWAY</t>
  </si>
  <si>
    <t>E0122047</t>
  </si>
  <si>
    <t>CARAWAY KIM K CNM</t>
  </si>
  <si>
    <t>CARAWAY KIM</t>
  </si>
  <si>
    <t>CHRISTINE CASAS</t>
  </si>
  <si>
    <t>CASAS CHRISTINE MS.</t>
  </si>
  <si>
    <t>177 FORT WASHINGTON AVE, 8SK</t>
  </si>
  <si>
    <t>MICHELLE COTUGNO</t>
  </si>
  <si>
    <t>E0314085</t>
  </si>
  <si>
    <t>COTUGNO MICHELLE</t>
  </si>
  <si>
    <t>AMY CRUMLY</t>
  </si>
  <si>
    <t>E0293023</t>
  </si>
  <si>
    <t>CRUMLY AMY</t>
  </si>
  <si>
    <t>CRUMLY AMY DR.</t>
  </si>
  <si>
    <t>CRUMLY AMY L</t>
  </si>
  <si>
    <t>ANGEL CRUZ</t>
  </si>
  <si>
    <t>E0302339</t>
  </si>
  <si>
    <t>CRUZ ANGEL</t>
  </si>
  <si>
    <t>HOLLY DANDO</t>
  </si>
  <si>
    <t>DANDO HOLLY MS.</t>
  </si>
  <si>
    <t>53 W 23RD ST, 6TH FLOOR</t>
  </si>
  <si>
    <t>MEAGAN DANFORTH</t>
  </si>
  <si>
    <t>E0378329</t>
  </si>
  <si>
    <t>DANFORTH MEAGAN</t>
  </si>
  <si>
    <t>JESSICA DE SHAZO</t>
  </si>
  <si>
    <t>DESHAZO JESSICA MISS</t>
  </si>
  <si>
    <t>JULIE DRAKE</t>
  </si>
  <si>
    <t>E0114493</t>
  </si>
  <si>
    <t>DRAKE JULIE ANN CNM</t>
  </si>
  <si>
    <t>DRAKE JULIE</t>
  </si>
  <si>
    <t>SUSAN EVANS</t>
  </si>
  <si>
    <t>EVANS SUSAN</t>
  </si>
  <si>
    <t>425 E 61ST ST STE 1350</t>
  </si>
  <si>
    <t>DEBRA FAECHER</t>
  </si>
  <si>
    <t>YENILSHIA FIRPO</t>
  </si>
  <si>
    <t>E0376388</t>
  </si>
  <si>
    <t>FIRPO YENILSHIA</t>
  </si>
  <si>
    <t>JESSICA FORMAN</t>
  </si>
  <si>
    <t>FORMAN JESSICA MS.</t>
  </si>
  <si>
    <t>177 FORT WASHINGTON AVE, 5TH FLOOR - 5 GARDEN NORTH</t>
  </si>
  <si>
    <t>MARIE FRANCOIS</t>
  </si>
  <si>
    <t>CAROLE FREEDMAN</t>
  </si>
  <si>
    <t>RUTH GASPARIK</t>
  </si>
  <si>
    <t>E0314082</t>
  </si>
  <si>
    <t>GASPARIK RUTH</t>
  </si>
  <si>
    <t>GASPARIK RUTH E</t>
  </si>
  <si>
    <t>DEBORAH GERSZBERG</t>
  </si>
  <si>
    <t>GERSZBERG DEBORAH MRS.</t>
  </si>
  <si>
    <t>RACHEL GLAZER</t>
  </si>
  <si>
    <t>E0291882</t>
  </si>
  <si>
    <t>GLAZER RACHEL</t>
  </si>
  <si>
    <t>GLAZER RACHEL MRS.</t>
  </si>
  <si>
    <t>505 E 70TH ST FL 5</t>
  </si>
  <si>
    <t>BOGUMILA GODLEWSKA</t>
  </si>
  <si>
    <t>E0314103</t>
  </si>
  <si>
    <t>GODLEWSKA BOGUMILA</t>
  </si>
  <si>
    <t>MARIA GONZALO</t>
  </si>
  <si>
    <t>Walline Maria</t>
  </si>
  <si>
    <t>WALLINE MARIA</t>
  </si>
  <si>
    <t>525 E 68TH ST # 124, WEILL CORNELL MEDICAL CENTER, DPT OF ANESTHESIOLOGY</t>
  </si>
  <si>
    <t>E0156041</t>
  </si>
  <si>
    <t>DSAS</t>
  </si>
  <si>
    <t>1300 YORK AVE, BOX 585</t>
  </si>
  <si>
    <t>Urich Daniela</t>
  </si>
  <si>
    <t>URICH DANIELA</t>
  </si>
  <si>
    <t>Vaz Ansara</t>
  </si>
  <si>
    <t>VAZ ANSARA</t>
  </si>
  <si>
    <t>Hibshoosh Hanina</t>
  </si>
  <si>
    <t>E0118905</t>
  </si>
  <si>
    <t>HIBSHOOSH HANINA</t>
  </si>
  <si>
    <t>SHEA, STEVEN J</t>
  </si>
  <si>
    <t>E0216005</t>
  </si>
  <si>
    <t>SHEA STEVEN                MD</t>
  </si>
  <si>
    <t>SHEA STEVEN DR.</t>
  </si>
  <si>
    <t>SHEA STEVEN  MD</t>
  </si>
  <si>
    <t>MEHTA, SONAL S</t>
  </si>
  <si>
    <t>E0293788</t>
  </si>
  <si>
    <t>SONAL SUBHASH MEHTA</t>
  </si>
  <si>
    <t>MEHTA SONAL</t>
  </si>
  <si>
    <t>MEHTA SONAL SUBHASH  MD</t>
  </si>
  <si>
    <t>525 E 68TH ST # 39</t>
  </si>
  <si>
    <t xml:space="preserve">KURRA, SALILA </t>
  </si>
  <si>
    <t>E0294109</t>
  </si>
  <si>
    <t>KURRA SALILA MD</t>
  </si>
  <si>
    <t>KURRA SALILA DR.</t>
  </si>
  <si>
    <t>COHEN, ROBERT J</t>
  </si>
  <si>
    <t>E0165850</t>
  </si>
  <si>
    <t>COHEN ROBERT JAY  MD</t>
  </si>
  <si>
    <t>PREL PLAZA</t>
  </si>
  <si>
    <t>HALASZ, CHARLES L</t>
  </si>
  <si>
    <t>E0221382</t>
  </si>
  <si>
    <t>HALASZ CHARLES LUDVIG GABRIEL</t>
  </si>
  <si>
    <t>HALASZ CHARLES DR.</t>
  </si>
  <si>
    <t>EMPIRE ST HM CARE SER LTHHCP (Lombardi)</t>
  </si>
  <si>
    <t>ST VINCENT DE PAUL RESIDENCE (SNF)</t>
  </si>
  <si>
    <t>TREIBER, ERIC S</t>
  </si>
  <si>
    <t>E0256460</t>
  </si>
  <si>
    <t>TREIBER ERIC S             MD</t>
  </si>
  <si>
    <t>TREIBER ERIC DR.</t>
  </si>
  <si>
    <t>ALICEA, NIVIA C</t>
  </si>
  <si>
    <t>E0114486</t>
  </si>
  <si>
    <t>ALICEA NIVIA C CNM</t>
  </si>
  <si>
    <t>ALICEA NIVIA</t>
  </si>
  <si>
    <t xml:space="preserve">GONZALEZ, JORGE </t>
  </si>
  <si>
    <t>E0291871</t>
  </si>
  <si>
    <t>GONZALEZ JORGE</t>
  </si>
  <si>
    <t>GONZALEZ JORGE O.</t>
  </si>
  <si>
    <t>KUPERSMITH, ANDREW C</t>
  </si>
  <si>
    <t>E0085319</t>
  </si>
  <si>
    <t>KUPERSMITH ANDREW CRAIG MD</t>
  </si>
  <si>
    <t>KUPERSMITH ANDREW DR.</t>
  </si>
  <si>
    <t>MORARU, ROBERT A</t>
  </si>
  <si>
    <t>E0094505</t>
  </si>
  <si>
    <t>MORARU ROBERT ANDREW MD</t>
  </si>
  <si>
    <t>MORARU ROBERT DR.</t>
  </si>
  <si>
    <t>1324 VICTORY BLVD</t>
  </si>
  <si>
    <t>BURKE, ROBERT E</t>
  </si>
  <si>
    <t>E0228754</t>
  </si>
  <si>
    <t>BURKE ROBERT E             MD</t>
  </si>
  <si>
    <t>BURKE ROBERT DR.</t>
  </si>
  <si>
    <t>CARTER, ALICEA R</t>
  </si>
  <si>
    <t>E0077066</t>
  </si>
  <si>
    <t>CARTER ALICIA R</t>
  </si>
  <si>
    <t>CARTER ALICIA</t>
  </si>
  <si>
    <t>SARAH HORVATH</t>
  </si>
  <si>
    <t>HORVATH SARAH</t>
  </si>
  <si>
    <t>ALESSANDRA KOSTOLIAS</t>
  </si>
  <si>
    <t>KOSTOLIAS ALESSANDRA</t>
  </si>
  <si>
    <t>KATHERINE LUDLOW</t>
  </si>
  <si>
    <t>LUDLOW KATHERINE DR.</t>
  </si>
  <si>
    <t>SAILA MONI</t>
  </si>
  <si>
    <t>SONALI PATANKAR</t>
  </si>
  <si>
    <t>PATANKAR SONALI</t>
  </si>
  <si>
    <t>CHELSEA CLINTON</t>
  </si>
  <si>
    <t>CLINTON CHELSEA DR.</t>
  </si>
  <si>
    <t>1330 1ST AVE, APT 708</t>
  </si>
  <si>
    <t>DEANNA GERBER</t>
  </si>
  <si>
    <t>GERBER DEANNA DR.</t>
  </si>
  <si>
    <t>22 HERITAGE DR APT B</t>
  </si>
  <si>
    <t>JULIA GEYNISMAN</t>
  </si>
  <si>
    <t>GEYNISMAN-TAN JULIA DR.</t>
  </si>
  <si>
    <t>525 E 68TH ST, BOX 122</t>
  </si>
  <si>
    <t>VINAY GUNNALA</t>
  </si>
  <si>
    <t>GUNNALA VINAY DR.</t>
  </si>
  <si>
    <t>6161 N 44TH PL</t>
  </si>
  <si>
    <t>PARADISE VALLEY</t>
  </si>
  <si>
    <t>RULA KANJ</t>
  </si>
  <si>
    <t>KANJ RULA</t>
  </si>
  <si>
    <t>3333 BURNET AVE, MLC 2026</t>
  </si>
  <si>
    <t>ALEXIS KRUCZEK</t>
  </si>
  <si>
    <t>MASBOU ALEXIS DR.</t>
  </si>
  <si>
    <t>LAUREN MURPHY</t>
  </si>
  <si>
    <t>MURPHY LAUREN DR.</t>
  </si>
  <si>
    <t>330 BROOKLINE AVE, KIRSTIEN 3RD FLOOR</t>
  </si>
  <si>
    <t>ERIN NIEMASIK</t>
  </si>
  <si>
    <t>NIEMASIK ERIN DR.</t>
  </si>
  <si>
    <t>THEOFANO ORFANELLI</t>
  </si>
  <si>
    <t>ORFANELLI THEOFANO DR.</t>
  </si>
  <si>
    <t>CAROLYN ROSS</t>
  </si>
  <si>
    <t>ROSS CAROLYN DR.</t>
  </si>
  <si>
    <t>JOSHUA STEWART</t>
  </si>
  <si>
    <t>STEWART JOSHUA DR.</t>
  </si>
  <si>
    <t>LUCIANA VIEIRA</t>
  </si>
  <si>
    <t>VIEIRA LUCIANA DR.</t>
  </si>
  <si>
    <t>KAREN ACKER</t>
  </si>
  <si>
    <t>ACKER KAREN</t>
  </si>
  <si>
    <t>LAUREN BLATT</t>
  </si>
  <si>
    <t>BLATT LAUREN</t>
  </si>
  <si>
    <t>DENVER BROWN</t>
  </si>
  <si>
    <t>BROWN DENVER</t>
  </si>
  <si>
    <t>69 ADAMS ST NW, APT 1</t>
  </si>
  <si>
    <t>KARI BRUCE</t>
  </si>
  <si>
    <t>BRUCE KARI DR.</t>
  </si>
  <si>
    <t>KRISTEN CRITELLI</t>
  </si>
  <si>
    <t>CRITELLI KRISTEN</t>
  </si>
  <si>
    <t>BRIDGET DOWD</t>
  </si>
  <si>
    <t>DOWD BRIDGET DR.</t>
  </si>
  <si>
    <t>JESSICA DUBY</t>
  </si>
  <si>
    <t>DUBY JESSICA</t>
  </si>
  <si>
    <t>2373 BROADWAY, APT 934</t>
  </si>
  <si>
    <t>JENNIFER GARNETT</t>
  </si>
  <si>
    <t>E0447047</t>
  </si>
  <si>
    <t>BELLIS JENNIFER MARIE</t>
  </si>
  <si>
    <t>BELLIS JENNIFER</t>
  </si>
  <si>
    <t>NICOLE GREEN</t>
  </si>
  <si>
    <t>GREEN NICOLE</t>
  </si>
  <si>
    <t>RACHAEL GRODICK</t>
  </si>
  <si>
    <t>BATABYAL RACHAEL</t>
  </si>
  <si>
    <t>111 MICHIGAN AVE NW, DEPARTMENT OF EMERGENCY MEDICINE</t>
  </si>
  <si>
    <t>ELIZABETH HERRUP</t>
  </si>
  <si>
    <t>HERRUP ELIZABETH MS.</t>
  </si>
  <si>
    <t>MARIE HOGAN</t>
  </si>
  <si>
    <t>HOGAN MARIE</t>
  </si>
  <si>
    <t>525 E 68TH ST, ROOM M610</t>
  </si>
  <si>
    <t>BRIAN KING</t>
  </si>
  <si>
    <t>KING BRIAN</t>
  </si>
  <si>
    <t>525 E 68TH ST, BOX 225</t>
  </si>
  <si>
    <t>Hsiao Susan</t>
  </si>
  <si>
    <t>HSIAO SUSAN</t>
  </si>
  <si>
    <t>630 W 168TH ST, COLUMBIA UNIVERSITY, DEPARTMENT OF PATHOLOGY</t>
  </si>
  <si>
    <t>Iuga Alina</t>
  </si>
  <si>
    <t>IUGA ALINA DR.</t>
  </si>
  <si>
    <t>630 W 168TH ST, VANDERBUILT CLINIC, 14TH FLOOR</t>
  </si>
  <si>
    <t>(212) 752-4992</t>
  </si>
  <si>
    <t>Pua Bradley</t>
  </si>
  <si>
    <t>E0320298</t>
  </si>
  <si>
    <t>PUA BRADLEY BRYAN</t>
  </si>
  <si>
    <t>PUA BRADLEY DR.</t>
  </si>
  <si>
    <t>Salerno Theresa</t>
  </si>
  <si>
    <t>E0347522</t>
  </si>
  <si>
    <t>SALERNO THERESA MARIE</t>
  </si>
  <si>
    <t>SALERNO THERESA</t>
  </si>
  <si>
    <t>Mak, Cecilia Sze Man</t>
  </si>
  <si>
    <t>E0355366</t>
  </si>
  <si>
    <t>MAK CECILIA SZE MAN</t>
  </si>
  <si>
    <t>MAK CECILIA DR.</t>
  </si>
  <si>
    <t>Shen, Chunpang Tony</t>
  </si>
  <si>
    <t>E0297304</t>
  </si>
  <si>
    <t>SHEN CHUNPANG</t>
  </si>
  <si>
    <t>SHEN CHUNPANG DR.</t>
  </si>
  <si>
    <t>Shih, Jenny L.</t>
  </si>
  <si>
    <t>E0002900</t>
  </si>
  <si>
    <t>SHIH JENNY</t>
  </si>
  <si>
    <t>SHIH JENNY L</t>
  </si>
  <si>
    <t>Almeida-Chen Gracie</t>
  </si>
  <si>
    <t>E0307510</t>
  </si>
  <si>
    <t>ALMEIDA-CHEN GRACIE MARIA MD</t>
  </si>
  <si>
    <t>ALMEIDA-CHEN GRACIE DR.</t>
  </si>
  <si>
    <t>Chow Daniel</t>
  </si>
  <si>
    <t>CHOW DANIEL DR.</t>
  </si>
  <si>
    <t>1000 W CARSON ST # 461</t>
  </si>
  <si>
    <t>Covarrubias Gabriel</t>
  </si>
  <si>
    <t>COVARRUBIAS GABRIEL</t>
  </si>
  <si>
    <t>30280 RANCHO VIEJO RD</t>
  </si>
  <si>
    <t>SAN JUAN CAPISTRANO</t>
  </si>
  <si>
    <t>Feltus Whitney</t>
  </si>
  <si>
    <t>FELTUS WHITNEY</t>
  </si>
  <si>
    <t>MEDICAL CENTER BLVD</t>
  </si>
  <si>
    <t>Huang Julie</t>
  </si>
  <si>
    <t>E0383251</t>
  </si>
  <si>
    <t>HUANG JULIE</t>
  </si>
  <si>
    <t>HUANG JULIE DR.</t>
  </si>
  <si>
    <t>Divgi Chaitanya</t>
  </si>
  <si>
    <t>E0319030</t>
  </si>
  <si>
    <t>DIVGI CHAITANYA R</t>
  </si>
  <si>
    <t>DIVGI CHAITANYA</t>
  </si>
  <si>
    <t>DIVGI CHAITANYA RAMDAS</t>
  </si>
  <si>
    <t>Rogers John</t>
  </si>
  <si>
    <t>ROGERS JOHN</t>
  </si>
  <si>
    <t>Santamaria Grace</t>
  </si>
  <si>
    <t>Shustorovich Yevgeniy</t>
  </si>
  <si>
    <t>E0100952</t>
  </si>
  <si>
    <t>SHUSTOROVICH YEVGENIY MD</t>
  </si>
  <si>
    <t>SHUSTOROVICH YEVGENIY</t>
  </si>
  <si>
    <t>AMC DEPT ANESTHESIA</t>
  </si>
  <si>
    <t>WEINSAFT, JONATHON W</t>
  </si>
  <si>
    <t>E0039976</t>
  </si>
  <si>
    <t>WEINSAFT JONATHAN WELLS MD</t>
  </si>
  <si>
    <t>WEINSAFT JONATHAN</t>
  </si>
  <si>
    <t>CARDIOLOGY STAN 4</t>
  </si>
  <si>
    <t>Heath Mark</t>
  </si>
  <si>
    <t>E0162945</t>
  </si>
  <si>
    <t>HEATH MARK MD</t>
  </si>
  <si>
    <t>HEATH MARK DR.</t>
  </si>
  <si>
    <t>ANESTH SVC CPMC</t>
  </si>
  <si>
    <t>Riano Elaine</t>
  </si>
  <si>
    <t>RIANO ELAINE MS.</t>
  </si>
  <si>
    <t>LAUREN MAUTNER</t>
  </si>
  <si>
    <t>E0435144</t>
  </si>
  <si>
    <t>MAUTNER LAUREN ALYSSA</t>
  </si>
  <si>
    <t>MAUTNER LAUREN</t>
  </si>
  <si>
    <t>MAX PITMAN</t>
  </si>
  <si>
    <t>PITMAN MAX</t>
  </si>
  <si>
    <t>462 1ST AVE # OBVA638, NYU DIVISION OF GASTROENTEROLOGY, ROOM OBV A638</t>
  </si>
  <si>
    <t>JOSE REGALBUTO</t>
  </si>
  <si>
    <t>E0435071</t>
  </si>
  <si>
    <t>REGALBUTO JOSE</t>
  </si>
  <si>
    <t>REGALBUTO JOSE RICARDO</t>
  </si>
  <si>
    <t>OLIVER BARRY</t>
  </si>
  <si>
    <t>BARRY OLIVER</t>
  </si>
  <si>
    <t>JULIA BROWN</t>
  </si>
  <si>
    <t>E0452706</t>
  </si>
  <si>
    <t>BROWN JULIA</t>
  </si>
  <si>
    <t>BROWN JULIA DR.</t>
  </si>
  <si>
    <t>DANIEL COELHO</t>
  </si>
  <si>
    <t>COELHO DANIEL DR.</t>
  </si>
  <si>
    <t>15 WARREN ST</t>
  </si>
  <si>
    <t>ANDREW GENESLAW</t>
  </si>
  <si>
    <t>E0423725</t>
  </si>
  <si>
    <t>GENESLAW ANDREW</t>
  </si>
  <si>
    <t>PRIYA JAIN</t>
  </si>
  <si>
    <t>BRIAN JONAT</t>
  </si>
  <si>
    <t>E0449380</t>
  </si>
  <si>
    <t>JONAT BRIAN THEODORE</t>
  </si>
  <si>
    <t>JONAT BRIAN</t>
  </si>
  <si>
    <t>DIVYA LAKHANEY</t>
  </si>
  <si>
    <t>E0447540</t>
  </si>
  <si>
    <t>LAKHANEY DIVYA</t>
  </si>
  <si>
    <t>NATASHA LI</t>
  </si>
  <si>
    <t>LI NATASHA</t>
  </si>
  <si>
    <t>REGINA MYERS</t>
  </si>
  <si>
    <t>MYERS REGINA</t>
  </si>
  <si>
    <t>SHANNON NEES</t>
  </si>
  <si>
    <t>NEES SHANNON</t>
  </si>
  <si>
    <t>MONICA PRIETO</t>
  </si>
  <si>
    <t>PRIETO MONICA MISS</t>
  </si>
  <si>
    <t>AVA SATNICK</t>
  </si>
  <si>
    <t>SATNICK AVA DR.</t>
  </si>
  <si>
    <t>EMILY SKODA</t>
  </si>
  <si>
    <t>SKODA-MOUNT EMILY</t>
  </si>
  <si>
    <t>9811 MALLARD DR, SUITE # 109</t>
  </si>
  <si>
    <t>XIAN ZHAO</t>
  </si>
  <si>
    <t>ZHAO XIAN</t>
  </si>
  <si>
    <t>111 MICHIGAN AVE NW</t>
  </si>
  <si>
    <t>MARC FOCA</t>
  </si>
  <si>
    <t>ELOISE AUSTIN</t>
  </si>
  <si>
    <t>AUSTIN ELOISE MS.</t>
  </si>
  <si>
    <t>668 GREENWICH ST, APT 731</t>
  </si>
  <si>
    <t xml:space="preserve">LUCY CHENG </t>
  </si>
  <si>
    <t>ANGELA GOMEZ-SIMMONDS</t>
  </si>
  <si>
    <t>E0325275</t>
  </si>
  <si>
    <t>GOMEZ-SIMMONDS ANGELA</t>
  </si>
  <si>
    <t>GOMEZ-SIMMONDS ANGELA DR.</t>
  </si>
  <si>
    <t>WILLIAM GREENDYKE</t>
  </si>
  <si>
    <t>E0423799</t>
  </si>
  <si>
    <t>GREENDYKE WILLIAM GARRETT</t>
  </si>
  <si>
    <t>GREENDYKE WILLIAM DR.</t>
  </si>
  <si>
    <t>PETER KIM</t>
  </si>
  <si>
    <t>E0111361</t>
  </si>
  <si>
    <t>KIM PETER YHOSUNG  MD</t>
  </si>
  <si>
    <t>ROSY PRIYA KODIYANPLAKKAL</t>
  </si>
  <si>
    <t>BENJAMIN MIKO</t>
  </si>
  <si>
    <t>E0340227</t>
  </si>
  <si>
    <t>MIKO BENJAMIN A</t>
  </si>
  <si>
    <t>MIKO BENJAMIN DR.</t>
  </si>
  <si>
    <t>Walsh Kevin</t>
  </si>
  <si>
    <t>E0423994</t>
  </si>
  <si>
    <t>WALSH KEVIN JAMES</t>
  </si>
  <si>
    <t>WALSH KEVIN</t>
  </si>
  <si>
    <t>Weiner Brett</t>
  </si>
  <si>
    <t>WEINER BRETT</t>
  </si>
  <si>
    <t>Wheatley Sabrina</t>
  </si>
  <si>
    <t>WHEATLEY SABRINA MISS</t>
  </si>
  <si>
    <t>445 E OHIO ST, APARTMENT #2909</t>
  </si>
  <si>
    <t>White Robert</t>
  </si>
  <si>
    <t>WHITE ROBERT MR.</t>
  </si>
  <si>
    <t>112 BRAISTED AVE</t>
  </si>
  <si>
    <t>Willet Stephanie</t>
  </si>
  <si>
    <t>WILLET STEPHANIE</t>
  </si>
  <si>
    <t>177 FT WASHINGTN AVE RM 313</t>
  </si>
  <si>
    <t>Spence Nicole</t>
  </si>
  <si>
    <t>SPENCE NICOLE</t>
  </si>
  <si>
    <t>Stahl Rachel</t>
  </si>
  <si>
    <t>STAHL RACHEL</t>
  </si>
  <si>
    <t>Tejani Margaret</t>
  </si>
  <si>
    <t>E0447144</t>
  </si>
  <si>
    <t>TEJANI MARGARET ELIZABETH</t>
  </si>
  <si>
    <t>TEJANI MARGARET</t>
  </si>
  <si>
    <t>Tischenkel Bryan</t>
  </si>
  <si>
    <t>Clark Mary</t>
  </si>
  <si>
    <t>E0090581</t>
  </si>
  <si>
    <t>CLARK MARY KATHLEEN</t>
  </si>
  <si>
    <t>CLARK MARY MS.</t>
  </si>
  <si>
    <t>PO BOX 29096</t>
  </si>
  <si>
    <t>Danielsson Jennifer</t>
  </si>
  <si>
    <t>E0349281</t>
  </si>
  <si>
    <t>DANIELSSON JENNIFER</t>
  </si>
  <si>
    <t>D'Armiento Jeanine</t>
  </si>
  <si>
    <t>E0036775</t>
  </si>
  <si>
    <t>D'ARMIENTO JEANINE MARIA T MD</t>
  </si>
  <si>
    <t>D'ARMIENTO JEANINE DR.</t>
  </si>
  <si>
    <t>Davis-Mitrea Jody</t>
  </si>
  <si>
    <t>DAVIS-MITREA JODY</t>
  </si>
  <si>
    <t>622 W 168TH ST, NEW YORK PRESBYTERIAN HOSPITAL, DEPT. OF ANESTHESIOLOGY</t>
  </si>
  <si>
    <t>Diaz Oliver</t>
  </si>
  <si>
    <t>E0291121</t>
  </si>
  <si>
    <t>OLIVER SALCEDO DIAZ NP</t>
  </si>
  <si>
    <t>DIAZ OLIVER MR.</t>
  </si>
  <si>
    <t>DIAZ OLIVER SALCEDO</t>
  </si>
  <si>
    <t>Dienstag Bill</t>
  </si>
  <si>
    <t>Upper Manhattan Mental Health Center, Inc</t>
  </si>
  <si>
    <t xml:space="preserve">AL-ASWAD, LAMA </t>
  </si>
  <si>
    <t>E0077303</t>
  </si>
  <si>
    <t>AL-ASWAD LAMA A MD</t>
  </si>
  <si>
    <t>AL-ASWAD LAMA</t>
  </si>
  <si>
    <t>OPHTHALMLGY ASSOC</t>
  </si>
  <si>
    <t>TRUSTEES OF COLUMBIA UNIVERSITY IN THE CITY OF NY CARDIOLOGY ASSOCIATE</t>
  </si>
  <si>
    <t>TRUSTEES OF COLUMBIA UNIVERSITY IN THE CITY OF NEW YORK CARDIOLOGY ASS</t>
  </si>
  <si>
    <t>19 BRADHURST AVE, SUITE 700</t>
  </si>
  <si>
    <t>TRUSTEES OF COLUMBIA UNIVERSITY, DEPT OF PSYCHIATRY</t>
  </si>
  <si>
    <t>E0062297</t>
  </si>
  <si>
    <t>Hsu, Penelope</t>
  </si>
  <si>
    <t>CULLEN, COLLEEN C</t>
  </si>
  <si>
    <t>E0314151</t>
  </si>
  <si>
    <t>CULLEN COLLEEN</t>
  </si>
  <si>
    <t>CULLEN COLLEEN DR.</t>
  </si>
  <si>
    <t>CULLEN COLLEEN C</t>
  </si>
  <si>
    <t>WEINBERG, HARVEY I</t>
  </si>
  <si>
    <t>E0017394</t>
  </si>
  <si>
    <t>WEINBERG HARVEY</t>
  </si>
  <si>
    <t>WEINBERG HARVEY DR.</t>
  </si>
  <si>
    <t>Cross, Jennifer F.</t>
  </si>
  <si>
    <t>E0137823</t>
  </si>
  <si>
    <t>CROSS JENNIFER FRANCES MD</t>
  </si>
  <si>
    <t>CROSS JENNIFER</t>
  </si>
  <si>
    <t>MORROW, JOHN P</t>
  </si>
  <si>
    <t>E0007405</t>
  </si>
  <si>
    <t>JOHN PEARCE MORROW MD</t>
  </si>
  <si>
    <t>MORROW JOHN DR.</t>
  </si>
  <si>
    <t>MORROW JOHN PEARCE MD</t>
  </si>
  <si>
    <t>GILES, JON T</t>
  </si>
  <si>
    <t>E0318295</t>
  </si>
  <si>
    <t>GILES JON</t>
  </si>
  <si>
    <t>WANG, TIMOTHY C</t>
  </si>
  <si>
    <t>E0090388</t>
  </si>
  <si>
    <t>WANG TIMOTHY C MD</t>
  </si>
  <si>
    <t>WANG TIMOTHY DR.</t>
  </si>
  <si>
    <t xml:space="preserve">PANDIT, KIRAN </t>
  </si>
  <si>
    <t>E0010929</t>
  </si>
  <si>
    <t>PANDIT KIRAN MD</t>
  </si>
  <si>
    <t>PANDIT KIRAN DR.</t>
  </si>
  <si>
    <t>Suman, Hridya</t>
  </si>
  <si>
    <t>E0383114</t>
  </si>
  <si>
    <t>SUMAN HRIDYA</t>
  </si>
  <si>
    <t>SUMAN HRIDYA DR.</t>
  </si>
  <si>
    <t>525 E 68TH ST # 176</t>
  </si>
  <si>
    <t>THOMAS, GEORGE M</t>
  </si>
  <si>
    <t>E0297530</t>
  </si>
  <si>
    <t>GEORGE THOMAS MD</t>
  </si>
  <si>
    <t>THOMAS GEORGE DR.</t>
  </si>
  <si>
    <t>THOMAS GEORGE MD</t>
  </si>
  <si>
    <t>525 E 70TH ST</t>
  </si>
  <si>
    <t>VARGAS, WENDY S</t>
  </si>
  <si>
    <t>E0343399</t>
  </si>
  <si>
    <t>VARGAS WENDY SULINA</t>
  </si>
  <si>
    <t>VARGAS WENDY DR.</t>
  </si>
  <si>
    <t>CHANTAE SULLIVAN</t>
  </si>
  <si>
    <t>SULLIVAN CHANTAE</t>
  </si>
  <si>
    <t>EMILIE VANDER HAAR</t>
  </si>
  <si>
    <t>VANDER HAAR EMILIE</t>
  </si>
  <si>
    <t>622 W 168TH ST, PH16-29</t>
  </si>
  <si>
    <t>ALIZA ALTER</t>
  </si>
  <si>
    <t>ALTER ALIZA DR.</t>
  </si>
  <si>
    <t>ALLISON BAXTERBECK</t>
  </si>
  <si>
    <t>E0452723</t>
  </si>
  <si>
    <t>BAXTERBECK ALLISON</t>
  </si>
  <si>
    <t>BAXTERBECK ALLISON LEE</t>
  </si>
  <si>
    <t>SONA CHAUHAN</t>
  </si>
  <si>
    <t>CHAUHAN SONA DR.</t>
  </si>
  <si>
    <t>AMY CHIRICO</t>
  </si>
  <si>
    <t>CHIRICO AMY</t>
  </si>
  <si>
    <t>SAMANTHA COFFINO</t>
  </si>
  <si>
    <t>COFFINO SAMANTHA</t>
  </si>
  <si>
    <t>RYAN GISE</t>
  </si>
  <si>
    <t>GISE RYAN DR.</t>
  </si>
  <si>
    <t>EUGENE KHANDROS</t>
  </si>
  <si>
    <t>KHANDROS EUGENE</t>
  </si>
  <si>
    <t>NICOLE MCKINNON</t>
  </si>
  <si>
    <t>MCKINNON NICOLE</t>
  </si>
  <si>
    <t>JENNIFER RATHE</t>
  </si>
  <si>
    <t>E0403724</t>
  </si>
  <si>
    <t>RATHE JENNIFER A</t>
  </si>
  <si>
    <t>RATHE JENNIFER</t>
  </si>
  <si>
    <t>ELIZABETH SEASHORE</t>
  </si>
  <si>
    <t>SEASHORE ELIZABETH</t>
  </si>
  <si>
    <t>SAIRA SIDDIQUI</t>
  </si>
  <si>
    <t>SIDDIQUI SAIRA</t>
  </si>
  <si>
    <t>CYNTHIA SU</t>
  </si>
  <si>
    <t>SU CYNTHIA</t>
  </si>
  <si>
    <t>615 BROADWAY</t>
  </si>
  <si>
    <t>ROSELLE VITTORINO</t>
  </si>
  <si>
    <t>E0434445</t>
  </si>
  <si>
    <t>VITTORINO ROSELLE MARGARET</t>
  </si>
  <si>
    <t>VITTORINO ROSELLE</t>
  </si>
  <si>
    <t>DOMINIQUE BAILEY</t>
  </si>
  <si>
    <t>BAILEY DOMNIQUE DR.</t>
  </si>
  <si>
    <t>630 W. 168TH STREET - CHN 517, COLUMBIA UNIVERSITY MEDICAL CENTER</t>
  </si>
  <si>
    <t>ELIZABETH CHANG</t>
  </si>
  <si>
    <t>CHANG ELIZABETH</t>
  </si>
  <si>
    <t>AMY DIPILATO</t>
  </si>
  <si>
    <t>E0434446</t>
  </si>
  <si>
    <t>DIPILATO AMY</t>
  </si>
  <si>
    <t>JESSICA GEORGE</t>
  </si>
  <si>
    <t>E0427505</t>
  </si>
  <si>
    <t>GEORGE JESSICA MARY</t>
  </si>
  <si>
    <t>GEORGE JESSICA MS.</t>
  </si>
  <si>
    <t>PAMELA GOOD</t>
  </si>
  <si>
    <t>E0423724</t>
  </si>
  <si>
    <t>GOOD PAMELA ISABEL</t>
  </si>
  <si>
    <t>GOOD PAMELA DR.</t>
  </si>
  <si>
    <t>Miller, Ayala</t>
  </si>
  <si>
    <t>WEGMAN AYALA</t>
  </si>
  <si>
    <t>1559 YORK AVE</t>
  </si>
  <si>
    <t>SANTINI, DIANA L</t>
  </si>
  <si>
    <t>E0204486</t>
  </si>
  <si>
    <t>SANTINI DIANA              MD</t>
  </si>
  <si>
    <t>SANTINI DIANA</t>
  </si>
  <si>
    <t>RICHMAN, MARION E</t>
  </si>
  <si>
    <t>E0021656</t>
  </si>
  <si>
    <t>RICHMAN MARION ELYSE MD</t>
  </si>
  <si>
    <t>RICHMAN MARION DR.</t>
  </si>
  <si>
    <t>RICHMAN MARION ELYSE</t>
  </si>
  <si>
    <t>Laura Panitz, NP</t>
  </si>
  <si>
    <t>(212) 942-8526</t>
  </si>
  <si>
    <t xml:space="preserve">CUNNINGHAM, HETTY </t>
  </si>
  <si>
    <t>E0118650</t>
  </si>
  <si>
    <t>CUNNINGHAM HETTY MD</t>
  </si>
  <si>
    <t>CUNNINGHAM HETTY DR.</t>
  </si>
  <si>
    <t>Gross Caroline</t>
  </si>
  <si>
    <t>GROSS CAROLINE</t>
  </si>
  <si>
    <t>Groves Holden</t>
  </si>
  <si>
    <t>GROVES HOLDEN</t>
  </si>
  <si>
    <t>147 VISTA DEL MONTE</t>
  </si>
  <si>
    <t>LOS GATOS</t>
  </si>
  <si>
    <t>Habib Anthony</t>
  </si>
  <si>
    <t>HABIB ANTHONY DR.</t>
  </si>
  <si>
    <t>GREENHILL, LAWRENCE L</t>
  </si>
  <si>
    <t>E0277276</t>
  </si>
  <si>
    <t>GREENHILL LAURENCE L       MD</t>
  </si>
  <si>
    <t>GREENHILL LAURENCE</t>
  </si>
  <si>
    <t>1051 RIVERSIDE DR RM 2B-2307</t>
  </si>
  <si>
    <t>Lennon Christine</t>
  </si>
  <si>
    <t>E0342420</t>
  </si>
  <si>
    <t>LENNON CHRISTINE</t>
  </si>
  <si>
    <t>LENNON CHRISTINE DR.</t>
  </si>
  <si>
    <t>LENNON CHRISTINE MARIE</t>
  </si>
  <si>
    <t>Lichtman Adam</t>
  </si>
  <si>
    <t>E0093219</t>
  </si>
  <si>
    <t>LICHTMAN ADAM DAVID MD</t>
  </si>
  <si>
    <t>LICHTMAN ADAM DR.</t>
  </si>
  <si>
    <t>Lien Cynthia</t>
  </si>
  <si>
    <t>E0184569</t>
  </si>
  <si>
    <t>LIEN CYNTHIA A MD</t>
  </si>
  <si>
    <t>LIEN CYNTHIA</t>
  </si>
  <si>
    <t>(212) 752-5006</t>
  </si>
  <si>
    <t>(212) 752-5007</t>
  </si>
  <si>
    <t>(212) 752-5008</t>
  </si>
  <si>
    <t>(212) 752-5009</t>
  </si>
  <si>
    <t>NUNZIA Fatica</t>
  </si>
  <si>
    <t>(212) 752-5010</t>
  </si>
  <si>
    <t>Savarese John</t>
  </si>
  <si>
    <t>E0175784</t>
  </si>
  <si>
    <t>SAVARESE JOHN J MD</t>
  </si>
  <si>
    <t>SAVARESE JOHN DR.</t>
  </si>
  <si>
    <t>Scharoun Jacques</t>
  </si>
  <si>
    <t>E0104695</t>
  </si>
  <si>
    <t>SCHAROUN JACQUES HANS MD</t>
  </si>
  <si>
    <t>SCHAROUN JACQUES DR.</t>
  </si>
  <si>
    <t>Scully Vanessa</t>
  </si>
  <si>
    <t>SCULLY VANESSA MRS.</t>
  </si>
  <si>
    <t>7822 DAVENPORT ST</t>
  </si>
  <si>
    <t>Selzer Angela</t>
  </si>
  <si>
    <t>E0388004</t>
  </si>
  <si>
    <t>SELZER ANGELA</t>
  </si>
  <si>
    <t>SELZER ANGELA ROBERTS</t>
  </si>
  <si>
    <t>FRIEDMAN, ALEXANDER M</t>
  </si>
  <si>
    <t>E0338588</t>
  </si>
  <si>
    <t>FRIEDMAN ALEXANDER MICHAEL</t>
  </si>
  <si>
    <t>FRIEDMAN ALEXANDER</t>
  </si>
  <si>
    <t>ADELMAN, RONALD D</t>
  </si>
  <si>
    <t>E0238205</t>
  </si>
  <si>
    <t>ADELMAN RONALD DANIEL      MD</t>
  </si>
  <si>
    <t>ADELMAN RONALD</t>
  </si>
  <si>
    <t>ADELMAN RONALD DANIEL MD</t>
  </si>
  <si>
    <t>Cesar Leon, PhD</t>
  </si>
  <si>
    <t>E0359395</t>
  </si>
  <si>
    <t>LEON CESAR A</t>
  </si>
  <si>
    <t>(212) 942-8520</t>
  </si>
  <si>
    <t>LEON CESAR DR.</t>
  </si>
  <si>
    <t>Alexandra Martins, MD</t>
  </si>
  <si>
    <t>E0316861</t>
  </si>
  <si>
    <t>MARTINS ALEXANDRA</t>
  </si>
  <si>
    <t>(212) 942-8521</t>
  </si>
  <si>
    <t>513 W 166TH ST</t>
  </si>
  <si>
    <t>ABRAMS, STACY</t>
  </si>
  <si>
    <t>E0035686</t>
  </si>
  <si>
    <t>ABRAMS STACY BETH</t>
  </si>
  <si>
    <t>ABRAMS STACY</t>
  </si>
  <si>
    <t>Jaiswal, Arti</t>
  </si>
  <si>
    <t>LIU, CHRISTOPHER F</t>
  </si>
  <si>
    <t>E0005946</t>
  </si>
  <si>
    <t>CHRISTOPHER LIU MD</t>
  </si>
  <si>
    <t>LIU CHRISTOPHER</t>
  </si>
  <si>
    <t>LIU CHRISTOPHER FEI-YONG MD</t>
  </si>
  <si>
    <t>van Oppen Dorothy</t>
  </si>
  <si>
    <t>VAN OPPEN DOROTHY</t>
  </si>
  <si>
    <t>Vilnits Yefim</t>
  </si>
  <si>
    <t>VILNITS YEFIM</t>
  </si>
  <si>
    <t>Aslam Hina</t>
  </si>
  <si>
    <t>ASLAM HINA</t>
  </si>
  <si>
    <t>Tokita Hanae</t>
  </si>
  <si>
    <t>E0324031</t>
  </si>
  <si>
    <t>TOKITA HANAE K</t>
  </si>
  <si>
    <t>TOKITA HANAE DR.</t>
  </si>
  <si>
    <t>TOKITA HANAE KRISTINA</t>
  </si>
  <si>
    <t>Shafiq-Hoda Rana</t>
  </si>
  <si>
    <t>E0021844</t>
  </si>
  <si>
    <t>SHAFIG-HODA RANA MD</t>
  </si>
  <si>
    <t>SHAFIQ-HODA RANA</t>
  </si>
  <si>
    <t>Yang Grace</t>
  </si>
  <si>
    <t>E0020634</t>
  </si>
  <si>
    <t>YANG GRACE</t>
  </si>
  <si>
    <t>525 PARK AVE</t>
  </si>
  <si>
    <t>Hernandez Demitria</t>
  </si>
  <si>
    <t>E0327888</t>
  </si>
  <si>
    <t>HERNANDEZ DEMITRIA</t>
  </si>
  <si>
    <t>HERNANDEZ DEMITRIA DR.</t>
  </si>
  <si>
    <t>Michael Satlin</t>
  </si>
  <si>
    <t>(212) 752-4978</t>
  </si>
  <si>
    <t>Edward H.Shalhoub</t>
  </si>
  <si>
    <t>(212) 752-4979</t>
  </si>
  <si>
    <t>Michael J. Vassallo</t>
  </si>
  <si>
    <t>(212) 752-4980</t>
  </si>
  <si>
    <t>Michael C. Parrinello</t>
  </si>
  <si>
    <t>(212) 752-4981</t>
  </si>
  <si>
    <t>Mallon Kelly</t>
  </si>
  <si>
    <t>MALLON KELLY</t>
  </si>
  <si>
    <t>Markovic Milica</t>
  </si>
  <si>
    <t>E0352607</t>
  </si>
  <si>
    <t>MARKOVIC MILICA</t>
  </si>
  <si>
    <t>JULIE MYERS</t>
  </si>
  <si>
    <t>E0325548</t>
  </si>
  <si>
    <t>MYERS JULIE ELANA</t>
  </si>
  <si>
    <t>MYERS JULIE</t>
  </si>
  <si>
    <t>E0309246</t>
  </si>
  <si>
    <t>SARA SIRIS NASH</t>
  </si>
  <si>
    <t>NASH SARA DR.</t>
  </si>
  <si>
    <t>NASH SARA SIRIS</t>
  </si>
  <si>
    <t>BENJAMIN PATTERSON</t>
  </si>
  <si>
    <t>PATTERSON BENJAMIN DR.</t>
  </si>
  <si>
    <t>HONG VAN TIEU</t>
  </si>
  <si>
    <t>E0007399</t>
  </si>
  <si>
    <t>TIEU HONG VAN NHU</t>
  </si>
  <si>
    <t>TIEU HONG VAN DR.</t>
  </si>
  <si>
    <t>TIEU HONG VAN NHU MD</t>
  </si>
  <si>
    <t>MARCIA WONG</t>
  </si>
  <si>
    <t xml:space="preserve">SINHA, NAINA </t>
  </si>
  <si>
    <t>E0036467</t>
  </si>
  <si>
    <t>SINHA NAINA MD</t>
  </si>
  <si>
    <t>SINHA NAINA</t>
  </si>
  <si>
    <t>SINHA GREGORY NAINA</t>
  </si>
  <si>
    <t>211 E 80TH STREET</t>
  </si>
  <si>
    <t>GROSSMAN, MARC E</t>
  </si>
  <si>
    <t>E0263873</t>
  </si>
  <si>
    <t>GROSSMAN MARC E            MD</t>
  </si>
  <si>
    <t>GROSSMAN MARC</t>
  </si>
  <si>
    <t>BATHON, JOAN M</t>
  </si>
  <si>
    <t>BINGHAM CLIFTON</t>
  </si>
  <si>
    <t>4940 EASTERN AVE</t>
  </si>
  <si>
    <t xml:space="preserve">PACK, ALLISON </t>
  </si>
  <si>
    <t>E0089886</t>
  </si>
  <si>
    <t>PACK ALISON MARY MD</t>
  </si>
  <si>
    <t>PACK ALISON DR.</t>
  </si>
  <si>
    <t>COLMB PRESB NEURO</t>
  </si>
  <si>
    <t>Village Center for Care AIDS Adult Day Health Center</t>
  </si>
  <si>
    <t>BINDER, RALPH E</t>
  </si>
  <si>
    <t>E0220069</t>
  </si>
  <si>
    <t>BINDER RALPH EDWARD        MD</t>
  </si>
  <si>
    <t>BINDER RALPH DR.</t>
  </si>
  <si>
    <t>329 WHITE PLAINS ROAD</t>
  </si>
  <si>
    <t>Anna Coward, MA</t>
  </si>
  <si>
    <t>(212) 942-8538</t>
  </si>
  <si>
    <t>RABINOWITZ, ASHER D</t>
  </si>
  <si>
    <t>E0114770</t>
  </si>
  <si>
    <t>RABINOWITZ ASHER</t>
  </si>
  <si>
    <t>(212) 543-4445</t>
  </si>
  <si>
    <t>ROMAN, MARY J</t>
  </si>
  <si>
    <t>E0208300</t>
  </si>
  <si>
    <t>ROMAN MARY J               MD</t>
  </si>
  <si>
    <t>ROMAN MARY</t>
  </si>
  <si>
    <t>CARDIOLOGY ASC</t>
  </si>
  <si>
    <t>LUBANSKY, STASI A</t>
  </si>
  <si>
    <t>E0029597</t>
  </si>
  <si>
    <t>LUBANSKY STASI NP</t>
  </si>
  <si>
    <t>LUBANSKY STASI DR.</t>
  </si>
  <si>
    <t>LUBANSKY STASI A</t>
  </si>
  <si>
    <t>THOMAS, BINDHU K</t>
  </si>
  <si>
    <t>SALAMON, NAN R</t>
  </si>
  <si>
    <t>E0211791</t>
  </si>
  <si>
    <t>SALAMON NAN ROSE           MD</t>
  </si>
  <si>
    <t>SALAMON NAN MS.</t>
  </si>
  <si>
    <t>COLUMBIA-PRESBYT MC</t>
  </si>
  <si>
    <t>Wagner Meredith</t>
  </si>
  <si>
    <t>E0348880</t>
  </si>
  <si>
    <t>WAGNER MEREDITH ANN</t>
  </si>
  <si>
    <t>WAGNER MEREDITH</t>
  </si>
  <si>
    <t>Bakar Melissa</t>
  </si>
  <si>
    <t>E0286956</t>
  </si>
  <si>
    <t>BAKAR MELISSA M MD</t>
  </si>
  <si>
    <t>BAKAR MELISSA</t>
  </si>
  <si>
    <t>Inglese Mario</t>
  </si>
  <si>
    <t>INGLESE MARIO</t>
  </si>
  <si>
    <t>Kushnerik Vadim</t>
  </si>
  <si>
    <t>E0086786</t>
  </si>
  <si>
    <t>KUSHNERIK VADIM MD</t>
  </si>
  <si>
    <t>KUSHNERIK VADIM</t>
  </si>
  <si>
    <t>NYU DOWNTOWN ANESTH</t>
  </si>
  <si>
    <t>Kwon Ryan</t>
  </si>
  <si>
    <t>E0007270</t>
  </si>
  <si>
    <t>KWON RYAN H DO</t>
  </si>
  <si>
    <t>KWON RYAN DR.</t>
  </si>
  <si>
    <t>Levy Tal</t>
  </si>
  <si>
    <t>E0373090</t>
  </si>
  <si>
    <t>LEVY TAL S M</t>
  </si>
  <si>
    <t>LEVY TAL DR.</t>
  </si>
  <si>
    <t>NEW YORK CENTER FOR CHILD DEVELOPMENT</t>
  </si>
  <si>
    <t>328 E 62ND ST</t>
  </si>
  <si>
    <t>Pfeiffer Thomas</t>
  </si>
  <si>
    <t>PFEIFFER THOMAS DR.</t>
  </si>
  <si>
    <t>1 BETHLEHEM PLZ, SUITE 506</t>
  </si>
  <si>
    <t>Prin Meghan</t>
  </si>
  <si>
    <t>PRIN MEGHAN</t>
  </si>
  <si>
    <t>622 W 168TH ST, DEPT ANESTHESIOLOGY PH-5, STERN RM 133</t>
  </si>
  <si>
    <t>E0405289</t>
  </si>
  <si>
    <t>475 ATLANTIC AVE</t>
  </si>
  <si>
    <t>Fort George Community Enrichment Center</t>
  </si>
  <si>
    <t>Hampton, Elisa Padilla</t>
  </si>
  <si>
    <t>(212) 752-5018</t>
  </si>
  <si>
    <t>(212) 752-5019</t>
  </si>
  <si>
    <t>Coffey Kristen</t>
  </si>
  <si>
    <t>COFFEY KRISTEN</t>
  </si>
  <si>
    <t>353 E 17TH ST, 2ND FLOOR RM 223</t>
  </si>
  <si>
    <t>Dashevsky Brittany</t>
  </si>
  <si>
    <t>DASHEVSKY BRITTANY</t>
  </si>
  <si>
    <t>5841 S MARYLAND AVE, MC2026</t>
  </si>
  <si>
    <t>27 AUDUBON PHARMACY CORP.</t>
  </si>
  <si>
    <t>Judith Sanders</t>
  </si>
  <si>
    <t>E0339407</t>
  </si>
  <si>
    <t>SANDERS JUDITH LYNN</t>
  </si>
  <si>
    <t>SANDERS JUDITH MISS</t>
  </si>
  <si>
    <t>Lana Blidnaya</t>
  </si>
  <si>
    <t>Alabre Frantzces</t>
  </si>
  <si>
    <t>E0077162</t>
  </si>
  <si>
    <t>ALABRE FRANTZCES MARIE</t>
  </si>
  <si>
    <t>ALABRE FRANTZCES MRS.</t>
  </si>
  <si>
    <t>Lahm Daniel</t>
  </si>
  <si>
    <t>E0144624</t>
  </si>
  <si>
    <t>LAHM DANIEL M III MD</t>
  </si>
  <si>
    <t>LAHM DANIEL DR.</t>
  </si>
  <si>
    <t>Mazzeo Maria</t>
  </si>
  <si>
    <t>E0321167</t>
  </si>
  <si>
    <t>MAZZEO MARIA</t>
  </si>
  <si>
    <t>MAZZEO MARIA DR.</t>
  </si>
  <si>
    <t>Scheidler Giovanna</t>
  </si>
  <si>
    <t>SCHEIDLER GIOVANNA MRS.</t>
  </si>
  <si>
    <t>Shankar Samantha</t>
  </si>
  <si>
    <t>E0390320</t>
  </si>
  <si>
    <t>SHANKAR SAMANTHA G</t>
  </si>
  <si>
    <t>SHANKAR SAMANTHA</t>
  </si>
  <si>
    <t>Batt Dorian</t>
  </si>
  <si>
    <t>BATT DORIAN</t>
  </si>
  <si>
    <t>Chang Connie</t>
  </si>
  <si>
    <t>CHANG CONNIE</t>
  </si>
  <si>
    <t>22 HEREFORD DR</t>
  </si>
  <si>
    <t>PRINCETON JCT</t>
  </si>
  <si>
    <t>Chaponis Stephen</t>
  </si>
  <si>
    <t>CHAPONIS STEPHEN</t>
  </si>
  <si>
    <t>Haralabakis Nicholas</t>
  </si>
  <si>
    <t>E0435136</t>
  </si>
  <si>
    <t>HARALABAKIS NICHOLAS ANTHONY</t>
  </si>
  <si>
    <t>HARALABAKIS NICHOLAS DR.</t>
  </si>
  <si>
    <t>Hoffman Zachary</t>
  </si>
  <si>
    <t>HOFFMAN ZACHARY</t>
  </si>
  <si>
    <t>525 E 68TH ST # 124, ROOM M-312 (ANESTHESIOLOGY)</t>
  </si>
  <si>
    <t>CARSON, KATHERINE L</t>
  </si>
  <si>
    <t>E0359209</t>
  </si>
  <si>
    <t>CARSON KATHERINE</t>
  </si>
  <si>
    <t>STRAUS KATHERINE</t>
  </si>
  <si>
    <t>CARSON KATHERINE LECKER</t>
  </si>
  <si>
    <t>Fountain House, Inc</t>
  </si>
  <si>
    <t>Kaplan, Rachel B.</t>
  </si>
  <si>
    <t>E0344964</t>
  </si>
  <si>
    <t>KAPLAN RACHEL BETH</t>
  </si>
  <si>
    <t>KAPLAN RACHEL MISS</t>
  </si>
  <si>
    <t xml:space="preserve">ROBENZADEH - AZAR, ANGELA </t>
  </si>
  <si>
    <t>E0043318</t>
  </si>
  <si>
    <t>ROBENZADEH AZAR ANGELA MD</t>
  </si>
  <si>
    <t>AZAR ANGELA MRS.</t>
  </si>
  <si>
    <t>HALL, ELIZABETH K</t>
  </si>
  <si>
    <t>E0304753</t>
  </si>
  <si>
    <t>HALL ELIZABETH K</t>
  </si>
  <si>
    <t>HALL ELIZABETH MS.</t>
  </si>
  <si>
    <t>Sarkar Debkumar</t>
  </si>
  <si>
    <t>E0435222</t>
  </si>
  <si>
    <t>SARKAR DEBKUMAR</t>
  </si>
  <si>
    <t>SARKAR DEBKUMAR DR.</t>
  </si>
  <si>
    <t>Pillai, Sophia M.</t>
  </si>
  <si>
    <t xml:space="preserve">SHERMAN, DAVID </t>
  </si>
  <si>
    <t>E0149319</t>
  </si>
  <si>
    <t>SHERMAN DAVID MD</t>
  </si>
  <si>
    <t>SHERMAN DAVID</t>
  </si>
  <si>
    <t>RONALD GORALEWICZ</t>
  </si>
  <si>
    <t>E0308193</t>
  </si>
  <si>
    <t>GORALEWICZ RONALD</t>
  </si>
  <si>
    <t>GORALEWICZ RONALD MR.</t>
  </si>
  <si>
    <t>SARAH GREENBERG</t>
  </si>
  <si>
    <t>E0397917</t>
  </si>
  <si>
    <t>GREENBERG SARA</t>
  </si>
  <si>
    <t>HOWARD GROTH</t>
  </si>
  <si>
    <t>Hershey Michael</t>
  </si>
  <si>
    <t>HERSHEY MICHAEL DR.</t>
  </si>
  <si>
    <t>Storer Kingsley</t>
  </si>
  <si>
    <t>E0332832</t>
  </si>
  <si>
    <t>STORER KINGSLEY</t>
  </si>
  <si>
    <t>STORER KINGSLEY DR.</t>
  </si>
  <si>
    <t>STORER KINGSLEY MD</t>
  </si>
  <si>
    <t>(212) 752-4999</t>
  </si>
  <si>
    <t>GELLER, JEFFERY A</t>
  </si>
  <si>
    <t>E0029549</t>
  </si>
  <si>
    <t>GELLER JEFFREY MD</t>
  </si>
  <si>
    <t>GELLER JEFFREY DR.</t>
  </si>
  <si>
    <t>FRIEDMAN, JOEL M</t>
  </si>
  <si>
    <t>E0270996</t>
  </si>
  <si>
    <t>FRIEDMAN JOEL M</t>
  </si>
  <si>
    <t>FRIEDMAN JOEL</t>
  </si>
  <si>
    <t>3333 HENRY HUDSON PKWY STE 9</t>
  </si>
  <si>
    <t>Dominican Women's Development Center</t>
  </si>
  <si>
    <t>Rosita Romero</t>
  </si>
  <si>
    <t>rromero@dwdc.org</t>
  </si>
  <si>
    <t>Northern Manhattan Improvement Corporation</t>
  </si>
  <si>
    <t>Maria Lizardo</t>
  </si>
  <si>
    <t>marializardo@mmic.org</t>
  </si>
  <si>
    <t>Winokur Ronald</t>
  </si>
  <si>
    <t>E0348037</t>
  </si>
  <si>
    <t>WINOKUR RONALD SCOTT</t>
  </si>
  <si>
    <t>WINOKUR RONALD</t>
  </si>
  <si>
    <t>Cheta Ghansham</t>
  </si>
  <si>
    <t>E0047061</t>
  </si>
  <si>
    <t>CHETA GHANSHAM RPA</t>
  </si>
  <si>
    <t>CHETA GHANSHAM MR.</t>
  </si>
  <si>
    <t>CHETA GHANSHAM  RPA</t>
  </si>
  <si>
    <t>(212) 752-4993</t>
  </si>
  <si>
    <t>HAROLD FLAMER</t>
  </si>
  <si>
    <t>(212) 752-4994</t>
  </si>
  <si>
    <t>(212) 752-4995</t>
  </si>
  <si>
    <t>(212) 752-4996</t>
  </si>
  <si>
    <t>Chien, Kimberley Ann</t>
  </si>
  <si>
    <t>E0337438</t>
  </si>
  <si>
    <t>CHIEN KIMBERLEY ANN</t>
  </si>
  <si>
    <t>CHIEN KIMBERLEY DR.</t>
  </si>
  <si>
    <t>ST Marys Community Care Professionals Corp</t>
  </si>
  <si>
    <t>Ingrid Floyd</t>
  </si>
  <si>
    <t>(646) 548-0100</t>
  </si>
  <si>
    <t>ifloyd@irishouse.org</t>
  </si>
  <si>
    <t>HLIBCZUK, VERONICA M</t>
  </si>
  <si>
    <t>E0090371</t>
  </si>
  <si>
    <t>HLIBCZUK VERONICA MARIA MD</t>
  </si>
  <si>
    <t>HLIBCZUK VERONICA</t>
  </si>
  <si>
    <t>TEBBS, MELISSA T</t>
  </si>
  <si>
    <t>E0286308</t>
  </si>
  <si>
    <t>TEBBS MELISSA</t>
  </si>
  <si>
    <t>BITALVO MELISSA</t>
  </si>
  <si>
    <t>WILLIAMS, LAURENCE L</t>
  </si>
  <si>
    <t>MORALES, SUSANA R</t>
  </si>
  <si>
    <t>E0185431</t>
  </si>
  <si>
    <t>MORALES SUSAN RITA MD</t>
  </si>
  <si>
    <t>MORALES SUSAN</t>
  </si>
  <si>
    <t>EBNER, SUSANA A</t>
  </si>
  <si>
    <t>E0136576</t>
  </si>
  <si>
    <t>EBNER SUSANA</t>
  </si>
  <si>
    <t>EBNER SUSANA DR.</t>
  </si>
  <si>
    <t>MALHOTRA, SAMEER</t>
  </si>
  <si>
    <t>E0375734</t>
  </si>
  <si>
    <t>MALHOTRA SAMEER</t>
  </si>
  <si>
    <t>(212) 305-1291</t>
  </si>
  <si>
    <t>MALHOTRA SAMEER DR.</t>
  </si>
  <si>
    <t>MANGAT, HALINDER</t>
  </si>
  <si>
    <t>E0310712</t>
  </si>
  <si>
    <t>MANGAT HALINDER SINGH</t>
  </si>
  <si>
    <t>(212) 305-1292</t>
  </si>
  <si>
    <t>MANGAT HALINDER DR.</t>
  </si>
  <si>
    <t>525 E 68TH ST RM F610</t>
  </si>
  <si>
    <t>INWOOD COMMUNITY SERVICES, INC.</t>
  </si>
  <si>
    <t>E0193827</t>
  </si>
  <si>
    <t>INWOOD COMMUNITY SERVICES</t>
  </si>
  <si>
    <t>GET CENTERED CL</t>
  </si>
  <si>
    <t>DESCHAMPS, ANA L</t>
  </si>
  <si>
    <t>E0317192</t>
  </si>
  <si>
    <t>DESCHAMPS ANA</t>
  </si>
  <si>
    <t>BLUME, RALPH S</t>
  </si>
  <si>
    <t>E0200693</t>
  </si>
  <si>
    <t>BLUME RALPH S              MD</t>
  </si>
  <si>
    <t>BLUME RALPH DR.</t>
  </si>
  <si>
    <t>Mason Andrea</t>
  </si>
  <si>
    <t>GUIDA ANDREA</t>
  </si>
  <si>
    <t>3300 GALLOWS RD, INOVA FAIRFAX HOSPITAL</t>
  </si>
  <si>
    <t>Hsu Yen-Michael</t>
  </si>
  <si>
    <t>HSU YEN-MICHAEL DR.</t>
  </si>
  <si>
    <t>660 S EUCLID AVE, BOX 8118</t>
  </si>
  <si>
    <t>Inghirami Giorgio</t>
  </si>
  <si>
    <t>(212) 305-1241</t>
  </si>
  <si>
    <t>1300 YORK AVE - ROOM C-302, WEILL CORNELL MEDICAL COLLEGE</t>
  </si>
  <si>
    <t>Jessurun Jose</t>
  </si>
  <si>
    <t>E0338848</t>
  </si>
  <si>
    <t>JESSURUN-SOLOMOU JOSE</t>
  </si>
  <si>
    <t>Liu Yen-Chun</t>
  </si>
  <si>
    <t>E0349048</t>
  </si>
  <si>
    <t>LIU YEN-CHUN</t>
  </si>
  <si>
    <t>(212) 305-1243</t>
  </si>
  <si>
    <t>LIU YEN-CHUN DR.</t>
  </si>
  <si>
    <t>Mitsios John</t>
  </si>
  <si>
    <t>(212) 305-1244</t>
  </si>
  <si>
    <t>MITSIOS JOHN DR.</t>
  </si>
  <si>
    <t>COLE, CURTIS L</t>
  </si>
  <si>
    <t>E0123181</t>
  </si>
  <si>
    <t>COLE CURTIS L MD</t>
  </si>
  <si>
    <t>COLE CURTIS</t>
  </si>
  <si>
    <t>KUO, JENNIFER H</t>
  </si>
  <si>
    <t>E0346502</t>
  </si>
  <si>
    <t>KUO JENNIFER HONG</t>
  </si>
  <si>
    <t>KUO JENNIFER</t>
  </si>
  <si>
    <t>JOSEPH, DIONNE J</t>
  </si>
  <si>
    <t>E0316004</t>
  </si>
  <si>
    <t>JOSEPH DIONNE J</t>
  </si>
  <si>
    <t>JOSEPH DIONNE MS.</t>
  </si>
  <si>
    <t>YOON, CECILIA J</t>
  </si>
  <si>
    <t>E0107580</t>
  </si>
  <si>
    <t>YOON CECILIA J MD</t>
  </si>
  <si>
    <t>YOON CECILIA DR.</t>
  </si>
  <si>
    <t>YOON CECILIA J</t>
  </si>
  <si>
    <t>BRENNER, KEITH R</t>
  </si>
  <si>
    <t>E0006692</t>
  </si>
  <si>
    <t>BRENNER KEITH RODNEY MD</t>
  </si>
  <si>
    <t>BRENNER KEITH DR.</t>
  </si>
  <si>
    <t>Davis, Jessica G</t>
  </si>
  <si>
    <t>E0185916</t>
  </si>
  <si>
    <t>DAVIS JESSICA MD</t>
  </si>
  <si>
    <t>DAVIS JESSICA</t>
  </si>
  <si>
    <t>RM HT-150</t>
  </si>
  <si>
    <t>COLUMBIA PRESBYTERIAN EASTSIDE RADIOLOGY</t>
  </si>
  <si>
    <t>E0081461</t>
  </si>
  <si>
    <t>51 WEST 51 STREET</t>
  </si>
  <si>
    <t>Winant Abbey</t>
  </si>
  <si>
    <t>WINANT ABBEY DR.</t>
  </si>
  <si>
    <t>300 LONGWOOD AVE, BOSTON CHILDRENS HOSPITAL DEPARTMENT OF RADIOLOGY</t>
  </si>
  <si>
    <t>Ahmad Noor</t>
  </si>
  <si>
    <t>E0410513</t>
  </si>
  <si>
    <t>AHMAD NOOR</t>
  </si>
  <si>
    <t>Drozhinin Leonid</t>
  </si>
  <si>
    <t>DROZHININ LEONID</t>
  </si>
  <si>
    <t>3700 WASHINGTON AVE</t>
  </si>
  <si>
    <t>EVANSVILLE</t>
  </si>
  <si>
    <t xml:space="preserve">RODRIGUEZ-RUIZ, ANDRES </t>
  </si>
  <si>
    <t>E0362199</t>
  </si>
  <si>
    <t>RODRIGUEZ-RUIZ ANDRES A</t>
  </si>
  <si>
    <t>RODRIGUEZ-RUIZ ANDRES DR.</t>
  </si>
  <si>
    <t xml:space="preserve">Constance A. Young </t>
  </si>
  <si>
    <t>Dean Kathryn</t>
  </si>
  <si>
    <t>DEAN KATHRYN DR.</t>
  </si>
  <si>
    <t>Drexler Ian</t>
  </si>
  <si>
    <t>DREXLER IAN</t>
  </si>
  <si>
    <t>Escalon Joanna</t>
  </si>
  <si>
    <t>ESCALON JOANNA</t>
  </si>
  <si>
    <t>Tang Chin</t>
  </si>
  <si>
    <t>E0041443</t>
  </si>
  <si>
    <t>TANG CHIN MD</t>
  </si>
  <si>
    <t>TANG CHIN DR.</t>
  </si>
  <si>
    <t>Tang Stephanie</t>
  </si>
  <si>
    <t>E0363245</t>
  </si>
  <si>
    <t>TANG STEPHANIE</t>
  </si>
  <si>
    <t>TANG STEPHANIE J</t>
  </si>
  <si>
    <t>Laifer-Narin Sherelle</t>
  </si>
  <si>
    <t>E0029148</t>
  </si>
  <si>
    <t>LAIFER-NARIN SHERELLE L MD</t>
  </si>
  <si>
    <t>LAIFER-NARIN SHERELLE</t>
  </si>
  <si>
    <t>Newhouse Jeffrey</t>
  </si>
  <si>
    <t>E0224687</t>
  </si>
  <si>
    <t>NEWHOUSE JEFFREY H         MD</t>
  </si>
  <si>
    <t>NEWHOUSE JEFFREY</t>
  </si>
  <si>
    <t>Prince Martin</t>
  </si>
  <si>
    <t>E0107479</t>
  </si>
  <si>
    <t>PRINCE MARTIN R MD</t>
  </si>
  <si>
    <t>PRINCE MARTIN</t>
  </si>
  <si>
    <t>Gaudet John</t>
  </si>
  <si>
    <t>E0348579</t>
  </si>
  <si>
    <t>VAN DRIEST JOHN GAVDET</t>
  </si>
  <si>
    <t>GAUDET JOHN</t>
  </si>
  <si>
    <t>GAUDET JOHN G</t>
  </si>
  <si>
    <t>Clapcich Anthony</t>
  </si>
  <si>
    <t>E0097737</t>
  </si>
  <si>
    <t>CLAPCICH ANTHONY JOSEPH MD</t>
  </si>
  <si>
    <t>CLAPCICH ANTHONY DR.</t>
  </si>
  <si>
    <t>N Y PRESB HSP</t>
  </si>
  <si>
    <t>Behr Gerald</t>
  </si>
  <si>
    <t>E0307065</t>
  </si>
  <si>
    <t>BEHR GERALD GIDEON</t>
  </si>
  <si>
    <t>BEHR GERALD</t>
  </si>
  <si>
    <t>Chen Susie</t>
  </si>
  <si>
    <t>E0020208</t>
  </si>
  <si>
    <t>CHEN SUSIE MD</t>
  </si>
  <si>
    <t>CHEN SUSIE</t>
  </si>
  <si>
    <t>Mango Victoria</t>
  </si>
  <si>
    <t>E0335687</t>
  </si>
  <si>
    <t>MANGO VICTORIA</t>
  </si>
  <si>
    <t>MANGO VICTORIA DR.</t>
  </si>
  <si>
    <t>Nguyen Dustin</t>
  </si>
  <si>
    <t>E0377827</t>
  </si>
  <si>
    <t>NGUYEN DUSTIN DUY</t>
  </si>
  <si>
    <t>NGUYEN DUSTIN</t>
  </si>
  <si>
    <t>Fong Jill</t>
  </si>
  <si>
    <t>E0192400</t>
  </si>
  <si>
    <t>FONG JILL MD</t>
  </si>
  <si>
    <t>FONG JILL DR.</t>
  </si>
  <si>
    <t>DEPT OF ANESTH</t>
  </si>
  <si>
    <t>Choi James</t>
  </si>
  <si>
    <t>CHOI JAMES</t>
  </si>
  <si>
    <t>Powell Daniel</t>
  </si>
  <si>
    <t>POWELL DANIEL</t>
  </si>
  <si>
    <t>7945 WOLF RIVER BLVD</t>
  </si>
  <si>
    <t>Vitale Michael</t>
  </si>
  <si>
    <t>Gong, Mabel Pui Bow</t>
  </si>
  <si>
    <t>E0111330</t>
  </si>
  <si>
    <t>GONG MABEL PUI BOW MD</t>
  </si>
  <si>
    <t>GONG MABEL</t>
  </si>
  <si>
    <t>GONG MABEL PUI BOW</t>
  </si>
  <si>
    <t>Lee Brian</t>
  </si>
  <si>
    <t>LEE BRIAN</t>
  </si>
  <si>
    <t>E0451461</t>
  </si>
  <si>
    <t>LEE JENNIFER K</t>
  </si>
  <si>
    <t>Lee Susie</t>
  </si>
  <si>
    <t>Lo Jessie</t>
  </si>
  <si>
    <t>LO JESSIE</t>
  </si>
  <si>
    <t>Mobley David</t>
  </si>
  <si>
    <t>E0353246</t>
  </si>
  <si>
    <t>MOBLEY DAVID</t>
  </si>
  <si>
    <t>MOBLEY DAVID DR.</t>
  </si>
  <si>
    <t>Schlossberg Peter</t>
  </si>
  <si>
    <t>E0138990</t>
  </si>
  <si>
    <t>SCHLOSSBERG PETER MD</t>
  </si>
  <si>
    <t>SCHLOSSBERG PETER MR.</t>
  </si>
  <si>
    <t>Sheynzon Vladimir</t>
  </si>
  <si>
    <t>E0293576</t>
  </si>
  <si>
    <t>SHEYNZON VLADIMIR</t>
  </si>
  <si>
    <t>SHEYNZON VLADIMIR DR.</t>
  </si>
  <si>
    <t>Sperling David</t>
  </si>
  <si>
    <t>E0105074</t>
  </si>
  <si>
    <t>SPERLING DAVID C MD</t>
  </si>
  <si>
    <t>SPERLING DAVID DR.</t>
  </si>
  <si>
    <t>Benoit Evangeline</t>
  </si>
  <si>
    <t>BENOIT EVANGELINE MS.</t>
  </si>
  <si>
    <t>950 CAMPBELL AVE</t>
  </si>
  <si>
    <t>WEST HAVEN</t>
  </si>
  <si>
    <t>Bloch Marisa</t>
  </si>
  <si>
    <t>BLOCH MARISA</t>
  </si>
  <si>
    <t>Bauer Maria</t>
  </si>
  <si>
    <t>BAUER MARIA</t>
  </si>
  <si>
    <t>525 E 68TH ST # M312</t>
  </si>
  <si>
    <t>Bergene James</t>
  </si>
  <si>
    <t>BERGENE JAMES DR.</t>
  </si>
  <si>
    <t>DOMINGUEZ-RAFER, CARMEN M</t>
  </si>
  <si>
    <t>E0141760</t>
  </si>
  <si>
    <t>DOMINGUEZ-RAFER CARMEN M MD</t>
  </si>
  <si>
    <t>DOMINGUEZ-RAFER CARMEN DR.</t>
  </si>
  <si>
    <t>ELLMAN, TANYA M</t>
  </si>
  <si>
    <t>E0352633</t>
  </si>
  <si>
    <t>ELLMAN TANYA MICHAELE</t>
  </si>
  <si>
    <t>ELLMAN TANYA DR.</t>
  </si>
  <si>
    <t>Pastor Carmen</t>
  </si>
  <si>
    <t>PASTOR CARMEN MS.</t>
  </si>
  <si>
    <t>Charnoff-Katz Karin</t>
  </si>
  <si>
    <t>E0062259</t>
  </si>
  <si>
    <t>CHARNOFF KATZ KARIN SUE MD</t>
  </si>
  <si>
    <t>CHARNOFF-KATZ KARIN</t>
  </si>
  <si>
    <t>NYH CUMC RADIO GRP</t>
  </si>
  <si>
    <t>SCHNEIER, HOLLY A</t>
  </si>
  <si>
    <t>E0290415</t>
  </si>
  <si>
    <t>SCHNEIER HOLLY</t>
  </si>
  <si>
    <t>SCHNEIER HOLLY DR.</t>
  </si>
  <si>
    <t>635 WEST 165TH STREET</t>
  </si>
  <si>
    <t>PULLMAN, SETH L</t>
  </si>
  <si>
    <t>E0222124</t>
  </si>
  <si>
    <t>PULLMAN SETH               MD</t>
  </si>
  <si>
    <t>PULLMAN SETH DR.</t>
  </si>
  <si>
    <t>APT 407</t>
  </si>
  <si>
    <t>Solis-Serrano Esther</t>
  </si>
  <si>
    <t>SOLIS-SERRANO ESTHER</t>
  </si>
  <si>
    <t>Stevens Katie</t>
  </si>
  <si>
    <t>E0391466</t>
  </si>
  <si>
    <t>STEVENS KATIE LYNN</t>
  </si>
  <si>
    <t>STEVENS KATIE</t>
  </si>
  <si>
    <t>RICHARD HAWKINS</t>
  </si>
  <si>
    <t>CINDY HENG</t>
  </si>
  <si>
    <t>E0314104</t>
  </si>
  <si>
    <t>HENG CINDY</t>
  </si>
  <si>
    <t>JACQUELINE HIDALGO</t>
  </si>
  <si>
    <t>E0344386</t>
  </si>
  <si>
    <t>HIDALGO JACQUELINE</t>
  </si>
  <si>
    <t>NEW YORK-PRESBYTERIAN HOSPITAL</t>
  </si>
  <si>
    <t>WILLIAM JACOBS</t>
  </si>
  <si>
    <t>NEW PRESBYTERIAN HOSPITAL</t>
  </si>
  <si>
    <t>622 W 168TH ST # VC2-205</t>
  </si>
  <si>
    <t>TALIA KOLLENSCHER</t>
  </si>
  <si>
    <t>KOLLENSCHER TALIA</t>
  </si>
  <si>
    <t>MARCY KOPAKIN</t>
  </si>
  <si>
    <t>KOPAKIN MARCY MS.</t>
  </si>
  <si>
    <t>330 E 71ST ST, SUITE 1B</t>
  </si>
  <si>
    <t>MARY LEARY</t>
  </si>
  <si>
    <t>E0359265</t>
  </si>
  <si>
    <t>LEARY MARY</t>
  </si>
  <si>
    <t>LEARY MARY MS.</t>
  </si>
  <si>
    <t>JAQUELINE LEFKOWITZ</t>
  </si>
  <si>
    <t>E0291872</t>
  </si>
  <si>
    <t>LEFKOWITZ JACQUELINE MICHELE</t>
  </si>
  <si>
    <t>LEFKOWITZ JACQUELINE</t>
  </si>
  <si>
    <t>CASSIDIE LI</t>
  </si>
  <si>
    <t>E0359509</t>
  </si>
  <si>
    <t>LI CASSIDIE</t>
  </si>
  <si>
    <t>LI CASSIDIE MS.</t>
  </si>
  <si>
    <t>240 EAST 38TH ST</t>
  </si>
  <si>
    <t>MARISSA LICATA</t>
  </si>
  <si>
    <t>LICATA MARISSA</t>
  </si>
  <si>
    <t>177 FORT WASHINGTON AVE, VC- 4TH FLOOR AREA 1, ROOM H</t>
  </si>
  <si>
    <t>MEREDITH LISS</t>
  </si>
  <si>
    <t>LISS MEREDITH</t>
  </si>
  <si>
    <t>525 E 68TH ST, B24</t>
  </si>
  <si>
    <t>JOHNNY LOPEZ</t>
  </si>
  <si>
    <t>E0311899</t>
  </si>
  <si>
    <t>LOPEZ JOHNNY</t>
  </si>
  <si>
    <t>LOPEZ JOHNNY MR.</t>
  </si>
  <si>
    <t>ALEJANDRA MALAVE</t>
  </si>
  <si>
    <t>E0301466</t>
  </si>
  <si>
    <t>MALAVE ALEJANDRA</t>
  </si>
  <si>
    <t>715 WEST 179TH STREE</t>
  </si>
  <si>
    <t>BETH MALETZ</t>
  </si>
  <si>
    <t>E0326934</t>
  </si>
  <si>
    <t>MALETZ BETH JODI</t>
  </si>
  <si>
    <t>MALETZ BETH</t>
  </si>
  <si>
    <t>SUSAN MATORIN</t>
  </si>
  <si>
    <t>E0291881</t>
  </si>
  <si>
    <t>MATORIN SUSAN</t>
  </si>
  <si>
    <t>525 E 68TH STREET 11</t>
  </si>
  <si>
    <t>EILEEN MATOS</t>
  </si>
  <si>
    <t>E0291870</t>
  </si>
  <si>
    <t>MATOS EILEEN F</t>
  </si>
  <si>
    <t>MATOS EILEEN</t>
  </si>
  <si>
    <t>MICHELLE MCMANUS</t>
  </si>
  <si>
    <t>E0314089</t>
  </si>
  <si>
    <t>MCMANUS MICHELLE</t>
  </si>
  <si>
    <t>MCMANUS MICHELLE MS.</t>
  </si>
  <si>
    <t>MCMANUS MICHELLE L</t>
  </si>
  <si>
    <t>PATRICIA MCMASTER</t>
  </si>
  <si>
    <t>E0114483</t>
  </si>
  <si>
    <t>MCMASTER PATRICIA ALICE CNM</t>
  </si>
  <si>
    <t>MCMASTER PATRICIA</t>
  </si>
  <si>
    <t>575 W 191ST ST</t>
  </si>
  <si>
    <t>MARIA MERCURIO</t>
  </si>
  <si>
    <t>E0293017</t>
  </si>
  <si>
    <t>MERCURIO MARIA</t>
  </si>
  <si>
    <t>DEBRA OLSON-PLASTRIK</t>
  </si>
  <si>
    <t>E0343374</t>
  </si>
  <si>
    <t>OLSON-PLASTRIK DEBRA</t>
  </si>
  <si>
    <t>OLSON-PLASTRIK DEBRA MS.</t>
  </si>
  <si>
    <t>BAKER 525 EAST 68TH STREET F-23</t>
  </si>
  <si>
    <t>JOHN PAGE</t>
  </si>
  <si>
    <t>E0376371</t>
  </si>
  <si>
    <t>PAGE JOHN</t>
  </si>
  <si>
    <t>PAGE JOHN MR.</t>
  </si>
  <si>
    <t>STEVEN PALMER</t>
  </si>
  <si>
    <t>E0045061</t>
  </si>
  <si>
    <t>PALMER STEVEN J</t>
  </si>
  <si>
    <t>PALMER STEVEN MR.</t>
  </si>
  <si>
    <t>MARLENA PALOMBO</t>
  </si>
  <si>
    <t>MARLINDA PASCOE</t>
  </si>
  <si>
    <t>E0086404</t>
  </si>
  <si>
    <t>PASCOE MARILINDA CNM</t>
  </si>
  <si>
    <t>PASCOE MARILINDA MS.</t>
  </si>
  <si>
    <t>CHARLES RANGEL CLIN</t>
  </si>
  <si>
    <t>HARRIET PLASKOW</t>
  </si>
  <si>
    <t>E0291894</t>
  </si>
  <si>
    <t>PLASKOW HARRIET</t>
  </si>
  <si>
    <t>PLASKOW HARRIET MS.</t>
  </si>
  <si>
    <t>JEFFERY REYES</t>
  </si>
  <si>
    <t>REYES JEFFREY</t>
  </si>
  <si>
    <t>177 FORT WASHINGTON AVE, SUITE 8-004</t>
  </si>
  <si>
    <t>ANNETTE RICKEL</t>
  </si>
  <si>
    <t>E0137169</t>
  </si>
  <si>
    <t>NAYYAR RASHID MD</t>
  </si>
  <si>
    <t>RICKEL ANNETTE DR.</t>
  </si>
  <si>
    <t>JESUS ROBLES</t>
  </si>
  <si>
    <t>E0330474</t>
  </si>
  <si>
    <t>ROBLES JESUS</t>
  </si>
  <si>
    <t>ROBLES JESUS A.</t>
  </si>
  <si>
    <t>DINORAH RODRIGUEZ</t>
  </si>
  <si>
    <t>E0293024</t>
  </si>
  <si>
    <t>RODRIGUEZ DINORAH</t>
  </si>
  <si>
    <t>RODRIGUEZ DINORAH MS.</t>
  </si>
  <si>
    <t>RODRIGUEZ DINORAH M</t>
  </si>
  <si>
    <t>SARAH ROFFE</t>
  </si>
  <si>
    <t>LISA RONCO</t>
  </si>
  <si>
    <t>RONCO LISA</t>
  </si>
  <si>
    <t>622 W 168TH ST, HARKNESS PAVILLION 6 TH FLOOR</t>
  </si>
  <si>
    <t>GISELLE ROSADO</t>
  </si>
  <si>
    <t>E0294000</t>
  </si>
  <si>
    <t>ROSADO GISELLE</t>
  </si>
  <si>
    <t>ROSADO GISELLE J</t>
  </si>
  <si>
    <t>MARISSA ROSLYN</t>
  </si>
  <si>
    <t>E0284172</t>
  </si>
  <si>
    <t>ROSLYN MARISSA</t>
  </si>
  <si>
    <t>ROSLYN-CLARK MARISSA</t>
  </si>
  <si>
    <t>ROSLYN-CLARK MARISSA BETH</t>
  </si>
  <si>
    <t>ELIZABETH ROTH</t>
  </si>
  <si>
    <t>ROTH ELIZABETH</t>
  </si>
  <si>
    <t>STEPHANIE SACKS</t>
  </si>
  <si>
    <t>E0054731</t>
  </si>
  <si>
    <t>SACKS STEPHANIE</t>
  </si>
  <si>
    <t>SACKS STEPHANIE MS.</t>
  </si>
  <si>
    <t>SACKS STEPHANIE R.</t>
  </si>
  <si>
    <t>BAKER 525 EAST 68TH STREET F-24</t>
  </si>
  <si>
    <t>JASMIN SALCEDO</t>
  </si>
  <si>
    <t>E0301580</t>
  </si>
  <si>
    <t>SALCEDO JASMIN</t>
  </si>
  <si>
    <t>180 FORT WASHINGTON AVE FL 6</t>
  </si>
  <si>
    <t>LUIS SANTIAGO</t>
  </si>
  <si>
    <t>E0383608</t>
  </si>
  <si>
    <t>SANTIAGO LUIS</t>
  </si>
  <si>
    <t>BAKER 565 E 68TH ST</t>
  </si>
  <si>
    <t>GEORGIA SAVVA</t>
  </si>
  <si>
    <t>BURLISON GEORGIA</t>
  </si>
  <si>
    <t>JOY SCHROEDER</t>
  </si>
  <si>
    <t>E0314092</t>
  </si>
  <si>
    <t>SCHROEDER JOY</t>
  </si>
  <si>
    <t>SCHROEDER JOY L</t>
  </si>
  <si>
    <t>LORENZO SCOTTI</t>
  </si>
  <si>
    <t>LAUREN SERKES</t>
  </si>
  <si>
    <t>SERKES LAUREN</t>
  </si>
  <si>
    <t>ANNE SHACKELFORD</t>
  </si>
  <si>
    <t>E0317171</t>
  </si>
  <si>
    <t>SHACKELFORD ANNIE</t>
  </si>
  <si>
    <t>SHACKELFORD ANNIE MS.</t>
  </si>
  <si>
    <t>MARIA SOLOMON</t>
  </si>
  <si>
    <t>CAROL SPERO</t>
  </si>
  <si>
    <t>E0291868</t>
  </si>
  <si>
    <t>SPERO CAROL</t>
  </si>
  <si>
    <t>SPERO CAROL MS.</t>
  </si>
  <si>
    <t xml:space="preserve">YUN, ERIC </t>
  </si>
  <si>
    <t>E0323394</t>
  </si>
  <si>
    <t>YUN ERIC</t>
  </si>
  <si>
    <t>YUN ERIC DR.</t>
  </si>
  <si>
    <t>CREARY, JUDITH A</t>
  </si>
  <si>
    <t>E0291891</t>
  </si>
  <si>
    <t>CREARY JUDITH</t>
  </si>
  <si>
    <t>CREARY JUDITH MS.</t>
  </si>
  <si>
    <t>BERG, ROBERT W</t>
  </si>
  <si>
    <t>BERG ROBERT DR.</t>
  </si>
  <si>
    <t>901 LEXINGTON AVE</t>
  </si>
  <si>
    <t xml:space="preserve">URTASUN SOFIL, EVA </t>
  </si>
  <si>
    <t>E0291253</t>
  </si>
  <si>
    <t>URTASUN SOTIL EVA MD</t>
  </si>
  <si>
    <t>URTASUN SOTIL EVA DR.</t>
  </si>
  <si>
    <t>622 W 168TH ST PH 14-C RM 105</t>
  </si>
  <si>
    <t>SCHWARTZ, BRIAN D</t>
  </si>
  <si>
    <t>E0076483</t>
  </si>
  <si>
    <t>SCHWARTZ BRIAN D</t>
  </si>
  <si>
    <t>SCHWARTZ BRIAN DR.</t>
  </si>
  <si>
    <t>LEIB, MARTIN L</t>
  </si>
  <si>
    <t>E0262198</t>
  </si>
  <si>
    <t>LEIB MARTIN L              MD</t>
  </si>
  <si>
    <t>LEIB MARTIN</t>
  </si>
  <si>
    <t>LEIB MARTIN L</t>
  </si>
  <si>
    <t>THE E HARKNESS EYE</t>
  </si>
  <si>
    <t>CAREY, BRIDGET T</t>
  </si>
  <si>
    <t>E0293061</t>
  </si>
  <si>
    <t>CAREY BRIDGET</t>
  </si>
  <si>
    <t>CAREY BRIDGET T</t>
  </si>
  <si>
    <t>1305 YORK AVE 2FL RM</t>
  </si>
  <si>
    <t>EMPIRE STATE HOME CARE SERVICES (CHHA)</t>
  </si>
  <si>
    <t>Rotman Jessica</t>
  </si>
  <si>
    <t>ROTMAN JESSICA</t>
  </si>
  <si>
    <t>1400 PELHAM PKWY S, JACOBI MEDICAL CENTER</t>
  </si>
  <si>
    <t>Salama Gayle</t>
  </si>
  <si>
    <t>SALAMA GAYLE DR.</t>
  </si>
  <si>
    <t>GOLDSTEIN, AMY E</t>
  </si>
  <si>
    <t>E0118718</t>
  </si>
  <si>
    <t>GOLDSTEIN AMY E DO</t>
  </si>
  <si>
    <t>GOLDSTEIN AMY MRS.</t>
  </si>
  <si>
    <t>LASALA, ANITA P</t>
  </si>
  <si>
    <t>E0216469</t>
  </si>
  <si>
    <t>LASALA ANITA PARNES</t>
  </si>
  <si>
    <t>LASALA ANITA</t>
  </si>
  <si>
    <t>STUEBGEN, JOERG P</t>
  </si>
  <si>
    <t>E0140881</t>
  </si>
  <si>
    <t>STUEBGEN JOERG PATRICK MD</t>
  </si>
  <si>
    <t>STUEBGEN J. PATRICK</t>
  </si>
  <si>
    <t>525 E 68TH ST STE 607</t>
  </si>
  <si>
    <t>Lei Susan</t>
  </si>
  <si>
    <t>E0324658</t>
  </si>
  <si>
    <t>LEI SUSAN YI</t>
  </si>
  <si>
    <t>LEI SUSAN</t>
  </si>
  <si>
    <t>Levy Richard</t>
  </si>
  <si>
    <t>E0073087</t>
  </si>
  <si>
    <t>LEVY RICHARD JONATHAN MD</t>
  </si>
  <si>
    <t>LEVY RICHARD JONATHAN</t>
  </si>
  <si>
    <t>Lin Albert</t>
  </si>
  <si>
    <t>E0385686</t>
  </si>
  <si>
    <t>LIN ALBERT YEN</t>
  </si>
  <si>
    <t>LIN ALBERT</t>
  </si>
  <si>
    <t>Han Jung Hee</t>
  </si>
  <si>
    <t>E0028505</t>
  </si>
  <si>
    <t>HAN JUNG HEE JUNE MD</t>
  </si>
  <si>
    <t>HAN JUNG DR.</t>
  </si>
  <si>
    <t>Harper Shannon</t>
  </si>
  <si>
    <t>HARPER SHANNON MR.</t>
  </si>
  <si>
    <t>255 W 75TH ST, APT 3J</t>
  </si>
  <si>
    <t>Kaur Gunisha</t>
  </si>
  <si>
    <t>E0424310</t>
  </si>
  <si>
    <t>KAUR GUNISHA</t>
  </si>
  <si>
    <t>Keene Jillian</t>
  </si>
  <si>
    <t>DAVIS JILLIAN</t>
  </si>
  <si>
    <t>Kelly Robert</t>
  </si>
  <si>
    <t>E0208106</t>
  </si>
  <si>
    <t>KELLY ROBERT EDWARD        MD</t>
  </si>
  <si>
    <t>KELLY ROBERT DR.</t>
  </si>
  <si>
    <t>Winter Lee</t>
  </si>
  <si>
    <t>E0172128</t>
  </si>
  <si>
    <t>WINTER LEE HOWARD MD</t>
  </si>
  <si>
    <t>WINTER LEE</t>
  </si>
  <si>
    <t>WINTER LEE HOWARD</t>
  </si>
  <si>
    <t>Wong Winston</t>
  </si>
  <si>
    <t>E0326278</t>
  </si>
  <si>
    <t>WONG WINSTON S MD</t>
  </si>
  <si>
    <t>WONG WINSTON DR.</t>
  </si>
  <si>
    <t>Bhagat Govind</t>
  </si>
  <si>
    <t>E0013895</t>
  </si>
  <si>
    <t>BHAGAT GOVIND</t>
  </si>
  <si>
    <t>BHAGAT GOVIND DR.</t>
  </si>
  <si>
    <t>Zoya Treyster</t>
  </si>
  <si>
    <t>Judy Tung</t>
  </si>
  <si>
    <t>Holly Rainey Weiner</t>
  </si>
  <si>
    <t>Matthew Weissman</t>
  </si>
  <si>
    <t>SAWO, DOROTHY J</t>
  </si>
  <si>
    <t>E0058122</t>
  </si>
  <si>
    <t>SAWO DOROTHY JARTU</t>
  </si>
  <si>
    <t>SAWO DOROTHY MISS</t>
  </si>
  <si>
    <t>Veler, Haviva</t>
  </si>
  <si>
    <t>E0060779</t>
  </si>
  <si>
    <t>VELER HAVIVA MD</t>
  </si>
  <si>
    <t>VELER HAVIVA DR.</t>
  </si>
  <si>
    <t>VOGLER, MARY A</t>
  </si>
  <si>
    <t>E0115547</t>
  </si>
  <si>
    <t>VOGLER MARY A MD</t>
  </si>
  <si>
    <t>VOGLER MARY DR.</t>
  </si>
  <si>
    <t>CHONG, DAVID</t>
  </si>
  <si>
    <t>E0128786</t>
  </si>
  <si>
    <t>CHONG DAVID HAE KYO MD</t>
  </si>
  <si>
    <t>CHONG DAVID DR.</t>
  </si>
  <si>
    <t>Calvary Hospital (Hospice)</t>
  </si>
  <si>
    <t>(718) 518-2245</t>
  </si>
  <si>
    <t>BRAUNSTEIN, ROBERT A</t>
  </si>
  <si>
    <t>E0123198</t>
  </si>
  <si>
    <t>BRAUNSTEIN ROBERT A MD</t>
  </si>
  <si>
    <t>BRAUNSTEIN ROBERT</t>
  </si>
  <si>
    <t>33 Irving Place, 11th Floor</t>
  </si>
  <si>
    <t>accesschc</t>
  </si>
  <si>
    <t>PEAL FEAFEA MRS.</t>
  </si>
  <si>
    <t>E0396322</t>
  </si>
  <si>
    <t>PEAL FEAFEA MOORE</t>
  </si>
  <si>
    <t>KOBEISSI JAMAL DR.</t>
  </si>
  <si>
    <t>E0311285</t>
  </si>
  <si>
    <t>KOBEISSI JAMAL HASSAN</t>
  </si>
  <si>
    <t>DIANE ZISA</t>
  </si>
  <si>
    <t>ZISA DIANE</t>
  </si>
  <si>
    <t>SHARON ZHUO</t>
  </si>
  <si>
    <t>ZHUO SHARON</t>
  </si>
  <si>
    <t>622 W 168TH ST, #205</t>
  </si>
  <si>
    <t>ZHEN NI ZHOU</t>
  </si>
  <si>
    <t>ZHOU ZHEN NI</t>
  </si>
  <si>
    <t>525 E 68TH ST, DEPARTMENT OF OBSTETRICS AND GYNECOLOGY, BOX 122</t>
  </si>
  <si>
    <t>ANTHONY YUEN</t>
  </si>
  <si>
    <t>YUEN SHEUNG LAI DR.</t>
  </si>
  <si>
    <t>BAYSTATE MEDICAL CTR, 759 CHESTNUT STREET</t>
  </si>
  <si>
    <t>SAMUEL YAMSHON</t>
  </si>
  <si>
    <t>YAMSHON SAMUEL DR.</t>
  </si>
  <si>
    <t>ELIZABETH YAKABOSKI</t>
  </si>
  <si>
    <t>YAKABOSKI ELIZABETH</t>
  </si>
  <si>
    <t>EMILY WOODBURY</t>
  </si>
  <si>
    <t>WOODBURY EMILY</t>
  </si>
  <si>
    <t>525 E 68TH ST # 122, OB/GYN DEPARTMENT, RE: PATRISHA HARRIPERSAUD</t>
  </si>
  <si>
    <t>MARIE WILL</t>
  </si>
  <si>
    <t>WILL MARIE DR.</t>
  </si>
  <si>
    <t>JONATHAN WILEN</t>
  </si>
  <si>
    <t>WILEN JONATHAN DR.</t>
  </si>
  <si>
    <t>ADAM WIDMAN</t>
  </si>
  <si>
    <t>WIDMAN ADAM</t>
  </si>
  <si>
    <t>420 E 70TH ST APT 12M3</t>
  </si>
  <si>
    <t>TIMOTHY WEN</t>
  </si>
  <si>
    <t>WEN TIMOTHY DR.</t>
  </si>
  <si>
    <t>622 W 168TH ST, DEPARTMENT OF OBSTETRICS &amp; GYNECOLOGY</t>
  </si>
  <si>
    <t>CHRISTINA WELSH</t>
  </si>
  <si>
    <t>WELSH CHRISTINA</t>
  </si>
  <si>
    <t>CARA WEINSTEIN</t>
  </si>
  <si>
    <t>WEINSTEIN CARA DR.</t>
  </si>
  <si>
    <t>BRIAN WAYDA</t>
  </si>
  <si>
    <t>WAYDA BRIAN MR.</t>
  </si>
  <si>
    <t>44 TULIP LN</t>
  </si>
  <si>
    <t>NICOLINA WAWRIN</t>
  </si>
  <si>
    <t>WAWRIN NICOLINA</t>
  </si>
  <si>
    <t>SALLY VITEZ</t>
  </si>
  <si>
    <t>VITEZ SALLY DR.</t>
  </si>
  <si>
    <t>NEHA VIJAYVARGIYA</t>
  </si>
  <si>
    <t>VIJAYVARGIYA NEHA DR.</t>
  </si>
  <si>
    <t>SAMUEL VIDAL</t>
  </si>
  <si>
    <t>VIDAL SAMUEL</t>
  </si>
  <si>
    <t>ERIC VENKER</t>
  </si>
  <si>
    <t>VENKER ERIC DR.</t>
  </si>
  <si>
    <t>ANGELICA VASQUEZ</t>
  </si>
  <si>
    <t>VASQUEZ ANGELICA</t>
  </si>
  <si>
    <t>MAYA VANKINENI</t>
  </si>
  <si>
    <t>VANKINENI MAYA DR.</t>
  </si>
  <si>
    <t>DENISE UMPIERREZ</t>
  </si>
  <si>
    <t>UMPIERREZ DENISE DR.</t>
  </si>
  <si>
    <t>622 W 168TH ST PH 16-29</t>
  </si>
  <si>
    <t>LAUREN TRUBY</t>
  </si>
  <si>
    <t>TRUBY LAUREN</t>
  </si>
  <si>
    <t>622 W 168TH ST, SUITE # 205</t>
  </si>
  <si>
    <t>CLAIRE TOBIAS</t>
  </si>
  <si>
    <t>TOBIAS CLAIRE DR.</t>
  </si>
  <si>
    <t>60 HAVEN AVE, APT 3B</t>
  </si>
  <si>
    <t>TIMOTHY TIUTAN</t>
  </si>
  <si>
    <t>TIUTAN TIMOTHY</t>
  </si>
  <si>
    <t>CHRISTINA TIERNEY</t>
  </si>
  <si>
    <t>TIERNEY CHRISTINA</t>
  </si>
  <si>
    <t>525 E 68TH ST # 122</t>
  </si>
  <si>
    <t>DEBORAH THEODORE</t>
  </si>
  <si>
    <t>THEODORE DEBORAH</t>
  </si>
  <si>
    <t>630 WEST 168TH STREET, PH 8 EAST ROOM 105</t>
  </si>
  <si>
    <t>COLLEEN TENAN</t>
  </si>
  <si>
    <t>TENAN COLLEEN</t>
  </si>
  <si>
    <t>ZACHARY TAXIN</t>
  </si>
  <si>
    <t>TAXIN ZACHARY DR.</t>
  </si>
  <si>
    <t>LAUREN TANNENBAUM</t>
  </si>
  <si>
    <t>TANNENBAUM LAUREN</t>
  </si>
  <si>
    <t>YUFEI TANG</t>
  </si>
  <si>
    <t>TANG YUFEI</t>
  </si>
  <si>
    <t>1800 ORLEANS ST</t>
  </si>
  <si>
    <t>PRANAI TANDON</t>
  </si>
  <si>
    <t>TANDON PRANAI MR.</t>
  </si>
  <si>
    <t>THELMA SUGRANES</t>
  </si>
  <si>
    <t>SUGRANES THELMA</t>
  </si>
  <si>
    <t>ZACHARY STRASSER</t>
  </si>
  <si>
    <t>STRASSER ZACHARY</t>
  </si>
  <si>
    <t>NICOLE STANFORD</t>
  </si>
  <si>
    <t>STANFORD NICOLE</t>
  </si>
  <si>
    <t>ALI SOROUSH</t>
  </si>
  <si>
    <t>SOROUSH ALI</t>
  </si>
  <si>
    <t>AMIN SOLTANI</t>
  </si>
  <si>
    <t>KHALIFEH SOLTANI SAYYED M AMIN</t>
  </si>
  <si>
    <t>MICHELE SMITH</t>
  </si>
  <si>
    <t>SMITH MICHELE</t>
  </si>
  <si>
    <t>DEVIN SMITH</t>
  </si>
  <si>
    <t>MELANIE SMITH</t>
  </si>
  <si>
    <t>SMITH MELANIE</t>
  </si>
  <si>
    <t>JULIA SLOVIS</t>
  </si>
  <si>
    <t>SLOVIS JULIA DR.</t>
  </si>
  <si>
    <t>JEREMY SLOSBERG</t>
  </si>
  <si>
    <t>SLOSBERG JEREMY</t>
  </si>
  <si>
    <t>AMY SKARIA</t>
  </si>
  <si>
    <t>SKARIA AMY</t>
  </si>
  <si>
    <t>RACHEL SIMON</t>
  </si>
  <si>
    <t>SIMON RACHEL</t>
  </si>
  <si>
    <t>CHRISTINA SILICIANO</t>
  </si>
  <si>
    <t>SILICIANO CHRISTINA</t>
  </si>
  <si>
    <t>ELIEZER SHINNAR</t>
  </si>
  <si>
    <t>SHINNAR ELIEZER</t>
  </si>
  <si>
    <t>NILIMA SHET</t>
  </si>
  <si>
    <t>SHET NILIMA DR.</t>
  </si>
  <si>
    <t>ZACHARY SHERMAN</t>
  </si>
  <si>
    <t>SHERMAN ZACHARY</t>
  </si>
  <si>
    <t>SHERRY SHEN</t>
  </si>
  <si>
    <t>SHEN SHERRY</t>
  </si>
  <si>
    <t>STEPHANIE SHEIKH</t>
  </si>
  <si>
    <t>SHEIKH STEPHANIE</t>
  </si>
  <si>
    <t>MEGAN SHEA</t>
  </si>
  <si>
    <t>SHEA MEGAN</t>
  </si>
  <si>
    <t>GABRIEL SHAYA</t>
  </si>
  <si>
    <t>SHAYA GABRIEL DR.</t>
  </si>
  <si>
    <t>SEVINI SHAHBAZ</t>
  </si>
  <si>
    <t>SHAHBAZ SEVINI</t>
  </si>
  <si>
    <t>4610 X ST</t>
  </si>
  <si>
    <t>ROBERT SETTON</t>
  </si>
  <si>
    <t>SETTON ROBERT DR.</t>
  </si>
  <si>
    <t>MADHAV SESHADRI</t>
  </si>
  <si>
    <t>SESHADRI MADHAV</t>
  </si>
  <si>
    <t>LIANA SENALDI</t>
  </si>
  <si>
    <t>SENALDI LIANA</t>
  </si>
  <si>
    <t>JESSICA SELTER</t>
  </si>
  <si>
    <t>SELTER JESSICA</t>
  </si>
  <si>
    <t>SIERRA SEAMAN</t>
  </si>
  <si>
    <t>SEAMAN SIERRA</t>
  </si>
  <si>
    <t>RACHEL SCHWARTZ</t>
  </si>
  <si>
    <t>HILARY SCHREIBER</t>
  </si>
  <si>
    <t>SCHREIBER HILARY</t>
  </si>
  <si>
    <t>525 E 68TH ST, BOX 139</t>
  </si>
  <si>
    <t>ALEXANDRA SATTY</t>
  </si>
  <si>
    <t>SATTY ALEXANDRA</t>
  </si>
  <si>
    <t>CHRISTINA SANDERS</t>
  </si>
  <si>
    <t>SANDERS CHRISTINA DR.</t>
  </si>
  <si>
    <t>MIRIAM SAMSTEIN</t>
  </si>
  <si>
    <t>EICHENBAUM MIRIAM</t>
  </si>
  <si>
    <t>1230 YORK AVE, 242</t>
  </si>
  <si>
    <t>ABIGAIL SAGE</t>
  </si>
  <si>
    <t>SAGE ABIGAIL</t>
  </si>
  <si>
    <t>DEEPIKA SAGARAM</t>
  </si>
  <si>
    <t>SAGARAM DEEPIKA</t>
  </si>
  <si>
    <t>525 E 68TH ST, NEW YORK PRESBYTERIAN HOSPITAL</t>
  </si>
  <si>
    <t>ALEXA SADREAMELI</t>
  </si>
  <si>
    <t>SADREAMELI ALEXA</t>
  </si>
  <si>
    <t>DEVON RUPLEY</t>
  </si>
  <si>
    <t>RUPLEY DEVON DR.</t>
  </si>
  <si>
    <t>JENNY RUIZ</t>
  </si>
  <si>
    <t>RUIZ JENNY</t>
  </si>
  <si>
    <t>JONAH RUBIN</t>
  </si>
  <si>
    <t>RUBIN JONAH</t>
  </si>
  <si>
    <t>SAMUEL ROTTER</t>
  </si>
  <si>
    <t>ROTTER SAMUEL</t>
  </si>
  <si>
    <t>JACLYN ROSENZWEIG</t>
  </si>
  <si>
    <t>ROSENZWEIG JACLYN</t>
  </si>
  <si>
    <t>HANNAH ROSENBLUM</t>
  </si>
  <si>
    <t>ROSENBLUM HANNAH</t>
  </si>
  <si>
    <t>EVAN ROSENBAUM</t>
  </si>
  <si>
    <t>ROSENBAUM EVAN</t>
  </si>
  <si>
    <t>RAPHAEL ROSEN</t>
  </si>
  <si>
    <t>ROSEN RAPHAEL DR.</t>
  </si>
  <si>
    <t>EZRA ROSEN</t>
  </si>
  <si>
    <t>ROSEN EZRA DR.</t>
  </si>
  <si>
    <t>STEPHANIE ROSALES</t>
  </si>
  <si>
    <t>ROSALES STEPHANIE</t>
  </si>
  <si>
    <t>DWINDALLY ROSADO-RIVERA</t>
  </si>
  <si>
    <t>ROSADO-RIVERA DWINDALLY</t>
  </si>
  <si>
    <t>KAILEEN ROHR</t>
  </si>
  <si>
    <t>ROHR KAILEEN</t>
  </si>
  <si>
    <t>ANJALI ROHATGI</t>
  </si>
  <si>
    <t>ROHATGI ANJALI</t>
  </si>
  <si>
    <t>ELLIS ROCHELSON</t>
  </si>
  <si>
    <t>ROCHELSON ELLIS</t>
  </si>
  <si>
    <t>ALEX ROBLES</t>
  </si>
  <si>
    <t>ROBLES ALEX</t>
  </si>
  <si>
    <t>REBECCA ROACH</t>
  </si>
  <si>
    <t>ROACH REBECCA</t>
  </si>
  <si>
    <t>ALEXIS RICHARDS</t>
  </si>
  <si>
    <t>RICHARDS ALEXIS DR.</t>
  </si>
  <si>
    <t>ZEMEN RETTA</t>
  </si>
  <si>
    <t>RETTA ZEMEN</t>
  </si>
  <si>
    <t>BHARATH RATHAKRISHNAN</t>
  </si>
  <si>
    <t>RATHAKRISHNAN BHARATH</t>
  </si>
  <si>
    <t>630 W 168TH ST, COLUMBIA DEPARTMENT OF MEDICINE</t>
  </si>
  <si>
    <t>DARA RAJESHWAR</t>
  </si>
  <si>
    <t>RAJESHWAR DARA DR.</t>
  </si>
  <si>
    <t>525 E 68TH ST RM M-610</t>
  </si>
  <si>
    <t>KARTIK RAJAGOPALAN</t>
  </si>
  <si>
    <t>RAJAGOPALAN KARTIK</t>
  </si>
  <si>
    <t>RUYAN RAHNAMA-HAZAVEH</t>
  </si>
  <si>
    <t>RAHNAMA RUYAN</t>
  </si>
  <si>
    <t>LOREN RABINOWITZ</t>
  </si>
  <si>
    <t>RABINOWITZ LOREN DR.</t>
  </si>
  <si>
    <t>177 FORT WASHINGTON AVE, FLOOR 6, CENTER ROOM 12</t>
  </si>
  <si>
    <t>KATHERINE PRYOR</t>
  </si>
  <si>
    <t>PRYOR KATHERINE</t>
  </si>
  <si>
    <t>ILANA PRIOR</t>
  </si>
  <si>
    <t>PRIOR ILANA</t>
  </si>
  <si>
    <t>KATHARINE PRESS</t>
  </si>
  <si>
    <t>PRESS KATHARINE</t>
  </si>
  <si>
    <t>600 N WOLFE ST, THE JOHNS HOPKINS HOSPITAL</t>
  </si>
  <si>
    <t>KRISTEN PORTO</t>
  </si>
  <si>
    <t>CROSBY KRISTIN DR.</t>
  </si>
  <si>
    <t>ADAM PONT</t>
  </si>
  <si>
    <t>PONT ADAM</t>
  </si>
  <si>
    <t>315 W 55TH ST APT 4G</t>
  </si>
  <si>
    <t>ANNA PODOLSKY</t>
  </si>
  <si>
    <t>PODOLSKY ANNA</t>
  </si>
  <si>
    <t>JENNA PICCININNI</t>
  </si>
  <si>
    <t>PICCININNI JENNA</t>
  </si>
  <si>
    <t>MEAGHAN PHIPPS</t>
  </si>
  <si>
    <t>PHIPPS MEAGHAN</t>
  </si>
  <si>
    <t>KHANH PHAM</t>
  </si>
  <si>
    <t>PHAM KHANH</t>
  </si>
  <si>
    <t>ALLISON PETRINI</t>
  </si>
  <si>
    <t>PETRINI ALLISON</t>
  </si>
  <si>
    <t>MEREDITH PESCE</t>
  </si>
  <si>
    <t>PESCE MEREDITH MS.</t>
  </si>
  <si>
    <t>YONATAN PELEG</t>
  </si>
  <si>
    <t>PELEG YONATAN</t>
  </si>
  <si>
    <t>622 W 168TH ST # 205</t>
  </si>
  <si>
    <t>KUNAL PATEL</t>
  </si>
  <si>
    <t>PATEL KUNAL DR.</t>
  </si>
  <si>
    <t>1825 MARTHA BERRY BLVD NW</t>
  </si>
  <si>
    <t>KINJAN PARIKH</t>
  </si>
  <si>
    <t>PARIKH KINJAN</t>
  </si>
  <si>
    <t>NICHOLAS PALMERI</t>
  </si>
  <si>
    <t>PALMERI NICHOLAS DR.</t>
  </si>
  <si>
    <t>MARIA PABON</t>
  </si>
  <si>
    <t>PABON MARIA</t>
  </si>
  <si>
    <t>EVE OVERTON</t>
  </si>
  <si>
    <t>OVERTON EVE</t>
  </si>
  <si>
    <t>DANA O'TOOLE</t>
  </si>
  <si>
    <t>O'TOOLE DANA DR.</t>
  </si>
  <si>
    <t>JOHN O'REILLY</t>
  </si>
  <si>
    <t>OREILLY JOHN</t>
  </si>
  <si>
    <t>AMANDA NUSSDORF</t>
  </si>
  <si>
    <t>NUSSDORF AMANDA</t>
  </si>
  <si>
    <t>MARIELLA NTAMATUNGIRO</t>
  </si>
  <si>
    <t>NTAMATUNGIRO MARIELLA</t>
  </si>
  <si>
    <t>KERIANN NOBIL</t>
  </si>
  <si>
    <t>NOBIL KERIANN</t>
  </si>
  <si>
    <t>YAEL NOBEL</t>
  </si>
  <si>
    <t>NOBEL YAEL</t>
  </si>
  <si>
    <t>KELLYANN NIOTIS</t>
  </si>
  <si>
    <t>NIOTIS KELLYANN</t>
  </si>
  <si>
    <t>28 REGENCY WAY</t>
  </si>
  <si>
    <t>ASHLEY NIEVES</t>
  </si>
  <si>
    <t>NIEVES ASHLEY</t>
  </si>
  <si>
    <t>HONG-AN NGUYEN</t>
  </si>
  <si>
    <t>NGUYEN HONG-AN</t>
  </si>
  <si>
    <t>NICOLE NG</t>
  </si>
  <si>
    <t>NG NICOLE</t>
  </si>
  <si>
    <t>SHANNA NEVELEV</t>
  </si>
  <si>
    <t>NEVELEV SHANNA</t>
  </si>
  <si>
    <t>JANE NESTLER</t>
  </si>
  <si>
    <t>NESTLER JANE DR.</t>
  </si>
  <si>
    <t>SAMAN NEMATOLLAHI</t>
  </si>
  <si>
    <t>NEMATOLLAHI SAMAN</t>
  </si>
  <si>
    <t>5435 E PLACITA HAYUCO</t>
  </si>
  <si>
    <t>TUCSON</t>
  </si>
  <si>
    <t>NEELIMA NAVULURI</t>
  </si>
  <si>
    <t>NAVULURI NEELIMA</t>
  </si>
  <si>
    <t>622 W 168TH ST, DEPT OF INTERNAL MEDICINE</t>
  </si>
  <si>
    <t>LAUREN NAVALLO</t>
  </si>
  <si>
    <t>NAVALLO LAUREN</t>
  </si>
  <si>
    <t>NAVIN NATARAJAN</t>
  </si>
  <si>
    <t>NATARAJAN NAVIN DR.</t>
  </si>
  <si>
    <t>ANDREW NASTRO</t>
  </si>
  <si>
    <t>NASTRO ANDREW DR.</t>
  </si>
  <si>
    <t>ANI NALBANDIAN</t>
  </si>
  <si>
    <t>NALBANDIAN ANI DR.</t>
  </si>
  <si>
    <t>ABHINAV NAIR</t>
  </si>
  <si>
    <t>NAIR ABHINAV</t>
  </si>
  <si>
    <t>EUGENIA NACHBER</t>
  </si>
  <si>
    <t>VOLKIN EUGENIA MRS.</t>
  </si>
  <si>
    <t>SHAYAN NABAVI NOURI</t>
  </si>
  <si>
    <t>NABAVI NOURI SHAYAN</t>
  </si>
  <si>
    <t>622 W 168TH ST, VC2-205</t>
  </si>
  <si>
    <t>OLIVIA MYRICK</t>
  </si>
  <si>
    <t>MYRICK OLIVIA</t>
  </si>
  <si>
    <t>622 W 168TH ST, COLUMBIA UNIVERSITY MEDICAL CENTER - SUITE 16-29</t>
  </si>
  <si>
    <t>JONATHAN MURPHY</t>
  </si>
  <si>
    <t>MURPHY JONATHAN</t>
  </si>
  <si>
    <t>622 W 168TH ST, COLUMBIA PRESBYTERIAN GME OFFICE</t>
  </si>
  <si>
    <t>JORGE MUNOZ PINEDA</t>
  </si>
  <si>
    <t>MUNOZ PINEDA JORGE</t>
  </si>
  <si>
    <t>FILIPE MOURA</t>
  </si>
  <si>
    <t>MOURA FILIPE</t>
  </si>
  <si>
    <t>TSUNG MOU</t>
  </si>
  <si>
    <t>MOU TSUNG</t>
  </si>
  <si>
    <t>JOSHUA MOTELOW</t>
  </si>
  <si>
    <t>MOTELOW JOSHUA DR.</t>
  </si>
  <si>
    <t>CHERI MOSTISSER</t>
  </si>
  <si>
    <t>MOSTISSER CHERI</t>
  </si>
  <si>
    <t>DEBORAH MOON</t>
  </si>
  <si>
    <t>MOON DEBORAH DR.</t>
  </si>
  <si>
    <t>CHELSEY MITCHELL</t>
  </si>
  <si>
    <t>MITCHELL CHELSEY</t>
  </si>
  <si>
    <t>EMILY MILLER</t>
  </si>
  <si>
    <t>MILLER EMILY DR.</t>
  </si>
  <si>
    <t>NATASHA METHA</t>
  </si>
  <si>
    <t>MEHTA NATASHA</t>
  </si>
  <si>
    <t>EILEEN MERCURIO</t>
  </si>
  <si>
    <t>MERCURIO EILEEN</t>
  </si>
  <si>
    <t>NIKHIL MENON</t>
  </si>
  <si>
    <t>MENON NIKHIL</t>
  </si>
  <si>
    <t>JENNILIZ MENDEZ</t>
  </si>
  <si>
    <t>MENDEZ JENNILIZ</t>
  </si>
  <si>
    <t>PRIYANKA MEHROTRA</t>
  </si>
  <si>
    <t>MEHROTRA PRIYANKA</t>
  </si>
  <si>
    <t>38 MEADOW BLUFF RD</t>
  </si>
  <si>
    <t>MORRIS PLAINS</t>
  </si>
  <si>
    <t>JULIA MCGUINNESS</t>
  </si>
  <si>
    <t>MCGUINNESS JULIA</t>
  </si>
  <si>
    <t>CLAIRE MCGRODER</t>
  </si>
  <si>
    <t>MCGRODER CLAIRE</t>
  </si>
  <si>
    <t>622 W 168TH ST, VC 205</t>
  </si>
  <si>
    <t>ANDREW MCFARLANE</t>
  </si>
  <si>
    <t>MCFARLANE ANDREW</t>
  </si>
  <si>
    <t>STEPHEN MATTHEWS</t>
  </si>
  <si>
    <t>MATTHEWS STEPHEN</t>
  </si>
  <si>
    <t>BENJAMIN MARGOLIS</t>
  </si>
  <si>
    <t>MARGOLIS BENJAMIN</t>
  </si>
  <si>
    <t>622 W 168TH ST, SUITE 16-29</t>
  </si>
  <si>
    <t>CHRISTOPHER MARDY</t>
  </si>
  <si>
    <t>MARDY CHRISTOPHER</t>
  </si>
  <si>
    <t>ALYSSA MARCHMAN</t>
  </si>
  <si>
    <t>MARCHMAN ALYSSA</t>
  </si>
  <si>
    <t>DANIEL MANSON</t>
  </si>
  <si>
    <t>MANSON DANIEL</t>
  </si>
  <si>
    <t>ROHAN MANIAR</t>
  </si>
  <si>
    <t>MANIAR ROHAN DR.</t>
  </si>
  <si>
    <t>WAQAS MALICK</t>
  </si>
  <si>
    <t>MALICK WAQAS DR.</t>
  </si>
  <si>
    <t>ANGEL MALDONADO-SOTO</t>
  </si>
  <si>
    <t>MALDONADO-SOTO ANGEL</t>
  </si>
  <si>
    <t>ROSAMARIE MAIORELLA</t>
  </si>
  <si>
    <t>MAIORELLA ROSAMARIE</t>
  </si>
  <si>
    <t>CANDICE MAIETTI</t>
  </si>
  <si>
    <t>MAIETTI CANDICE</t>
  </si>
  <si>
    <t>XINGCHEN MAI</t>
  </si>
  <si>
    <t>MAI XINGCHEN</t>
  </si>
  <si>
    <t>MAHESH MADHAVAN</t>
  </si>
  <si>
    <t>MADHAVAN MAHESH</t>
  </si>
  <si>
    <t>SHAZIA LUTFEALI</t>
  </si>
  <si>
    <t>LUTFEALI SHAZIA</t>
  </si>
  <si>
    <t>HEIDI LUMISH</t>
  </si>
  <si>
    <t>LUMISH HEIDI</t>
  </si>
  <si>
    <t>NADIA LIYANAGE-DON</t>
  </si>
  <si>
    <t>LIYANAGE-DON NADIA</t>
  </si>
  <si>
    <t>ALEXANDRA LIVANOS</t>
  </si>
  <si>
    <t>LIVANOS ALEXANDRA</t>
  </si>
  <si>
    <t>ANYE LEVINSON</t>
  </si>
  <si>
    <t>LEVINSON ANYA</t>
  </si>
  <si>
    <t>JULIE LEVASSEUR</t>
  </si>
  <si>
    <t>LEVASSEUR JULIE</t>
  </si>
  <si>
    <t>13 ALFRED DR</t>
  </si>
  <si>
    <t>BENJAMIN LERNER</t>
  </si>
  <si>
    <t>LERNER BENJAMIN</t>
  </si>
  <si>
    <t>KRISTIN LEONE</t>
  </si>
  <si>
    <t>LEONE KRISTIN</t>
  </si>
  <si>
    <t>REBECCA LEEDS</t>
  </si>
  <si>
    <t>LEEDS REBECCA</t>
  </si>
  <si>
    <t>SAMANTHA LEE</t>
  </si>
  <si>
    <t>LEE SAMANTHA DR.</t>
  </si>
  <si>
    <t>630 W 168TH ST, ROOM 6C-12</t>
  </si>
  <si>
    <t>ABIGAIL LEATHE</t>
  </si>
  <si>
    <t>LEATHE ABIGAIL</t>
  </si>
  <si>
    <t>MICHAEL LAVELLE</t>
  </si>
  <si>
    <t>LAVELLE MICHAEL</t>
  </si>
  <si>
    <t>GWYNNE LATIMER</t>
  </si>
  <si>
    <t>LATIMER GWYNNE</t>
  </si>
  <si>
    <t>MONIKA LASZKOWSKA</t>
  </si>
  <si>
    <t>LASZKOWSKA MONIKA</t>
  </si>
  <si>
    <t>245 W 25TH ST APT 3H</t>
  </si>
  <si>
    <t>JESSICA LAROSA</t>
  </si>
  <si>
    <t>LAROSA JESSICA</t>
  </si>
  <si>
    <t>JUSTIN LARACY</t>
  </si>
  <si>
    <t>LARACY JUSTIN</t>
  </si>
  <si>
    <t>JOSHUA LAMPERT</t>
  </si>
  <si>
    <t>LAMPERT JOSHUA DR.</t>
  </si>
  <si>
    <t>RAJAT LAMINGTON</t>
  </si>
  <si>
    <t>LAMINGTON RAJAT DR.</t>
  </si>
  <si>
    <t>PEROLA LAMBA</t>
  </si>
  <si>
    <t>GALINA LAGOS</t>
  </si>
  <si>
    <t>LAGOS GALINA</t>
  </si>
  <si>
    <t>DANIELLA LA SALANDRA</t>
  </si>
  <si>
    <t>LASALANDRA DANIELLE</t>
  </si>
  <si>
    <t>AMY KWON</t>
  </si>
  <si>
    <t>KWON AMY</t>
  </si>
  <si>
    <t>505 E 70TH ST, HT-4, WEILL CORNELL INTERNAL MEDICINE ASSOCIATES</t>
  </si>
  <si>
    <t>SHRIA KUMAR</t>
  </si>
  <si>
    <t>KUMAR SHRIA</t>
  </si>
  <si>
    <t>ANNA KRESS</t>
  </si>
  <si>
    <t>KRESS ANNA</t>
  </si>
  <si>
    <t>SHARON KOOK</t>
  </si>
  <si>
    <t>KOOK SHARON</t>
  </si>
  <si>
    <t>CHANTHEL KOKOY-MONDRAGON</t>
  </si>
  <si>
    <t>KOKOY-MONDRAGON CHANTHEL</t>
  </si>
  <si>
    <t>RENATTA KNOX</t>
  </si>
  <si>
    <t>KNOX RENATTA</t>
  </si>
  <si>
    <t>EMILY KNIGHT</t>
  </si>
  <si>
    <t>KNIGHT EMILY DR.</t>
  </si>
  <si>
    <t>FRANCESCA KINGERY</t>
  </si>
  <si>
    <t>KINGERY FRANCESCA</t>
  </si>
  <si>
    <t>DANIEL KING</t>
  </si>
  <si>
    <t>KING DANIEL DR.</t>
  </si>
  <si>
    <t>622 W 168TH ST, #205, NEW YORK</t>
  </si>
  <si>
    <t>JUDITH KIM</t>
  </si>
  <si>
    <t>KIM JUDITH</t>
  </si>
  <si>
    <t>KRISTEN KESTER</t>
  </si>
  <si>
    <t>KESTER KRISTEN</t>
  </si>
  <si>
    <t>ANDREW KERN-GOLDBERGER</t>
  </si>
  <si>
    <t>KERN-GOLDBERGER ANDREW</t>
  </si>
  <si>
    <t>PETER KENNEL</t>
  </si>
  <si>
    <t>KENNEL PETER</t>
  </si>
  <si>
    <t>505 E 70TH ST, WEILL-CORNELL INTERNAL MEDICINE ASSOCIATES</t>
  </si>
  <si>
    <t>BRITTANY KATZ</t>
  </si>
  <si>
    <t>KATZ BRITTANY DR.</t>
  </si>
  <si>
    <t>OLIVIA KATES</t>
  </si>
  <si>
    <t>KATES OLIVIA</t>
  </si>
  <si>
    <t>525 E 68TH ST, BOX #312</t>
  </si>
  <si>
    <t>ALEXANDRA KASS</t>
  </si>
  <si>
    <t>KASS ALEXANDRA DR.</t>
  </si>
  <si>
    <t>CECILE KARSENTY</t>
  </si>
  <si>
    <t>KARSENTY CECILE</t>
  </si>
  <si>
    <t>BETH KANTROWITZ</t>
  </si>
  <si>
    <t>KANTROWITZ BETH</t>
  </si>
  <si>
    <t>STACIE KAHN</t>
  </si>
  <si>
    <t>KAHN STACIE</t>
  </si>
  <si>
    <t>HYOWOUN JYUNG</t>
  </si>
  <si>
    <t>JYUNG HYOWOUN</t>
  </si>
  <si>
    <t>ASHLEY JOVANOVSKI BEAN</t>
  </si>
  <si>
    <t>JOVANOVSKI ASHLEY</t>
  </si>
  <si>
    <t>SOLEDAD JORGE</t>
  </si>
  <si>
    <t>JORGE SOLEDAD</t>
  </si>
  <si>
    <t>MASHA JONES</t>
  </si>
  <si>
    <t>JONES MASHA</t>
  </si>
  <si>
    <t>ANDREW JOELSON</t>
  </si>
  <si>
    <t>JOELSON ANDREW</t>
  </si>
  <si>
    <t>115 E 87TH ST, #27D</t>
  </si>
  <si>
    <t>JENNY JIN</t>
  </si>
  <si>
    <t>JIN JENNY</t>
  </si>
  <si>
    <t>303 DUNWOODY DR</t>
  </si>
  <si>
    <t>BLUE BELL</t>
  </si>
  <si>
    <t>DAVID JANG</t>
  </si>
  <si>
    <t>JANG DAVID MR.</t>
  </si>
  <si>
    <t>POUYA JAMSHIDI</t>
  </si>
  <si>
    <t>JAMSHIDI POUYA</t>
  </si>
  <si>
    <t>ARIEL JAFFE</t>
  </si>
  <si>
    <t>JAFFE ARIEL</t>
  </si>
  <si>
    <t>HAYLEY ISRAEL</t>
  </si>
  <si>
    <t>ISRAEL HAYLEY</t>
  </si>
  <si>
    <t>FAHMIDA ISLAM</t>
  </si>
  <si>
    <t>ISLAM FAHMIDA MS.</t>
  </si>
  <si>
    <t>SUMAIYA IQBAL</t>
  </si>
  <si>
    <t>IQBAL SUMAIYA</t>
  </si>
  <si>
    <t>QUANG HUYNH</t>
  </si>
  <si>
    <t>HUYNH QUANG</t>
  </si>
  <si>
    <t>ANNE HUTCHINSON</t>
  </si>
  <si>
    <t>HUTCHINSON ANNE DR.</t>
  </si>
  <si>
    <t>YASIN HUSSAIN</t>
  </si>
  <si>
    <t>HUSSAIN YASIN MR.</t>
  </si>
  <si>
    <t>505 EAST 70TH STREET, WEILL CORNELL MEDICINE ASSOCIATES</t>
  </si>
  <si>
    <t>ANDREA HUBSCHMANN</t>
  </si>
  <si>
    <t>HUBSCHMANN ANDREA</t>
  </si>
  <si>
    <t>JENNIFER HSU</t>
  </si>
  <si>
    <t>HSU JENNIFER</t>
  </si>
  <si>
    <t>BENJAMIN HOOE</t>
  </si>
  <si>
    <t>HOOE BENJAMIN DR.</t>
  </si>
  <si>
    <t>EDWIN HOMAN</t>
  </si>
  <si>
    <t>HOMAN EDWIN DR.</t>
  </si>
  <si>
    <t>ANNE HOLLAND</t>
  </si>
  <si>
    <t>HOLLAND ANNE</t>
  </si>
  <si>
    <t>100 HAVEN AVE APT 5B</t>
  </si>
  <si>
    <t>BRYCE HOFFMAN</t>
  </si>
  <si>
    <t>HOFFMAN BRYCE</t>
  </si>
  <si>
    <t>3260 N HALL ST APT 337</t>
  </si>
  <si>
    <t>NICHOLAS HOERTER</t>
  </si>
  <si>
    <t>HOERTER NICHOLAS</t>
  </si>
  <si>
    <t>SYLVANA HIDALGO</t>
  </si>
  <si>
    <t>HIDALGO SYLVANA DR.</t>
  </si>
  <si>
    <t>REX HERMANSEN</t>
  </si>
  <si>
    <t>HERMANSEN REX DR.</t>
  </si>
  <si>
    <t>EMILIA HERMANN</t>
  </si>
  <si>
    <t>HERMANN EMILIA</t>
  </si>
  <si>
    <t>JONATHAN HERMAN</t>
  </si>
  <si>
    <t>HERMAN JONATHAN DR.</t>
  </si>
  <si>
    <t>AWS HASAN</t>
  </si>
  <si>
    <t>HASAN AWS</t>
  </si>
  <si>
    <t>LARA HARISAY</t>
  </si>
  <si>
    <t>HARISAY LARA</t>
  </si>
  <si>
    <t>KOLBE HANCOCK</t>
  </si>
  <si>
    <t>HANCOCK KOLBE DR.</t>
  </si>
  <si>
    <t>JENNIFER HAMMOND</t>
  </si>
  <si>
    <t>SHEERIN HABIBULLAH</t>
  </si>
  <si>
    <t>HABIBULLAH SHEERIN</t>
  </si>
  <si>
    <t>CHRISTIE GUTIERREZ</t>
  </si>
  <si>
    <t>GUTIERREZ CHRISTIE DR.</t>
  </si>
  <si>
    <t>ARNAV GUPTA</t>
  </si>
  <si>
    <t>GUPTA ARNAV</t>
  </si>
  <si>
    <t>ARIELLE GUMER</t>
  </si>
  <si>
    <t>GUMER ARIELLE</t>
  </si>
  <si>
    <t>ARIELLE GROSSMAN</t>
  </si>
  <si>
    <t>GROSSMAN ARIELLE DR.</t>
  </si>
  <si>
    <t>LAUREN GRINSPAN</t>
  </si>
  <si>
    <t>GRINSPAN LAUREN DR.</t>
  </si>
  <si>
    <t>JAMISON GREENWALD</t>
  </si>
  <si>
    <t>GREENWALD JAMIESON</t>
  </si>
  <si>
    <t>ZOE GRABINSKI</t>
  </si>
  <si>
    <t>GRABINSKI ZOE</t>
  </si>
  <si>
    <t>ARMAND GOTTLIEB</t>
  </si>
  <si>
    <t>GOTTLIEB ARMAND</t>
  </si>
  <si>
    <t>JASON GOODMAN</t>
  </si>
  <si>
    <t>GOODMAN JASON</t>
  </si>
  <si>
    <t>AMANDA GONZALEZ</t>
  </si>
  <si>
    <t>GONZALEZ AMANDA</t>
  </si>
  <si>
    <t>CHRISTOPHER GONZALEZ</t>
  </si>
  <si>
    <t>GONZALEZ CHRISTOPHER</t>
  </si>
  <si>
    <t>ADINA GOLDBERGER</t>
  </si>
  <si>
    <t>KERN-GOLDBERGER ADINA</t>
  </si>
  <si>
    <t>LAUREN GOLDBERG</t>
  </si>
  <si>
    <t>ROTHSTEIN LAUREN DR.</t>
  </si>
  <si>
    <t>JEREMY GOLD</t>
  </si>
  <si>
    <t>GOLD JEREMY DR.</t>
  </si>
  <si>
    <t>STEPHANIE GOLD</t>
  </si>
  <si>
    <t>GOLD STEPHANIE</t>
  </si>
  <si>
    <t>PRIYANKA GHOSH</t>
  </si>
  <si>
    <t>GHOSH PRIYANKA</t>
  </si>
  <si>
    <t>GAURAV GHOSH</t>
  </si>
  <si>
    <t>GHOSH GAURAV</t>
  </si>
  <si>
    <t>GLORIA GERBER</t>
  </si>
  <si>
    <t>GERBER GLORIA</t>
  </si>
  <si>
    <t>MICHAEL GAVALAS</t>
  </si>
  <si>
    <t>GAVALAS MICHAEL</t>
  </si>
  <si>
    <t>MARCO GARCIA</t>
  </si>
  <si>
    <t>GARCIA MARCO</t>
  </si>
  <si>
    <t>CAROLYN GARCIA</t>
  </si>
  <si>
    <t>GARCIA CAROLYN</t>
  </si>
  <si>
    <t>LEONID GARBER</t>
  </si>
  <si>
    <t>BENJAMIN GALLAGHER</t>
  </si>
  <si>
    <t>GALLAGHER BENJAMIN</t>
  </si>
  <si>
    <t>LISA GABOR</t>
  </si>
  <si>
    <t>GABOR LISA DR.</t>
  </si>
  <si>
    <t>JONATHAN FRIEDMAN</t>
  </si>
  <si>
    <t>FRIEDMAN JONATHAN</t>
  </si>
  <si>
    <t>505 E 70TH ST, 5TH FLOOR</t>
  </si>
  <si>
    <t>CAROLINE FRIEDMAN</t>
  </si>
  <si>
    <t>FRIEDMAN CAROLINE</t>
  </si>
  <si>
    <t>MICHAEL FREMED</t>
  </si>
  <si>
    <t>FREMED MICHAEL</t>
  </si>
  <si>
    <t>MATTHEW FRANCO</t>
  </si>
  <si>
    <t>FRANCO MATTHEW</t>
  </si>
  <si>
    <t>HECTOR FLORIMON</t>
  </si>
  <si>
    <t>FLORIMON HECTOR</t>
  </si>
  <si>
    <t>630 W 168TH ST # 517</t>
  </si>
  <si>
    <t>RAUL FLORES</t>
  </si>
  <si>
    <t>FLORES RAUL DR.</t>
  </si>
  <si>
    <t>JUDE FLEMING</t>
  </si>
  <si>
    <t>FLEMING JUDE</t>
  </si>
  <si>
    <t>NOA FLEISS</t>
  </si>
  <si>
    <t>FLEISS NOA</t>
  </si>
  <si>
    <t>3959 BROADWAY, MORGAN STANLEY CHILDREN'S HOSPITAL</t>
  </si>
  <si>
    <t>CECILIA FIX</t>
  </si>
  <si>
    <t>FIX CECILIA</t>
  </si>
  <si>
    <t>MORGAN FINKEL</t>
  </si>
  <si>
    <t>FINKEL MORGAN</t>
  </si>
  <si>
    <t>JESSICA FIELDS</t>
  </si>
  <si>
    <t>FIELDS JESSICA</t>
  </si>
  <si>
    <t>DANIELLE FERNANDES</t>
  </si>
  <si>
    <t>FERNANDES DANIELLE DR.</t>
  </si>
  <si>
    <t>KATHLEEN FENN</t>
  </si>
  <si>
    <t>FENN KATHLEEN</t>
  </si>
  <si>
    <t>DANIEL FARRELL</t>
  </si>
  <si>
    <t>FARRELL DANIEL</t>
  </si>
  <si>
    <t>DANIELA FANTO</t>
  </si>
  <si>
    <t>FANTO DANIELA</t>
  </si>
  <si>
    <t>JOHN FALCONE</t>
  </si>
  <si>
    <t>FALCONE JOHN DR.</t>
  </si>
  <si>
    <t>SASHA FAHME</t>
  </si>
  <si>
    <t>FAHME SASHA</t>
  </si>
  <si>
    <t>JESSIE EVANGELISTA</t>
  </si>
  <si>
    <t>EVANGELISTA JESSIE</t>
  </si>
  <si>
    <t>525 E 68TH ST, DEPARTMENT OF PEDIATRICS</t>
  </si>
  <si>
    <t>SRAVYA ENNAMURI</t>
  </si>
  <si>
    <t>ENNAMURI SRAVYA</t>
  </si>
  <si>
    <t>705 SCOTTS BLF</t>
  </si>
  <si>
    <t>NORMAN</t>
  </si>
  <si>
    <t>IHEANACHO EMERUWA</t>
  </si>
  <si>
    <t>EMERUWA IHEANACHO DR.</t>
  </si>
  <si>
    <t>JULIA EMANUEL</t>
  </si>
  <si>
    <t>EMANUEL JULIA</t>
  </si>
  <si>
    <t>RACHEL ELKIN</t>
  </si>
  <si>
    <t>ELKIN RACHEL</t>
  </si>
  <si>
    <t>PIERRE ELIAS</t>
  </si>
  <si>
    <t>ELIAS PIERRE DR.</t>
  </si>
  <si>
    <t>DANIEL EISON</t>
  </si>
  <si>
    <t>EISON DANIEL</t>
  </si>
  <si>
    <t>MIKEL EHNTHOLT</t>
  </si>
  <si>
    <t>EHNTHOLT MIKEL</t>
  </si>
  <si>
    <t>100 E PALISADE AVE, APT A24</t>
  </si>
  <si>
    <t>ROSS EHMKE</t>
  </si>
  <si>
    <t>EHMKE ROSS</t>
  </si>
  <si>
    <t>60 HAVEN AVE, APT 18D</t>
  </si>
  <si>
    <t>CHRISTINA ECKHARDT</t>
  </si>
  <si>
    <t>ECKHARDT CHRISTINA DR.</t>
  </si>
  <si>
    <t>RACHEL EASTERWOOD</t>
  </si>
  <si>
    <t>EASTERWOOD RACHEL</t>
  </si>
  <si>
    <t>177 FORT WASHINGTON AVE, 6TH FLOOR CENTER, ROOM 12</t>
  </si>
  <si>
    <t>KATHRYN DUBOWSKI</t>
  </si>
  <si>
    <t>DUBOWSKI KATHRYN</t>
  </si>
  <si>
    <t>THEODORE DRIVAS</t>
  </si>
  <si>
    <t>DRIVAS THEODORE</t>
  </si>
  <si>
    <t>DENZIL DOUGLAS</t>
  </si>
  <si>
    <t>DOUGLAS DENZIL</t>
  </si>
  <si>
    <t>ELYCEIA DORTCH</t>
  </si>
  <si>
    <t>DORTCH ELYCEIA DR.</t>
  </si>
  <si>
    <t>5596 MARBUT RD</t>
  </si>
  <si>
    <t>LITHONIA</t>
  </si>
  <si>
    <t>MARIANNE DINAPOLI</t>
  </si>
  <si>
    <t>DINAPOLI MARIANNE DR.</t>
  </si>
  <si>
    <t>622 W 168TH ST, DEPARTMENT OF OB/GYN, PH-16</t>
  </si>
  <si>
    <t>DONALD DIETZ</t>
  </si>
  <si>
    <t>DIETZ DONALD DR.</t>
  </si>
  <si>
    <t>630 W 186TH ST.</t>
  </si>
  <si>
    <t>JAMIE DIAMOND</t>
  </si>
  <si>
    <t>DIAMOND JAMIE</t>
  </si>
  <si>
    <t>SUSAN DEWOLF</t>
  </si>
  <si>
    <t>DEWOLF SUSAN</t>
  </si>
  <si>
    <t>CATHERINE DEVOE</t>
  </si>
  <si>
    <t>DEVOE CATHERINE</t>
  </si>
  <si>
    <t>ARDALAN DAVARIFAR</t>
  </si>
  <si>
    <t>DAVARIFAR ARDY DR.</t>
  </si>
  <si>
    <t>MEGHAN DALY</t>
  </si>
  <si>
    <t>DALY MEGHAN</t>
  </si>
  <si>
    <t>VIDHI DALAL</t>
  </si>
  <si>
    <t>DALAL VIDHI</t>
  </si>
  <si>
    <t>525 E 68TH ST, ROOM M-610 (DEPARTMENT OF PEDIATRICS)</t>
  </si>
  <si>
    <t>ANGELA CURCIO</t>
  </si>
  <si>
    <t>CURCIO ANGELA</t>
  </si>
  <si>
    <t>ROSA CUI</t>
  </si>
  <si>
    <t>CUI ROSA DR.</t>
  </si>
  <si>
    <t>650 W 168TH ST</t>
  </si>
  <si>
    <t>YONGYAN CUI</t>
  </si>
  <si>
    <t>CUI YONGYAN</t>
  </si>
  <si>
    <t>EDWARD CUARESMA</t>
  </si>
  <si>
    <t>CUARESMA EDWARD</t>
  </si>
  <si>
    <t>SARA JANE CROMER</t>
  </si>
  <si>
    <t>CROMER SARA JANE</t>
  </si>
  <si>
    <t>ASHLEY COZZO</t>
  </si>
  <si>
    <t>COZZO ASHLEY</t>
  </si>
  <si>
    <t>ELLIE COROMILAS</t>
  </si>
  <si>
    <t>COROMILAS ELLIE DR.</t>
  </si>
  <si>
    <t>JOSEPHINE COOL</t>
  </si>
  <si>
    <t>COOL JOSEPHINE</t>
  </si>
  <si>
    <t>JOSHUA COOK</t>
  </si>
  <si>
    <t>COOK JOSHUA DR.</t>
  </si>
  <si>
    <t>MARGOT COHEN</t>
  </si>
  <si>
    <t>COHEN MARGOT</t>
  </si>
  <si>
    <t>630 W 168TH ST, PH8 EAST ROOM 105</t>
  </si>
  <si>
    <t>LAURA COHEN</t>
  </si>
  <si>
    <t>COHEN LAURA</t>
  </si>
  <si>
    <t>JACOB COGAN</t>
  </si>
  <si>
    <t>COGAN JACOB</t>
  </si>
  <si>
    <t>LOUIS CICATELLI</t>
  </si>
  <si>
    <t>CICATELLI LOUIS DR.</t>
  </si>
  <si>
    <t>KAYLAN CHRISTIANER</t>
  </si>
  <si>
    <t>CHRISTIANER KAYLAN</t>
  </si>
  <si>
    <t>177 FORT WASHINGTON AVE, 6TH FLOOR CENTER ROOM 12</t>
  </si>
  <si>
    <t>BINA CHOI</t>
  </si>
  <si>
    <t>CHOI BINA</t>
  </si>
  <si>
    <t>DANIEL CHOI</t>
  </si>
  <si>
    <t>CHOI DANIEL</t>
  </si>
  <si>
    <t>WAI KAN CHIU</t>
  </si>
  <si>
    <t>CHIU WAI KAN DR.</t>
  </si>
  <si>
    <t>AARON CHARNAY</t>
  </si>
  <si>
    <t>CHARNAY AARON</t>
  </si>
  <si>
    <t>MELANIE CHAPEKIS</t>
  </si>
  <si>
    <t>PRIOR MELANIE</t>
  </si>
  <si>
    <t>HARRY CHANG</t>
  </si>
  <si>
    <t>CHANG HARRY</t>
  </si>
  <si>
    <t>CATHERINE CHAN</t>
  </si>
  <si>
    <t>CHAN CATHERINE DR.</t>
  </si>
  <si>
    <t>STEPHANIE CHAM</t>
  </si>
  <si>
    <t>CHAM STEPHANIE</t>
  </si>
  <si>
    <t>SHARON CHACKO</t>
  </si>
  <si>
    <t>CHACKO SHARON</t>
  </si>
  <si>
    <t>CHELSEA CANON</t>
  </si>
  <si>
    <t>CANON CHELSEA</t>
  </si>
  <si>
    <t>BIANCA CALDERON</t>
  </si>
  <si>
    <t>CALDERON BIANCA</t>
  </si>
  <si>
    <t>ERIN CAHILL</t>
  </si>
  <si>
    <t>CAHILL ERIN</t>
  </si>
  <si>
    <t>ERIC BURNETT</t>
  </si>
  <si>
    <t>BURNETT ERIC</t>
  </si>
  <si>
    <t>198 DELAWARE AVE, APARTMENT 2L</t>
  </si>
  <si>
    <t>FAY BUREKHOVICH</t>
  </si>
  <si>
    <t>BUREKHOVICH FAY</t>
  </si>
  <si>
    <t>CHARLIE BUFFIE</t>
  </si>
  <si>
    <t>BUFFIE CHARLIE</t>
  </si>
  <si>
    <t>ADAM BUCKHOLZ</t>
  </si>
  <si>
    <t>BUCKHOLZ ADAM</t>
  </si>
  <si>
    <t>KELSEY BRYANT</t>
  </si>
  <si>
    <t>BRYANT KELSEY DR.</t>
  </si>
  <si>
    <t>TYLER BROWN</t>
  </si>
  <si>
    <t>BROWN TYLER MR.</t>
  </si>
  <si>
    <t>733 N. BROADWAY,, SUITE 147 THE JOHNS HOPKINS HOSPITAL</t>
  </si>
  <si>
    <t>CLIFTON BROCK</t>
  </si>
  <si>
    <t>BROCK CLIFTON MR.</t>
  </si>
  <si>
    <t>NOELLE BRESLIN</t>
  </si>
  <si>
    <t>BRESLIN NOELLE MS.</t>
  </si>
  <si>
    <t>622 W 168TH ST, #16-29</t>
  </si>
  <si>
    <t>WALLACE BOURGEOIS</t>
  </si>
  <si>
    <t>BOURGEOIS WALLACE</t>
  </si>
  <si>
    <t>NICHOLAS BOSCAMP</t>
  </si>
  <si>
    <t>BOSCAMP NICHOLAS</t>
  </si>
  <si>
    <t>LEA BORNSTEIN</t>
  </si>
  <si>
    <t>BORNSTEIN LEA</t>
  </si>
  <si>
    <t>RACHEL BORLACK</t>
  </si>
  <si>
    <t>BORLACK RACHEL</t>
  </si>
  <si>
    <t>KIMBERLY BODENLOS</t>
  </si>
  <si>
    <t>BODENLOS KIMBERLY</t>
  </si>
  <si>
    <t>SARAH BOBKER</t>
  </si>
  <si>
    <t>BOBKER SARAH</t>
  </si>
  <si>
    <t>525 E 68TH ST, DEPARTMENT OF NEUROLOGY</t>
  </si>
  <si>
    <t>RYAN BOBER</t>
  </si>
  <si>
    <t>BOBER RYAN</t>
  </si>
  <si>
    <t>108 CEDAR CT</t>
  </si>
  <si>
    <t>SWEDESBORO</t>
  </si>
  <si>
    <t>EMILY BLAUEL</t>
  </si>
  <si>
    <t>BLAUEL EMILY</t>
  </si>
  <si>
    <t>REBECCA BLANK</t>
  </si>
  <si>
    <t>BLANK REBECCA</t>
  </si>
  <si>
    <t>VICTORIA BLANCHA</t>
  </si>
  <si>
    <t>BLANCHA ECKELS VICTORIA</t>
  </si>
  <si>
    <t>JOHN BLACKETT</t>
  </si>
  <si>
    <t>BLACKETT JOHN</t>
  </si>
  <si>
    <t>622 W 168TH ST # 205, APT 9W</t>
  </si>
  <si>
    <t>NAVDEEP BHATTI</t>
  </si>
  <si>
    <t>BHATTI NAVDEEP</t>
  </si>
  <si>
    <t>DEEP BHATT</t>
  </si>
  <si>
    <t>BHATT DEEP</t>
  </si>
  <si>
    <t>JESSE BERTRAND</t>
  </si>
  <si>
    <t>BERTRAND JESSE</t>
  </si>
  <si>
    <t>JANINE BERNARDO</t>
  </si>
  <si>
    <t>BERNARDO JANINE DR.</t>
  </si>
  <si>
    <t>ESTHER BERKO</t>
  </si>
  <si>
    <t>BERKO ESTHER</t>
  </si>
  <si>
    <t>630 W 168TH ST, VC-507</t>
  </si>
  <si>
    <t>CHARLES BERGMAN</t>
  </si>
  <si>
    <t>BERGMAN CHARLES DR.</t>
  </si>
  <si>
    <t>HEATHER BELLE</t>
  </si>
  <si>
    <t>BELLE HEATHER</t>
  </si>
  <si>
    <t>LAURA BELLAND</t>
  </si>
  <si>
    <t>BELLAND LAURA</t>
  </si>
  <si>
    <t>630 W 168TH ST, P&amp;S BOX 100</t>
  </si>
  <si>
    <t>AHMAD NAJDAT BAZARBASHI</t>
  </si>
  <si>
    <t>BAZARBASHI AHMAD NAJDAT MR.</t>
  </si>
  <si>
    <t>ALTUS APARTMENT 18, SUNDAYS WELL ROAD, CORK CITY, CORK</t>
  </si>
  <si>
    <t>CORK CITY</t>
  </si>
  <si>
    <t>CORK</t>
  </si>
  <si>
    <t>JOSEPH BAYNE</t>
  </si>
  <si>
    <t>BAYNE JOSEPH DR.</t>
  </si>
  <si>
    <t>CLEA BARNETT</t>
  </si>
  <si>
    <t>BARNETT CLEA</t>
  </si>
  <si>
    <t>SARAH BARENBAUM</t>
  </si>
  <si>
    <t>BARENBAUM SARAH</t>
  </si>
  <si>
    <t>ANDREA BARBERIO</t>
  </si>
  <si>
    <t>BARBERIO ANDREA</t>
  </si>
  <si>
    <t>CAITLIN BAPTISTE</t>
  </si>
  <si>
    <t>BAPTISTE CAITLIN</t>
  </si>
  <si>
    <t>DAVID BAE</t>
  </si>
  <si>
    <t>BAE DAVID</t>
  </si>
  <si>
    <t>SAEEDEH AZARY</t>
  </si>
  <si>
    <t>AZARY SAEEDEH</t>
  </si>
  <si>
    <t>NWORAH AYOGU</t>
  </si>
  <si>
    <t>AYOGU NWORAH</t>
  </si>
  <si>
    <t>STEPHANIE ARNOLD</t>
  </si>
  <si>
    <t>ARNOLD STEPHANIE DR.</t>
  </si>
  <si>
    <t>2110 DORCHESTER AVE</t>
  </si>
  <si>
    <t>KATHERINE ARMSTRONG</t>
  </si>
  <si>
    <t>ARMSTRONG KATHERINE</t>
  </si>
  <si>
    <t>ERIC ARMOUR</t>
  </si>
  <si>
    <t>ARMOUR ERIC</t>
  </si>
  <si>
    <t>RACHEL ARAKAWA</t>
  </si>
  <si>
    <t>ARAKAWA RACHEL MS.</t>
  </si>
  <si>
    <t>VARREY ANEESHA</t>
  </si>
  <si>
    <t>ANEESHA VARREY</t>
  </si>
  <si>
    <t>SARAH ANN ANDERSON</t>
  </si>
  <si>
    <t>ANDERSON ANGELA</t>
  </si>
  <si>
    <t>SELMA AMRANE</t>
  </si>
  <si>
    <t>AMRANE SELMA MS.</t>
  </si>
  <si>
    <t>SAIFELDEEN ALZOOBAEE</t>
  </si>
  <si>
    <t>ALZOOBAEE SAIFELDEEN</t>
  </si>
  <si>
    <t>420 EAST 70TH STREET, LASDON HALL 7H3</t>
  </si>
  <si>
    <t>JAVID ALAKBARLI</t>
  </si>
  <si>
    <t>ALAKBARLI JAVID</t>
  </si>
  <si>
    <t>DAVID ABRAMOWITZ</t>
  </si>
  <si>
    <t>ABRAMOWITZ DAVID</t>
  </si>
  <si>
    <t>177 THE PADDOCK</t>
  </si>
  <si>
    <t>MICHAEL ABOODI</t>
  </si>
  <si>
    <t>ABOODI MICHAEL DR.</t>
  </si>
  <si>
    <t>200 E 65TH ST</t>
  </si>
  <si>
    <t>LALITA ABHYANKAR</t>
  </si>
  <si>
    <t>ABHYANKAR LALITA</t>
  </si>
  <si>
    <t>MARY ABBOT</t>
  </si>
  <si>
    <t>ABBOT MARY CLAIRE</t>
  </si>
  <si>
    <t>Hamilton-Madison House</t>
  </si>
  <si>
    <t>253 South St</t>
  </si>
  <si>
    <t>Redington, Rebecca</t>
  </si>
  <si>
    <t xml:space="preserve">Manjulika Chatterjee </t>
  </si>
  <si>
    <t>(212) 838-4333</t>
  </si>
  <si>
    <t>mchatterjee@karenhorneyclinic.org</t>
  </si>
  <si>
    <t>REDINGTON REBECCA</t>
  </si>
  <si>
    <t>karenhorney</t>
  </si>
  <si>
    <t>Rabhan, Laura</t>
  </si>
  <si>
    <t>RABHAN LAURA MS.</t>
  </si>
  <si>
    <t>Marbe, Doran</t>
  </si>
  <si>
    <t>MARBE DORON DR.</t>
  </si>
  <si>
    <t>41 CANTERBURY LN</t>
  </si>
  <si>
    <t>Liben, Lindsay</t>
  </si>
  <si>
    <t>LIBEN LINDSAY</t>
  </si>
  <si>
    <t>Winarick, Kenneth</t>
  </si>
  <si>
    <t>E0056270</t>
  </si>
  <si>
    <t>WINARICK KENNETH</t>
  </si>
  <si>
    <t>WINARICK KENNETH DR.</t>
  </si>
  <si>
    <t>Wilson, Anna</t>
  </si>
  <si>
    <t>WILSON ANNA</t>
  </si>
  <si>
    <t>325 5TH AVE APT 25H</t>
  </si>
  <si>
    <t>Paul , Henry</t>
  </si>
  <si>
    <t>E0276018</t>
  </si>
  <si>
    <t>PAUL HENRY A               MD</t>
  </si>
  <si>
    <t>PAUL HENRY DR.</t>
  </si>
  <si>
    <t>PAUL HENRY ALLAN</t>
  </si>
  <si>
    <t>50-98 EAST 168TH STREET</t>
  </si>
  <si>
    <t>Murray, Margo</t>
  </si>
  <si>
    <t>MURRAY MARGO</t>
  </si>
  <si>
    <t>600 LAFAYETTE AVE, 4TH FLOOR</t>
  </si>
  <si>
    <t>Kolchin-Miller, Maia</t>
  </si>
  <si>
    <t>KOLCHIN-MILLER MAIA MS.</t>
  </si>
  <si>
    <t>Khodik, Kalman</t>
  </si>
  <si>
    <t>E0423523</t>
  </si>
  <si>
    <t>KHODIK KALMAN</t>
  </si>
  <si>
    <t>KHODIK KALMAN DR.</t>
  </si>
  <si>
    <t>McCue, Jennifer</t>
  </si>
  <si>
    <t>E0324423</t>
  </si>
  <si>
    <t>MCCUE JENNIFER</t>
  </si>
  <si>
    <t>Marks, Dylan</t>
  </si>
  <si>
    <t>MARKS DYLAN</t>
  </si>
  <si>
    <t>Dietrich, Meredith</t>
  </si>
  <si>
    <t>DIETRICH MEREDITH</t>
  </si>
  <si>
    <t xml:space="preserve">Demetri, James </t>
  </si>
  <si>
    <t>E0010749</t>
  </si>
  <si>
    <t>DEMETRI JAMES</t>
  </si>
  <si>
    <t>Whitaker, Gordon</t>
  </si>
  <si>
    <t>E0300525</t>
  </si>
  <si>
    <t>WHITAKER GORDON</t>
  </si>
  <si>
    <t>Wallace, Michelle</t>
  </si>
  <si>
    <t>WALLACE MICHELLE</t>
  </si>
  <si>
    <t>245 E 19TH ST, APT. 12F</t>
  </si>
  <si>
    <t>Rigney, Lynn</t>
  </si>
  <si>
    <t>RIGNEY LYNN</t>
  </si>
  <si>
    <t>32 MORTON ST, APT. 2C</t>
  </si>
  <si>
    <t>Rehman, Ayesha</t>
  </si>
  <si>
    <t>REHMAN AYESHA MS.</t>
  </si>
  <si>
    <t>302 E 88TH ST</t>
  </si>
  <si>
    <t>Sheer, Joyelyn</t>
  </si>
  <si>
    <t>SHEER JOSSELYN MS.</t>
  </si>
  <si>
    <t>232 E 77TH ST, APT 17</t>
  </si>
  <si>
    <t>Rozenfeld, Magali</t>
  </si>
  <si>
    <t>ROZENFELD MAGALI</t>
  </si>
  <si>
    <t>Kahn, Jesse</t>
  </si>
  <si>
    <t>KAHN JESSE</t>
  </si>
  <si>
    <t>329 E 62ND STREET</t>
  </si>
  <si>
    <t>Green Wright, Linnie</t>
  </si>
  <si>
    <t>329 E 62nd Street</t>
  </si>
  <si>
    <t>Fuller, Craig</t>
  </si>
  <si>
    <t>E0364846</t>
  </si>
  <si>
    <t>FULLER CRAIG BENJAMIN</t>
  </si>
  <si>
    <t>FULLER CRAIG MR.</t>
  </si>
  <si>
    <t>Doherty, Laura Gay</t>
  </si>
  <si>
    <t>Cassell, Jason</t>
  </si>
  <si>
    <t>CASSELL JASON MR.</t>
  </si>
  <si>
    <t>26 W 9TH ST, SUITE #7D</t>
  </si>
  <si>
    <t>Biegen, Tivona</t>
  </si>
  <si>
    <t>E0010677</t>
  </si>
  <si>
    <t>BIEGEN TIVONE</t>
  </si>
  <si>
    <t>BIEGEN TIVONA</t>
  </si>
  <si>
    <t>BIEGEN TIVONA ELIZABETH</t>
  </si>
  <si>
    <t>Gillett, Irina</t>
  </si>
  <si>
    <t>German, Shanna</t>
  </si>
  <si>
    <t>GERMAN SHANNA DR.</t>
  </si>
  <si>
    <t>30 WEST 63RD STREET, APARTMENT 28 S</t>
  </si>
  <si>
    <t>Karen Horney Clinic</t>
  </si>
  <si>
    <t>Zaguri, Shira</t>
  </si>
  <si>
    <t>ZAGURI SHIRA</t>
  </si>
  <si>
    <t>Abrams, Joyce</t>
  </si>
  <si>
    <t>ABRAMS JOYCE MS.</t>
  </si>
  <si>
    <t>60 W 76TH ST APT 7H</t>
  </si>
  <si>
    <t>Bernstein, Jenny</t>
  </si>
  <si>
    <t>Bergnes, Monica</t>
  </si>
  <si>
    <t>E0341408</t>
  </si>
  <si>
    <t>BLOOM MICHELLE</t>
  </si>
  <si>
    <t>BLOOM MICHELLE MS.</t>
  </si>
  <si>
    <t>YM &amp; YWHA of Washington Heights &amp; Inwood</t>
  </si>
  <si>
    <t>Martin G Enrlisher</t>
  </si>
  <si>
    <t>(212) 569-6200</t>
  </si>
  <si>
    <t>54 Nagle Ave</t>
  </si>
  <si>
    <t>2.a.i.</t>
  </si>
  <si>
    <t>2.b.i.</t>
  </si>
  <si>
    <t>Emergency Departments with Care Triage</t>
  </si>
  <si>
    <t>2.b.iii.</t>
  </si>
  <si>
    <t>2.b.iv.</t>
  </si>
  <si>
    <t>Expected Number of Crisis Intervention Programs Established</t>
  </si>
  <si>
    <t>3.a.ii.</t>
  </si>
  <si>
    <t>3.a.i.</t>
  </si>
  <si>
    <t>3.e.i.</t>
  </si>
  <si>
    <t>3.g.i.</t>
  </si>
  <si>
    <t>1st Tier Funds Flow Partner (from Funds Flow Partner Detail)</t>
  </si>
  <si>
    <t>2nd Tier Funds Flow Recipient Partner Information</t>
  </si>
  <si>
    <t>Partner Funds Flow Data</t>
  </si>
  <si>
    <t>Partner Project Participation</t>
  </si>
  <si>
    <t>NPI or MMIS ID</t>
  </si>
  <si>
    <t>Hub (Y/N)</t>
  </si>
  <si>
    <t>Partner Name</t>
  </si>
  <si>
    <t>DY2, Q4 Funds Flow  Update</t>
  </si>
  <si>
    <t>Prov Part 2.a.i</t>
  </si>
  <si>
    <t>Prov Part 2.a.iii</t>
  </si>
  <si>
    <t>Prov Part 2.a.iv</t>
  </si>
  <si>
    <t>Prov Part 2.b.iii</t>
  </si>
  <si>
    <t>Prov Part 3.a.i</t>
  </si>
  <si>
    <t>Prov Part 3.a.ii</t>
  </si>
  <si>
    <t>Prov Part 3.b.i</t>
  </si>
  <si>
    <t>Prov Part 3.d.iii</t>
  </si>
  <si>
    <t>Prov Part 4.b.i</t>
  </si>
  <si>
    <t>Prov Part 4.b.ii</t>
  </si>
  <si>
    <t>PPS Funds Flow Summary by Partner Type - DY3, Q1 (IPP Module 1.4 and Module 1.10)</t>
  </si>
  <si>
    <t>Hamilton Madison House</t>
  </si>
  <si>
    <t>Lenox Hill Neighborhood house</t>
  </si>
  <si>
    <t>Mexican Coalition</t>
  </si>
  <si>
    <t>Washington Heights Corner Project</t>
  </si>
  <si>
    <t>Quarterly Funds Flow Update - DY3, Q1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</si>
</sst>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1">
    <xf numFmtId="0" fontId="0" fillId="0" borderId="0" xfId="0"/>
    <xf numFmtId="0" fontId="3" fillId="0" borderId="0" xfId="0" applyFont="1"/>
    <xf numFmtId="0" fontId="0" fillId="0" borderId="1" xfId="0" applyBorder="1"/>
    <xf numFmtId="0" fontId="3" fillId="0" borderId="1" xfId="0" applyFont="1" applyBorder="1"/>
    <xf numFmtId="0" fontId="2" fillId="2" borderId="1" xfId="0" applyFont="1" applyFill="1" applyBorder="1" applyAlignment="1">
      <alignment horizontal="center" wrapText="1"/>
    </xf>
    <xf numFmtId="44" fontId="0" fillId="0" borderId="1" xfId="1" applyFont="1" applyBorder="1"/>
    <xf numFmtId="9" fontId="0" fillId="0" borderId="1" xfId="2" applyFont="1" applyBorder="1"/>
    <xf numFmtId="44" fontId="3" fillId="0" borderId="1" xfId="1" applyFont="1" applyBorder="1"/>
    <xf numFmtId="9" fontId="3" fillId="0" borderId="1" xfId="2" applyFont="1" applyBorder="1"/>
    <xf numFmtId="0" fontId="0" fillId="3" borderId="1" xfId="0" applyFill="1" applyBorder="1" applyAlignment="1">
      <alignment horizontal="center" textRotation="90" wrapText="1"/>
    </xf>
    <xf numFmtId="0" fontId="0" fillId="3" borderId="1" xfId="0" applyFill="1" applyBorder="1"/>
    <xf numFmtId="0" fontId="2" fillId="2" borderId="1" xfId="0" applyFont="1" applyFill="1" applyBorder="1" applyAlignment="1">
      <alignment horizontal="center" wrapText="1"/>
    </xf>
    <xf numFmtId="0" fontId="0" fillId="0" borderId="1" xfId="0" applyNumberFormat="1" applyBorder="1"/>
    <xf numFmtId="44" fontId="0" fillId="3" borderId="1" xfId="0" applyNumberFormat="1" applyFill="1" applyBorder="1"/>
    <xf numFmtId="0" fontId="2" fillId="4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4" borderId="4" xfId="0" applyFont="1" applyFill="1" applyBorder="1" applyAlignment="1">
      <alignment horizontal="center" wrapText="1"/>
    </xf>
    <xf numFmtId="0" fontId="0" fillId="4" borderId="1" xfId="0" applyFill="1" applyBorder="1"/>
    <xf numFmtId="0" fontId="0" fillId="4" borderId="0" xfId="0" applyFill="1"/>
    <xf numFmtId="44" fontId="0" fillId="0" borderId="0" xfId="1" applyFont="1"/>
    <xf numFmtId="0" fontId="0" fillId="0" borderId="0" xfId="0" applyAlignment="1">
      <alignment horizontal="left" indent="1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SRIP\NYS\Reporting\Quarterly%20Reporting\DY3%20Q1%20Report\Budget\PIT%20Replacement%20Template_The%20New%20York%20&amp;%20Presbyteria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weber/Desktop/PAOP%202017/PPS%202nd%20Tier%20Funds%20Flow%20Reporting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s Flow Summary"/>
      <sheetName val="Funds Flow - Partner Detail"/>
      <sheetName val="2nd Tier Funds Flow"/>
      <sheetName val="Partner Engagement"/>
      <sheetName val="NYP Perf Network 032017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C2" t="str">
            <v>Fountain House, Bronx</v>
          </cell>
          <cell r="G2" t="str">
            <v xml:space="preserve">Kenn Dudek </v>
          </cell>
          <cell r="H2" t="str">
            <v>(718) 742-9884</v>
          </cell>
          <cell r="J2" t="str">
            <v>kdudek@fountainhouse.org</v>
          </cell>
          <cell r="K2" t="str">
            <v>Community Advocacy and Support</v>
          </cell>
          <cell r="L2" t="str">
            <v>CBO</v>
          </cell>
          <cell r="M2" t="str">
            <v>No</v>
          </cell>
          <cell r="AC2" t="str">
            <v>M</v>
          </cell>
          <cell r="AD2" t="str">
            <v>No</v>
          </cell>
          <cell r="AE2" t="str">
            <v>No NPI or MMIS</v>
          </cell>
          <cell r="AG2" t="str">
            <v>P</v>
          </cell>
        </row>
        <row r="3">
          <cell r="A3" t="str">
            <v>1003969932</v>
          </cell>
          <cell r="B3" t="str">
            <v>02725868</v>
          </cell>
          <cell r="C3" t="str">
            <v xml:space="preserve">RIEPPI, RICARDO </v>
          </cell>
          <cell r="D3" t="str">
            <v>E0027600</v>
          </cell>
          <cell r="E3" t="str">
            <v>RIEPPI RICARDO</v>
          </cell>
          <cell r="G3" t="str">
            <v>Kathryn Spaziani</v>
          </cell>
          <cell r="H3" t="str">
            <v>(212) 305-1190</v>
          </cell>
          <cell r="J3" t="str">
            <v>kas9171@nyp.org</v>
          </cell>
          <cell r="L3" t="str">
            <v>Practitioner - Non-Primary Care Provider (PCP)</v>
          </cell>
          <cell r="M3" t="str">
            <v>No</v>
          </cell>
          <cell r="R3" t="str">
            <v>RIEPPI RICARDO DR.</v>
          </cell>
          <cell r="W3" t="str">
            <v>RIEPPI RICARDO</v>
          </cell>
          <cell r="X3" t="str">
            <v>622 W 168TH ST</v>
          </cell>
          <cell r="Y3" t="str">
            <v>NEW YORK</v>
          </cell>
          <cell r="Z3" t="str">
            <v>NY</v>
          </cell>
          <cell r="AA3" t="str">
            <v>10032-3720</v>
          </cell>
          <cell r="AB3" t="str">
            <v>CLINICAL PSYCHOLOGIST</v>
          </cell>
          <cell r="AC3" t="str">
            <v>M</v>
          </cell>
          <cell r="AD3" t="str">
            <v>No</v>
          </cell>
          <cell r="AE3" t="str">
            <v>MMIS</v>
          </cell>
          <cell r="AF3" t="str">
            <v>nypwestcampus</v>
          </cell>
          <cell r="AG3" t="str">
            <v>P</v>
          </cell>
        </row>
        <row r="4">
          <cell r="A4" t="str">
            <v>1225125396</v>
          </cell>
          <cell r="B4" t="str">
            <v>01765700</v>
          </cell>
          <cell r="C4" t="str">
            <v>Vogiatzi, Maria G</v>
          </cell>
          <cell r="D4" t="str">
            <v>E0123458</v>
          </cell>
          <cell r="E4" t="str">
            <v>VOGIATZI MARIA G MD</v>
          </cell>
          <cell r="G4" t="str">
            <v>Kathryn Spaziani</v>
          </cell>
          <cell r="H4" t="str">
            <v>(212) 305-1190</v>
          </cell>
          <cell r="J4" t="str">
            <v>kas9171@nyp.org</v>
          </cell>
          <cell r="L4" t="str">
            <v>All Other:: Practitioner - Non-Primary Care Provider (PCP)</v>
          </cell>
          <cell r="M4" t="str">
            <v>No</v>
          </cell>
          <cell r="R4" t="str">
            <v>VOGIATZI MARIA</v>
          </cell>
          <cell r="W4" t="str">
            <v>VOGIATZI MARIA G MD</v>
          </cell>
          <cell r="X4" t="str">
            <v># M416</v>
          </cell>
          <cell r="Y4" t="str">
            <v>NEW YORK</v>
          </cell>
          <cell r="Z4" t="str">
            <v>NY</v>
          </cell>
          <cell r="AA4" t="str">
            <v>10065-4870</v>
          </cell>
          <cell r="AB4" t="str">
            <v>PHYSICIAN</v>
          </cell>
          <cell r="AC4" t="str">
            <v>M</v>
          </cell>
          <cell r="AD4" t="str">
            <v>No</v>
          </cell>
          <cell r="AE4" t="str">
            <v>MMIS</v>
          </cell>
          <cell r="AF4" t="str">
            <v>nypother</v>
          </cell>
          <cell r="AG4" t="str">
            <v>P</v>
          </cell>
        </row>
        <row r="5">
          <cell r="A5" t="str">
            <v>1003156225</v>
          </cell>
          <cell r="B5" t="str">
            <v>03932758</v>
          </cell>
          <cell r="C5" t="str">
            <v>Isabella Care at Home, Inc.</v>
          </cell>
          <cell r="D5" t="str">
            <v>E0384387</v>
          </cell>
          <cell r="E5" t="str">
            <v>ISABELLA CARE AT HOME INC</v>
          </cell>
          <cell r="G5" t="str">
            <v>Rocco Meliambro</v>
          </cell>
          <cell r="H5" t="str">
            <v>(212) 342-9308</v>
          </cell>
          <cell r="J5" t="str">
            <v>rmeliambro@isabella.org</v>
          </cell>
          <cell r="L5" t="str">
            <v>All Other</v>
          </cell>
          <cell r="M5" t="str">
            <v>Yes</v>
          </cell>
          <cell r="R5" t="str">
            <v>ISABELLA CARE AT HOME INC</v>
          </cell>
          <cell r="W5" t="str">
            <v>ISABELLA CARE AT HOME INC</v>
          </cell>
          <cell r="X5" t="str">
            <v>5073 BROADWAY</v>
          </cell>
          <cell r="Y5" t="str">
            <v>NEW YORK</v>
          </cell>
          <cell r="Z5" t="str">
            <v>NY</v>
          </cell>
          <cell r="AA5" t="str">
            <v>10034-1131</v>
          </cell>
          <cell r="AB5" t="str">
            <v>HOME HEALTH AGENCY</v>
          </cell>
          <cell r="AC5" t="str">
            <v>M</v>
          </cell>
          <cell r="AD5" t="str">
            <v>No</v>
          </cell>
          <cell r="AE5" t="str">
            <v>MMIS</v>
          </cell>
          <cell r="AG5" t="str">
            <v>P</v>
          </cell>
        </row>
        <row r="6">
          <cell r="A6" t="str">
            <v>1902961816</v>
          </cell>
          <cell r="B6" t="str">
            <v>02976992</v>
          </cell>
          <cell r="C6" t="str">
            <v>NEW YORK DOWNTOWN HOSPITAL</v>
          </cell>
          <cell r="D6" t="str">
            <v>E0031713</v>
          </cell>
          <cell r="E6" t="str">
            <v>NYU DOWNTOWN HOSPITAL</v>
          </cell>
          <cell r="G6" t="str">
            <v>Kathryn Spaziani</v>
          </cell>
          <cell r="H6" t="str">
            <v>(212) 305-1190</v>
          </cell>
          <cell r="J6" t="str">
            <v>kas9171@nyp.org</v>
          </cell>
          <cell r="L6" t="str">
            <v>All Other:: Clinic:: Pharmacy</v>
          </cell>
          <cell r="M6" t="str">
            <v>No</v>
          </cell>
          <cell r="R6" t="str">
            <v>NEW YORK DOWNTOWN HOSPITAL</v>
          </cell>
          <cell r="W6" t="str">
            <v>NYU DOWNTOWN HOSPITAL ESRD</v>
          </cell>
          <cell r="X6" t="str">
            <v>170 WILLIAM ST</v>
          </cell>
          <cell r="Y6" t="str">
            <v>NEW YORK</v>
          </cell>
          <cell r="Z6" t="str">
            <v>NY</v>
          </cell>
          <cell r="AA6" t="str">
            <v>10038-2612</v>
          </cell>
          <cell r="AB6" t="str">
            <v>HOSPITAL</v>
          </cell>
          <cell r="AC6" t="str">
            <v>M</v>
          </cell>
          <cell r="AD6" t="str">
            <v>No</v>
          </cell>
          <cell r="AE6" t="str">
            <v>MMIS</v>
          </cell>
          <cell r="AF6" t="str">
            <v>nypeastcampus</v>
          </cell>
          <cell r="AG6" t="str">
            <v>P</v>
          </cell>
        </row>
        <row r="7">
          <cell r="A7" t="str">
            <v>1083675292</v>
          </cell>
          <cell r="B7" t="str">
            <v>02443272</v>
          </cell>
          <cell r="C7" t="str">
            <v>Su, Karen Lin</v>
          </cell>
          <cell r="D7" t="str">
            <v>E0055806</v>
          </cell>
          <cell r="E7" t="str">
            <v>SU KAREN L MD</v>
          </cell>
          <cell r="G7" t="str">
            <v>Kathryn Spaziani</v>
          </cell>
          <cell r="H7" t="str">
            <v>(212) 305-1190</v>
          </cell>
          <cell r="J7" t="str">
            <v>kas9171@nyp.org</v>
          </cell>
          <cell r="L7" t="str">
            <v>All Other:: Practitioner - Non-Primary Care Provider (PCP)</v>
          </cell>
          <cell r="M7" t="str">
            <v>No</v>
          </cell>
          <cell r="R7" t="str">
            <v>SU KAREN DR.</v>
          </cell>
          <cell r="W7" t="str">
            <v>SU KAREN L</v>
          </cell>
          <cell r="X7" t="str">
            <v>5 E 98TH ST</v>
          </cell>
          <cell r="Y7" t="str">
            <v>NEW YORK</v>
          </cell>
          <cell r="Z7" t="str">
            <v>NY</v>
          </cell>
          <cell r="AA7" t="str">
            <v>10029-6501</v>
          </cell>
          <cell r="AB7" t="str">
            <v>PHYSICIAN</v>
          </cell>
          <cell r="AC7" t="str">
            <v>M</v>
          </cell>
          <cell r="AD7" t="str">
            <v>No</v>
          </cell>
          <cell r="AE7" t="str">
            <v>MMIS</v>
          </cell>
          <cell r="AF7" t="str">
            <v>nypeastcampus</v>
          </cell>
          <cell r="AG7" t="str">
            <v>P</v>
          </cell>
        </row>
        <row r="8">
          <cell r="A8" t="str">
            <v>1851443535</v>
          </cell>
          <cell r="B8" t="str">
            <v>03159359</v>
          </cell>
          <cell r="C8" t="str">
            <v>Mate Kedar</v>
          </cell>
          <cell r="D8" t="str">
            <v>E0299813</v>
          </cell>
          <cell r="E8" t="str">
            <v>MATE KEDAR</v>
          </cell>
          <cell r="L8" t="str">
            <v>Practitioner - Non-Primary Care Provider (PCP)</v>
          </cell>
          <cell r="M8" t="str">
            <v>No</v>
          </cell>
          <cell r="R8" t="str">
            <v>MATE KEDAR DR.</v>
          </cell>
          <cell r="W8" t="str">
            <v>MATE KEDAR SHRIKRISHNA</v>
          </cell>
          <cell r="X8" t="str">
            <v>505 AST 70TH STREET</v>
          </cell>
          <cell r="Y8" t="str">
            <v>NEW YORK</v>
          </cell>
          <cell r="Z8" t="str">
            <v>NY</v>
          </cell>
          <cell r="AA8" t="str">
            <v>10021-0000</v>
          </cell>
          <cell r="AB8" t="str">
            <v>PHYSICIAN</v>
          </cell>
          <cell r="AC8" t="str">
            <v>M</v>
          </cell>
          <cell r="AD8" t="str">
            <v>No</v>
          </cell>
          <cell r="AE8" t="str">
            <v>MMIS</v>
          </cell>
          <cell r="AF8" t="str">
            <v>nypwestacn</v>
          </cell>
          <cell r="AG8" t="str">
            <v>P</v>
          </cell>
        </row>
        <row r="9">
          <cell r="A9" t="str">
            <v>1831356179</v>
          </cell>
          <cell r="B9" t="str">
            <v>03227901</v>
          </cell>
          <cell r="C9" t="str">
            <v>Maw Anna</v>
          </cell>
          <cell r="D9" t="str">
            <v>E0307542</v>
          </cell>
          <cell r="E9" t="str">
            <v>MAW ANNA MYINT</v>
          </cell>
          <cell r="L9" t="str">
            <v>Practitioner - Non-Primary Care Provider (PCP)</v>
          </cell>
          <cell r="M9" t="str">
            <v>No</v>
          </cell>
          <cell r="R9" t="str">
            <v>MAW ANNA DR.</v>
          </cell>
          <cell r="W9" t="str">
            <v>MAW ANNA MYINT</v>
          </cell>
          <cell r="X9" t="str">
            <v>525 E 68TH ST</v>
          </cell>
          <cell r="Y9" t="str">
            <v>NEW YORK</v>
          </cell>
          <cell r="Z9" t="str">
            <v>NY</v>
          </cell>
          <cell r="AA9" t="str">
            <v>10065-4870</v>
          </cell>
          <cell r="AB9" t="str">
            <v>PHYSICIAN</v>
          </cell>
          <cell r="AC9" t="str">
            <v>M</v>
          </cell>
          <cell r="AD9" t="str">
            <v>No</v>
          </cell>
          <cell r="AE9" t="str">
            <v>MMIS</v>
          </cell>
          <cell r="AF9" t="str">
            <v>nypeastcampus</v>
          </cell>
          <cell r="AG9" t="str">
            <v>P</v>
          </cell>
        </row>
        <row r="10">
          <cell r="A10" t="str">
            <v>1518096825</v>
          </cell>
          <cell r="B10" t="str">
            <v>01081034</v>
          </cell>
          <cell r="C10" t="str">
            <v>Stephen Bennett</v>
          </cell>
          <cell r="D10" t="str">
            <v>E0191768</v>
          </cell>
          <cell r="E10" t="str">
            <v>BENNETT STEPHEN J MD</v>
          </cell>
          <cell r="G10" t="str">
            <v>Eva Eng</v>
          </cell>
          <cell r="H10" t="str">
            <v>(212) 752-4983</v>
          </cell>
          <cell r="J10" t="str">
            <v>eeng@archcare.org</v>
          </cell>
          <cell r="L10" t="str">
            <v>Practitioner - Primary Care Provider (PCP)</v>
          </cell>
          <cell r="M10" t="str">
            <v>No</v>
          </cell>
          <cell r="R10" t="str">
            <v>BENNETT STEPHEN</v>
          </cell>
          <cell r="W10" t="str">
            <v>BENNETT STEPHEN J MD</v>
          </cell>
          <cell r="X10" t="str">
            <v>254 W 10TH ST</v>
          </cell>
          <cell r="Y10" t="str">
            <v>NEW YORK</v>
          </cell>
          <cell r="Z10" t="str">
            <v>NY</v>
          </cell>
          <cell r="AA10" t="str">
            <v>10014-6422</v>
          </cell>
          <cell r="AB10" t="str">
            <v>PHYSICIAN</v>
          </cell>
          <cell r="AC10" t="str">
            <v>M</v>
          </cell>
          <cell r="AD10" t="str">
            <v>No</v>
          </cell>
          <cell r="AE10" t="str">
            <v>MMIS</v>
          </cell>
          <cell r="AF10" t="str">
            <v>nypeastcampus</v>
          </cell>
          <cell r="AG10" t="str">
            <v>P</v>
          </cell>
        </row>
        <row r="11">
          <cell r="A11" t="str">
            <v>1417967670</v>
          </cell>
          <cell r="B11" t="str">
            <v>01484922</v>
          </cell>
          <cell r="C11" t="str">
            <v>John Coyne</v>
          </cell>
          <cell r="D11" t="str">
            <v>E0151494</v>
          </cell>
          <cell r="E11" t="str">
            <v>COYNE JOHN A MD</v>
          </cell>
          <cell r="G11" t="str">
            <v>Eva Eng</v>
          </cell>
          <cell r="H11" t="str">
            <v>(212) 752-4984</v>
          </cell>
          <cell r="J11" t="str">
            <v>eeng@archcare.org</v>
          </cell>
          <cell r="L11" t="str">
            <v>All Other:: Practitioner - Non-Primary Care Provider (PCP)</v>
          </cell>
          <cell r="M11" t="str">
            <v>Yes</v>
          </cell>
          <cell r="R11" t="str">
            <v>COYNE JOHN DR.</v>
          </cell>
          <cell r="W11" t="str">
            <v>COYNE JOHN A MD</v>
          </cell>
          <cell r="X11" t="str">
            <v>MARY M WALSH N/H</v>
          </cell>
          <cell r="Y11" t="str">
            <v>NEW YORK</v>
          </cell>
          <cell r="Z11" t="str">
            <v>NY</v>
          </cell>
          <cell r="AA11" t="str">
            <v>10021-4707</v>
          </cell>
          <cell r="AB11" t="str">
            <v>PHYSICIAN</v>
          </cell>
          <cell r="AC11" t="str">
            <v>M</v>
          </cell>
          <cell r="AD11" t="str">
            <v>No</v>
          </cell>
          <cell r="AE11" t="str">
            <v>MMIS</v>
          </cell>
          <cell r="AF11" t="str">
            <v>nypwestacn</v>
          </cell>
          <cell r="AG11" t="str">
            <v>P</v>
          </cell>
        </row>
        <row r="12">
          <cell r="A12" t="str">
            <v>1114026911</v>
          </cell>
          <cell r="B12" t="str">
            <v>01092575</v>
          </cell>
          <cell r="C12" t="str">
            <v>Henry Bellutta</v>
          </cell>
          <cell r="D12" t="str">
            <v>E0190616</v>
          </cell>
          <cell r="E12" t="str">
            <v>BELLUTTA HENRY PATRICK MD</v>
          </cell>
          <cell r="G12" t="str">
            <v>Eva Eng</v>
          </cell>
          <cell r="H12" t="str">
            <v>(212) 752-4985</v>
          </cell>
          <cell r="J12" t="str">
            <v>eeng@archcare.org</v>
          </cell>
          <cell r="L12" t="str">
            <v>All Other:: Practitioner - Non-Primary Care Provider (PCP)</v>
          </cell>
          <cell r="M12" t="str">
            <v>No</v>
          </cell>
          <cell r="R12" t="str">
            <v>BELLUTTA HENRY</v>
          </cell>
          <cell r="W12" t="str">
            <v>BELLUTTA HENRY PATRICK</v>
          </cell>
          <cell r="X12" t="str">
            <v>102 E 22ND ST</v>
          </cell>
          <cell r="Y12" t="str">
            <v>NEW YORK</v>
          </cell>
          <cell r="Z12" t="str">
            <v>NY</v>
          </cell>
          <cell r="AA12" t="str">
            <v>10010-5404</v>
          </cell>
          <cell r="AB12" t="str">
            <v>PHYSICIAN</v>
          </cell>
          <cell r="AC12" t="str">
            <v>M</v>
          </cell>
          <cell r="AD12" t="str">
            <v>No</v>
          </cell>
          <cell r="AE12" t="str">
            <v>MMIS</v>
          </cell>
          <cell r="AF12" t="str">
            <v>nypwestacn</v>
          </cell>
          <cell r="AG12" t="str">
            <v>P</v>
          </cell>
        </row>
        <row r="13">
          <cell r="A13" t="str">
            <v>1598701963</v>
          </cell>
          <cell r="B13" t="str">
            <v>01755357</v>
          </cell>
          <cell r="C13" t="str">
            <v>Linda Kamal</v>
          </cell>
          <cell r="D13" t="str">
            <v>E0124492</v>
          </cell>
          <cell r="E13" t="str">
            <v>KAMAL LINDA ANN MD</v>
          </cell>
          <cell r="G13" t="str">
            <v>Eva Eng</v>
          </cell>
          <cell r="H13" t="str">
            <v>(212) 752-4986</v>
          </cell>
          <cell r="J13" t="str">
            <v>eeng@archcare.org</v>
          </cell>
          <cell r="L13" t="str">
            <v>Practitioner - Non-Primary Care Provider (PCP)</v>
          </cell>
          <cell r="M13" t="str">
            <v>No</v>
          </cell>
          <cell r="R13" t="str">
            <v>KAMAL LINDA</v>
          </cell>
          <cell r="W13" t="str">
            <v>KAMAL LINDA ANN MD</v>
          </cell>
          <cell r="X13" t="str">
            <v>ST CLARES HOSP &amp; HC</v>
          </cell>
          <cell r="Y13" t="str">
            <v>NEW YORK</v>
          </cell>
          <cell r="Z13" t="str">
            <v>NY</v>
          </cell>
          <cell r="AA13" t="str">
            <v>10019-6301</v>
          </cell>
          <cell r="AB13" t="str">
            <v>PHYSICIAN</v>
          </cell>
          <cell r="AC13" t="str">
            <v>M</v>
          </cell>
          <cell r="AD13" t="str">
            <v>No</v>
          </cell>
          <cell r="AE13" t="str">
            <v>MMIS</v>
          </cell>
          <cell r="AF13" t="str">
            <v>nypwestacn</v>
          </cell>
          <cell r="AG13" t="str">
            <v>P</v>
          </cell>
        </row>
        <row r="14">
          <cell r="A14" t="str">
            <v>1326190828</v>
          </cell>
          <cell r="B14" t="str">
            <v>00891121</v>
          </cell>
          <cell r="C14" t="str">
            <v>Michael Matarese</v>
          </cell>
          <cell r="D14" t="str">
            <v>E0210636</v>
          </cell>
          <cell r="E14" t="str">
            <v>MATARESE MICHAEL J         MD</v>
          </cell>
          <cell r="G14" t="str">
            <v>Eva Eng</v>
          </cell>
          <cell r="H14" t="str">
            <v>(212) 752-4987</v>
          </cell>
          <cell r="J14" t="str">
            <v>eeng@archcare.org</v>
          </cell>
          <cell r="L14" t="str">
            <v>All Other:: Practitioner - Primary Care Provider (PCP)</v>
          </cell>
          <cell r="M14" t="str">
            <v>No</v>
          </cell>
          <cell r="R14" t="str">
            <v>MATARESE MICHAEL DR.</v>
          </cell>
          <cell r="W14" t="str">
            <v>MATARESE MICHAEL J         MD</v>
          </cell>
          <cell r="X14" t="str">
            <v>31 W 9TH ST</v>
          </cell>
          <cell r="Y14" t="str">
            <v>NEW YORK</v>
          </cell>
          <cell r="Z14" t="str">
            <v>NY</v>
          </cell>
          <cell r="AA14" t="str">
            <v>10011-9206</v>
          </cell>
          <cell r="AB14" t="str">
            <v>PHYSICIAN</v>
          </cell>
          <cell r="AC14" t="str">
            <v>M</v>
          </cell>
          <cell r="AD14" t="str">
            <v>No</v>
          </cell>
          <cell r="AE14" t="str">
            <v>MMIS</v>
          </cell>
          <cell r="AF14" t="str">
            <v>nypeastcampus</v>
          </cell>
          <cell r="AG14" t="str">
            <v>P</v>
          </cell>
        </row>
        <row r="15">
          <cell r="A15" t="str">
            <v>1992770630</v>
          </cell>
          <cell r="B15" t="str">
            <v>00711546</v>
          </cell>
          <cell r="C15" t="str">
            <v>COTLIAR, ARTHUR M</v>
          </cell>
          <cell r="D15" t="str">
            <v>E0228551</v>
          </cell>
          <cell r="E15" t="str">
            <v>COTLIAR ARTHUR MICHAEL     MD</v>
          </cell>
          <cell r="G15" t="str">
            <v>Kathryn Spaziani</v>
          </cell>
          <cell r="H15" t="str">
            <v>(212) 305-1190</v>
          </cell>
          <cell r="J15" t="str">
            <v>kas9171@nyp.org</v>
          </cell>
          <cell r="L15" t="str">
            <v>All Other:: Practitioner - Non-Primary Care Provider (PCP)</v>
          </cell>
          <cell r="M15" t="str">
            <v>No</v>
          </cell>
          <cell r="R15" t="str">
            <v>COTLIAR ARTHUR DR.</v>
          </cell>
          <cell r="W15" t="str">
            <v>COTLIAR ARTHUR MICHAEL     MD</v>
          </cell>
          <cell r="X15" t="str">
            <v>911 PARK AVE</v>
          </cell>
          <cell r="Y15" t="str">
            <v>NEW YORK</v>
          </cell>
          <cell r="Z15" t="str">
            <v>NY</v>
          </cell>
          <cell r="AA15" t="str">
            <v>10075-0385</v>
          </cell>
          <cell r="AB15" t="str">
            <v>PHYSICIAN</v>
          </cell>
          <cell r="AC15" t="str">
            <v>M</v>
          </cell>
          <cell r="AD15" t="str">
            <v>No</v>
          </cell>
          <cell r="AE15" t="str">
            <v>MMIS</v>
          </cell>
          <cell r="AF15" t="str">
            <v>nypwestacn</v>
          </cell>
          <cell r="AG15" t="str">
            <v>P</v>
          </cell>
        </row>
        <row r="16">
          <cell r="A16" t="str">
            <v>1760507529</v>
          </cell>
          <cell r="B16" t="str">
            <v>03088511</v>
          </cell>
          <cell r="C16" t="str">
            <v>GUTHRIE, ELISABETH B</v>
          </cell>
          <cell r="D16" t="str">
            <v>E0291710</v>
          </cell>
          <cell r="E16" t="str">
            <v>GUTHRIE ELISABETH</v>
          </cell>
          <cell r="G16" t="str">
            <v>Kathryn Spaziani</v>
          </cell>
          <cell r="H16" t="str">
            <v>(212) 305-1190</v>
          </cell>
          <cell r="J16" t="str">
            <v>kas9171@nyp.org</v>
          </cell>
          <cell r="L16" t="str">
            <v>Practitioner - Non-Primary Care Provider (PCP)</v>
          </cell>
          <cell r="M16" t="str">
            <v>No</v>
          </cell>
          <cell r="R16" t="str">
            <v>GUTHRIE ELISABETH</v>
          </cell>
          <cell r="W16" t="str">
            <v>GUTHRIE ELISABETH BENSON</v>
          </cell>
          <cell r="X16" t="str">
            <v>3959 BROADWAY 6TH FLOOR NORTH</v>
          </cell>
          <cell r="Y16" t="str">
            <v>NEW YORK</v>
          </cell>
          <cell r="Z16" t="str">
            <v>NY</v>
          </cell>
          <cell r="AA16" t="str">
            <v>10032-1559</v>
          </cell>
          <cell r="AB16" t="str">
            <v>PHYSICIAN</v>
          </cell>
          <cell r="AC16" t="str">
            <v>M</v>
          </cell>
          <cell r="AD16" t="str">
            <v>No</v>
          </cell>
          <cell r="AE16" t="str">
            <v>MMIS</v>
          </cell>
          <cell r="AF16" t="str">
            <v>nypeastcampus</v>
          </cell>
          <cell r="AG16" t="str">
            <v>P</v>
          </cell>
        </row>
        <row r="17">
          <cell r="A17" t="str">
            <v>1760564710</v>
          </cell>
          <cell r="B17" t="str">
            <v>02526649</v>
          </cell>
          <cell r="C17" t="str">
            <v>CREW, RUSSELL J</v>
          </cell>
          <cell r="D17" t="str">
            <v>E0047479</v>
          </cell>
          <cell r="E17" t="str">
            <v>CREW RUSSELL JOHN MD</v>
          </cell>
          <cell r="G17" t="str">
            <v>Kathryn Spaziani</v>
          </cell>
          <cell r="H17" t="str">
            <v>(212) 305-1190</v>
          </cell>
          <cell r="J17" t="str">
            <v>kas9171@nyp.org</v>
          </cell>
          <cell r="L17" t="str">
            <v>All Other:: Practitioner - Non-Primary Care Provider (PCP)</v>
          </cell>
          <cell r="M17" t="str">
            <v>Yes</v>
          </cell>
          <cell r="R17" t="str">
            <v>CREW RUSSELL</v>
          </cell>
          <cell r="W17" t="str">
            <v>CREW RUSSELL JOHN MD</v>
          </cell>
          <cell r="X17" t="str">
            <v>622 W 168TH ST PH 4-124</v>
          </cell>
          <cell r="Y17" t="str">
            <v>NEW YORK</v>
          </cell>
          <cell r="Z17" t="str">
            <v>NY</v>
          </cell>
          <cell r="AA17" t="str">
            <v>10032-3720</v>
          </cell>
          <cell r="AB17" t="str">
            <v>PHYSICIAN</v>
          </cell>
          <cell r="AC17" t="str">
            <v>M</v>
          </cell>
          <cell r="AD17" t="str">
            <v>No</v>
          </cell>
          <cell r="AE17" t="str">
            <v>MMIS</v>
          </cell>
          <cell r="AF17" t="str">
            <v>nypwestacn</v>
          </cell>
          <cell r="AG17" t="str">
            <v>P</v>
          </cell>
        </row>
        <row r="18">
          <cell r="A18" t="str">
            <v>1285721357</v>
          </cell>
          <cell r="B18" t="str">
            <v>01432948</v>
          </cell>
          <cell r="C18" t="str">
            <v>MELE, JOSEPH P</v>
          </cell>
          <cell r="D18" t="str">
            <v>E0156680</v>
          </cell>
          <cell r="E18" t="str">
            <v>MELE JOSEPH P MD</v>
          </cell>
          <cell r="G18" t="str">
            <v>Kathryn Spaziani</v>
          </cell>
          <cell r="H18" t="str">
            <v>(212) 305-1190</v>
          </cell>
          <cell r="J18" t="str">
            <v>kas9171@nyp.org</v>
          </cell>
          <cell r="L18" t="str">
            <v>All Other:: Practitioner - Primary Care Provider (PCP)</v>
          </cell>
          <cell r="M18" t="str">
            <v>No</v>
          </cell>
          <cell r="R18" t="str">
            <v>MELE JOSEPH</v>
          </cell>
          <cell r="W18" t="str">
            <v>MELE JOSEPH P MD</v>
          </cell>
          <cell r="X18" t="str">
            <v>505 E 70TH ST</v>
          </cell>
          <cell r="Y18" t="str">
            <v>NEW YORK</v>
          </cell>
          <cell r="Z18" t="str">
            <v>NY</v>
          </cell>
          <cell r="AA18" t="str">
            <v>10021-4872</v>
          </cell>
          <cell r="AB18" t="str">
            <v>PHYSICIAN</v>
          </cell>
          <cell r="AC18" t="str">
            <v>M</v>
          </cell>
          <cell r="AD18" t="str">
            <v>No</v>
          </cell>
          <cell r="AE18" t="str">
            <v>MMIS</v>
          </cell>
          <cell r="AF18" t="str">
            <v>nypeastcampus</v>
          </cell>
          <cell r="AG18" t="str">
            <v>P</v>
          </cell>
        </row>
        <row r="19">
          <cell r="A19" t="str">
            <v>1790796563</v>
          </cell>
          <cell r="B19" t="str">
            <v>00506794</v>
          </cell>
          <cell r="C19" t="str">
            <v>Gadalla Farida</v>
          </cell>
          <cell r="D19" t="str">
            <v>E0248979</v>
          </cell>
          <cell r="E19" t="str">
            <v>GADALLA FARIDA MD</v>
          </cell>
          <cell r="L19" t="str">
            <v>All Other:: Practitioner - Non-Primary Care Provider (PCP)</v>
          </cell>
          <cell r="M19" t="str">
            <v>No</v>
          </cell>
          <cell r="R19" t="str">
            <v>GADALLA FARIDA DR.</v>
          </cell>
          <cell r="W19" t="str">
            <v>GADALLA FARIDA  M F MD</v>
          </cell>
          <cell r="X19" t="str">
            <v>525 E 68TH ST</v>
          </cell>
          <cell r="Y19" t="str">
            <v>NEW YORK</v>
          </cell>
          <cell r="Z19" t="str">
            <v>NY</v>
          </cell>
          <cell r="AA19" t="str">
            <v>10065-4870</v>
          </cell>
          <cell r="AB19" t="str">
            <v>PHYSICIAN</v>
          </cell>
          <cell r="AC19" t="str">
            <v>M</v>
          </cell>
          <cell r="AD19" t="str">
            <v>No</v>
          </cell>
          <cell r="AE19" t="str">
            <v>MMIS</v>
          </cell>
          <cell r="AF19" t="str">
            <v>nypeastcampus</v>
          </cell>
          <cell r="AG19" t="str">
            <v>P</v>
          </cell>
        </row>
        <row r="20">
          <cell r="A20" t="str">
            <v>1982995270</v>
          </cell>
          <cell r="B20" t="str">
            <v>03922350</v>
          </cell>
          <cell r="C20" t="str">
            <v>Gluck Danielle</v>
          </cell>
          <cell r="D20" t="str">
            <v>E0383403</v>
          </cell>
          <cell r="E20" t="str">
            <v>GLUCK DANIELLE</v>
          </cell>
          <cell r="L20" t="str">
            <v>All Other:: Practitioner - Non-Primary Care Provider (PCP)</v>
          </cell>
          <cell r="M20" t="str">
            <v>No</v>
          </cell>
          <cell r="R20" t="str">
            <v>GLUCK DANIELLE</v>
          </cell>
          <cell r="W20" t="str">
            <v>GLUCK DANIELLE MARIN</v>
          </cell>
          <cell r="X20" t="str">
            <v>525 E 68TH ST</v>
          </cell>
          <cell r="Y20" t="str">
            <v>NEW YORK</v>
          </cell>
          <cell r="Z20" t="str">
            <v>NY</v>
          </cell>
          <cell r="AA20" t="str">
            <v>10065-4870</v>
          </cell>
          <cell r="AB20" t="str">
            <v>PHYSICIAN</v>
          </cell>
          <cell r="AC20" t="str">
            <v>M</v>
          </cell>
          <cell r="AD20" t="str">
            <v>No</v>
          </cell>
          <cell r="AE20" t="str">
            <v>MMIS</v>
          </cell>
          <cell r="AF20" t="str">
            <v>nypeastcampus</v>
          </cell>
          <cell r="AG20" t="str">
            <v>P</v>
          </cell>
        </row>
        <row r="21">
          <cell r="A21" t="str">
            <v>1770814543</v>
          </cell>
          <cell r="C21" t="str">
            <v>Go Rebecca</v>
          </cell>
          <cell r="G21" t="str">
            <v>Kathryn Spaziani</v>
          </cell>
          <cell r="H21" t="str">
            <v>(212) 305-1255</v>
          </cell>
          <cell r="J21" t="str">
            <v>kas9171@nyp.org</v>
          </cell>
          <cell r="K21" t="str">
            <v>Physician</v>
          </cell>
          <cell r="L21" t="str">
            <v>Practitioner - Non-Primary Care Provider (PCP)</v>
          </cell>
          <cell r="M21" t="str">
            <v>No</v>
          </cell>
          <cell r="R21" t="str">
            <v>GO REBECCA</v>
          </cell>
          <cell r="S21" t="str">
            <v>525 E 68TH ST, BOX 124</v>
          </cell>
          <cell r="T21" t="str">
            <v>NEW YORK</v>
          </cell>
          <cell r="U21" t="str">
            <v>NY</v>
          </cell>
          <cell r="V21" t="str">
            <v>100654870</v>
          </cell>
          <cell r="AC21" t="str">
            <v>M</v>
          </cell>
          <cell r="AD21" t="str">
            <v>No</v>
          </cell>
          <cell r="AE21" t="str">
            <v>NPI only</v>
          </cell>
          <cell r="AF21" t="str">
            <v>nypeastcampus</v>
          </cell>
          <cell r="AG21" t="str">
            <v>P</v>
          </cell>
        </row>
        <row r="22">
          <cell r="A22" t="str">
            <v>1427292879</v>
          </cell>
          <cell r="B22" t="str">
            <v>03117195</v>
          </cell>
          <cell r="C22" t="str">
            <v xml:space="preserve">Chang, Carolyn Jean-An </v>
          </cell>
          <cell r="D22" t="str">
            <v>E0295077</v>
          </cell>
          <cell r="E22" t="str">
            <v>CHANG CAROLYN</v>
          </cell>
          <cell r="G22" t="str">
            <v>Betty Cheng</v>
          </cell>
          <cell r="H22" t="str">
            <v>(212) 379-6988</v>
          </cell>
          <cell r="I22">
            <v>2604</v>
          </cell>
          <cell r="J22" t="str">
            <v>bcheng@cbwchc.org</v>
          </cell>
          <cell r="L22" t="str">
            <v>All Other:: Practitioner - Primary Care Provider (PCP)</v>
          </cell>
          <cell r="M22" t="str">
            <v>Yes</v>
          </cell>
          <cell r="R22" t="str">
            <v>CHANG CAROLYN</v>
          </cell>
          <cell r="W22" t="str">
            <v>CHANG CAROLYN JEAN-AN</v>
          </cell>
          <cell r="X22" t="str">
            <v>125 WALKER ST FL 2</v>
          </cell>
          <cell r="Y22" t="str">
            <v>NEW YORK</v>
          </cell>
          <cell r="Z22" t="str">
            <v>NY</v>
          </cell>
          <cell r="AA22" t="str">
            <v>10013-4135</v>
          </cell>
          <cell r="AB22" t="str">
            <v>PHYSICIAN</v>
          </cell>
          <cell r="AC22" t="str">
            <v>M</v>
          </cell>
          <cell r="AD22" t="str">
            <v>No</v>
          </cell>
          <cell r="AE22" t="str">
            <v>MMIS</v>
          </cell>
          <cell r="AF22" t="str">
            <v>cbwchc</v>
          </cell>
          <cell r="AG22" t="str">
            <v>P</v>
          </cell>
        </row>
        <row r="23">
          <cell r="A23" t="str">
            <v>1942580030</v>
          </cell>
          <cell r="B23" t="str">
            <v>03700736</v>
          </cell>
          <cell r="C23" t="str">
            <v>POLANSKY, MARNI E</v>
          </cell>
          <cell r="D23" t="str">
            <v>E0360571</v>
          </cell>
          <cell r="E23" t="str">
            <v>POLANSKY MARNI E</v>
          </cell>
          <cell r="G23" t="str">
            <v>Kathryn Spaziani</v>
          </cell>
          <cell r="H23" t="str">
            <v>(212) 305-1190</v>
          </cell>
          <cell r="J23" t="str">
            <v>kas9171@nyp.org</v>
          </cell>
          <cell r="L23" t="str">
            <v>Practitioner - Non-Primary Care Provider (PCP)</v>
          </cell>
          <cell r="M23" t="str">
            <v>No</v>
          </cell>
          <cell r="R23" t="str">
            <v>POLANSKY MARNI</v>
          </cell>
          <cell r="W23" t="str">
            <v>POLANSKY MARNI E</v>
          </cell>
          <cell r="X23" t="str">
            <v>99 FORT WASHINGTON AVE</v>
          </cell>
          <cell r="Y23" t="str">
            <v>NEW YORK</v>
          </cell>
          <cell r="Z23" t="str">
            <v>NY</v>
          </cell>
          <cell r="AA23" t="str">
            <v>10032-4655</v>
          </cell>
          <cell r="AB23" t="str">
            <v>CLINICAL PSYCHOLOGIST</v>
          </cell>
          <cell r="AC23" t="str">
            <v>M</v>
          </cell>
          <cell r="AD23" t="str">
            <v>No</v>
          </cell>
          <cell r="AE23" t="str">
            <v>MMIS</v>
          </cell>
          <cell r="AF23" t="str">
            <v>nypwestacn</v>
          </cell>
          <cell r="AG23" t="str">
            <v>P</v>
          </cell>
        </row>
        <row r="24">
          <cell r="A24" t="str">
            <v>1780668764</v>
          </cell>
          <cell r="B24" t="str">
            <v>03094364</v>
          </cell>
          <cell r="C24" t="str">
            <v xml:space="preserve">TASCA, PHILIP </v>
          </cell>
          <cell r="D24" t="str">
            <v>E0292404</v>
          </cell>
          <cell r="E24" t="str">
            <v>TASCA PHILIP MD</v>
          </cell>
          <cell r="G24" t="str">
            <v>Kathryn Spaziani</v>
          </cell>
          <cell r="H24" t="str">
            <v>(212) 305-1190</v>
          </cell>
          <cell r="J24" t="str">
            <v>kas9171@nyp.org</v>
          </cell>
          <cell r="L24" t="str">
            <v>All Other:: Practitioner - Non-Primary Care Provider (PCP)</v>
          </cell>
          <cell r="M24" t="str">
            <v>No</v>
          </cell>
          <cell r="R24" t="str">
            <v>TASCA PHILIP DR.</v>
          </cell>
          <cell r="W24" t="str">
            <v>TASCA PHILIP MD</v>
          </cell>
          <cell r="X24" t="str">
            <v>365 ROUTE 304 STE 102</v>
          </cell>
          <cell r="Y24" t="str">
            <v>BARDONIA</v>
          </cell>
          <cell r="Z24" t="str">
            <v>NY</v>
          </cell>
          <cell r="AA24" t="str">
            <v>10954-1601</v>
          </cell>
          <cell r="AB24" t="str">
            <v>PHYSICIAN</v>
          </cell>
          <cell r="AC24" t="str">
            <v>M</v>
          </cell>
          <cell r="AD24" t="str">
            <v>No</v>
          </cell>
          <cell r="AE24" t="str">
            <v>MMIS</v>
          </cell>
          <cell r="AF24" t="str">
            <v>nypwestcampus</v>
          </cell>
          <cell r="AG24" t="str">
            <v>P</v>
          </cell>
        </row>
        <row r="25">
          <cell r="A25" t="str">
            <v>1780692426</v>
          </cell>
          <cell r="B25" t="str">
            <v>01598609</v>
          </cell>
          <cell r="C25" t="str">
            <v xml:space="preserve">FORD, BLAIR </v>
          </cell>
          <cell r="D25" t="str">
            <v>E0140147</v>
          </cell>
          <cell r="E25" t="str">
            <v>FORD BLAIR MD</v>
          </cell>
          <cell r="G25" t="str">
            <v>Kathryn Spaziani</v>
          </cell>
          <cell r="H25" t="str">
            <v>(212) 305-1190</v>
          </cell>
          <cell r="J25" t="str">
            <v>kas9171@nyp.org</v>
          </cell>
          <cell r="L25" t="str">
            <v>All Other:: Practitioner - Non-Primary Care Provider (PCP)</v>
          </cell>
          <cell r="M25" t="str">
            <v>No</v>
          </cell>
          <cell r="R25" t="str">
            <v>FORD BLAIR DR.</v>
          </cell>
          <cell r="W25" t="str">
            <v>FORD BLAIR MD</v>
          </cell>
          <cell r="X25" t="str">
            <v>THE WELLNESS 3RD FL</v>
          </cell>
          <cell r="Y25" t="str">
            <v>NEW YORK</v>
          </cell>
          <cell r="Z25" t="str">
            <v>NY</v>
          </cell>
          <cell r="AA25" t="str">
            <v>10032-3726</v>
          </cell>
          <cell r="AB25" t="str">
            <v>PHYSICIAN</v>
          </cell>
          <cell r="AC25" t="str">
            <v>M</v>
          </cell>
          <cell r="AD25" t="str">
            <v>No</v>
          </cell>
          <cell r="AE25" t="str">
            <v>MMIS</v>
          </cell>
          <cell r="AF25" t="str">
            <v>nypwestacn</v>
          </cell>
          <cell r="AG25" t="str">
            <v>P</v>
          </cell>
        </row>
        <row r="26">
          <cell r="A26" t="str">
            <v>1003920273</v>
          </cell>
          <cell r="B26" t="str">
            <v>01126998</v>
          </cell>
          <cell r="C26" t="str">
            <v>NORI, DATTATREYUDU</v>
          </cell>
          <cell r="D26" t="str">
            <v>E0187179</v>
          </cell>
          <cell r="E26" t="str">
            <v>NORI DATTATREYUDU MD</v>
          </cell>
          <cell r="G26" t="str">
            <v>Kathryn Spaziani</v>
          </cell>
          <cell r="H26" t="str">
            <v>(212) 305-1305</v>
          </cell>
          <cell r="J26" t="str">
            <v>kas9171@nyp.org</v>
          </cell>
          <cell r="L26" t="str">
            <v>All Other:: Practitioner - Non-Primary Care Provider (PCP)</v>
          </cell>
          <cell r="M26" t="str">
            <v>No</v>
          </cell>
          <cell r="R26" t="str">
            <v>NORI DATTATRETYDU</v>
          </cell>
          <cell r="W26" t="str">
            <v>NORI DATTATREYUDU MD</v>
          </cell>
          <cell r="X26" t="str">
            <v>5645 MAIN ST</v>
          </cell>
          <cell r="Y26" t="str">
            <v>FLUSHING</v>
          </cell>
          <cell r="Z26" t="str">
            <v>NY</v>
          </cell>
          <cell r="AA26" t="str">
            <v>11355-5045</v>
          </cell>
          <cell r="AB26" t="str">
            <v>PHYSICIAN</v>
          </cell>
          <cell r="AC26" t="str">
            <v>M</v>
          </cell>
          <cell r="AD26" t="str">
            <v>No</v>
          </cell>
          <cell r="AE26" t="str">
            <v>MMIS</v>
          </cell>
          <cell r="AF26" t="str">
            <v>nypeastcampus</v>
          </cell>
          <cell r="AG26" t="str">
            <v>P</v>
          </cell>
        </row>
        <row r="27">
          <cell r="A27" t="str">
            <v>1902095649</v>
          </cell>
          <cell r="B27" t="str">
            <v>03050951</v>
          </cell>
          <cell r="C27" t="str">
            <v>Anne Lai</v>
          </cell>
          <cell r="D27" t="str">
            <v>E0287287</v>
          </cell>
          <cell r="E27" t="str">
            <v>LAI ANNE</v>
          </cell>
          <cell r="G27" t="str">
            <v>Eva Eng</v>
          </cell>
          <cell r="H27" t="str">
            <v>(212) 752-4977</v>
          </cell>
          <cell r="J27" t="str">
            <v>eeng@archcare.org</v>
          </cell>
          <cell r="L27" t="str">
            <v>Practitioner - Primary Care Provider (PCP)</v>
          </cell>
          <cell r="M27" t="str">
            <v>Yes</v>
          </cell>
          <cell r="R27" t="str">
            <v>LAI ANNE MISS</v>
          </cell>
          <cell r="W27" t="str">
            <v>LAI ANNE TZE-CHIEN</v>
          </cell>
          <cell r="X27" t="str">
            <v>5 E 98TH ST</v>
          </cell>
          <cell r="Y27" t="str">
            <v>NEW YORK</v>
          </cell>
          <cell r="Z27" t="str">
            <v>NY</v>
          </cell>
          <cell r="AA27" t="str">
            <v>10029-6501</v>
          </cell>
          <cell r="AB27" t="str">
            <v>PHYSICIAN</v>
          </cell>
          <cell r="AC27" t="str">
            <v>M</v>
          </cell>
          <cell r="AD27" t="str">
            <v>No</v>
          </cell>
          <cell r="AE27" t="str">
            <v>MMIS</v>
          </cell>
          <cell r="AF27" t="str">
            <v>nypwestacn</v>
          </cell>
          <cell r="AG27" t="str">
            <v>P</v>
          </cell>
        </row>
        <row r="28">
          <cell r="A28" t="str">
            <v>1386762102</v>
          </cell>
          <cell r="B28" t="str">
            <v>03251067</v>
          </cell>
          <cell r="C28" t="str">
            <v>Karen Adam</v>
          </cell>
          <cell r="D28" t="str">
            <v>E0310195</v>
          </cell>
          <cell r="E28" t="str">
            <v>KAREN ADAM KENNETH</v>
          </cell>
          <cell r="L28" t="str">
            <v>Practitioner - Non-Primary Care Provider (PCP)</v>
          </cell>
          <cell r="M28" t="str">
            <v>No</v>
          </cell>
          <cell r="R28" t="str">
            <v>KAREN ADAM MR.</v>
          </cell>
          <cell r="W28" t="str">
            <v>KAREN ADAM KENNETH</v>
          </cell>
          <cell r="X28" t="str">
            <v>622 W 168TH ST PH 1-137</v>
          </cell>
          <cell r="Y28" t="str">
            <v>NEW YORK</v>
          </cell>
          <cell r="Z28" t="str">
            <v>NY</v>
          </cell>
          <cell r="AA28" t="str">
            <v>10032-3720</v>
          </cell>
          <cell r="AB28" t="str">
            <v>PHYSICIAN</v>
          </cell>
          <cell r="AC28" t="str">
            <v>M</v>
          </cell>
          <cell r="AD28" t="str">
            <v>No</v>
          </cell>
          <cell r="AE28" t="str">
            <v>MMIS</v>
          </cell>
          <cell r="AF28" t="str">
            <v>nypwestcampus</v>
          </cell>
          <cell r="AG28" t="str">
            <v>P</v>
          </cell>
        </row>
        <row r="29">
          <cell r="A29" t="str">
            <v>1942384128</v>
          </cell>
          <cell r="B29" t="str">
            <v>01959957</v>
          </cell>
          <cell r="C29" t="str">
            <v>Kim Hong</v>
          </cell>
          <cell r="D29" t="str">
            <v>E0104060</v>
          </cell>
          <cell r="E29" t="str">
            <v>KIM HONG SUK MD</v>
          </cell>
          <cell r="L29" t="str">
            <v>Practitioner - Non-Primary Care Provider (PCP)</v>
          </cell>
          <cell r="M29" t="str">
            <v>No</v>
          </cell>
          <cell r="R29" t="str">
            <v>KIM HONG</v>
          </cell>
          <cell r="W29" t="str">
            <v>KIM HONG SUK MD</v>
          </cell>
          <cell r="X29" t="str">
            <v>CPMC-PH 1-137</v>
          </cell>
          <cell r="Y29" t="str">
            <v>NEW YORK</v>
          </cell>
          <cell r="Z29" t="str">
            <v>NY</v>
          </cell>
          <cell r="AA29" t="str">
            <v>10032-3720</v>
          </cell>
          <cell r="AB29" t="str">
            <v>PHYSICIAN</v>
          </cell>
          <cell r="AC29" t="str">
            <v>M</v>
          </cell>
          <cell r="AD29" t="str">
            <v>No</v>
          </cell>
          <cell r="AE29" t="str">
            <v>MMIS</v>
          </cell>
          <cell r="AF29" t="str">
            <v>nypwestacn</v>
          </cell>
          <cell r="AG29" t="str">
            <v>P</v>
          </cell>
        </row>
        <row r="30">
          <cell r="A30" t="str">
            <v>1033259593</v>
          </cell>
          <cell r="B30" t="str">
            <v>02887534</v>
          </cell>
          <cell r="C30" t="str">
            <v xml:space="preserve">Han-Faver, Doreen Dawyuan   </v>
          </cell>
          <cell r="D30" t="str">
            <v>E0011451</v>
          </cell>
          <cell r="E30" t="str">
            <v>HAN-FAVER DOREEN D MD</v>
          </cell>
          <cell r="G30" t="str">
            <v>Betty Cheng</v>
          </cell>
          <cell r="H30" t="str">
            <v>(212) 379-6988</v>
          </cell>
          <cell r="I30">
            <v>2604</v>
          </cell>
          <cell r="J30" t="str">
            <v>bcheng@cbwchc.org</v>
          </cell>
          <cell r="L30" t="str">
            <v>Mental Health:: Practitioner - Non-Primary Care Provider (PCP)</v>
          </cell>
          <cell r="M30" t="str">
            <v>Yes</v>
          </cell>
          <cell r="R30" t="str">
            <v>HAN FAVER DOREEN DR.</v>
          </cell>
          <cell r="W30" t="str">
            <v>HAN-FAVER DOREEN D MD</v>
          </cell>
          <cell r="X30" t="str">
            <v>1 GUSTAVE L LEVY PL</v>
          </cell>
          <cell r="Y30" t="str">
            <v>NEW YORK</v>
          </cell>
          <cell r="Z30" t="str">
            <v>NY</v>
          </cell>
          <cell r="AA30" t="str">
            <v>10029-6500</v>
          </cell>
          <cell r="AB30" t="str">
            <v>PHYSICIAN</v>
          </cell>
          <cell r="AC30" t="str">
            <v>M</v>
          </cell>
          <cell r="AD30" t="str">
            <v>No</v>
          </cell>
          <cell r="AE30" t="str">
            <v>MMIS</v>
          </cell>
          <cell r="AF30" t="str">
            <v>cbwchc</v>
          </cell>
          <cell r="AG30" t="str">
            <v>P</v>
          </cell>
        </row>
        <row r="31">
          <cell r="A31" t="str">
            <v>1497741425</v>
          </cell>
          <cell r="B31" t="str">
            <v>01863987</v>
          </cell>
          <cell r="C31" t="str">
            <v>Ho, Allan W.</v>
          </cell>
          <cell r="D31" t="str">
            <v>E0113644</v>
          </cell>
          <cell r="E31" t="str">
            <v>HO ALLAN WAIMING MD</v>
          </cell>
          <cell r="G31" t="str">
            <v>Betty Cheng</v>
          </cell>
          <cell r="H31" t="str">
            <v>(212) 379-6988</v>
          </cell>
          <cell r="I31">
            <v>2604</v>
          </cell>
          <cell r="J31" t="str">
            <v>bcheng@cbwchc.org</v>
          </cell>
          <cell r="L31" t="str">
            <v>All Other:: Practitioner - Non-Primary Care Provider (PCP)</v>
          </cell>
          <cell r="M31" t="str">
            <v>Yes</v>
          </cell>
          <cell r="R31" t="str">
            <v>HO ALLAN</v>
          </cell>
          <cell r="W31" t="str">
            <v>HO ALLAN W</v>
          </cell>
          <cell r="X31" t="str">
            <v>268 CANAL ST</v>
          </cell>
          <cell r="Y31" t="str">
            <v>NEW YORK</v>
          </cell>
          <cell r="Z31" t="str">
            <v>NY</v>
          </cell>
          <cell r="AA31" t="str">
            <v>10013-3599</v>
          </cell>
          <cell r="AB31" t="str">
            <v>PHYSICIAN</v>
          </cell>
          <cell r="AC31" t="str">
            <v>M</v>
          </cell>
          <cell r="AD31" t="str">
            <v>No</v>
          </cell>
          <cell r="AE31" t="str">
            <v>MMIS</v>
          </cell>
          <cell r="AF31" t="str">
            <v>cbwchc</v>
          </cell>
          <cell r="AG31" t="str">
            <v>P</v>
          </cell>
        </row>
        <row r="32">
          <cell r="A32" t="str">
            <v>1831257708</v>
          </cell>
          <cell r="C32" t="str">
            <v>SCHLENOFF, MARC D</v>
          </cell>
          <cell r="G32" t="str">
            <v>Kathryn Spaziani</v>
          </cell>
          <cell r="H32" t="str">
            <v>(212) 305-1190</v>
          </cell>
          <cell r="J32" t="str">
            <v>kas9171@nyp.org</v>
          </cell>
          <cell r="K32" t="str">
            <v>Physician</v>
          </cell>
          <cell r="L32" t="str">
            <v>Practitioner - Non-Primary Care Provider (PCP)</v>
          </cell>
          <cell r="M32" t="str">
            <v>No</v>
          </cell>
          <cell r="R32" t="str">
            <v>SCHLENOFF MARC</v>
          </cell>
          <cell r="S32" t="str">
            <v>VERNON COLONIAL PLAZA</v>
          </cell>
          <cell r="T32" t="str">
            <v>MCAFEE</v>
          </cell>
          <cell r="U32" t="str">
            <v>NJ</v>
          </cell>
          <cell r="V32" t="str">
            <v>07428</v>
          </cell>
          <cell r="AC32" t="str">
            <v>M</v>
          </cell>
          <cell r="AD32" t="str">
            <v>No</v>
          </cell>
          <cell r="AE32" t="str">
            <v>NPI only</v>
          </cell>
          <cell r="AF32" t="str">
            <v>nypeastcampus</v>
          </cell>
          <cell r="AG32" t="str">
            <v>P</v>
          </cell>
        </row>
        <row r="33">
          <cell r="A33" t="str">
            <v>1922012236</v>
          </cell>
          <cell r="B33" t="str">
            <v>02064437</v>
          </cell>
          <cell r="C33" t="str">
            <v>Drotman Michele</v>
          </cell>
          <cell r="D33" t="str">
            <v>E0093619</v>
          </cell>
          <cell r="E33" t="str">
            <v>DROTMAN MICHELE BETH MD</v>
          </cell>
          <cell r="L33" t="str">
            <v>All Other:: Practitioner - Non-Primary Care Provider (PCP)</v>
          </cell>
          <cell r="M33" t="str">
            <v>No</v>
          </cell>
          <cell r="R33" t="str">
            <v>DROTMAN MICHELE</v>
          </cell>
          <cell r="W33" t="str">
            <v>DROTMAN MICHELE BETH MD</v>
          </cell>
          <cell r="X33" t="str">
            <v>NYH CUMC RAD GRP</v>
          </cell>
          <cell r="Y33" t="str">
            <v>NEW YORK</v>
          </cell>
          <cell r="Z33" t="str">
            <v>NY</v>
          </cell>
          <cell r="AA33" t="str">
            <v>10065-4870</v>
          </cell>
          <cell r="AB33" t="str">
            <v>PHYSICIAN</v>
          </cell>
          <cell r="AC33" t="str">
            <v>M</v>
          </cell>
          <cell r="AD33" t="str">
            <v>No</v>
          </cell>
          <cell r="AE33" t="str">
            <v>MMIS</v>
          </cell>
          <cell r="AF33" t="str">
            <v>nypeastcampus</v>
          </cell>
          <cell r="AG33" t="str">
            <v>P</v>
          </cell>
        </row>
        <row r="34">
          <cell r="A34" t="str">
            <v>1043226434</v>
          </cell>
          <cell r="B34" t="str">
            <v>01733311</v>
          </cell>
          <cell r="C34" t="str">
            <v>Eisen Carolyn</v>
          </cell>
          <cell r="D34" t="str">
            <v>E0126691</v>
          </cell>
          <cell r="E34" t="str">
            <v>EISEN CAROLYN SHARYN MD</v>
          </cell>
          <cell r="L34" t="str">
            <v>All Other:: Practitioner - Non-Primary Care Provider (PCP)</v>
          </cell>
          <cell r="M34" t="str">
            <v>No</v>
          </cell>
          <cell r="R34" t="str">
            <v>EISEN CAROLYN</v>
          </cell>
          <cell r="W34" t="str">
            <v>EISEN CAROLYN SHARYN MD</v>
          </cell>
          <cell r="X34" t="str">
            <v>NYH-CUMC RADIOLOGY</v>
          </cell>
          <cell r="Y34" t="str">
            <v>NEW YORK</v>
          </cell>
          <cell r="Z34" t="str">
            <v>NY</v>
          </cell>
          <cell r="AA34" t="str">
            <v>10065-4870</v>
          </cell>
          <cell r="AB34" t="str">
            <v>PHYSICIAN</v>
          </cell>
          <cell r="AC34" t="str">
            <v>M</v>
          </cell>
          <cell r="AD34" t="str">
            <v>No</v>
          </cell>
          <cell r="AE34" t="str">
            <v>MMIS</v>
          </cell>
          <cell r="AF34" t="str">
            <v>nypeastcampus</v>
          </cell>
          <cell r="AG34" t="str">
            <v>P</v>
          </cell>
        </row>
        <row r="35">
          <cell r="A35" t="str">
            <v>1932441151</v>
          </cell>
          <cell r="C35" t="str">
            <v>Wilcox Chad</v>
          </cell>
          <cell r="G35" t="str">
            <v>Kathryn Spaziani</v>
          </cell>
          <cell r="H35" t="str">
            <v>(212) 305-1255</v>
          </cell>
          <cell r="J35" t="str">
            <v>kas9171@nyp.org</v>
          </cell>
          <cell r="K35" t="str">
            <v>Physician</v>
          </cell>
          <cell r="L35" t="str">
            <v>Uncategorized</v>
          </cell>
          <cell r="M35" t="str">
            <v>No</v>
          </cell>
          <cell r="R35" t="str">
            <v>WILCOX CHAD</v>
          </cell>
          <cell r="S35" t="str">
            <v>622 W 168TH ST # PB-1301, DEPARTMENT OF RADIOLOGY</v>
          </cell>
          <cell r="T35" t="str">
            <v>NEW YORK</v>
          </cell>
          <cell r="U35" t="str">
            <v>NY</v>
          </cell>
          <cell r="V35" t="str">
            <v>100323720</v>
          </cell>
          <cell r="AC35" t="str">
            <v>M</v>
          </cell>
          <cell r="AD35" t="str">
            <v>No</v>
          </cell>
          <cell r="AE35" t="str">
            <v>NPI only</v>
          </cell>
          <cell r="AF35" t="str">
            <v>nypwestcampus</v>
          </cell>
          <cell r="AG35" t="str">
            <v>P</v>
          </cell>
        </row>
        <row r="36">
          <cell r="A36" t="str">
            <v>1104244631</v>
          </cell>
          <cell r="C36" t="str">
            <v>Noori Selaiman</v>
          </cell>
          <cell r="G36" t="str">
            <v>Kathryn Spaziani</v>
          </cell>
          <cell r="H36" t="str">
            <v>(212) 305-1255</v>
          </cell>
          <cell r="J36" t="str">
            <v>kas9171@nyp.org</v>
          </cell>
          <cell r="K36" t="str">
            <v>Physician</v>
          </cell>
          <cell r="L36" t="str">
            <v>Uncategorized</v>
          </cell>
          <cell r="M36" t="str">
            <v>No</v>
          </cell>
          <cell r="R36" t="str">
            <v>NOORI SELAIMAN</v>
          </cell>
          <cell r="S36" t="str">
            <v>525 E 68TH ST RM M312</v>
          </cell>
          <cell r="T36" t="str">
            <v>NEW YORK</v>
          </cell>
          <cell r="U36" t="str">
            <v>NY</v>
          </cell>
          <cell r="V36" t="str">
            <v>100654870</v>
          </cell>
          <cell r="AC36" t="str">
            <v>M</v>
          </cell>
          <cell r="AD36" t="str">
            <v>No</v>
          </cell>
          <cell r="AE36" t="str">
            <v>NPI only</v>
          </cell>
          <cell r="AF36" t="str">
            <v>nypeastcampus</v>
          </cell>
          <cell r="AG36" t="str">
            <v>P</v>
          </cell>
        </row>
        <row r="37">
          <cell r="A37" t="str">
            <v>1659637882</v>
          </cell>
          <cell r="C37" t="str">
            <v>Odunaiya Hannah</v>
          </cell>
          <cell r="G37" t="str">
            <v>Kathryn Spaziani</v>
          </cell>
          <cell r="H37" t="str">
            <v>(212) 305-1255</v>
          </cell>
          <cell r="J37" t="str">
            <v>kas9171@nyp.org</v>
          </cell>
          <cell r="K37" t="str">
            <v>Physician</v>
          </cell>
          <cell r="L37" t="str">
            <v>Uncategorized</v>
          </cell>
          <cell r="M37" t="str">
            <v>No</v>
          </cell>
          <cell r="R37" t="str">
            <v>ODUNAIYA HANNAH</v>
          </cell>
          <cell r="S37" t="str">
            <v>525 E 68TH ST</v>
          </cell>
          <cell r="T37" t="str">
            <v>NEW YORK</v>
          </cell>
          <cell r="U37" t="str">
            <v>NY</v>
          </cell>
          <cell r="V37" t="str">
            <v>100654870</v>
          </cell>
          <cell r="AC37" t="str">
            <v>M</v>
          </cell>
          <cell r="AD37" t="str">
            <v>No</v>
          </cell>
          <cell r="AE37" t="str">
            <v>NPI only</v>
          </cell>
          <cell r="AF37" t="str">
            <v>nypeastcampus</v>
          </cell>
          <cell r="AG37" t="str">
            <v>P</v>
          </cell>
        </row>
        <row r="38">
          <cell r="A38" t="str">
            <v>1265775837</v>
          </cell>
          <cell r="C38" t="str">
            <v>O'Neill Daniel</v>
          </cell>
          <cell r="G38" t="str">
            <v>Kathryn Spaziani</v>
          </cell>
          <cell r="H38" t="str">
            <v>(212) 305-1255</v>
          </cell>
          <cell r="J38" t="str">
            <v>kas9171@nyp.org</v>
          </cell>
          <cell r="K38" t="str">
            <v>Physician</v>
          </cell>
          <cell r="L38" t="str">
            <v>Uncategorized</v>
          </cell>
          <cell r="M38" t="str">
            <v>No</v>
          </cell>
          <cell r="R38" t="str">
            <v>O'NEILL DANIEL DR.</v>
          </cell>
          <cell r="S38" t="str">
            <v>525 E 68TH ST</v>
          </cell>
          <cell r="T38" t="str">
            <v>NEW YORK</v>
          </cell>
          <cell r="U38" t="str">
            <v>NY</v>
          </cell>
          <cell r="V38" t="str">
            <v>100654870</v>
          </cell>
          <cell r="AC38" t="str">
            <v>M</v>
          </cell>
          <cell r="AD38" t="str">
            <v>No</v>
          </cell>
          <cell r="AE38" t="str">
            <v>NPI only</v>
          </cell>
          <cell r="AF38" t="str">
            <v>nypeastcampus</v>
          </cell>
          <cell r="AG38" t="str">
            <v>P</v>
          </cell>
        </row>
        <row r="39">
          <cell r="A39" t="str">
            <v>1558705301</v>
          </cell>
          <cell r="C39" t="str">
            <v>Pak Daniel</v>
          </cell>
          <cell r="G39" t="str">
            <v>Kathryn Spaziani</v>
          </cell>
          <cell r="H39" t="str">
            <v>(212) 305-1255</v>
          </cell>
          <cell r="J39" t="str">
            <v>kas9171@nyp.org</v>
          </cell>
          <cell r="K39" t="str">
            <v>Physician</v>
          </cell>
          <cell r="L39" t="str">
            <v>Uncategorized</v>
          </cell>
          <cell r="M39" t="str">
            <v>No</v>
          </cell>
          <cell r="R39" t="str">
            <v>PAK DANIEL</v>
          </cell>
          <cell r="S39" t="str">
            <v>6324 WILDWOOD LN</v>
          </cell>
          <cell r="T39" t="str">
            <v>WEST BLOOMFIELD</v>
          </cell>
          <cell r="U39" t="str">
            <v>MI</v>
          </cell>
          <cell r="V39" t="str">
            <v>483243273</v>
          </cell>
          <cell r="AC39" t="str">
            <v>M</v>
          </cell>
          <cell r="AD39" t="str">
            <v>No</v>
          </cell>
          <cell r="AE39" t="str">
            <v>NPI only</v>
          </cell>
          <cell r="AF39" t="str">
            <v>nypeastcampus</v>
          </cell>
          <cell r="AG39" t="str">
            <v>P</v>
          </cell>
        </row>
        <row r="40">
          <cell r="A40" t="str">
            <v>1750649745</v>
          </cell>
          <cell r="C40" t="str">
            <v>Panchamia Rohan</v>
          </cell>
          <cell r="G40" t="str">
            <v>Kathryn Spaziani</v>
          </cell>
          <cell r="H40" t="str">
            <v>(212) 305-1255</v>
          </cell>
          <cell r="J40" t="str">
            <v>kas9171@nyp.org</v>
          </cell>
          <cell r="K40" t="str">
            <v>Physician</v>
          </cell>
          <cell r="L40" t="str">
            <v>Uncategorized</v>
          </cell>
          <cell r="M40" t="str">
            <v>No</v>
          </cell>
          <cell r="R40" t="str">
            <v>PANCHAMIA ROHAN DR.</v>
          </cell>
          <cell r="S40" t="str">
            <v>525 E 68TH ST, ROOM M314</v>
          </cell>
          <cell r="T40" t="str">
            <v>NEW YORK</v>
          </cell>
          <cell r="U40" t="str">
            <v>NY</v>
          </cell>
          <cell r="V40" t="str">
            <v>100654870</v>
          </cell>
          <cell r="AC40" t="str">
            <v>M</v>
          </cell>
          <cell r="AD40" t="str">
            <v>No</v>
          </cell>
          <cell r="AE40" t="str">
            <v>NPI only</v>
          </cell>
          <cell r="AF40" t="str">
            <v>nypeastcampus</v>
          </cell>
          <cell r="AG40" t="str">
            <v>P</v>
          </cell>
        </row>
        <row r="41">
          <cell r="A41" t="str">
            <v>1205179850</v>
          </cell>
          <cell r="C41" t="str">
            <v>Pang Patricia</v>
          </cell>
          <cell r="G41" t="str">
            <v>Kathryn Spaziani</v>
          </cell>
          <cell r="H41" t="str">
            <v>(212) 305-1255</v>
          </cell>
          <cell r="J41" t="str">
            <v>kas9171@nyp.org</v>
          </cell>
          <cell r="K41" t="str">
            <v>Physician</v>
          </cell>
          <cell r="L41" t="str">
            <v>Uncategorized</v>
          </cell>
          <cell r="M41" t="str">
            <v>No</v>
          </cell>
          <cell r="R41" t="str">
            <v>PANG PATRICIA DR.</v>
          </cell>
          <cell r="S41" t="str">
            <v>525 E 68TH ST</v>
          </cell>
          <cell r="T41" t="str">
            <v>NEW YORK</v>
          </cell>
          <cell r="U41" t="str">
            <v>NY</v>
          </cell>
          <cell r="V41" t="str">
            <v>100654870</v>
          </cell>
          <cell r="AC41" t="str">
            <v>M</v>
          </cell>
          <cell r="AD41" t="str">
            <v>No</v>
          </cell>
          <cell r="AE41" t="str">
            <v>NPI only</v>
          </cell>
          <cell r="AF41" t="str">
            <v>nypeastcampus</v>
          </cell>
          <cell r="AG41" t="str">
            <v>P</v>
          </cell>
        </row>
        <row r="42">
          <cell r="A42" t="str">
            <v>1386745883</v>
          </cell>
          <cell r="B42" t="str">
            <v>02757133</v>
          </cell>
          <cell r="C42" t="str">
            <v>Antonios, Vera S, MD</v>
          </cell>
          <cell r="D42" t="str">
            <v>E0024478</v>
          </cell>
          <cell r="E42" t="str">
            <v>ANTONIOS VERA SALIM MD</v>
          </cell>
          <cell r="G42" t="str">
            <v>Crystal Jordan</v>
          </cell>
          <cell r="H42" t="str">
            <v>(212) 803-2850</v>
          </cell>
          <cell r="J42" t="str">
            <v>cjordan@harlemunited.org</v>
          </cell>
          <cell r="L42" t="str">
            <v>All Other:: Practitioner - Primary Care Provider (PCP)</v>
          </cell>
          <cell r="M42" t="str">
            <v>Yes</v>
          </cell>
          <cell r="R42" t="str">
            <v>ANTONIOS VERA</v>
          </cell>
          <cell r="W42" t="str">
            <v>ANTONIOS VERA SALIM MD</v>
          </cell>
          <cell r="X42" t="str">
            <v>2015 GRAND CONCOURSE</v>
          </cell>
          <cell r="Y42" t="str">
            <v>BRONX</v>
          </cell>
          <cell r="Z42" t="str">
            <v>NY</v>
          </cell>
          <cell r="AA42" t="str">
            <v>10453-4303</v>
          </cell>
          <cell r="AB42" t="str">
            <v>PHYSICIAN</v>
          </cell>
          <cell r="AC42" t="str">
            <v>M</v>
          </cell>
          <cell r="AD42" t="str">
            <v>No</v>
          </cell>
          <cell r="AE42" t="str">
            <v>MMIS</v>
          </cell>
          <cell r="AF42" t="str">
            <v>harlemunited</v>
          </cell>
          <cell r="AG42" t="str">
            <v>P</v>
          </cell>
        </row>
        <row r="43">
          <cell r="A43" t="str">
            <v>1194153262</v>
          </cell>
          <cell r="B43" t="str">
            <v>03784278</v>
          </cell>
          <cell r="C43" t="str">
            <v>Barcavage, Shuan R, NP</v>
          </cell>
          <cell r="D43" t="str">
            <v>E0369228</v>
          </cell>
          <cell r="E43" t="str">
            <v>BARCAVAGE SHAUN</v>
          </cell>
          <cell r="G43" t="str">
            <v>Crystal Jordan</v>
          </cell>
          <cell r="H43" t="str">
            <v>(212) 803-2851</v>
          </cell>
          <cell r="J43" t="str">
            <v>cjordan@harlemunited.org</v>
          </cell>
          <cell r="L43" t="str">
            <v>All Other:: Practitioner - Primary Care Provider (PCP)</v>
          </cell>
          <cell r="M43" t="str">
            <v>No</v>
          </cell>
          <cell r="R43" t="str">
            <v>BARCAVAGE SHAUN</v>
          </cell>
          <cell r="W43" t="str">
            <v>BARCAVAGE SHAUN</v>
          </cell>
          <cell r="X43" t="str">
            <v>123 W 124TH ST</v>
          </cell>
          <cell r="Y43" t="str">
            <v>NEW YORK</v>
          </cell>
          <cell r="Z43" t="str">
            <v>NY</v>
          </cell>
          <cell r="AA43" t="str">
            <v>10027-4920</v>
          </cell>
          <cell r="AB43" t="str">
            <v>PHYSICIAN</v>
          </cell>
          <cell r="AC43" t="str">
            <v>M</v>
          </cell>
          <cell r="AD43" t="str">
            <v>No</v>
          </cell>
          <cell r="AE43" t="str">
            <v>MMIS</v>
          </cell>
          <cell r="AF43" t="str">
            <v>harlemunited</v>
          </cell>
          <cell r="AG43" t="str">
            <v>P</v>
          </cell>
        </row>
        <row r="44">
          <cell r="A44" t="str">
            <v>1609805472</v>
          </cell>
          <cell r="B44" t="str">
            <v>01072962</v>
          </cell>
          <cell r="C44" t="str">
            <v>Bookhardt-Murray, Lois</v>
          </cell>
          <cell r="D44" t="str">
            <v>E0192574</v>
          </cell>
          <cell r="E44" t="str">
            <v>BOOKHARDT-MURRAY LOIS J</v>
          </cell>
          <cell r="G44" t="str">
            <v>Crystal Jordan</v>
          </cell>
          <cell r="H44" t="str">
            <v>(212) 803-2852</v>
          </cell>
          <cell r="J44" t="str">
            <v>cjordan@harlemunited.org</v>
          </cell>
          <cell r="L44" t="str">
            <v>All Other:: Practitioner - Primary Care Provider (PCP)</v>
          </cell>
          <cell r="M44" t="str">
            <v>Yes</v>
          </cell>
          <cell r="R44" t="str">
            <v>BOOKHARDT-MURRAY LOIS DR.</v>
          </cell>
          <cell r="W44" t="str">
            <v>BOOKHARDT-MURRAY LOIS J</v>
          </cell>
          <cell r="X44" t="str">
            <v>HARLEM INT MED PRACT</v>
          </cell>
          <cell r="Y44" t="str">
            <v>NEW YORK</v>
          </cell>
          <cell r="Z44" t="str">
            <v>NY</v>
          </cell>
          <cell r="AA44" t="str">
            <v>10037-1802</v>
          </cell>
          <cell r="AB44" t="str">
            <v>PHYSICIAN</v>
          </cell>
          <cell r="AC44" t="str">
            <v>M</v>
          </cell>
          <cell r="AD44" t="str">
            <v>No</v>
          </cell>
          <cell r="AE44" t="str">
            <v>MMIS</v>
          </cell>
          <cell r="AF44" t="str">
            <v>harlemunited</v>
          </cell>
          <cell r="AG44" t="str">
            <v>P</v>
          </cell>
        </row>
        <row r="45">
          <cell r="A45" t="str">
            <v>1780831669</v>
          </cell>
          <cell r="B45" t="str">
            <v>03525880</v>
          </cell>
          <cell r="C45" t="str">
            <v>Boudreaux, Tyson J, MD</v>
          </cell>
          <cell r="D45" t="str">
            <v>E0342356</v>
          </cell>
          <cell r="E45" t="str">
            <v>BOUDREAUX TYSON</v>
          </cell>
          <cell r="G45" t="str">
            <v>Crystal Jordan</v>
          </cell>
          <cell r="H45" t="str">
            <v>(212) 803-2853</v>
          </cell>
          <cell r="J45" t="str">
            <v>cjordan@harlemunited.org</v>
          </cell>
          <cell r="L45" t="str">
            <v>Mental Health:: Practitioner - Non-Primary Care Provider (PCP)</v>
          </cell>
          <cell r="M45" t="str">
            <v>No</v>
          </cell>
          <cell r="R45" t="str">
            <v>BOUDREAUX TYSON DR.</v>
          </cell>
          <cell r="W45" t="str">
            <v>BOUDREAUX TYSON JUDE</v>
          </cell>
          <cell r="X45" t="str">
            <v>123 W 124TH ST # 125</v>
          </cell>
          <cell r="Y45" t="str">
            <v>NEW YORK</v>
          </cell>
          <cell r="Z45" t="str">
            <v>NY</v>
          </cell>
          <cell r="AA45" t="str">
            <v>10027-4920</v>
          </cell>
          <cell r="AB45" t="str">
            <v>PHYSICIAN</v>
          </cell>
          <cell r="AC45" t="str">
            <v>M</v>
          </cell>
          <cell r="AD45" t="str">
            <v>No</v>
          </cell>
          <cell r="AE45" t="str">
            <v>MMIS</v>
          </cell>
          <cell r="AF45" t="str">
            <v>harlemunited</v>
          </cell>
          <cell r="AG45" t="str">
            <v>P</v>
          </cell>
        </row>
        <row r="46">
          <cell r="A46" t="str">
            <v>1306039623</v>
          </cell>
          <cell r="B46" t="str">
            <v>03461589</v>
          </cell>
          <cell r="C46" t="str">
            <v>Narcisse, Debra A, NP</v>
          </cell>
          <cell r="D46" t="str">
            <v>E0335240</v>
          </cell>
          <cell r="E46" t="str">
            <v>NARCISSE DEBRA</v>
          </cell>
          <cell r="G46" t="str">
            <v>Crystal Jordan</v>
          </cell>
          <cell r="H46" t="str">
            <v>(212) 803-2854</v>
          </cell>
          <cell r="J46" t="str">
            <v>cjordan@harlemunited.org</v>
          </cell>
          <cell r="L46" t="str">
            <v>All Other:: Practitioner - Primary Care Provider (PCP)</v>
          </cell>
          <cell r="M46" t="str">
            <v>Yes</v>
          </cell>
          <cell r="R46" t="str">
            <v>NARCISSE DEBRA MISS</v>
          </cell>
          <cell r="W46" t="str">
            <v>NARCISSE DEBRA</v>
          </cell>
          <cell r="X46" t="str">
            <v>123 W 124TH ST # 125</v>
          </cell>
          <cell r="Y46" t="str">
            <v>NEW YORK</v>
          </cell>
          <cell r="Z46" t="str">
            <v>NY</v>
          </cell>
          <cell r="AA46" t="str">
            <v>10027-4920</v>
          </cell>
          <cell r="AB46" t="str">
            <v>PHYSICIAN</v>
          </cell>
          <cell r="AC46" t="str">
            <v>M</v>
          </cell>
          <cell r="AD46" t="str">
            <v>No</v>
          </cell>
          <cell r="AE46" t="str">
            <v>MMIS</v>
          </cell>
          <cell r="AF46" t="str">
            <v>harlemunited</v>
          </cell>
          <cell r="AG46" t="str">
            <v>P</v>
          </cell>
        </row>
        <row r="47">
          <cell r="A47" t="str">
            <v>1609884394</v>
          </cell>
          <cell r="B47" t="str">
            <v>01714332</v>
          </cell>
          <cell r="C47" t="str">
            <v>Tolbert-Walker, Derrick J, MD</v>
          </cell>
          <cell r="D47" t="str">
            <v>E0128589</v>
          </cell>
          <cell r="E47" t="str">
            <v>TOLBERT-WALKER DERRICK J MD</v>
          </cell>
          <cell r="G47" t="str">
            <v>Crystal Jordan</v>
          </cell>
          <cell r="H47" t="str">
            <v>(212) 803-2855</v>
          </cell>
          <cell r="J47" t="str">
            <v>cjordan@harlemunited.org</v>
          </cell>
          <cell r="L47" t="str">
            <v>All Other:: Practitioner - Primary Care Provider (PCP)</v>
          </cell>
          <cell r="M47" t="str">
            <v>Yes</v>
          </cell>
          <cell r="R47" t="str">
            <v>TOLBERT-WALKER DERRICK DR.</v>
          </cell>
          <cell r="W47" t="str">
            <v>TOLBERT-WALKER DERRICK J MD</v>
          </cell>
          <cell r="X47" t="str">
            <v>16 E 16TH ST</v>
          </cell>
          <cell r="Y47" t="str">
            <v>NEW YORK</v>
          </cell>
          <cell r="Z47" t="str">
            <v>NY</v>
          </cell>
          <cell r="AA47" t="str">
            <v>10003-3105</v>
          </cell>
          <cell r="AB47" t="str">
            <v>PHYSICIAN</v>
          </cell>
          <cell r="AC47" t="str">
            <v>M</v>
          </cell>
          <cell r="AD47" t="str">
            <v>No</v>
          </cell>
          <cell r="AE47" t="str">
            <v>MMIS</v>
          </cell>
          <cell r="AF47" t="str">
            <v>harlemunited</v>
          </cell>
          <cell r="AG47" t="str">
            <v>P</v>
          </cell>
        </row>
        <row r="48">
          <cell r="A48" t="str">
            <v>1205866571</v>
          </cell>
          <cell r="B48" t="str">
            <v>00335704</v>
          </cell>
          <cell r="C48" t="str">
            <v>Yared, Thomas, MD</v>
          </cell>
          <cell r="D48" t="str">
            <v>E0265574</v>
          </cell>
          <cell r="E48" t="str">
            <v>YARED THOMAS A             MD</v>
          </cell>
          <cell r="G48" t="str">
            <v>Crystal Jordan</v>
          </cell>
          <cell r="H48" t="str">
            <v>(212) 803-2856</v>
          </cell>
          <cell r="J48" t="str">
            <v>cjordan@harlemunited.org</v>
          </cell>
          <cell r="L48" t="str">
            <v>Mental Health:: Practitioner - Non-Primary Care Provider (PCP)</v>
          </cell>
          <cell r="M48" t="str">
            <v>No</v>
          </cell>
          <cell r="R48" t="str">
            <v>YARED THOMAS</v>
          </cell>
          <cell r="W48" t="str">
            <v>YARED THOMAS A             MD</v>
          </cell>
          <cell r="X48" t="str">
            <v>STE 604</v>
          </cell>
          <cell r="Y48" t="str">
            <v>MINEOLA</v>
          </cell>
          <cell r="Z48" t="str">
            <v>NY</v>
          </cell>
          <cell r="AA48" t="str">
            <v>11501-3893</v>
          </cell>
          <cell r="AB48" t="str">
            <v>PHYSICIAN</v>
          </cell>
          <cell r="AC48" t="str">
            <v>M</v>
          </cell>
          <cell r="AD48" t="str">
            <v>No</v>
          </cell>
          <cell r="AE48" t="str">
            <v>MMIS</v>
          </cell>
          <cell r="AF48" t="str">
            <v>harlemunited</v>
          </cell>
          <cell r="AG48" t="str">
            <v>P</v>
          </cell>
        </row>
        <row r="49">
          <cell r="A49" t="str">
            <v>1881883999</v>
          </cell>
          <cell r="C49" t="str">
            <v>Ziemba, Jessica C., RPA-C</v>
          </cell>
          <cell r="G49" t="str">
            <v>Crystal Jordan</v>
          </cell>
          <cell r="H49" t="str">
            <v>(212) 803-2857</v>
          </cell>
          <cell r="J49" t="str">
            <v>cjordan@harlemunited.org</v>
          </cell>
          <cell r="K49" t="str">
            <v>Unknown</v>
          </cell>
          <cell r="L49" t="str">
            <v>Practitioner - Non-Primary Care Provider (PCP)</v>
          </cell>
          <cell r="M49" t="str">
            <v>No</v>
          </cell>
          <cell r="R49" t="str">
            <v>ZIEMBA JESSICA</v>
          </cell>
          <cell r="S49" t="str">
            <v>525 EAST 68TH STREET</v>
          </cell>
          <cell r="T49" t="str">
            <v>NEW YORK</v>
          </cell>
          <cell r="U49" t="str">
            <v>NY</v>
          </cell>
          <cell r="V49" t="str">
            <v>100651850</v>
          </cell>
          <cell r="AC49" t="str">
            <v>M</v>
          </cell>
          <cell r="AD49" t="str">
            <v>No</v>
          </cell>
          <cell r="AE49" t="str">
            <v>NPI only</v>
          </cell>
          <cell r="AF49" t="str">
            <v>harlemunited</v>
          </cell>
          <cell r="AG49" t="str">
            <v>P</v>
          </cell>
        </row>
        <row r="50">
          <cell r="A50" t="str">
            <v>1952316622</v>
          </cell>
          <cell r="B50" t="str">
            <v>00490400</v>
          </cell>
          <cell r="C50" t="str">
            <v>ROYE, DAVID P</v>
          </cell>
          <cell r="D50" t="str">
            <v>E0250613</v>
          </cell>
          <cell r="E50" t="str">
            <v>ROYE DAVID P               MD</v>
          </cell>
          <cell r="G50" t="str">
            <v>Kathryn Spaziani</v>
          </cell>
          <cell r="H50" t="str">
            <v>(212) 305-1190</v>
          </cell>
          <cell r="J50" t="str">
            <v>kas9171@nyp.org</v>
          </cell>
          <cell r="L50" t="str">
            <v>All Other:: Practitioner - Non-Primary Care Provider (PCP)</v>
          </cell>
          <cell r="M50" t="str">
            <v>No</v>
          </cell>
          <cell r="R50" t="str">
            <v>ROYE DAVID DR.</v>
          </cell>
          <cell r="W50" t="str">
            <v>ROYE DAVID PRICE</v>
          </cell>
          <cell r="X50" t="str">
            <v>3959 BROADWAY 8 NORTH</v>
          </cell>
          <cell r="Y50" t="str">
            <v>NEW YORK</v>
          </cell>
          <cell r="Z50" t="str">
            <v>NY</v>
          </cell>
          <cell r="AA50" t="str">
            <v>10032-1559</v>
          </cell>
          <cell r="AB50" t="str">
            <v>PHYSICIAN</v>
          </cell>
          <cell r="AC50" t="str">
            <v>M</v>
          </cell>
          <cell r="AD50" t="str">
            <v>No</v>
          </cell>
          <cell r="AE50" t="str">
            <v>MMIS</v>
          </cell>
          <cell r="AF50" t="str">
            <v>nypwestcampus</v>
          </cell>
          <cell r="AG50" t="str">
            <v>P</v>
          </cell>
        </row>
        <row r="51">
          <cell r="A51" t="str">
            <v>1952461063</v>
          </cell>
          <cell r="B51" t="str">
            <v>02969262</v>
          </cell>
          <cell r="C51" t="str">
            <v>CARABALLO, ANGEL A</v>
          </cell>
          <cell r="D51" t="str">
            <v>E0005075</v>
          </cell>
          <cell r="E51" t="str">
            <v>CARABALLO ANGEL A MD</v>
          </cell>
          <cell r="G51" t="str">
            <v>Kathryn Spaziani</v>
          </cell>
          <cell r="H51" t="str">
            <v>(212) 305-1190</v>
          </cell>
          <cell r="J51" t="str">
            <v>kas9171@nyp.org</v>
          </cell>
          <cell r="L51" t="str">
            <v>Mental Health:: Practitioner - Non-Primary Care Provider (PCP)</v>
          </cell>
          <cell r="M51" t="str">
            <v>No</v>
          </cell>
          <cell r="R51" t="str">
            <v>CARABALLO ANGEL DR.</v>
          </cell>
          <cell r="W51" t="str">
            <v>CARABALLO ANGEL A MD</v>
          </cell>
          <cell r="X51" t="str">
            <v>111 E 210TH ST</v>
          </cell>
          <cell r="Y51" t="str">
            <v>BRONX</v>
          </cell>
          <cell r="Z51" t="str">
            <v>NY</v>
          </cell>
          <cell r="AA51" t="str">
            <v>10467-2401</v>
          </cell>
          <cell r="AB51" t="str">
            <v>PHYSICIAN</v>
          </cell>
          <cell r="AC51" t="str">
            <v>M</v>
          </cell>
          <cell r="AD51" t="str">
            <v>No</v>
          </cell>
          <cell r="AE51" t="str">
            <v>MMIS</v>
          </cell>
          <cell r="AF51" t="str">
            <v>nypeastacn</v>
          </cell>
          <cell r="AG51" t="str">
            <v>P</v>
          </cell>
        </row>
        <row r="52">
          <cell r="A52" t="str">
            <v>1588841381</v>
          </cell>
          <cell r="C52" t="str">
            <v>Button Terry</v>
          </cell>
          <cell r="G52" t="str">
            <v>Kathryn Spaziani</v>
          </cell>
          <cell r="H52" t="str">
            <v>(212) 305-1255</v>
          </cell>
          <cell r="J52" t="str">
            <v>kas9171@nyp.org</v>
          </cell>
          <cell r="K52" t="str">
            <v>Physician</v>
          </cell>
          <cell r="L52" t="str">
            <v>Uncategorized</v>
          </cell>
          <cell r="M52" t="str">
            <v>No</v>
          </cell>
          <cell r="R52" t="str">
            <v>BUTTON TERRY DR.</v>
          </cell>
          <cell r="S52" t="str">
            <v>622 W 168TH ST</v>
          </cell>
          <cell r="T52" t="str">
            <v>NEW YORK</v>
          </cell>
          <cell r="U52" t="str">
            <v>NY</v>
          </cell>
          <cell r="V52" t="str">
            <v>100323720</v>
          </cell>
          <cell r="AC52" t="str">
            <v>M</v>
          </cell>
          <cell r="AD52" t="str">
            <v>No</v>
          </cell>
          <cell r="AE52" t="str">
            <v>NPI only</v>
          </cell>
          <cell r="AF52" t="str">
            <v>nypwestcampus</v>
          </cell>
          <cell r="AG52" t="str">
            <v>P</v>
          </cell>
        </row>
        <row r="53">
          <cell r="A53" t="str">
            <v>1861771263</v>
          </cell>
          <cell r="C53" t="str">
            <v>Jambawalikar Sachin</v>
          </cell>
          <cell r="G53" t="str">
            <v>Kathryn Spaziani</v>
          </cell>
          <cell r="H53" t="str">
            <v>(212) 305-1255</v>
          </cell>
          <cell r="J53" t="str">
            <v>kas9171@nyp.org</v>
          </cell>
          <cell r="K53" t="str">
            <v>Physician</v>
          </cell>
          <cell r="L53" t="str">
            <v>Uncategorized</v>
          </cell>
          <cell r="M53" t="str">
            <v>No</v>
          </cell>
          <cell r="R53" t="str">
            <v>JAMBAWALIKAR SACHIN</v>
          </cell>
          <cell r="S53" t="str">
            <v>622 WEST 168TH STREET</v>
          </cell>
          <cell r="T53" t="str">
            <v>NEW YORK</v>
          </cell>
          <cell r="U53" t="str">
            <v>NY</v>
          </cell>
          <cell r="V53" t="str">
            <v>10032</v>
          </cell>
          <cell r="AC53" t="str">
            <v>M</v>
          </cell>
          <cell r="AD53" t="str">
            <v>No</v>
          </cell>
          <cell r="AE53" t="str">
            <v>NPI only</v>
          </cell>
          <cell r="AF53" t="str">
            <v>nypwestcampus</v>
          </cell>
          <cell r="AG53" t="str">
            <v>P</v>
          </cell>
        </row>
        <row r="54">
          <cell r="A54" t="str">
            <v>1588821862</v>
          </cell>
          <cell r="B54" t="str">
            <v>03228333</v>
          </cell>
          <cell r="C54" t="str">
            <v>AUSIELLO, JOHN C</v>
          </cell>
          <cell r="D54" t="str">
            <v>E0307594</v>
          </cell>
          <cell r="E54" t="str">
            <v>JOHN CHRISTOPHER AUSIELLO</v>
          </cell>
          <cell r="G54" t="str">
            <v>Kathryn Spaziani</v>
          </cell>
          <cell r="H54" t="str">
            <v>(212) 305-1190</v>
          </cell>
          <cell r="J54" t="str">
            <v>kas9171@nyp.org</v>
          </cell>
          <cell r="L54" t="str">
            <v>All Other:: Practitioner - Non-Primary Care Provider (PCP)</v>
          </cell>
          <cell r="M54" t="str">
            <v>No</v>
          </cell>
          <cell r="R54" t="str">
            <v>AUSIELLO JOHN DR.</v>
          </cell>
          <cell r="W54" t="str">
            <v>AUSIELLO JOHN CHRISTOPHER</v>
          </cell>
          <cell r="X54" t="str">
            <v>622 W 168TH ST</v>
          </cell>
          <cell r="Y54" t="str">
            <v>NEW YORK</v>
          </cell>
          <cell r="Z54" t="str">
            <v>NY</v>
          </cell>
          <cell r="AA54" t="str">
            <v>10032-3720</v>
          </cell>
          <cell r="AB54" t="str">
            <v>PHYSICIAN</v>
          </cell>
          <cell r="AC54" t="str">
            <v>M</v>
          </cell>
          <cell r="AD54" t="str">
            <v>No</v>
          </cell>
          <cell r="AE54" t="str">
            <v>MMIS</v>
          </cell>
          <cell r="AF54" t="str">
            <v>nypwestacn</v>
          </cell>
          <cell r="AG54" t="str">
            <v>P</v>
          </cell>
        </row>
        <row r="55">
          <cell r="A55" t="str">
            <v>1336325448</v>
          </cell>
          <cell r="B55" t="str">
            <v>00502396</v>
          </cell>
          <cell r="C55" t="str">
            <v xml:space="preserve">COCCHIARELLA, ANTONIO </v>
          </cell>
          <cell r="D55" t="str">
            <v>E0249419</v>
          </cell>
          <cell r="E55" t="str">
            <v>COCCHIARELLA ANTONIO MD</v>
          </cell>
          <cell r="G55" t="str">
            <v>Kathryn Spaziani</v>
          </cell>
          <cell r="H55" t="str">
            <v>(212) 305-1190</v>
          </cell>
          <cell r="J55" t="str">
            <v>kas9171@nyp.org</v>
          </cell>
          <cell r="L55" t="str">
            <v>Practitioner - Non-Primary Care Provider (PCP)</v>
          </cell>
          <cell r="M55" t="str">
            <v>No</v>
          </cell>
          <cell r="R55" t="str">
            <v>COCCHIARELLA ANTONIO DR.</v>
          </cell>
          <cell r="W55" t="str">
            <v>COCCHIARELLA ANTONIO MD</v>
          </cell>
          <cell r="X55" t="str">
            <v>N BROADWAY HOSPITAL</v>
          </cell>
          <cell r="Y55" t="str">
            <v>N TARRYTOWN</v>
          </cell>
          <cell r="Z55" t="str">
            <v>NY</v>
          </cell>
          <cell r="AA55" t="str">
            <v>10591</v>
          </cell>
          <cell r="AB55" t="str">
            <v>PHYSICIAN</v>
          </cell>
          <cell r="AC55" t="str">
            <v>M</v>
          </cell>
          <cell r="AD55" t="str">
            <v>No</v>
          </cell>
          <cell r="AE55" t="str">
            <v>MMIS</v>
          </cell>
          <cell r="AF55" t="str">
            <v>nypwestacn</v>
          </cell>
          <cell r="AG55" t="str">
            <v>P</v>
          </cell>
        </row>
        <row r="56">
          <cell r="A56" t="str">
            <v>1336351519</v>
          </cell>
          <cell r="B56" t="str">
            <v>00165146</v>
          </cell>
          <cell r="C56" t="str">
            <v>STROME, ROBERT R</v>
          </cell>
          <cell r="D56" t="str">
            <v>E0277908</v>
          </cell>
          <cell r="E56" t="str">
            <v>STROME ROBERT R            MD</v>
          </cell>
          <cell r="G56" t="str">
            <v>Kathryn Spaziani</v>
          </cell>
          <cell r="H56" t="str">
            <v>(212) 305-1190</v>
          </cell>
          <cell r="J56" t="str">
            <v>kas9171@nyp.org</v>
          </cell>
          <cell r="L56" t="str">
            <v>Practitioner - Non-Primary Care Provider (PCP)</v>
          </cell>
          <cell r="M56" t="str">
            <v>No</v>
          </cell>
          <cell r="R56" t="str">
            <v>STROME ROBERT DR.</v>
          </cell>
          <cell r="W56" t="str">
            <v>STROME ROBERT R            MD</v>
          </cell>
          <cell r="X56" t="str">
            <v>1000 NORTHERN BLVD</v>
          </cell>
          <cell r="Y56" t="str">
            <v>GREAT NECK</v>
          </cell>
          <cell r="Z56" t="str">
            <v>NY</v>
          </cell>
          <cell r="AA56" t="str">
            <v>11021-5338</v>
          </cell>
          <cell r="AB56" t="str">
            <v>PHYSICIAN</v>
          </cell>
          <cell r="AC56" t="str">
            <v>M</v>
          </cell>
          <cell r="AD56" t="str">
            <v>No</v>
          </cell>
          <cell r="AE56" t="str">
            <v>MMIS</v>
          </cell>
          <cell r="AF56" t="str">
            <v>nypwestcampus</v>
          </cell>
          <cell r="AG56" t="str">
            <v>P</v>
          </cell>
        </row>
        <row r="57">
          <cell r="A57" t="str">
            <v>1649339912</v>
          </cell>
          <cell r="B57" t="str">
            <v>01260333</v>
          </cell>
          <cell r="C57" t="str">
            <v>WORMAN, HOWARD J</v>
          </cell>
          <cell r="D57" t="str">
            <v>E0173873</v>
          </cell>
          <cell r="E57" t="str">
            <v>WORMAN HOWARD J MD</v>
          </cell>
          <cell r="G57" t="str">
            <v>Kathryn Spaziani</v>
          </cell>
          <cell r="H57" t="str">
            <v>(212) 305-1190</v>
          </cell>
          <cell r="J57" t="str">
            <v>kas9171@nyp.org</v>
          </cell>
          <cell r="L57" t="str">
            <v>Practitioner - Non-Primary Care Provider (PCP)</v>
          </cell>
          <cell r="M57" t="str">
            <v>No</v>
          </cell>
          <cell r="R57" t="str">
            <v>WORMAN HOWARD DR.</v>
          </cell>
          <cell r="W57" t="str">
            <v>WORMAN HOWARD J MD</v>
          </cell>
          <cell r="X57" t="str">
            <v>5 E 98TH ST</v>
          </cell>
          <cell r="Y57" t="str">
            <v>NEW YORK</v>
          </cell>
          <cell r="Z57" t="str">
            <v>NY</v>
          </cell>
          <cell r="AA57" t="str">
            <v>10029-6501</v>
          </cell>
          <cell r="AB57" t="str">
            <v>PHYSICIAN</v>
          </cell>
          <cell r="AC57" t="str">
            <v>M</v>
          </cell>
          <cell r="AD57" t="str">
            <v>No</v>
          </cell>
          <cell r="AE57" t="str">
            <v>MMIS</v>
          </cell>
          <cell r="AF57" t="str">
            <v>nypwestcampus</v>
          </cell>
          <cell r="AG57" t="str">
            <v>P</v>
          </cell>
        </row>
        <row r="58">
          <cell r="A58" t="str">
            <v>1649349010</v>
          </cell>
          <cell r="B58" t="str">
            <v>01169511</v>
          </cell>
          <cell r="C58" t="str">
            <v>GRUENSPAN, HARRY L</v>
          </cell>
          <cell r="D58" t="str">
            <v>E0182936</v>
          </cell>
          <cell r="E58" t="str">
            <v>GRUENSPAN HARRY L MD</v>
          </cell>
          <cell r="G58" t="str">
            <v>Kathryn Spaziani</v>
          </cell>
          <cell r="H58" t="str">
            <v>(212) 305-1190</v>
          </cell>
          <cell r="J58" t="str">
            <v>kas9171@nyp.org</v>
          </cell>
          <cell r="L58" t="str">
            <v>All Other:: Practitioner - Non-Primary Care Provider (PCP)</v>
          </cell>
          <cell r="M58" t="str">
            <v>No</v>
          </cell>
          <cell r="R58" t="str">
            <v>GRUENSPAN HARRY DR.</v>
          </cell>
          <cell r="W58" t="str">
            <v>GRUENSPAN HARRY</v>
          </cell>
          <cell r="X58" t="str">
            <v>525 E 68TH ST</v>
          </cell>
          <cell r="Y58" t="str">
            <v>NEW YORK</v>
          </cell>
          <cell r="Z58" t="str">
            <v>NY</v>
          </cell>
          <cell r="AA58" t="str">
            <v>10065-4885</v>
          </cell>
          <cell r="AB58" t="str">
            <v>PHYSICIAN</v>
          </cell>
          <cell r="AC58" t="str">
            <v>M</v>
          </cell>
          <cell r="AD58" t="str">
            <v>No</v>
          </cell>
          <cell r="AE58" t="str">
            <v>MMIS</v>
          </cell>
          <cell r="AF58" t="str">
            <v>nypeastacn</v>
          </cell>
          <cell r="AG58" t="str">
            <v>P</v>
          </cell>
        </row>
        <row r="59">
          <cell r="A59" t="str">
            <v>1649401134</v>
          </cell>
          <cell r="B59" t="str">
            <v>03141435</v>
          </cell>
          <cell r="C59" t="str">
            <v>TOWFIGH, AMIR A</v>
          </cell>
          <cell r="D59" t="str">
            <v>E0297794</v>
          </cell>
          <cell r="E59" t="str">
            <v>TOWFIGH AMIR MD</v>
          </cell>
          <cell r="G59" t="str">
            <v>Kathryn Spaziani</v>
          </cell>
          <cell r="H59" t="str">
            <v>(212) 305-1190</v>
          </cell>
          <cell r="J59" t="str">
            <v>kas9171@nyp.org</v>
          </cell>
          <cell r="L59" t="str">
            <v>Practitioner - Non-Primary Care Provider (PCP)</v>
          </cell>
          <cell r="M59" t="str">
            <v>No</v>
          </cell>
          <cell r="R59" t="str">
            <v>TOWFIGH AMIR MR.</v>
          </cell>
          <cell r="W59" t="str">
            <v>TOWFIGH AMIR MD</v>
          </cell>
          <cell r="AB59" t="str">
            <v>PHYSICIAN</v>
          </cell>
          <cell r="AC59" t="str">
            <v>M</v>
          </cell>
          <cell r="AD59" t="str">
            <v>No</v>
          </cell>
          <cell r="AE59" t="str">
            <v>MMIS</v>
          </cell>
          <cell r="AF59" t="str">
            <v>nypeastcampus</v>
          </cell>
          <cell r="AG59" t="str">
            <v>P</v>
          </cell>
        </row>
        <row r="60">
          <cell r="A60" t="str">
            <v>1336119759</v>
          </cell>
          <cell r="B60" t="str">
            <v>01376118</v>
          </cell>
          <cell r="C60" t="str">
            <v>MARKOWITZ, ARLENE H</v>
          </cell>
          <cell r="D60" t="str">
            <v>E0162347</v>
          </cell>
          <cell r="E60" t="str">
            <v>MARKOWITZ ARLENE H MD</v>
          </cell>
          <cell r="G60" t="str">
            <v>Kathryn Spaziani</v>
          </cell>
          <cell r="H60" t="str">
            <v>(212) 305-1190</v>
          </cell>
          <cell r="J60" t="str">
            <v>kas9171@nyp.org</v>
          </cell>
          <cell r="L60" t="str">
            <v>Practitioner - Non-Primary Care Provider (PCP)</v>
          </cell>
          <cell r="M60" t="str">
            <v>No</v>
          </cell>
          <cell r="R60" t="str">
            <v>MARKOWITZ ARLENE DR.</v>
          </cell>
          <cell r="W60" t="str">
            <v>MARKOWITZ ARLENE H MD</v>
          </cell>
          <cell r="X60" t="str">
            <v>630 W 168TH ST</v>
          </cell>
          <cell r="Y60" t="str">
            <v>NEW YORK</v>
          </cell>
          <cell r="Z60" t="str">
            <v>NY</v>
          </cell>
          <cell r="AA60" t="str">
            <v>10032-3725</v>
          </cell>
          <cell r="AB60" t="str">
            <v>PHYSICIAN</v>
          </cell>
          <cell r="AC60" t="str">
            <v>M</v>
          </cell>
          <cell r="AD60" t="str">
            <v>No</v>
          </cell>
          <cell r="AE60" t="str">
            <v>MMIS</v>
          </cell>
          <cell r="AF60" t="str">
            <v>nypwestcampus</v>
          </cell>
          <cell r="AG60" t="str">
            <v>P</v>
          </cell>
        </row>
        <row r="61">
          <cell r="A61" t="str">
            <v>1346582707</v>
          </cell>
          <cell r="C61" t="str">
            <v>Ittoop Rhea</v>
          </cell>
          <cell r="G61" t="str">
            <v>Kathryn Spaziani</v>
          </cell>
          <cell r="H61" t="str">
            <v>(212) 305-1255</v>
          </cell>
          <cell r="J61" t="str">
            <v>kas9171@nyp.org</v>
          </cell>
          <cell r="K61" t="str">
            <v>Physician</v>
          </cell>
          <cell r="L61" t="str">
            <v>Uncategorized</v>
          </cell>
          <cell r="M61" t="str">
            <v>No</v>
          </cell>
          <cell r="R61" t="str">
            <v>ITTOOP RHEA</v>
          </cell>
          <cell r="S61" t="str">
            <v>622 WEST 168TH STREET, COLUMBIA PRESBYTERIAN CENTER</v>
          </cell>
          <cell r="T61" t="str">
            <v>NEW YORK</v>
          </cell>
          <cell r="U61" t="str">
            <v>NY</v>
          </cell>
          <cell r="V61" t="str">
            <v>10032</v>
          </cell>
          <cell r="AC61" t="str">
            <v>M</v>
          </cell>
          <cell r="AD61" t="str">
            <v>No</v>
          </cell>
          <cell r="AE61" t="str">
            <v>NPI only</v>
          </cell>
          <cell r="AF61" t="str">
            <v>nypwestcampus</v>
          </cell>
          <cell r="AG61" t="str">
            <v>P</v>
          </cell>
        </row>
        <row r="62">
          <cell r="A62" t="str">
            <v>1043577216</v>
          </cell>
          <cell r="C62" t="str">
            <v>Jackson William</v>
          </cell>
          <cell r="G62" t="str">
            <v>Kathryn Spaziani</v>
          </cell>
          <cell r="H62" t="str">
            <v>(212) 305-1255</v>
          </cell>
          <cell r="J62" t="str">
            <v>kas9171@nyp.org</v>
          </cell>
          <cell r="K62" t="str">
            <v>Physician</v>
          </cell>
          <cell r="L62" t="str">
            <v>Uncategorized</v>
          </cell>
          <cell r="M62" t="str">
            <v>No</v>
          </cell>
          <cell r="R62" t="str">
            <v>JACKSON WILLIAM</v>
          </cell>
          <cell r="S62" t="str">
            <v>630 W 168TH ST</v>
          </cell>
          <cell r="T62" t="str">
            <v>NEW YORK</v>
          </cell>
          <cell r="U62" t="str">
            <v>NY</v>
          </cell>
          <cell r="V62" t="str">
            <v>100323725</v>
          </cell>
          <cell r="AC62" t="str">
            <v>M</v>
          </cell>
          <cell r="AD62" t="str">
            <v>No</v>
          </cell>
          <cell r="AE62" t="str">
            <v>NPI only</v>
          </cell>
          <cell r="AF62" t="str">
            <v>nypwestcampus</v>
          </cell>
          <cell r="AG62" t="str">
            <v>P</v>
          </cell>
        </row>
        <row r="63">
          <cell r="A63" t="str">
            <v>1164715686</v>
          </cell>
          <cell r="B63" t="str">
            <v>04504665</v>
          </cell>
          <cell r="C63" t="str">
            <v>Jahanbakhsh Bahram</v>
          </cell>
          <cell r="D63" t="str">
            <v>E0443158</v>
          </cell>
          <cell r="E63" t="str">
            <v>JAHANBAKHSH BAHRAM</v>
          </cell>
          <cell r="G63" t="str">
            <v>Kathryn Spaziani</v>
          </cell>
          <cell r="H63" t="str">
            <v>(212) 305-1255</v>
          </cell>
          <cell r="J63" t="str">
            <v>kas9171@nyp.org</v>
          </cell>
          <cell r="L63" t="str">
            <v>Uncategorized</v>
          </cell>
          <cell r="M63" t="str">
            <v>No</v>
          </cell>
          <cell r="R63" t="str">
            <v>JAHANBAKHSH BAHRAM</v>
          </cell>
          <cell r="W63" t="str">
            <v>JAHANBAKHSH BAHRAM</v>
          </cell>
          <cell r="AB63" t="str">
            <v>PHYSICIAN</v>
          </cell>
          <cell r="AC63" t="str">
            <v>M</v>
          </cell>
          <cell r="AD63" t="str">
            <v>No</v>
          </cell>
          <cell r="AE63" t="str">
            <v>MMIS</v>
          </cell>
          <cell r="AF63" t="str">
            <v>nypwestacn</v>
          </cell>
          <cell r="AG63" t="str">
            <v>P</v>
          </cell>
        </row>
        <row r="64">
          <cell r="A64" t="str">
            <v>1851711824</v>
          </cell>
          <cell r="C64" t="str">
            <v>Jin Richard</v>
          </cell>
          <cell r="G64" t="str">
            <v>Kathryn Spaziani</v>
          </cell>
          <cell r="H64" t="str">
            <v>(212) 305-1255</v>
          </cell>
          <cell r="J64" t="str">
            <v>kas9171@nyp.org</v>
          </cell>
          <cell r="K64" t="str">
            <v>Physician</v>
          </cell>
          <cell r="L64" t="str">
            <v>Uncategorized</v>
          </cell>
          <cell r="M64" t="str">
            <v>No</v>
          </cell>
          <cell r="R64" t="str">
            <v>JIN RICHARD DR.</v>
          </cell>
          <cell r="S64" t="str">
            <v>622 W 168TH ST, PH5-133</v>
          </cell>
          <cell r="T64" t="str">
            <v>NEW YORK</v>
          </cell>
          <cell r="U64" t="str">
            <v>NY</v>
          </cell>
          <cell r="V64" t="str">
            <v>100323720</v>
          </cell>
          <cell r="AC64" t="str">
            <v>M</v>
          </cell>
          <cell r="AD64" t="str">
            <v>No</v>
          </cell>
          <cell r="AE64" t="str">
            <v>NPI only</v>
          </cell>
          <cell r="AF64" t="str">
            <v>nypwestcampus</v>
          </cell>
          <cell r="AG64" t="str">
            <v>P</v>
          </cell>
        </row>
        <row r="65">
          <cell r="A65" t="str">
            <v>1083904247</v>
          </cell>
          <cell r="C65" t="str">
            <v>Khimani Namrata</v>
          </cell>
          <cell r="G65" t="str">
            <v>Kathryn Spaziani</v>
          </cell>
          <cell r="H65" t="str">
            <v>(212) 305-1255</v>
          </cell>
          <cell r="J65" t="str">
            <v>kas9171@nyp.org</v>
          </cell>
          <cell r="K65" t="str">
            <v>Physician</v>
          </cell>
          <cell r="L65" t="str">
            <v>Uncategorized</v>
          </cell>
          <cell r="M65" t="str">
            <v>No</v>
          </cell>
          <cell r="R65" t="str">
            <v>KHIMANI NAMRATA DR.</v>
          </cell>
          <cell r="S65" t="str">
            <v>630 W 168TH ST</v>
          </cell>
          <cell r="T65" t="str">
            <v>NEW YORK</v>
          </cell>
          <cell r="U65" t="str">
            <v>NY</v>
          </cell>
          <cell r="V65" t="str">
            <v>100323725</v>
          </cell>
          <cell r="AC65" t="str">
            <v>M</v>
          </cell>
          <cell r="AD65" t="str">
            <v>No</v>
          </cell>
          <cell r="AE65" t="str">
            <v>NPI only</v>
          </cell>
          <cell r="AF65" t="str">
            <v>nypwestacn</v>
          </cell>
          <cell r="AG65" t="str">
            <v>P</v>
          </cell>
        </row>
        <row r="66">
          <cell r="A66" t="str">
            <v>1477764496</v>
          </cell>
          <cell r="B66" t="str">
            <v>00695941</v>
          </cell>
          <cell r="C66" t="str">
            <v>Community Healthcare Network, Inc</v>
          </cell>
          <cell r="D66" t="str">
            <v>E0230109</v>
          </cell>
          <cell r="E66" t="str">
            <v>COMMUNITY HEALTHCARE NETWORK</v>
          </cell>
          <cell r="G66" t="str">
            <v>Corina Sharp</v>
          </cell>
          <cell r="H66" t="str">
            <v>(212) 545-2441</v>
          </cell>
          <cell r="J66" t="str">
            <v>csharp@chnnyc.org</v>
          </cell>
          <cell r="L66" t="str">
            <v>All Other:: Clinic:: Mental Health</v>
          </cell>
          <cell r="M66" t="str">
            <v>Yes</v>
          </cell>
          <cell r="R66" t="str">
            <v>COMMUNITY HEALTHCARE NETWORK, INC</v>
          </cell>
          <cell r="W66" t="str">
            <v>COMMUNITY HEALTHCARE NETWORK</v>
          </cell>
          <cell r="X66" t="str">
            <v>4215 CRESCENT ST</v>
          </cell>
          <cell r="Y66" t="str">
            <v>LONG ISLAND CITY</v>
          </cell>
          <cell r="Z66" t="str">
            <v>NY</v>
          </cell>
          <cell r="AA66" t="str">
            <v>11101-4213</v>
          </cell>
          <cell r="AB66" t="str">
            <v>MULTI-TYPE</v>
          </cell>
          <cell r="AC66" t="str">
            <v>M</v>
          </cell>
          <cell r="AD66" t="str">
            <v>No</v>
          </cell>
          <cell r="AE66" t="str">
            <v>MMIS</v>
          </cell>
          <cell r="AF66" t="str">
            <v>chn</v>
          </cell>
          <cell r="AG66" t="str">
            <v>P</v>
          </cell>
        </row>
        <row r="67">
          <cell r="A67" t="str">
            <v>1639158116</v>
          </cell>
          <cell r="B67" t="str">
            <v>02762729</v>
          </cell>
          <cell r="C67" t="str">
            <v>FRIEDMAN, PETER C</v>
          </cell>
          <cell r="D67" t="str">
            <v>E0023920</v>
          </cell>
          <cell r="E67" t="str">
            <v>FRIEDMAN PETER</v>
          </cell>
          <cell r="G67" t="str">
            <v>Kathryn Spaziani</v>
          </cell>
          <cell r="H67" t="str">
            <v>(212) 305-1190</v>
          </cell>
          <cell r="J67" t="str">
            <v>kas9171@nyp.org</v>
          </cell>
          <cell r="L67" t="str">
            <v>All Other:: Practitioner - Non-Primary Care Provider (PCP)</v>
          </cell>
          <cell r="M67" t="str">
            <v>No</v>
          </cell>
          <cell r="R67" t="str">
            <v>FRIEDMAN PETER DR.</v>
          </cell>
          <cell r="W67" t="str">
            <v>FRIEDMAN PETER</v>
          </cell>
          <cell r="X67" t="str">
            <v>28 RYKOWSKI LN</v>
          </cell>
          <cell r="Y67" t="str">
            <v>MIDDLETOWN</v>
          </cell>
          <cell r="Z67" t="str">
            <v>NY</v>
          </cell>
          <cell r="AA67" t="str">
            <v>10941-4018</v>
          </cell>
          <cell r="AB67" t="str">
            <v>PHYSICIAN</v>
          </cell>
          <cell r="AC67" t="str">
            <v>M</v>
          </cell>
          <cell r="AD67" t="str">
            <v>No</v>
          </cell>
          <cell r="AE67" t="str">
            <v>MMIS</v>
          </cell>
          <cell r="AF67" t="str">
            <v>nypwestacn</v>
          </cell>
          <cell r="AG67" t="str">
            <v>P</v>
          </cell>
        </row>
        <row r="68">
          <cell r="A68" t="str">
            <v>1639184161</v>
          </cell>
          <cell r="B68" t="str">
            <v>03534127</v>
          </cell>
          <cell r="C68" t="str">
            <v>BATEMAN, LISA M</v>
          </cell>
          <cell r="D68" t="str">
            <v>E0343239</v>
          </cell>
          <cell r="E68" t="str">
            <v>BATEMAN LISA MARIE</v>
          </cell>
          <cell r="G68" t="str">
            <v>Kathryn Spaziani</v>
          </cell>
          <cell r="H68" t="str">
            <v>(212) 305-1190</v>
          </cell>
          <cell r="J68" t="str">
            <v>kas9171@nyp.org</v>
          </cell>
          <cell r="L68" t="str">
            <v>Practitioner - Non-Primary Care Provider (PCP)</v>
          </cell>
          <cell r="M68" t="str">
            <v>No</v>
          </cell>
          <cell r="R68" t="str">
            <v>BATEMAN LISA DR.</v>
          </cell>
          <cell r="W68" t="str">
            <v>BATEMAN LISA MARIE</v>
          </cell>
          <cell r="X68" t="str">
            <v>710 W 168TH ST</v>
          </cell>
          <cell r="Y68" t="str">
            <v>NEW YORK</v>
          </cell>
          <cell r="Z68" t="str">
            <v>NY</v>
          </cell>
          <cell r="AA68" t="str">
            <v>10032-3726</v>
          </cell>
          <cell r="AB68" t="str">
            <v>PHYSICIAN</v>
          </cell>
          <cell r="AC68" t="str">
            <v>M</v>
          </cell>
          <cell r="AD68" t="str">
            <v>No</v>
          </cell>
          <cell r="AE68" t="str">
            <v>MMIS</v>
          </cell>
          <cell r="AF68" t="str">
            <v>nypwestacn</v>
          </cell>
          <cell r="AG68" t="str">
            <v>P</v>
          </cell>
        </row>
        <row r="69">
          <cell r="A69" t="str">
            <v>1205937927</v>
          </cell>
          <cell r="B69" t="str">
            <v>00783106</v>
          </cell>
          <cell r="C69" t="str">
            <v>HUTT, CHERYL S</v>
          </cell>
          <cell r="D69" t="str">
            <v>E0221416</v>
          </cell>
          <cell r="E69" t="str">
            <v>HUTT CHERYL S              MD</v>
          </cell>
          <cell r="G69" t="str">
            <v>Kathryn Spaziani</v>
          </cell>
          <cell r="H69" t="str">
            <v>(212) 305-1190</v>
          </cell>
          <cell r="J69" t="str">
            <v>kas9171@nyp.org</v>
          </cell>
          <cell r="L69" t="str">
            <v>Practitioner - Non-Primary Care Provider (PCP)</v>
          </cell>
          <cell r="M69" t="str">
            <v>No</v>
          </cell>
          <cell r="R69" t="str">
            <v>HUTT CHERYL DR.</v>
          </cell>
          <cell r="W69" t="str">
            <v>HUTT CHERYL S              MD</v>
          </cell>
          <cell r="Y69" t="str">
            <v>NEW YORK</v>
          </cell>
          <cell r="Z69" t="str">
            <v>NY</v>
          </cell>
          <cell r="AA69" t="str">
            <v>10032-3720</v>
          </cell>
          <cell r="AB69" t="str">
            <v>PHYSICIAN</v>
          </cell>
          <cell r="AC69" t="str">
            <v>M</v>
          </cell>
          <cell r="AD69" t="str">
            <v>No</v>
          </cell>
          <cell r="AE69" t="str">
            <v>MMIS</v>
          </cell>
          <cell r="AF69" t="str">
            <v>nypwestacn</v>
          </cell>
          <cell r="AG69" t="str">
            <v>P</v>
          </cell>
        </row>
        <row r="70">
          <cell r="A70" t="str">
            <v>1891945341</v>
          </cell>
          <cell r="B70" t="str">
            <v>03313191</v>
          </cell>
          <cell r="C70" t="str">
            <v>LIEB, JOCELYN A</v>
          </cell>
          <cell r="D70" t="str">
            <v>E0317175</v>
          </cell>
          <cell r="E70" t="str">
            <v>LIEB JOCELYN</v>
          </cell>
          <cell r="G70" t="str">
            <v>Kathryn Spaziani</v>
          </cell>
          <cell r="H70" t="str">
            <v>(212) 305-1190</v>
          </cell>
          <cell r="J70" t="str">
            <v>kas9171@nyp.org</v>
          </cell>
          <cell r="L70" t="str">
            <v>Practitioner - Non-Primary Care Provider (PCP)</v>
          </cell>
          <cell r="M70" t="str">
            <v>No</v>
          </cell>
          <cell r="R70" t="str">
            <v>LIEB JOCELYN DR.</v>
          </cell>
          <cell r="W70" t="str">
            <v>LIEB JOCELYN</v>
          </cell>
          <cell r="X70" t="str">
            <v>161 FORT WASHINGTON AVE</v>
          </cell>
          <cell r="Y70" t="str">
            <v>NEW YORK</v>
          </cell>
          <cell r="Z70" t="str">
            <v>NY</v>
          </cell>
          <cell r="AA70" t="str">
            <v>10032-3729</v>
          </cell>
          <cell r="AB70" t="str">
            <v>PHYSICIAN</v>
          </cell>
          <cell r="AC70" t="str">
            <v>M</v>
          </cell>
          <cell r="AD70" t="str">
            <v>No</v>
          </cell>
          <cell r="AE70" t="str">
            <v>MMIS</v>
          </cell>
          <cell r="AF70" t="str">
            <v>nypwestcampus</v>
          </cell>
          <cell r="AG70" t="str">
            <v>P</v>
          </cell>
        </row>
        <row r="71">
          <cell r="A71" t="str">
            <v>1700178225</v>
          </cell>
          <cell r="C71" t="str">
            <v>Pomeranz Christy</v>
          </cell>
          <cell r="G71" t="str">
            <v>Kathryn Spaziani</v>
          </cell>
          <cell r="H71" t="str">
            <v>(212) 305-1255</v>
          </cell>
          <cell r="J71" t="str">
            <v>kas9171@nyp.org</v>
          </cell>
          <cell r="K71" t="str">
            <v>Physician</v>
          </cell>
          <cell r="L71" t="str">
            <v>Uncategorized</v>
          </cell>
          <cell r="M71" t="str">
            <v>No</v>
          </cell>
          <cell r="R71" t="str">
            <v>POMERANZ CHRISTY DR.</v>
          </cell>
          <cell r="S71" t="str">
            <v>5995 PARK RD</v>
          </cell>
          <cell r="T71" t="str">
            <v>CINCINNATI</v>
          </cell>
          <cell r="U71" t="str">
            <v>OH</v>
          </cell>
          <cell r="V71" t="str">
            <v>452433413</v>
          </cell>
          <cell r="AC71" t="str">
            <v>M</v>
          </cell>
          <cell r="AD71" t="str">
            <v>No</v>
          </cell>
          <cell r="AE71" t="str">
            <v>NPI only</v>
          </cell>
          <cell r="AF71" t="str">
            <v>nypeastcampus</v>
          </cell>
          <cell r="AG71" t="str">
            <v>P</v>
          </cell>
        </row>
        <row r="72">
          <cell r="A72" t="str">
            <v>1942354212</v>
          </cell>
          <cell r="B72" t="str">
            <v>02334283</v>
          </cell>
          <cell r="C72" t="str">
            <v>Wagener Gebhard</v>
          </cell>
          <cell r="D72" t="str">
            <v>E0066675</v>
          </cell>
          <cell r="E72" t="str">
            <v>WAGENER GEBHARD MD</v>
          </cell>
          <cell r="L72" t="str">
            <v>All Other:: Practitioner - Non-Primary Care Provider (PCP)</v>
          </cell>
          <cell r="M72" t="str">
            <v>No</v>
          </cell>
          <cell r="R72" t="str">
            <v>WAGENER GEBHARD DR.</v>
          </cell>
          <cell r="W72" t="str">
            <v>WAGENER GEBHARD MD</v>
          </cell>
          <cell r="X72" t="str">
            <v>622 W 168TH ST</v>
          </cell>
          <cell r="Y72" t="str">
            <v>NEW YORK</v>
          </cell>
          <cell r="Z72" t="str">
            <v>NY</v>
          </cell>
          <cell r="AA72" t="str">
            <v>10032-3720</v>
          </cell>
          <cell r="AB72" t="str">
            <v>PHYSICIAN</v>
          </cell>
          <cell r="AC72" t="str">
            <v>M</v>
          </cell>
          <cell r="AD72" t="str">
            <v>No</v>
          </cell>
          <cell r="AE72" t="str">
            <v>MMIS</v>
          </cell>
          <cell r="AF72" t="str">
            <v>nypwestcampus</v>
          </cell>
          <cell r="AG72" t="str">
            <v>P</v>
          </cell>
        </row>
        <row r="73">
          <cell r="A73" t="str">
            <v>1760669501</v>
          </cell>
          <cell r="B73" t="str">
            <v>02598745</v>
          </cell>
          <cell r="C73" t="str">
            <v>Weller Mark</v>
          </cell>
          <cell r="D73" t="str">
            <v>E0040283</v>
          </cell>
          <cell r="E73" t="str">
            <v>WELLER MARK ANDREAS MD</v>
          </cell>
          <cell r="L73" t="str">
            <v>All Other:: Practitioner - Non-Primary Care Provider (PCP)</v>
          </cell>
          <cell r="M73" t="str">
            <v>No</v>
          </cell>
          <cell r="R73" t="str">
            <v>WELLER MARK</v>
          </cell>
          <cell r="W73" t="str">
            <v>WELLER MARK ANDREAS MD</v>
          </cell>
          <cell r="X73" t="str">
            <v>622 W 168TH ST</v>
          </cell>
          <cell r="Y73" t="str">
            <v>NEW YORK</v>
          </cell>
          <cell r="Z73" t="str">
            <v>NY</v>
          </cell>
          <cell r="AA73" t="str">
            <v>10032-3720</v>
          </cell>
          <cell r="AB73" t="str">
            <v>PHYSICIAN</v>
          </cell>
          <cell r="AC73" t="str">
            <v>M</v>
          </cell>
          <cell r="AD73" t="str">
            <v>No</v>
          </cell>
          <cell r="AE73" t="str">
            <v>MMIS</v>
          </cell>
          <cell r="AF73" t="str">
            <v>nypwestcampus</v>
          </cell>
          <cell r="AG73" t="str">
            <v>P</v>
          </cell>
        </row>
        <row r="74">
          <cell r="A74" t="str">
            <v>1033261359</v>
          </cell>
          <cell r="B74" t="str">
            <v>01417005</v>
          </cell>
          <cell r="C74" t="str">
            <v>Cain Charles</v>
          </cell>
          <cell r="D74" t="str">
            <v>E0158273</v>
          </cell>
          <cell r="E74" t="str">
            <v>CAIN CHARLES F</v>
          </cell>
          <cell r="L74" t="str">
            <v>Practitioner - Non-Primary Care Provider (PCP)</v>
          </cell>
          <cell r="M74" t="str">
            <v>No</v>
          </cell>
          <cell r="R74" t="str">
            <v>CAIN CHARLES DR.</v>
          </cell>
          <cell r="W74" t="str">
            <v>CAIN CHARLES F</v>
          </cell>
          <cell r="Y74" t="str">
            <v>NEW YORK</v>
          </cell>
          <cell r="Z74" t="str">
            <v>NY</v>
          </cell>
          <cell r="AA74" t="str">
            <v>10032-3720</v>
          </cell>
          <cell r="AB74" t="str">
            <v>PHYSICIAN</v>
          </cell>
          <cell r="AC74" t="str">
            <v>M</v>
          </cell>
          <cell r="AD74" t="str">
            <v>No</v>
          </cell>
          <cell r="AE74" t="str">
            <v>MMIS</v>
          </cell>
          <cell r="AF74" t="str">
            <v>nypwestcampus</v>
          </cell>
          <cell r="AG74" t="str">
            <v>P</v>
          </cell>
        </row>
        <row r="75">
          <cell r="A75" t="str">
            <v>1245382514</v>
          </cell>
          <cell r="B75" t="str">
            <v>00951611</v>
          </cell>
          <cell r="C75" t="str">
            <v>Curry Saundra</v>
          </cell>
          <cell r="D75" t="str">
            <v>E0204601</v>
          </cell>
          <cell r="E75" t="str">
            <v>CURRY SAUNDRA ELLEN W      MD</v>
          </cell>
          <cell r="L75" t="str">
            <v>All Other:: Practitioner - Non-Primary Care Provider (PCP)</v>
          </cell>
          <cell r="M75" t="str">
            <v>No</v>
          </cell>
          <cell r="R75" t="str">
            <v>CURRY SAUNDRA DR.</v>
          </cell>
          <cell r="W75" t="str">
            <v>CURRY SAUNDRA ELLEN W      MD</v>
          </cell>
          <cell r="X75" t="str">
            <v>622 W 168TH ST</v>
          </cell>
          <cell r="Y75" t="str">
            <v>NEW YORK</v>
          </cell>
          <cell r="Z75" t="str">
            <v>NY</v>
          </cell>
          <cell r="AA75" t="str">
            <v>10032-3720</v>
          </cell>
          <cell r="AB75" t="str">
            <v>PHYSICIAN</v>
          </cell>
          <cell r="AC75" t="str">
            <v>M</v>
          </cell>
          <cell r="AD75" t="str">
            <v>No</v>
          </cell>
          <cell r="AE75" t="str">
            <v>MMIS</v>
          </cell>
          <cell r="AF75" t="str">
            <v>nypwestcampus</v>
          </cell>
          <cell r="AG75" t="str">
            <v>P</v>
          </cell>
        </row>
        <row r="76">
          <cell r="A76" t="str">
            <v>1265584452</v>
          </cell>
          <cell r="B76" t="str">
            <v>02598007</v>
          </cell>
          <cell r="C76" t="str">
            <v>Egan Brian</v>
          </cell>
          <cell r="D76" t="str">
            <v>E0040356</v>
          </cell>
          <cell r="E76" t="str">
            <v>EGAN BRIAN MD</v>
          </cell>
          <cell r="L76" t="str">
            <v>All Other:: Practitioner - Non-Primary Care Provider (PCP)</v>
          </cell>
          <cell r="M76" t="str">
            <v>No</v>
          </cell>
          <cell r="R76" t="str">
            <v>EGAN BRIAN DR.</v>
          </cell>
          <cell r="W76" t="str">
            <v>EGAN BRIAN MD</v>
          </cell>
          <cell r="X76" t="str">
            <v>622 W 168TH ST</v>
          </cell>
          <cell r="Y76" t="str">
            <v>NEW YORK</v>
          </cell>
          <cell r="Z76" t="str">
            <v>NY</v>
          </cell>
          <cell r="AA76" t="str">
            <v>10032-3720</v>
          </cell>
          <cell r="AB76" t="str">
            <v>PHYSICIAN</v>
          </cell>
          <cell r="AC76" t="str">
            <v>M</v>
          </cell>
          <cell r="AD76" t="str">
            <v>No</v>
          </cell>
          <cell r="AE76" t="str">
            <v>MMIS</v>
          </cell>
          <cell r="AF76" t="str">
            <v>nypwestcampus</v>
          </cell>
          <cell r="AG76" t="str">
            <v>P</v>
          </cell>
        </row>
        <row r="77">
          <cell r="A77" t="str">
            <v>1750606406</v>
          </cell>
          <cell r="B77" t="str">
            <v>03936101</v>
          </cell>
          <cell r="C77" t="str">
            <v>Herschmiller Emily</v>
          </cell>
          <cell r="D77" t="str">
            <v>E0384822</v>
          </cell>
          <cell r="E77" t="str">
            <v>HERSCHMILLER EMILY JANE</v>
          </cell>
          <cell r="G77" t="str">
            <v>Kathryn Spaziani</v>
          </cell>
          <cell r="H77" t="str">
            <v>(212) 305-1255</v>
          </cell>
          <cell r="J77" t="str">
            <v>kas9171@nyp.org</v>
          </cell>
          <cell r="L77" t="str">
            <v>All Other:: Practitioner - Non-Primary Care Provider (PCP)</v>
          </cell>
          <cell r="M77" t="str">
            <v>No</v>
          </cell>
          <cell r="R77" t="str">
            <v>HERSCHMILLER EMILY DR.</v>
          </cell>
          <cell r="W77" t="str">
            <v>HERSCHMILLER EMILY JANE</v>
          </cell>
          <cell r="X77" t="str">
            <v>622 W 168TH ST</v>
          </cell>
          <cell r="Y77" t="str">
            <v>NEW YORK</v>
          </cell>
          <cell r="Z77" t="str">
            <v>NY</v>
          </cell>
          <cell r="AA77" t="str">
            <v>10032-3720</v>
          </cell>
          <cell r="AB77" t="str">
            <v>PHYSICIAN</v>
          </cell>
          <cell r="AC77" t="str">
            <v>M</v>
          </cell>
          <cell r="AD77" t="str">
            <v>No</v>
          </cell>
          <cell r="AE77" t="str">
            <v>MMIS</v>
          </cell>
          <cell r="AF77" t="str">
            <v>nypeastacn</v>
          </cell>
          <cell r="AG77" t="str">
            <v>P</v>
          </cell>
        </row>
        <row r="78">
          <cell r="A78" t="str">
            <v>1104068725</v>
          </cell>
          <cell r="B78" t="str">
            <v>03360423</v>
          </cell>
          <cell r="C78" t="str">
            <v>Kim Minjae</v>
          </cell>
          <cell r="D78" t="str">
            <v>E0322725</v>
          </cell>
          <cell r="E78" t="str">
            <v>KIM MINJAE MD</v>
          </cell>
          <cell r="L78" t="str">
            <v>All Other:: Practitioner - Non-Primary Care Provider (PCP)</v>
          </cell>
          <cell r="M78" t="str">
            <v>No</v>
          </cell>
          <cell r="R78" t="str">
            <v>KIM MINJAE</v>
          </cell>
          <cell r="W78" t="str">
            <v>KIM MINJAE MD</v>
          </cell>
          <cell r="X78" t="str">
            <v>622 W 168TH ST</v>
          </cell>
          <cell r="Y78" t="str">
            <v>NEW YORK</v>
          </cell>
          <cell r="Z78" t="str">
            <v>NY</v>
          </cell>
          <cell r="AA78" t="str">
            <v>10032-3720</v>
          </cell>
          <cell r="AB78" t="str">
            <v>PHYSICIAN</v>
          </cell>
          <cell r="AC78" t="str">
            <v>M</v>
          </cell>
          <cell r="AD78" t="str">
            <v>No</v>
          </cell>
          <cell r="AE78" t="str">
            <v>MMIS</v>
          </cell>
          <cell r="AF78" t="str">
            <v>nypwestcampus</v>
          </cell>
          <cell r="AG78" t="str">
            <v>P</v>
          </cell>
        </row>
        <row r="79">
          <cell r="A79" t="str">
            <v>1952543647</v>
          </cell>
          <cell r="B79" t="str">
            <v>03468628</v>
          </cell>
          <cell r="C79" t="str">
            <v>CIOROIU, COMANA M</v>
          </cell>
          <cell r="D79" t="str">
            <v>E0336096</v>
          </cell>
          <cell r="E79" t="str">
            <v>CLOROIU COMANA M</v>
          </cell>
          <cell r="G79" t="str">
            <v>Kathryn Spaziani</v>
          </cell>
          <cell r="H79" t="str">
            <v>(212) 305-1190</v>
          </cell>
          <cell r="J79" t="str">
            <v>kas9171@nyp.org</v>
          </cell>
          <cell r="L79" t="str">
            <v>Practitioner - Non-Primary Care Provider (PCP)</v>
          </cell>
          <cell r="M79" t="str">
            <v>No</v>
          </cell>
          <cell r="R79" t="str">
            <v>CIOROIU COMANA DR.</v>
          </cell>
          <cell r="W79" t="str">
            <v>CIOROIU COMANA M</v>
          </cell>
          <cell r="X79" t="str">
            <v>710 W 168TH ST</v>
          </cell>
          <cell r="Y79" t="str">
            <v>NEW YORK</v>
          </cell>
          <cell r="Z79" t="str">
            <v>NY</v>
          </cell>
          <cell r="AA79" t="str">
            <v>10032-3726</v>
          </cell>
          <cell r="AB79" t="str">
            <v>PHYSICIAN</v>
          </cell>
          <cell r="AC79" t="str">
            <v>M</v>
          </cell>
          <cell r="AD79" t="str">
            <v>No</v>
          </cell>
          <cell r="AE79" t="str">
            <v>MMIS</v>
          </cell>
          <cell r="AF79" t="str">
            <v>nypwestacn</v>
          </cell>
          <cell r="AG79" t="str">
            <v>P</v>
          </cell>
        </row>
        <row r="80">
          <cell r="A80" t="str">
            <v>1952544066</v>
          </cell>
          <cell r="B80" t="str">
            <v>03588763</v>
          </cell>
          <cell r="C80" t="str">
            <v>Censani, Marisa</v>
          </cell>
          <cell r="D80" t="str">
            <v>E0349028</v>
          </cell>
          <cell r="E80" t="str">
            <v>CENSANI MARISA</v>
          </cell>
          <cell r="G80" t="str">
            <v>Kathryn Spaziani</v>
          </cell>
          <cell r="H80" t="str">
            <v>(212) 305-1190</v>
          </cell>
          <cell r="J80" t="str">
            <v>kas9171@nyp.org</v>
          </cell>
          <cell r="L80" t="str">
            <v>All Other:: Practitioner - Non-Primary Care Provider (PCP)</v>
          </cell>
          <cell r="M80" t="str">
            <v>No</v>
          </cell>
          <cell r="R80" t="str">
            <v>CENSANI MARISA DR.</v>
          </cell>
          <cell r="W80" t="str">
            <v>CENSANI MARISA</v>
          </cell>
          <cell r="X80" t="str">
            <v>525 E 68TH ST # 225</v>
          </cell>
          <cell r="Y80" t="str">
            <v>NEW YORK</v>
          </cell>
          <cell r="Z80" t="str">
            <v>NY</v>
          </cell>
          <cell r="AA80" t="str">
            <v>10065-4870</v>
          </cell>
          <cell r="AB80" t="str">
            <v>PHYSICIAN</v>
          </cell>
          <cell r="AC80" t="str">
            <v>M</v>
          </cell>
          <cell r="AD80" t="str">
            <v>No</v>
          </cell>
          <cell r="AE80" t="str">
            <v>MMIS</v>
          </cell>
          <cell r="AF80" t="str">
            <v>nypeastacn</v>
          </cell>
          <cell r="AG80" t="str">
            <v>P</v>
          </cell>
        </row>
        <row r="81">
          <cell r="A81" t="str">
            <v>1043239452</v>
          </cell>
          <cell r="B81" t="str">
            <v>01252006</v>
          </cell>
          <cell r="C81" t="str">
            <v>KAMEN, STEWART M</v>
          </cell>
          <cell r="D81" t="str">
            <v>E0174705</v>
          </cell>
          <cell r="E81" t="str">
            <v>KAMEN STEWART M DPM PC</v>
          </cell>
          <cell r="G81" t="str">
            <v>Kathryn Spaziani</v>
          </cell>
          <cell r="H81" t="str">
            <v>(212) 305-1190</v>
          </cell>
          <cell r="J81" t="str">
            <v>kas9171@nyp.org</v>
          </cell>
          <cell r="L81" t="str">
            <v>All Other:: Practitioner - Non-Primary Care Provider (PCP)</v>
          </cell>
          <cell r="M81" t="str">
            <v>No</v>
          </cell>
          <cell r="R81" t="str">
            <v>KAMEN STEWART DR.</v>
          </cell>
          <cell r="W81" t="str">
            <v>KAMEN STEWART M DPM PC</v>
          </cell>
          <cell r="X81" t="str">
            <v>1 STONE PL</v>
          </cell>
          <cell r="Y81" t="str">
            <v>BRONXVILLE</v>
          </cell>
          <cell r="Z81" t="str">
            <v>NY</v>
          </cell>
          <cell r="AA81" t="str">
            <v>10708-3426</v>
          </cell>
          <cell r="AB81" t="str">
            <v>PODIATRIST</v>
          </cell>
          <cell r="AC81" t="str">
            <v>M</v>
          </cell>
          <cell r="AD81" t="str">
            <v>No</v>
          </cell>
          <cell r="AE81" t="str">
            <v>MMIS</v>
          </cell>
          <cell r="AF81" t="str">
            <v>nypwestcampus</v>
          </cell>
          <cell r="AG81" t="str">
            <v>P</v>
          </cell>
        </row>
        <row r="82">
          <cell r="A82" t="str">
            <v>1902837602</v>
          </cell>
          <cell r="B82" t="str">
            <v>01424657</v>
          </cell>
          <cell r="C82" t="str">
            <v>Chinitz Lynn</v>
          </cell>
          <cell r="D82" t="str">
            <v>E0157509</v>
          </cell>
          <cell r="E82" t="str">
            <v>CHINITZ LYNN MD</v>
          </cell>
          <cell r="L82" t="str">
            <v>All Other:: Practitioner - Non-Primary Care Provider (PCP)</v>
          </cell>
          <cell r="M82" t="str">
            <v>No</v>
          </cell>
          <cell r="R82" t="str">
            <v>CHINITZ LYNN DR.</v>
          </cell>
          <cell r="W82" t="str">
            <v>CHINITZ LYNN MD</v>
          </cell>
          <cell r="X82" t="str">
            <v>PRESYTERIAN HOSP</v>
          </cell>
          <cell r="Y82" t="str">
            <v>NEW YORK</v>
          </cell>
          <cell r="Z82" t="str">
            <v>NY</v>
          </cell>
          <cell r="AA82" t="str">
            <v>10032-3720</v>
          </cell>
          <cell r="AB82" t="str">
            <v>PHYSICIAN</v>
          </cell>
          <cell r="AC82" t="str">
            <v>M</v>
          </cell>
          <cell r="AD82" t="str">
            <v>No</v>
          </cell>
          <cell r="AE82" t="str">
            <v>MMIS</v>
          </cell>
          <cell r="AF82" t="str">
            <v>nypwestcampus</v>
          </cell>
          <cell r="AG82" t="str">
            <v>P</v>
          </cell>
        </row>
        <row r="83">
          <cell r="A83" t="str">
            <v>1457582868</v>
          </cell>
          <cell r="B83" t="str">
            <v>03137111</v>
          </cell>
          <cell r="C83" t="str">
            <v>Rebecca Summers</v>
          </cell>
          <cell r="D83" t="str">
            <v>E0297335</v>
          </cell>
          <cell r="E83" t="str">
            <v>SUMMERS REBECCA</v>
          </cell>
          <cell r="G83" t="str">
            <v>Corina Sharp</v>
          </cell>
          <cell r="H83" t="str">
            <v>(212) 545-2441</v>
          </cell>
          <cell r="J83" t="str">
            <v>csharp@chnnyc.org</v>
          </cell>
          <cell r="L83" t="str">
            <v>All Other:: Practitioner - Primary Care Provider (PCP)</v>
          </cell>
          <cell r="M83" t="str">
            <v>Yes</v>
          </cell>
          <cell r="R83" t="str">
            <v>SUMMERS REBECCA DR.</v>
          </cell>
          <cell r="W83" t="str">
            <v>SUMMERS REBECCA CHASE</v>
          </cell>
          <cell r="X83" t="str">
            <v>9498 MANHATTAN AVENUE</v>
          </cell>
          <cell r="Y83" t="str">
            <v>BROOKLYN</v>
          </cell>
          <cell r="Z83" t="str">
            <v>NY</v>
          </cell>
          <cell r="AA83" t="str">
            <v>12205-2505</v>
          </cell>
          <cell r="AB83" t="str">
            <v>PHYSICIAN</v>
          </cell>
          <cell r="AC83" t="str">
            <v>M</v>
          </cell>
          <cell r="AD83" t="str">
            <v>No</v>
          </cell>
          <cell r="AE83" t="str">
            <v>MMIS</v>
          </cell>
          <cell r="AF83" t="str">
            <v>chn</v>
          </cell>
          <cell r="AG83" t="str">
            <v>P</v>
          </cell>
        </row>
        <row r="84">
          <cell r="A84" t="str">
            <v>1588895395</v>
          </cell>
          <cell r="B84" t="str">
            <v>03322456</v>
          </cell>
          <cell r="C84" t="str">
            <v>Jenny Tan</v>
          </cell>
          <cell r="D84" t="str">
            <v>E0318247</v>
          </cell>
          <cell r="E84" t="str">
            <v>TAN JENNY YU</v>
          </cell>
          <cell r="G84" t="str">
            <v>Corina Sharp</v>
          </cell>
          <cell r="H84" t="str">
            <v>(212) 545-2441</v>
          </cell>
          <cell r="J84" t="str">
            <v>csharp@chnnyc.org</v>
          </cell>
          <cell r="L84" t="str">
            <v>All Other:: Practitioner - Primary Care Provider (PCP)</v>
          </cell>
          <cell r="M84" t="str">
            <v>Yes</v>
          </cell>
          <cell r="R84" t="str">
            <v>TAN JENNY</v>
          </cell>
          <cell r="W84" t="str">
            <v>TAN JENNY YU</v>
          </cell>
          <cell r="X84" t="str">
            <v>1996 AMSTERDAM AVE</v>
          </cell>
          <cell r="Y84" t="str">
            <v>NEW YORK</v>
          </cell>
          <cell r="Z84" t="str">
            <v>NY</v>
          </cell>
          <cell r="AA84" t="str">
            <v>10032-5058</v>
          </cell>
          <cell r="AB84" t="str">
            <v>PHYSICIAN</v>
          </cell>
          <cell r="AC84" t="str">
            <v>M</v>
          </cell>
          <cell r="AD84" t="str">
            <v>No</v>
          </cell>
          <cell r="AE84" t="str">
            <v>MMIS</v>
          </cell>
          <cell r="AF84" t="str">
            <v>chn</v>
          </cell>
          <cell r="AG84" t="str">
            <v>P</v>
          </cell>
        </row>
        <row r="85">
          <cell r="A85" t="str">
            <v>1649235516</v>
          </cell>
          <cell r="B85" t="str">
            <v>02733168</v>
          </cell>
          <cell r="C85" t="str">
            <v>RosaAnabela Tavares</v>
          </cell>
          <cell r="D85" t="str">
            <v>E0026871</v>
          </cell>
          <cell r="E85" t="str">
            <v>TAVARES ROSANABELA MD</v>
          </cell>
          <cell r="G85" t="str">
            <v>Corina Sharp</v>
          </cell>
          <cell r="H85" t="str">
            <v>(212) 545-2441</v>
          </cell>
          <cell r="J85" t="str">
            <v>csharp@chnnyc.org</v>
          </cell>
          <cell r="L85" t="str">
            <v>All Other:: Practitioner - Primary Care Provider (PCP)</v>
          </cell>
          <cell r="M85" t="str">
            <v>Yes</v>
          </cell>
          <cell r="R85" t="str">
            <v>TAVARES ROSA ANABELA DR.</v>
          </cell>
          <cell r="W85" t="str">
            <v>TAVARES ROSANABELA MD</v>
          </cell>
          <cell r="X85" t="str">
            <v>13303 JAMAICA AVE</v>
          </cell>
          <cell r="Y85" t="str">
            <v>RICHMOND HILL</v>
          </cell>
          <cell r="Z85" t="str">
            <v>NY</v>
          </cell>
          <cell r="AA85" t="str">
            <v>11418-2618</v>
          </cell>
          <cell r="AB85" t="str">
            <v>PHYSICIAN</v>
          </cell>
          <cell r="AC85" t="str">
            <v>M</v>
          </cell>
          <cell r="AD85" t="str">
            <v>No</v>
          </cell>
          <cell r="AE85" t="str">
            <v>MMIS</v>
          </cell>
          <cell r="AF85" t="str">
            <v>chn</v>
          </cell>
          <cell r="AG85" t="str">
            <v>P</v>
          </cell>
        </row>
        <row r="86">
          <cell r="A86" t="str">
            <v>1346490505</v>
          </cell>
          <cell r="C86" t="str">
            <v>Kukowski Laura</v>
          </cell>
          <cell r="G86" t="str">
            <v>Kathryn Spaziani</v>
          </cell>
          <cell r="H86" t="str">
            <v>(212) 305-1255</v>
          </cell>
          <cell r="J86" t="str">
            <v>kas9171@nyp.org</v>
          </cell>
          <cell r="K86" t="str">
            <v>Physician</v>
          </cell>
          <cell r="L86" t="str">
            <v>Practitioner - Non-Primary Care Provider (PCP)</v>
          </cell>
          <cell r="M86" t="str">
            <v>No</v>
          </cell>
          <cell r="R86" t="str">
            <v>KUKOWSKI LAURA</v>
          </cell>
          <cell r="S86" t="str">
            <v>506 6TH STREET, NY METHODIST HOSPITAL</v>
          </cell>
          <cell r="T86" t="str">
            <v>BROOKLYN</v>
          </cell>
          <cell r="U86" t="str">
            <v>NY</v>
          </cell>
          <cell r="V86" t="str">
            <v>11215</v>
          </cell>
          <cell r="AC86" t="str">
            <v>M</v>
          </cell>
          <cell r="AD86" t="str">
            <v>No</v>
          </cell>
          <cell r="AE86" t="str">
            <v>NPI only</v>
          </cell>
          <cell r="AF86" t="str">
            <v>nypeastcampus</v>
          </cell>
          <cell r="AG86" t="str">
            <v>P</v>
          </cell>
        </row>
        <row r="87">
          <cell r="A87" t="str">
            <v>1255698973</v>
          </cell>
          <cell r="C87" t="str">
            <v>Beatriz Alvarez, LCSW</v>
          </cell>
          <cell r="G87" t="str">
            <v>Dianna Dragatsi</v>
          </cell>
          <cell r="H87" t="str">
            <v>(212) 942-8502</v>
          </cell>
          <cell r="J87" t="str">
            <v>Dragats@nyspi.columbia.edu</v>
          </cell>
          <cell r="K87" t="str">
            <v>Other Practitioners</v>
          </cell>
          <cell r="L87" t="str">
            <v>Uncategorized</v>
          </cell>
          <cell r="M87" t="str">
            <v>No</v>
          </cell>
          <cell r="R87" t="str">
            <v>ALVAREZ BEATRIZ MRS.</v>
          </cell>
          <cell r="S87" t="str">
            <v>513 W 166TH ST FL 4</v>
          </cell>
          <cell r="T87" t="str">
            <v>NEW YORK</v>
          </cell>
          <cell r="U87" t="str">
            <v>NY</v>
          </cell>
          <cell r="V87" t="str">
            <v>100324207</v>
          </cell>
          <cell r="AC87" t="str">
            <v>M</v>
          </cell>
          <cell r="AD87" t="str">
            <v>No</v>
          </cell>
          <cell r="AE87" t="str">
            <v>NPI only</v>
          </cell>
          <cell r="AF87" t="str">
            <v>nyspi</v>
          </cell>
          <cell r="AG87" t="str">
            <v>P</v>
          </cell>
        </row>
        <row r="88">
          <cell r="A88" t="str">
            <v>1598923724</v>
          </cell>
          <cell r="B88" t="str">
            <v>03711039</v>
          </cell>
          <cell r="C88" t="str">
            <v>Jonathon Amiel, MD</v>
          </cell>
          <cell r="D88" t="str">
            <v>E0361716</v>
          </cell>
          <cell r="E88" t="str">
            <v>AMIEL JONATHAN MICHAEL</v>
          </cell>
          <cell r="G88" t="str">
            <v>Dianna Dragatsi</v>
          </cell>
          <cell r="H88" t="str">
            <v>(212) 942-8503</v>
          </cell>
          <cell r="J88" t="str">
            <v>Dragats@nyspi.columbia.edu</v>
          </cell>
          <cell r="L88" t="str">
            <v>Practitioner - Non-Primary Care Provider (PCP)</v>
          </cell>
          <cell r="M88" t="str">
            <v>No</v>
          </cell>
          <cell r="R88" t="str">
            <v>AMIEL JONATHAN DR.</v>
          </cell>
          <cell r="W88" t="str">
            <v>AMIEL JONATHAN MICHAEL</v>
          </cell>
          <cell r="X88" t="str">
            <v>513 W 166TH ST 4TH FL</v>
          </cell>
          <cell r="Y88" t="str">
            <v>NEW YORK</v>
          </cell>
          <cell r="Z88" t="str">
            <v>NY</v>
          </cell>
          <cell r="AA88" t="str">
            <v>10032-4207</v>
          </cell>
          <cell r="AB88" t="str">
            <v>PHYSICIAN</v>
          </cell>
          <cell r="AC88" t="str">
            <v>M</v>
          </cell>
          <cell r="AD88" t="str">
            <v>No</v>
          </cell>
          <cell r="AE88" t="str">
            <v>MMIS</v>
          </cell>
          <cell r="AF88" t="str">
            <v>nyspi</v>
          </cell>
          <cell r="AG88" t="str">
            <v>P</v>
          </cell>
        </row>
        <row r="89">
          <cell r="A89" t="str">
            <v>1487600953</v>
          </cell>
          <cell r="B89" t="str">
            <v>02375735</v>
          </cell>
          <cell r="C89" t="str">
            <v>AKMAN, CIGDEM I</v>
          </cell>
          <cell r="D89" t="str">
            <v>E0062537</v>
          </cell>
          <cell r="E89" t="str">
            <v>AKMAN CIGDEM INAN MD</v>
          </cell>
          <cell r="G89" t="str">
            <v>Kathryn Spaziani</v>
          </cell>
          <cell r="H89" t="str">
            <v>(212) 305-1190</v>
          </cell>
          <cell r="J89" t="str">
            <v>kas9171@nyp.org</v>
          </cell>
          <cell r="L89" t="str">
            <v>Practitioner - Non-Primary Care Provider (PCP)</v>
          </cell>
          <cell r="M89" t="str">
            <v>No</v>
          </cell>
          <cell r="R89" t="str">
            <v>AKMAN CIGDEM DR.</v>
          </cell>
          <cell r="W89" t="str">
            <v>AKMAN CIGDEM INAN MD</v>
          </cell>
          <cell r="X89" t="str">
            <v>180 FORT WASHINGTON AVE</v>
          </cell>
          <cell r="Y89" t="str">
            <v>NEW YORK</v>
          </cell>
          <cell r="Z89" t="str">
            <v>NY</v>
          </cell>
          <cell r="AA89" t="str">
            <v>10032-3722</v>
          </cell>
          <cell r="AB89" t="str">
            <v>PHYSICIAN</v>
          </cell>
          <cell r="AC89" t="str">
            <v>M</v>
          </cell>
          <cell r="AD89" t="str">
            <v>No</v>
          </cell>
          <cell r="AE89" t="str">
            <v>MMIS</v>
          </cell>
          <cell r="AF89" t="str">
            <v>nypwestacn</v>
          </cell>
          <cell r="AG89" t="str">
            <v>P</v>
          </cell>
        </row>
        <row r="90">
          <cell r="A90" t="str">
            <v>1104197896</v>
          </cell>
          <cell r="B90" t="str">
            <v>03567993</v>
          </cell>
          <cell r="C90" t="str">
            <v>ACHATZ, WERNER S</v>
          </cell>
          <cell r="D90" t="str">
            <v>E0346856</v>
          </cell>
          <cell r="E90" t="str">
            <v>ACHATZ WERNER SEBASTIAN</v>
          </cell>
          <cell r="G90" t="str">
            <v>Kathryn Spaziani</v>
          </cell>
          <cell r="H90" t="str">
            <v>(212) 305-1190</v>
          </cell>
          <cell r="J90" t="str">
            <v>kas9171@nyp.org</v>
          </cell>
          <cell r="L90" t="str">
            <v>Practitioner - Non-Primary Care Provider (PCP)</v>
          </cell>
          <cell r="M90" t="str">
            <v>No</v>
          </cell>
          <cell r="R90" t="str">
            <v>ACHATZ WERNER DR.</v>
          </cell>
          <cell r="W90" t="str">
            <v>ACHATZ WERNER SEBASTIAN</v>
          </cell>
          <cell r="X90" t="str">
            <v>1090 AMSTERDAM AVE</v>
          </cell>
          <cell r="Y90" t="str">
            <v>NEW YORK</v>
          </cell>
          <cell r="Z90" t="str">
            <v>NY</v>
          </cell>
          <cell r="AA90" t="str">
            <v>10025-1737</v>
          </cell>
          <cell r="AB90" t="str">
            <v>CLINICAL PSYCHOLOGIST</v>
          </cell>
          <cell r="AC90" t="str">
            <v>M</v>
          </cell>
          <cell r="AD90" t="str">
            <v>No</v>
          </cell>
          <cell r="AE90" t="str">
            <v>MMIS</v>
          </cell>
          <cell r="AF90" t="str">
            <v>nypwestacn</v>
          </cell>
          <cell r="AG90" t="str">
            <v>P</v>
          </cell>
        </row>
        <row r="91">
          <cell r="A91" t="str">
            <v>1104807015</v>
          </cell>
          <cell r="B91" t="str">
            <v>00670053</v>
          </cell>
          <cell r="C91" t="str">
            <v xml:space="preserve">SANTAMARIA, JAIME </v>
          </cell>
          <cell r="D91" t="str">
            <v>E0232688</v>
          </cell>
          <cell r="E91" t="str">
            <v>SANTAMARIA JAIME II        MD</v>
          </cell>
          <cell r="G91" t="str">
            <v>Kathryn Spaziani</v>
          </cell>
          <cell r="H91" t="str">
            <v>(212) 305-1190</v>
          </cell>
          <cell r="J91" t="str">
            <v>kas9171@nyp.org</v>
          </cell>
          <cell r="L91" t="str">
            <v>Uncategorized</v>
          </cell>
          <cell r="M91" t="str">
            <v>No</v>
          </cell>
          <cell r="R91" t="str">
            <v>SANTAMARIA JAIME MR.</v>
          </cell>
          <cell r="W91" t="str">
            <v>SANTAMARIA JAIME II        MD</v>
          </cell>
          <cell r="X91" t="str">
            <v>EYE INSTITUTE BOX 20</v>
          </cell>
          <cell r="Y91" t="str">
            <v>NEW YORK</v>
          </cell>
          <cell r="Z91" t="str">
            <v>NY</v>
          </cell>
          <cell r="AA91" t="str">
            <v>10032-3725</v>
          </cell>
          <cell r="AB91" t="str">
            <v>PHYSICIAN</v>
          </cell>
          <cell r="AC91" t="str">
            <v>M</v>
          </cell>
          <cell r="AD91" t="str">
            <v>No</v>
          </cell>
          <cell r="AE91" t="str">
            <v>MMIS</v>
          </cell>
          <cell r="AF91" t="str">
            <v>nypeastacn</v>
          </cell>
          <cell r="AG91" t="str">
            <v>P</v>
          </cell>
        </row>
        <row r="92">
          <cell r="A92" t="str">
            <v>1083859391</v>
          </cell>
          <cell r="B92" t="str">
            <v>03152081</v>
          </cell>
          <cell r="C92" t="str">
            <v>CHIN, ERICA M</v>
          </cell>
          <cell r="D92" t="str">
            <v>E0298959</v>
          </cell>
          <cell r="E92" t="str">
            <v>CHIN ERICA</v>
          </cell>
          <cell r="G92" t="str">
            <v>Kathryn Spaziani</v>
          </cell>
          <cell r="H92" t="str">
            <v>(212) 305-1190</v>
          </cell>
          <cell r="J92" t="str">
            <v>kas9171@nyp.org</v>
          </cell>
          <cell r="L92" t="str">
            <v>Practitioner - Non-Primary Care Provider (PCP)</v>
          </cell>
          <cell r="M92" t="str">
            <v>No</v>
          </cell>
          <cell r="R92" t="str">
            <v>CHIN ERICA</v>
          </cell>
          <cell r="W92" t="str">
            <v>CHIN ERICA M</v>
          </cell>
          <cell r="X92" t="str">
            <v>MORGAN STANLEY CHILDRENS HOSPITAL</v>
          </cell>
          <cell r="Y92" t="str">
            <v>NEW YORK</v>
          </cell>
          <cell r="Z92" t="str">
            <v>NY</v>
          </cell>
          <cell r="AA92" t="str">
            <v>10032-0000</v>
          </cell>
          <cell r="AB92" t="str">
            <v>CLINICAL PSYCHOLOGIST</v>
          </cell>
          <cell r="AC92" t="str">
            <v>M</v>
          </cell>
          <cell r="AD92" t="str">
            <v>No</v>
          </cell>
          <cell r="AE92" t="str">
            <v>MMIS</v>
          </cell>
          <cell r="AF92" t="str">
            <v>nypwestacn</v>
          </cell>
          <cell r="AG92" t="str">
            <v>P</v>
          </cell>
        </row>
        <row r="93">
          <cell r="A93" t="str">
            <v>1073718532</v>
          </cell>
          <cell r="B93" t="str">
            <v>03052724</v>
          </cell>
          <cell r="C93" t="str">
            <v xml:space="preserve">BOTTONE, JESSICA </v>
          </cell>
          <cell r="D93" t="str">
            <v>E0287464</v>
          </cell>
          <cell r="E93" t="str">
            <v>BOTTONE JESSICA</v>
          </cell>
          <cell r="G93" t="str">
            <v>Kathryn Spaziani</v>
          </cell>
          <cell r="H93" t="str">
            <v>(212) 305-1190</v>
          </cell>
          <cell r="J93" t="str">
            <v>kas9171@nyp.org</v>
          </cell>
          <cell r="L93" t="str">
            <v>Practitioner - Non-Primary Care Provider (PCP)</v>
          </cell>
          <cell r="M93" t="str">
            <v>No</v>
          </cell>
          <cell r="R93" t="str">
            <v>BOTTONE JESSICA</v>
          </cell>
          <cell r="W93" t="str">
            <v>BOTTONE JESSICA</v>
          </cell>
          <cell r="X93" t="str">
            <v>622 W 168TH ST FL 10</v>
          </cell>
          <cell r="Y93" t="str">
            <v>NEW YORK</v>
          </cell>
          <cell r="Z93" t="str">
            <v>NY</v>
          </cell>
          <cell r="AA93" t="str">
            <v>10032-3720</v>
          </cell>
          <cell r="AB93" t="str">
            <v>THERAPIST</v>
          </cell>
          <cell r="AC93" t="str">
            <v>M</v>
          </cell>
          <cell r="AD93" t="str">
            <v>No</v>
          </cell>
          <cell r="AE93" t="str">
            <v>MMIS</v>
          </cell>
          <cell r="AF93" t="str">
            <v>nypwestacn</v>
          </cell>
          <cell r="AG93" t="str">
            <v>P</v>
          </cell>
        </row>
        <row r="94">
          <cell r="A94" t="str">
            <v>1730599259</v>
          </cell>
          <cell r="C94" t="str">
            <v>Musci Gabrielle</v>
          </cell>
          <cell r="G94" t="str">
            <v>Kathryn Spaziani</v>
          </cell>
          <cell r="H94" t="str">
            <v>(212) 305-1255</v>
          </cell>
          <cell r="J94" t="str">
            <v>kas9171@nyp.org</v>
          </cell>
          <cell r="K94" t="str">
            <v>Physician</v>
          </cell>
          <cell r="L94" t="str">
            <v>Uncategorized</v>
          </cell>
          <cell r="M94" t="str">
            <v>No</v>
          </cell>
          <cell r="R94" t="str">
            <v>MUSCI GABRIELLE</v>
          </cell>
          <cell r="S94" t="str">
            <v>525 E 68TH ST, BOX 124</v>
          </cell>
          <cell r="T94" t="str">
            <v>NEW YORK</v>
          </cell>
          <cell r="U94" t="str">
            <v>NY</v>
          </cell>
          <cell r="V94" t="str">
            <v>100654870</v>
          </cell>
          <cell r="AC94" t="str">
            <v>M</v>
          </cell>
          <cell r="AD94" t="str">
            <v>No</v>
          </cell>
          <cell r="AE94" t="str">
            <v>NPI only</v>
          </cell>
          <cell r="AF94" t="str">
            <v>nypeastcampus</v>
          </cell>
          <cell r="AG94" t="str">
            <v>P</v>
          </cell>
        </row>
        <row r="95">
          <cell r="A95" t="str">
            <v>1942567490</v>
          </cell>
          <cell r="B95" t="str">
            <v>04548005</v>
          </cell>
          <cell r="C95" t="str">
            <v>Ng Jeny</v>
          </cell>
          <cell r="D95" t="str">
            <v>E0447563</v>
          </cell>
          <cell r="E95" t="str">
            <v>NG JENY</v>
          </cell>
          <cell r="G95" t="str">
            <v>Kathryn Spaziani</v>
          </cell>
          <cell r="H95" t="str">
            <v>(212) 305-1255</v>
          </cell>
          <cell r="J95" t="str">
            <v>kas9171@nyp.org</v>
          </cell>
          <cell r="L95" t="str">
            <v>Uncategorized</v>
          </cell>
          <cell r="M95" t="str">
            <v>No</v>
          </cell>
          <cell r="R95" t="str">
            <v>NG JENY</v>
          </cell>
          <cell r="W95" t="str">
            <v>NG JENY</v>
          </cell>
          <cell r="AB95" t="str">
            <v>PHYSICIAN</v>
          </cell>
          <cell r="AC95" t="str">
            <v>M</v>
          </cell>
          <cell r="AD95" t="str">
            <v>No</v>
          </cell>
          <cell r="AE95" t="str">
            <v>MMIS</v>
          </cell>
          <cell r="AF95" t="str">
            <v>nypeastcampus</v>
          </cell>
          <cell r="AG95" t="str">
            <v>P</v>
          </cell>
        </row>
        <row r="96">
          <cell r="A96" t="str">
            <v>1033207311</v>
          </cell>
          <cell r="B96" t="str">
            <v>00845661</v>
          </cell>
          <cell r="C96" t="str">
            <v>Johnson, Valerie L</v>
          </cell>
          <cell r="D96" t="str">
            <v>E0215173</v>
          </cell>
          <cell r="E96" t="str">
            <v>JOHNSON VALERIE L          MD</v>
          </cell>
          <cell r="G96" t="str">
            <v>Kathryn Spaziani</v>
          </cell>
          <cell r="H96" t="str">
            <v>(212) 305-1190</v>
          </cell>
          <cell r="J96" t="str">
            <v>kas9171@nyp.org</v>
          </cell>
          <cell r="L96" t="str">
            <v>All Other:: Practitioner - Non-Primary Care Provider (PCP)</v>
          </cell>
          <cell r="M96" t="str">
            <v>No</v>
          </cell>
          <cell r="R96" t="str">
            <v>JOHNSON VALERIE</v>
          </cell>
          <cell r="W96" t="str">
            <v>JOHNSON VALERIE L          MD</v>
          </cell>
          <cell r="X96" t="str">
            <v>520 E 70TH ST</v>
          </cell>
          <cell r="Y96" t="str">
            <v>NEW YORK</v>
          </cell>
          <cell r="Z96" t="str">
            <v>NY</v>
          </cell>
          <cell r="AA96" t="str">
            <v>10021-9800</v>
          </cell>
          <cell r="AB96" t="str">
            <v>PHYSICIAN</v>
          </cell>
          <cell r="AC96" t="str">
            <v>M</v>
          </cell>
          <cell r="AD96" t="str">
            <v>No</v>
          </cell>
          <cell r="AE96" t="str">
            <v>MMIS</v>
          </cell>
          <cell r="AF96" t="str">
            <v>nypwestacn</v>
          </cell>
          <cell r="AG96" t="str">
            <v>P</v>
          </cell>
        </row>
        <row r="97">
          <cell r="A97" t="str">
            <v>1033247770</v>
          </cell>
          <cell r="B97" t="str">
            <v>00480882</v>
          </cell>
          <cell r="C97" t="str">
            <v>WHITAKER, AGNES H</v>
          </cell>
          <cell r="D97" t="str">
            <v>E0251563</v>
          </cell>
          <cell r="E97" t="str">
            <v>WHITAKER AGNES HUTCHINSON  MD</v>
          </cell>
          <cell r="G97" t="str">
            <v>Kathryn Spaziani</v>
          </cell>
          <cell r="H97" t="str">
            <v>(212) 305-1190</v>
          </cell>
          <cell r="J97" t="str">
            <v>kas9171@nyp.org</v>
          </cell>
          <cell r="L97" t="str">
            <v>Mental Health:: Practitioner - Non-Primary Care Provider (PCP)</v>
          </cell>
          <cell r="M97" t="str">
            <v>No</v>
          </cell>
          <cell r="R97" t="str">
            <v>WHITAKER AGNES</v>
          </cell>
          <cell r="W97" t="str">
            <v>WHITAKER AGNES HUTCHINSON</v>
          </cell>
          <cell r="X97" t="str">
            <v>15 WEST 72ND STREET  STE 1P</v>
          </cell>
          <cell r="Y97" t="str">
            <v>NEW YORK</v>
          </cell>
          <cell r="Z97" t="str">
            <v>NY</v>
          </cell>
          <cell r="AA97" t="str">
            <v>10023-3419</v>
          </cell>
          <cell r="AB97" t="str">
            <v>PHYSICIAN</v>
          </cell>
          <cell r="AC97" t="str">
            <v>M</v>
          </cell>
          <cell r="AD97" t="str">
            <v>No</v>
          </cell>
          <cell r="AE97" t="str">
            <v>MMIS</v>
          </cell>
          <cell r="AF97" t="str">
            <v>nypwestcampus</v>
          </cell>
          <cell r="AG97" t="str">
            <v>P</v>
          </cell>
        </row>
        <row r="98">
          <cell r="A98" t="str">
            <v>1912033267</v>
          </cell>
          <cell r="B98" t="str">
            <v>03696173</v>
          </cell>
          <cell r="C98" t="str">
            <v>RAMIREZ, SANDRA P</v>
          </cell>
          <cell r="D98" t="str">
            <v>E0360081</v>
          </cell>
          <cell r="E98" t="str">
            <v>RAMIREZ SANDRA</v>
          </cell>
          <cell r="G98" t="str">
            <v>Kathryn Spaziani</v>
          </cell>
          <cell r="H98" t="str">
            <v>(212) 305-1190</v>
          </cell>
          <cell r="J98" t="str">
            <v>kas9171@nyp.org</v>
          </cell>
          <cell r="L98" t="str">
            <v>Practitioner - Non-Primary Care Provider (PCP)</v>
          </cell>
          <cell r="M98" t="str">
            <v>No</v>
          </cell>
          <cell r="R98" t="str">
            <v>RAMIREZ SANDRA</v>
          </cell>
          <cell r="W98" t="str">
            <v>RAMIREZ SANDRA</v>
          </cell>
          <cell r="X98" t="str">
            <v>622 W 168TH ST</v>
          </cell>
          <cell r="Y98" t="str">
            <v>NEW YORK</v>
          </cell>
          <cell r="Z98" t="str">
            <v>NY</v>
          </cell>
          <cell r="AA98" t="str">
            <v>10032-3720</v>
          </cell>
          <cell r="AB98" t="str">
            <v>PHYSICIAN</v>
          </cell>
          <cell r="AC98" t="str">
            <v>M</v>
          </cell>
          <cell r="AD98" t="str">
            <v>No</v>
          </cell>
          <cell r="AE98" t="str">
            <v>MMIS</v>
          </cell>
          <cell r="AF98" t="str">
            <v>nypwestcampus</v>
          </cell>
          <cell r="AG98" t="str">
            <v>P</v>
          </cell>
        </row>
        <row r="99">
          <cell r="A99" t="str">
            <v>1417254715</v>
          </cell>
          <cell r="B99" t="str">
            <v>03330834</v>
          </cell>
          <cell r="C99" t="str">
            <v>PORTOCARRERO, JOSE S</v>
          </cell>
          <cell r="D99" t="str">
            <v>E0319239</v>
          </cell>
          <cell r="E99" t="str">
            <v>PORTOCARRERO JOSE</v>
          </cell>
          <cell r="G99" t="str">
            <v>Kathryn Spaziani</v>
          </cell>
          <cell r="H99" t="str">
            <v>(212) 305-1190</v>
          </cell>
          <cell r="J99" t="str">
            <v>kas9171@nyp.org</v>
          </cell>
          <cell r="L99" t="str">
            <v>Practitioner - Non-Primary Care Provider (PCP)</v>
          </cell>
          <cell r="M99" t="str">
            <v>No</v>
          </cell>
          <cell r="R99" t="str">
            <v>PORTOCARRERO JOSE DR.</v>
          </cell>
          <cell r="W99" t="str">
            <v>PORTOCARRERO JOSE SALVADOR</v>
          </cell>
          <cell r="X99" t="str">
            <v>635 W 165TH ST FL 6</v>
          </cell>
          <cell r="Y99" t="str">
            <v>NEW YORK</v>
          </cell>
          <cell r="Z99" t="str">
            <v>NY</v>
          </cell>
          <cell r="AA99" t="str">
            <v>10032-3724</v>
          </cell>
          <cell r="AB99" t="str">
            <v>CLINICAL PSYCHOLOGIST</v>
          </cell>
          <cell r="AC99" t="str">
            <v>M</v>
          </cell>
          <cell r="AD99" t="str">
            <v>No</v>
          </cell>
          <cell r="AE99" t="str">
            <v>MMIS</v>
          </cell>
          <cell r="AF99" t="str">
            <v>nypwestcampus</v>
          </cell>
          <cell r="AG99" t="str">
            <v>P</v>
          </cell>
        </row>
        <row r="100">
          <cell r="A100" t="str">
            <v>1417928037</v>
          </cell>
          <cell r="B100" t="str">
            <v>03047463</v>
          </cell>
          <cell r="C100" t="str">
            <v xml:space="preserve">KASTRINOS, FAY </v>
          </cell>
          <cell r="D100" t="str">
            <v>E0286893</v>
          </cell>
          <cell r="E100" t="str">
            <v>FAY KASTRINOS MD</v>
          </cell>
          <cell r="G100" t="str">
            <v>Kathryn Spaziani</v>
          </cell>
          <cell r="H100" t="str">
            <v>(212) 305-1190</v>
          </cell>
          <cell r="J100" t="str">
            <v>kas9171@nyp.org</v>
          </cell>
          <cell r="L100" t="str">
            <v>Practitioner - Non-Primary Care Provider (PCP)</v>
          </cell>
          <cell r="M100" t="str">
            <v>Yes</v>
          </cell>
          <cell r="R100" t="str">
            <v>KASTRINOS FAY DR.</v>
          </cell>
          <cell r="W100" t="str">
            <v>KASTRINOS FAY MD</v>
          </cell>
          <cell r="X100" t="str">
            <v>161 FORT WASHINGTON AVE</v>
          </cell>
          <cell r="Y100" t="str">
            <v>NEW YORK</v>
          </cell>
          <cell r="Z100" t="str">
            <v>NY</v>
          </cell>
          <cell r="AA100" t="str">
            <v>10032-3729</v>
          </cell>
          <cell r="AB100" t="str">
            <v>PHYSICIAN</v>
          </cell>
          <cell r="AC100" t="str">
            <v>M</v>
          </cell>
          <cell r="AD100" t="str">
            <v>No</v>
          </cell>
          <cell r="AE100" t="str">
            <v>MMIS</v>
          </cell>
          <cell r="AF100" t="str">
            <v>nypwestacn</v>
          </cell>
          <cell r="AG100" t="str">
            <v>P</v>
          </cell>
        </row>
        <row r="101">
          <cell r="A101" t="str">
            <v>1730108903</v>
          </cell>
          <cell r="B101" t="str">
            <v>00498691</v>
          </cell>
          <cell r="C101" t="str">
            <v>FARRIS, ROBERT L</v>
          </cell>
          <cell r="D101" t="str">
            <v>E0249788</v>
          </cell>
          <cell r="E101" t="str">
            <v>FARRIS ROBERT LINSY        MD</v>
          </cell>
          <cell r="G101" t="str">
            <v>Kathryn Spaziani</v>
          </cell>
          <cell r="H101" t="str">
            <v>(212) 305-1190</v>
          </cell>
          <cell r="J101" t="str">
            <v>kas9171@nyp.org</v>
          </cell>
          <cell r="L101" t="str">
            <v>All Other:: Practitioner - Non-Primary Care Provider (PCP)</v>
          </cell>
          <cell r="M101" t="str">
            <v>No</v>
          </cell>
          <cell r="R101" t="str">
            <v>FARRIS ROBERT DR.</v>
          </cell>
          <cell r="W101" t="str">
            <v>FARRIS ROBERT LINSY MD</v>
          </cell>
          <cell r="Y101" t="str">
            <v>NEW YORK</v>
          </cell>
          <cell r="Z101" t="str">
            <v>NY</v>
          </cell>
          <cell r="AA101" t="str">
            <v>10032-3720</v>
          </cell>
          <cell r="AB101" t="str">
            <v>PHYSICIAN</v>
          </cell>
          <cell r="AC101" t="str">
            <v>M</v>
          </cell>
          <cell r="AD101" t="str">
            <v>No</v>
          </cell>
          <cell r="AE101" t="str">
            <v>MMIS</v>
          </cell>
          <cell r="AF101" t="str">
            <v>nypwestcampus</v>
          </cell>
          <cell r="AG101" t="str">
            <v>P</v>
          </cell>
        </row>
        <row r="102">
          <cell r="A102" t="str">
            <v>1730220443</v>
          </cell>
          <cell r="B102" t="str">
            <v>01989808</v>
          </cell>
          <cell r="C102" t="str">
            <v>SHAPIRO, ROBERTA F</v>
          </cell>
          <cell r="D102" t="str">
            <v>E0101079</v>
          </cell>
          <cell r="E102" t="str">
            <v>SHAPIRO ROBERTA</v>
          </cell>
          <cell r="G102" t="str">
            <v>Kathryn Spaziani</v>
          </cell>
          <cell r="H102" t="str">
            <v>(212) 305-1190</v>
          </cell>
          <cell r="J102" t="str">
            <v>kas9171@nyp.org</v>
          </cell>
          <cell r="L102" t="str">
            <v>Practitioner - Non-Primary Care Provider (PCP)</v>
          </cell>
          <cell r="M102" t="str">
            <v>No</v>
          </cell>
          <cell r="R102" t="str">
            <v>SHAPIRO ROBERTA DR.</v>
          </cell>
          <cell r="W102" t="str">
            <v>SHAPIRO ROBERTA</v>
          </cell>
          <cell r="X102" t="str">
            <v>SHAPIRO ROBERTA</v>
          </cell>
          <cell r="Y102" t="str">
            <v>BRONX</v>
          </cell>
          <cell r="Z102" t="str">
            <v>NY</v>
          </cell>
          <cell r="AA102" t="str">
            <v>10461-1138</v>
          </cell>
          <cell r="AB102" t="str">
            <v>PHYSICIAN</v>
          </cell>
          <cell r="AC102" t="str">
            <v>M</v>
          </cell>
          <cell r="AD102" t="str">
            <v>No</v>
          </cell>
          <cell r="AE102" t="str">
            <v>MMIS</v>
          </cell>
          <cell r="AF102" t="str">
            <v>nypwestcampus</v>
          </cell>
          <cell r="AG102" t="str">
            <v>P</v>
          </cell>
        </row>
        <row r="103">
          <cell r="A103" t="str">
            <v>1013933290</v>
          </cell>
          <cell r="B103" t="str">
            <v>03133415</v>
          </cell>
          <cell r="C103" t="str">
            <v>HALMOS, BALAZS</v>
          </cell>
          <cell r="D103" t="str">
            <v>E0296933</v>
          </cell>
          <cell r="E103" t="str">
            <v>BALAZS HALMOS</v>
          </cell>
          <cell r="G103" t="str">
            <v>Kathryn Spaziani</v>
          </cell>
          <cell r="H103" t="str">
            <v>(212) 305-1251</v>
          </cell>
          <cell r="J103" t="str">
            <v>kas9171@nyp.org</v>
          </cell>
          <cell r="L103" t="str">
            <v>Practitioner - Non-Primary Care Provider (PCP)</v>
          </cell>
          <cell r="M103" t="str">
            <v>No</v>
          </cell>
          <cell r="R103" t="str">
            <v>HALMOS BALAZS</v>
          </cell>
          <cell r="W103" t="str">
            <v>HALMOS BALAZS</v>
          </cell>
          <cell r="X103" t="str">
            <v>161 FORT WASHINGTON AVE</v>
          </cell>
          <cell r="Y103" t="str">
            <v>NEW YORK</v>
          </cell>
          <cell r="Z103" t="str">
            <v>NY</v>
          </cell>
          <cell r="AA103" t="str">
            <v>10032-3729</v>
          </cell>
          <cell r="AB103" t="str">
            <v>PHYSICIAN</v>
          </cell>
          <cell r="AC103" t="str">
            <v>M</v>
          </cell>
          <cell r="AD103" t="str">
            <v>No</v>
          </cell>
          <cell r="AE103" t="str">
            <v>MMIS</v>
          </cell>
          <cell r="AF103" t="str">
            <v>nypwestacn</v>
          </cell>
          <cell r="AG103" t="str">
            <v>P</v>
          </cell>
        </row>
        <row r="104">
          <cell r="A104" t="str">
            <v>1083688196</v>
          </cell>
          <cell r="B104" t="str">
            <v>03708990</v>
          </cell>
          <cell r="C104" t="str">
            <v>CHAI, PAUL</v>
          </cell>
          <cell r="D104" t="str">
            <v>E0361410</v>
          </cell>
          <cell r="E104" t="str">
            <v>CHAI PAUL J</v>
          </cell>
          <cell r="G104" t="str">
            <v>Kathryn Spaziani</v>
          </cell>
          <cell r="H104" t="str">
            <v>(212) 305-1209</v>
          </cell>
          <cell r="J104" t="str">
            <v>kas9171@nyp.org</v>
          </cell>
          <cell r="L104" t="str">
            <v>Practitioner - Non-Primary Care Provider (PCP)</v>
          </cell>
          <cell r="M104" t="str">
            <v>No</v>
          </cell>
          <cell r="R104" t="str">
            <v>CHAI PAUL DR.</v>
          </cell>
          <cell r="W104" t="str">
            <v>CHAI PAUL JUBEONG</v>
          </cell>
          <cell r="X104" t="str">
            <v>3959 BROADWAY STE BN276</v>
          </cell>
          <cell r="Y104" t="str">
            <v>NEW YORK</v>
          </cell>
          <cell r="Z104" t="str">
            <v>NY</v>
          </cell>
          <cell r="AA104" t="str">
            <v>10032-1559</v>
          </cell>
          <cell r="AB104" t="str">
            <v>PHYSICIAN</v>
          </cell>
          <cell r="AC104" t="str">
            <v>M</v>
          </cell>
          <cell r="AD104" t="str">
            <v>No</v>
          </cell>
          <cell r="AE104" t="str">
            <v>MMIS</v>
          </cell>
          <cell r="AF104" t="str">
            <v>nypwestcampus</v>
          </cell>
          <cell r="AG104" t="str">
            <v>P</v>
          </cell>
        </row>
        <row r="105">
          <cell r="A105" t="str">
            <v>1932483542</v>
          </cell>
          <cell r="B105" t="str">
            <v>03406237</v>
          </cell>
          <cell r="C105" t="str">
            <v>CHAMBERLAIN, TESSA</v>
          </cell>
          <cell r="D105" t="str">
            <v>E0328530</v>
          </cell>
          <cell r="E105" t="str">
            <v>CHAMBERLAIN TESSA ANNE</v>
          </cell>
          <cell r="G105" t="str">
            <v>Kathryn Spaziani</v>
          </cell>
          <cell r="H105" t="str">
            <v>(212) 305-1210</v>
          </cell>
          <cell r="J105" t="str">
            <v>kas9171@nyp.org</v>
          </cell>
          <cell r="L105" t="str">
            <v>Practitioner - Non-Primary Care Provider (PCP)</v>
          </cell>
          <cell r="M105" t="str">
            <v>No</v>
          </cell>
          <cell r="R105" t="str">
            <v>CHAMBERLAIN TESSA</v>
          </cell>
          <cell r="W105" t="str">
            <v>CHAMBERLAIN TESSA ANNE</v>
          </cell>
          <cell r="X105" t="str">
            <v>520 E 70TH ST # 585</v>
          </cell>
          <cell r="Y105" t="str">
            <v>NEW YORK</v>
          </cell>
          <cell r="Z105" t="str">
            <v>NY</v>
          </cell>
          <cell r="AA105" t="str">
            <v>10021-9800</v>
          </cell>
          <cell r="AB105" t="str">
            <v>PHYSICIAN</v>
          </cell>
          <cell r="AC105" t="str">
            <v>M</v>
          </cell>
          <cell r="AD105" t="str">
            <v>No</v>
          </cell>
          <cell r="AE105" t="str">
            <v>MMIS</v>
          </cell>
          <cell r="AF105" t="str">
            <v>nypeastcampus</v>
          </cell>
          <cell r="AG105" t="str">
            <v>P</v>
          </cell>
        </row>
        <row r="106">
          <cell r="A106" t="str">
            <v>1093752263</v>
          </cell>
          <cell r="B106" t="str">
            <v>02779308</v>
          </cell>
          <cell r="C106" t="str">
            <v>RAUSCH, JOHN C</v>
          </cell>
          <cell r="D106" t="str">
            <v>E0022262</v>
          </cell>
          <cell r="E106" t="str">
            <v>RAUSCH JOHN CONRAD MD</v>
          </cell>
          <cell r="G106" t="str">
            <v>Kathryn Spaziani</v>
          </cell>
          <cell r="H106" t="str">
            <v>(212) 305-1190</v>
          </cell>
          <cell r="J106" t="str">
            <v>kas9171@nyp.org</v>
          </cell>
          <cell r="L106" t="str">
            <v>Practitioner - Primary Care Provider (PCP)</v>
          </cell>
          <cell r="M106" t="str">
            <v>Yes</v>
          </cell>
          <cell r="R106" t="str">
            <v>RAUSCH JOHN DR.</v>
          </cell>
          <cell r="W106" t="str">
            <v>RAUSCH JOHN CONRAD MD</v>
          </cell>
          <cell r="X106" t="str">
            <v>3959 BROADWAY</v>
          </cell>
          <cell r="Y106" t="str">
            <v>NEW YORK</v>
          </cell>
          <cell r="Z106" t="str">
            <v>NY</v>
          </cell>
          <cell r="AA106" t="str">
            <v>10032-1559</v>
          </cell>
          <cell r="AB106" t="str">
            <v>PHYSICIAN</v>
          </cell>
          <cell r="AC106" t="str">
            <v>M</v>
          </cell>
          <cell r="AD106" t="str">
            <v>No</v>
          </cell>
          <cell r="AE106" t="str">
            <v>MMIS</v>
          </cell>
          <cell r="AF106" t="str">
            <v>nypwestcampus</v>
          </cell>
          <cell r="AG106" t="str">
            <v>P</v>
          </cell>
        </row>
        <row r="107">
          <cell r="A107" t="str">
            <v>1558510669</v>
          </cell>
          <cell r="B107" t="str">
            <v>03498331</v>
          </cell>
          <cell r="C107" t="str">
            <v>GOYAL, RISHI K</v>
          </cell>
          <cell r="D107" t="str">
            <v>E0339412</v>
          </cell>
          <cell r="E107" t="str">
            <v>GOYAL RISHI K</v>
          </cell>
          <cell r="G107" t="str">
            <v>Kathryn Spaziani</v>
          </cell>
          <cell r="H107" t="str">
            <v>(212) 305-1190</v>
          </cell>
          <cell r="J107" t="str">
            <v>kas9171@nyp.org</v>
          </cell>
          <cell r="L107" t="str">
            <v>Practitioner - Non-Primary Care Provider (PCP)</v>
          </cell>
          <cell r="M107" t="str">
            <v>No</v>
          </cell>
          <cell r="R107" t="str">
            <v>GOYAL RISHI DR.</v>
          </cell>
          <cell r="W107" t="str">
            <v>GOYAL RISHI K</v>
          </cell>
          <cell r="X107" t="str">
            <v>622 W 168TH ST PH 1-137</v>
          </cell>
          <cell r="Y107" t="str">
            <v>NEW YORK</v>
          </cell>
          <cell r="Z107" t="str">
            <v>NY</v>
          </cell>
          <cell r="AA107" t="str">
            <v>10032-3720</v>
          </cell>
          <cell r="AB107" t="str">
            <v>PHYSICIAN</v>
          </cell>
          <cell r="AC107" t="str">
            <v>M</v>
          </cell>
          <cell r="AD107" t="str">
            <v>No</v>
          </cell>
          <cell r="AE107" t="str">
            <v>MMIS</v>
          </cell>
          <cell r="AF107" t="str">
            <v>nypwestacn</v>
          </cell>
          <cell r="AG107" t="str">
            <v>P</v>
          </cell>
        </row>
        <row r="108">
          <cell r="A108" t="str">
            <v>1861600678</v>
          </cell>
          <cell r="B108" t="str">
            <v>03032331</v>
          </cell>
          <cell r="C108" t="str">
            <v xml:space="preserve">SETHI, AMRITA </v>
          </cell>
          <cell r="D108" t="str">
            <v>E0285221</v>
          </cell>
          <cell r="E108" t="str">
            <v>SETHI AMRITA  MD</v>
          </cell>
          <cell r="G108" t="str">
            <v>Kathryn Spaziani</v>
          </cell>
          <cell r="H108" t="str">
            <v>(212) 305-1190</v>
          </cell>
          <cell r="J108" t="str">
            <v>kas9171@nyp.org</v>
          </cell>
          <cell r="L108" t="str">
            <v>All Other:: Practitioner - Non-Primary Care Provider (PCP)</v>
          </cell>
          <cell r="M108" t="str">
            <v>No</v>
          </cell>
          <cell r="R108" t="str">
            <v>SETHI AMRITA</v>
          </cell>
          <cell r="W108" t="str">
            <v>SETHI AMRITA  MD</v>
          </cell>
          <cell r="X108" t="str">
            <v>161 FORT WASHINGTON AVE</v>
          </cell>
          <cell r="Y108" t="str">
            <v>NEW YORK</v>
          </cell>
          <cell r="Z108" t="str">
            <v>NY</v>
          </cell>
          <cell r="AA108" t="str">
            <v>10032-3729</v>
          </cell>
          <cell r="AB108" t="str">
            <v>PHYSICIAN</v>
          </cell>
          <cell r="AC108" t="str">
            <v>M</v>
          </cell>
          <cell r="AD108" t="str">
            <v>No</v>
          </cell>
          <cell r="AE108" t="str">
            <v>MMIS</v>
          </cell>
          <cell r="AF108" t="str">
            <v>nypwestcampus</v>
          </cell>
          <cell r="AG108" t="str">
            <v>P</v>
          </cell>
        </row>
        <row r="109">
          <cell r="A109" t="str">
            <v>1114181963</v>
          </cell>
          <cell r="B109" t="str">
            <v>03241710</v>
          </cell>
          <cell r="C109" t="str">
            <v>Brylka Douglas</v>
          </cell>
          <cell r="D109" t="str">
            <v>E0309146</v>
          </cell>
          <cell r="E109" t="str">
            <v>BRYLKA DOUGLAS ALAN</v>
          </cell>
          <cell r="L109" t="str">
            <v>All Other:: Practitioner - Non-Primary Care Provider (PCP)</v>
          </cell>
          <cell r="M109" t="str">
            <v>No</v>
          </cell>
          <cell r="R109" t="str">
            <v>BRYLKA DOUGLAS DR.</v>
          </cell>
          <cell r="W109" t="str">
            <v>BRYLKA DOUGLAS ALAN</v>
          </cell>
          <cell r="X109" t="str">
            <v>525 E 68TH ST</v>
          </cell>
          <cell r="Y109" t="str">
            <v>NEW YORK</v>
          </cell>
          <cell r="Z109" t="str">
            <v>NY</v>
          </cell>
          <cell r="AA109" t="str">
            <v>10065-4870</v>
          </cell>
          <cell r="AB109" t="str">
            <v>PHYSICIAN</v>
          </cell>
          <cell r="AC109" t="str">
            <v>M</v>
          </cell>
          <cell r="AD109" t="str">
            <v>No</v>
          </cell>
          <cell r="AE109" t="str">
            <v>MMIS</v>
          </cell>
          <cell r="AF109" t="str">
            <v>nypeastcampus</v>
          </cell>
          <cell r="AG109" t="str">
            <v>P</v>
          </cell>
        </row>
        <row r="110">
          <cell r="A110" t="str">
            <v>1033361811</v>
          </cell>
          <cell r="B110" t="str">
            <v>03247454</v>
          </cell>
          <cell r="C110" t="str">
            <v>Chen Johnson</v>
          </cell>
          <cell r="D110" t="str">
            <v>E0309751</v>
          </cell>
          <cell r="E110" t="str">
            <v>JOHNSON CHEN</v>
          </cell>
          <cell r="L110" t="str">
            <v>All Other:: Practitioner - Non-Primary Care Provider (PCP)</v>
          </cell>
          <cell r="M110" t="str">
            <v>No</v>
          </cell>
          <cell r="R110" t="str">
            <v>CHEN JOHNSON DR.</v>
          </cell>
          <cell r="W110" t="str">
            <v>CHEN JOHNSON</v>
          </cell>
          <cell r="X110" t="str">
            <v>525 E 68TH ST</v>
          </cell>
          <cell r="Y110" t="str">
            <v>NEW YORK</v>
          </cell>
          <cell r="Z110" t="str">
            <v>NY</v>
          </cell>
          <cell r="AA110" t="str">
            <v>10065-4870</v>
          </cell>
          <cell r="AB110" t="str">
            <v>PHYSICIAN</v>
          </cell>
          <cell r="AC110" t="str">
            <v>M</v>
          </cell>
          <cell r="AD110" t="str">
            <v>No</v>
          </cell>
          <cell r="AE110" t="str">
            <v>MMIS</v>
          </cell>
          <cell r="AF110" t="str">
            <v>nypeastcampus</v>
          </cell>
          <cell r="AG110" t="str">
            <v>P</v>
          </cell>
        </row>
        <row r="111">
          <cell r="A111" t="str">
            <v>1689988628</v>
          </cell>
          <cell r="B111" t="str">
            <v>03355213</v>
          </cell>
          <cell r="C111" t="str">
            <v>Jhanwar Yuliya</v>
          </cell>
          <cell r="D111" t="str">
            <v>E0322102</v>
          </cell>
          <cell r="E111" t="str">
            <v>JHANWAR YULIYA</v>
          </cell>
          <cell r="L111" t="str">
            <v>All Other:: Practitioner - Non-Primary Care Provider (PCP)</v>
          </cell>
          <cell r="M111" t="str">
            <v>No</v>
          </cell>
          <cell r="R111" t="str">
            <v>JHANWAR YULIYA DR.</v>
          </cell>
          <cell r="W111" t="str">
            <v>JHANWAR YULIYA MD</v>
          </cell>
          <cell r="X111" t="str">
            <v>325 W 15TH ST</v>
          </cell>
          <cell r="Y111" t="str">
            <v>NEW YORK</v>
          </cell>
          <cell r="Z111" t="str">
            <v>NY</v>
          </cell>
          <cell r="AA111" t="str">
            <v>10011-5903</v>
          </cell>
          <cell r="AB111" t="str">
            <v>PHYSICIAN</v>
          </cell>
          <cell r="AC111" t="str">
            <v>M</v>
          </cell>
          <cell r="AD111" t="str">
            <v>No</v>
          </cell>
          <cell r="AE111" t="str">
            <v>MMIS</v>
          </cell>
          <cell r="AF111" t="str">
            <v>nypeastcampus</v>
          </cell>
          <cell r="AG111" t="str">
            <v>P</v>
          </cell>
        </row>
        <row r="112">
          <cell r="A112" t="str">
            <v>1770595381</v>
          </cell>
          <cell r="B112" t="str">
            <v>01097525</v>
          </cell>
          <cell r="C112" t="str">
            <v>Slepian Ralph</v>
          </cell>
          <cell r="D112" t="str">
            <v>E0190121</v>
          </cell>
          <cell r="E112" t="str">
            <v>SLEPIAN RALPH L MD</v>
          </cell>
          <cell r="L112" t="str">
            <v>All Other:: Practitioner - Non-Primary Care Provider (PCP)</v>
          </cell>
          <cell r="M112" t="str">
            <v>No</v>
          </cell>
          <cell r="R112" t="str">
            <v>SLEPIAN RALPH DR.</v>
          </cell>
          <cell r="W112" t="str">
            <v>SLEPIAN RALPH L MD</v>
          </cell>
          <cell r="X112" t="str">
            <v>525 E 68TH ST</v>
          </cell>
          <cell r="Y112" t="str">
            <v>NEW YORK</v>
          </cell>
          <cell r="Z112" t="str">
            <v>NY</v>
          </cell>
          <cell r="AA112" t="str">
            <v>10065-4870</v>
          </cell>
          <cell r="AB112" t="str">
            <v>PHYSICIAN</v>
          </cell>
          <cell r="AC112" t="str">
            <v>M</v>
          </cell>
          <cell r="AD112" t="str">
            <v>No</v>
          </cell>
          <cell r="AE112" t="str">
            <v>MMIS</v>
          </cell>
          <cell r="AF112" t="str">
            <v>nypeastcampus</v>
          </cell>
          <cell r="AG112" t="str">
            <v>P</v>
          </cell>
        </row>
        <row r="113">
          <cell r="A113" t="str">
            <v>1467527903</v>
          </cell>
          <cell r="B113" t="str">
            <v>01947662</v>
          </cell>
          <cell r="C113" t="str">
            <v>MAURER, MATTHEW</v>
          </cell>
          <cell r="D113" t="str">
            <v>E0105288</v>
          </cell>
          <cell r="E113" t="str">
            <v>MAURER MATHEW S MD</v>
          </cell>
          <cell r="G113" t="str">
            <v>Kathryn Spaziani</v>
          </cell>
          <cell r="H113" t="str">
            <v>(212) 305-1293</v>
          </cell>
          <cell r="J113" t="str">
            <v>kas9171@nyp.org</v>
          </cell>
          <cell r="L113" t="str">
            <v>Practitioner - Non-Primary Care Provider (PCP)</v>
          </cell>
          <cell r="M113" t="str">
            <v>No</v>
          </cell>
          <cell r="R113" t="str">
            <v>MAURER MATHEW DR.</v>
          </cell>
          <cell r="W113" t="str">
            <v>MAURER MATHEW S MD</v>
          </cell>
          <cell r="Y113" t="str">
            <v>NEW YORK</v>
          </cell>
          <cell r="Z113" t="str">
            <v>NY</v>
          </cell>
          <cell r="AA113" t="str">
            <v>10032-3720</v>
          </cell>
          <cell r="AB113" t="str">
            <v>PHYSICIAN</v>
          </cell>
          <cell r="AC113" t="str">
            <v>M</v>
          </cell>
          <cell r="AD113" t="str">
            <v>No</v>
          </cell>
          <cell r="AE113" t="str">
            <v>MMIS</v>
          </cell>
          <cell r="AF113" t="str">
            <v>nypwestcampus</v>
          </cell>
          <cell r="AG113" t="str">
            <v>P</v>
          </cell>
        </row>
        <row r="114">
          <cell r="A114" t="str">
            <v>1730227125</v>
          </cell>
          <cell r="B114" t="str">
            <v>02985380</v>
          </cell>
          <cell r="C114" t="str">
            <v>MEDINA, CARLOS</v>
          </cell>
          <cell r="D114" t="str">
            <v>E0004495</v>
          </cell>
          <cell r="E114" t="str">
            <v>CARLOS MEDINA MD</v>
          </cell>
          <cell r="G114" t="str">
            <v>Kathryn Spaziani</v>
          </cell>
          <cell r="H114" t="str">
            <v>(212) 305-1294</v>
          </cell>
          <cell r="J114" t="str">
            <v>kas9171@nyp.org</v>
          </cell>
          <cell r="L114" t="str">
            <v>All Other:: Practitioner - Non-Primary Care Provider (PCP)</v>
          </cell>
          <cell r="M114" t="str">
            <v>No</v>
          </cell>
          <cell r="R114" t="str">
            <v>MEDINA CARLOS DR.</v>
          </cell>
          <cell r="W114" t="str">
            <v>MEDINA CARLOS</v>
          </cell>
          <cell r="X114" t="str">
            <v>525 E 68TH ST # F935</v>
          </cell>
          <cell r="Y114" t="str">
            <v>NEW YORK</v>
          </cell>
          <cell r="Z114" t="str">
            <v>NY</v>
          </cell>
          <cell r="AA114" t="str">
            <v>10065-4870</v>
          </cell>
          <cell r="AB114" t="str">
            <v>PHYSICIAN</v>
          </cell>
          <cell r="AC114" t="str">
            <v>M</v>
          </cell>
          <cell r="AD114" t="str">
            <v>No</v>
          </cell>
          <cell r="AE114" t="str">
            <v>MMIS</v>
          </cell>
          <cell r="AF114" t="str">
            <v>nypeastcampus</v>
          </cell>
          <cell r="AG114" t="str">
            <v>P</v>
          </cell>
        </row>
        <row r="115">
          <cell r="A115" t="str">
            <v>1083832430</v>
          </cell>
          <cell r="B115" t="str">
            <v>02891761</v>
          </cell>
          <cell r="C115" t="str">
            <v>Underwood Joseph</v>
          </cell>
          <cell r="D115" t="str">
            <v>E0011030</v>
          </cell>
          <cell r="E115" t="str">
            <v>UNDERWOOD JOSEPH PATRICK III MD</v>
          </cell>
          <cell r="L115" t="str">
            <v>All Other:: Practitioner - Non-Primary Care Provider (PCP)</v>
          </cell>
          <cell r="M115" t="str">
            <v>No</v>
          </cell>
          <cell r="R115" t="str">
            <v>UNDERWOOD JOSEPH DR.</v>
          </cell>
          <cell r="W115" t="str">
            <v>UNDERWOOD JOSEPH PATRICK III MD</v>
          </cell>
          <cell r="X115" t="str">
            <v>CUMC 622 WEST 168 ST</v>
          </cell>
          <cell r="Y115" t="str">
            <v>NEW YORK</v>
          </cell>
          <cell r="Z115" t="str">
            <v>NY</v>
          </cell>
          <cell r="AA115" t="str">
            <v>10032</v>
          </cell>
          <cell r="AB115" t="str">
            <v>PHYSICIAN</v>
          </cell>
          <cell r="AC115" t="str">
            <v>M</v>
          </cell>
          <cell r="AD115" t="str">
            <v>No</v>
          </cell>
          <cell r="AE115" t="str">
            <v>MMIS</v>
          </cell>
          <cell r="AF115" t="str">
            <v>nypwestcampus</v>
          </cell>
          <cell r="AG115" t="str">
            <v>P</v>
          </cell>
        </row>
        <row r="116">
          <cell r="A116" t="str">
            <v>1891720249</v>
          </cell>
          <cell r="B116" t="str">
            <v>02088099</v>
          </cell>
          <cell r="C116" t="str">
            <v>Van David</v>
          </cell>
          <cell r="D116" t="str">
            <v>E0091259</v>
          </cell>
          <cell r="E116" t="str">
            <v>VAN DAVID CHARLES MD</v>
          </cell>
          <cell r="L116" t="str">
            <v>All Other:: Practitioner - Non-Primary Care Provider (PCP)</v>
          </cell>
          <cell r="M116" t="str">
            <v>No</v>
          </cell>
          <cell r="R116" t="str">
            <v>VAN DAVID</v>
          </cell>
          <cell r="W116" t="str">
            <v>VAN DAVID CHARLES MD</v>
          </cell>
          <cell r="X116" t="str">
            <v>ASSOC ER MED CPMC</v>
          </cell>
          <cell r="Y116" t="str">
            <v>NEW YORK</v>
          </cell>
          <cell r="Z116" t="str">
            <v>NY</v>
          </cell>
          <cell r="AA116" t="str">
            <v>10032-3720</v>
          </cell>
          <cell r="AB116" t="str">
            <v>PHYSICIAN</v>
          </cell>
          <cell r="AC116" t="str">
            <v>M</v>
          </cell>
          <cell r="AD116" t="str">
            <v>No</v>
          </cell>
          <cell r="AE116" t="str">
            <v>MMIS</v>
          </cell>
          <cell r="AF116" t="str">
            <v>nypwestcampus</v>
          </cell>
          <cell r="AG116" t="str">
            <v>P</v>
          </cell>
        </row>
        <row r="117">
          <cell r="A117" t="str">
            <v>1376868406</v>
          </cell>
          <cell r="B117" t="str">
            <v>03923920</v>
          </cell>
          <cell r="C117" t="str">
            <v>Waight Gina</v>
          </cell>
          <cell r="D117" t="str">
            <v>E0383560</v>
          </cell>
          <cell r="E117" t="str">
            <v>WAIGHT GINA</v>
          </cell>
          <cell r="L117" t="str">
            <v>All Other:: Practitioner - Non-Primary Care Provider (PCP)</v>
          </cell>
          <cell r="M117" t="str">
            <v>No</v>
          </cell>
          <cell r="R117" t="str">
            <v>WAIGHT GINA DR.</v>
          </cell>
          <cell r="W117" t="str">
            <v>WAIGHT GINA THERESE</v>
          </cell>
          <cell r="X117" t="str">
            <v>1400 PELHAM PKWY S</v>
          </cell>
          <cell r="Y117" t="str">
            <v>BRONX</v>
          </cell>
          <cell r="Z117" t="str">
            <v>NY</v>
          </cell>
          <cell r="AA117" t="str">
            <v>10461-1119</v>
          </cell>
          <cell r="AB117" t="str">
            <v>PHYSICIAN</v>
          </cell>
          <cell r="AC117" t="str">
            <v>M</v>
          </cell>
          <cell r="AD117" t="str">
            <v>No</v>
          </cell>
          <cell r="AE117" t="str">
            <v>MMIS</v>
          </cell>
          <cell r="AF117" t="str">
            <v>nypwestcampus</v>
          </cell>
          <cell r="AG117" t="str">
            <v>P</v>
          </cell>
        </row>
        <row r="118">
          <cell r="A118" t="str">
            <v>1790724953</v>
          </cell>
          <cell r="B118" t="str">
            <v>02353111</v>
          </cell>
          <cell r="C118" t="str">
            <v>Walters-Pelham Hilsa</v>
          </cell>
          <cell r="D118" t="str">
            <v>E0064794</v>
          </cell>
          <cell r="E118" t="str">
            <v>WALTERS-PELHAM HILSA O RPA</v>
          </cell>
          <cell r="L118" t="str">
            <v>Practitioner - Non-Primary Care Provider (PCP)</v>
          </cell>
          <cell r="M118" t="str">
            <v>No</v>
          </cell>
          <cell r="R118" t="str">
            <v>WALTERS-PELHAM HILSA</v>
          </cell>
          <cell r="W118" t="str">
            <v>WALTERS-PELHAM HILSA O RPA</v>
          </cell>
          <cell r="X118" t="str">
            <v>1879 MADISON AVE</v>
          </cell>
          <cell r="Y118" t="str">
            <v>NEW YORK</v>
          </cell>
          <cell r="Z118" t="str">
            <v>NY</v>
          </cell>
          <cell r="AA118" t="str">
            <v>10035-2709</v>
          </cell>
          <cell r="AB118" t="str">
            <v>PHYSICIAN</v>
          </cell>
          <cell r="AC118" t="str">
            <v>M</v>
          </cell>
          <cell r="AD118" t="str">
            <v>No</v>
          </cell>
          <cell r="AE118" t="str">
            <v>MMIS</v>
          </cell>
          <cell r="AF118" t="str">
            <v>nypwestcampus</v>
          </cell>
          <cell r="AG118" t="str">
            <v>P</v>
          </cell>
        </row>
        <row r="119">
          <cell r="A119" t="str">
            <v>1427075407</v>
          </cell>
          <cell r="B119" t="str">
            <v>01690784</v>
          </cell>
          <cell r="C119" t="str">
            <v xml:space="preserve">MOAZAMI, GOLNAZ </v>
          </cell>
          <cell r="D119" t="str">
            <v>E0130942</v>
          </cell>
          <cell r="E119" t="str">
            <v>MOAZAMI GOLNAZ MD</v>
          </cell>
          <cell r="G119" t="str">
            <v>Kathryn Spaziani</v>
          </cell>
          <cell r="H119" t="str">
            <v>(212) 305-1190</v>
          </cell>
          <cell r="J119" t="str">
            <v>kas9171@nyp.org</v>
          </cell>
          <cell r="L119" t="str">
            <v>All Other:: Practitioner - Non-Primary Care Provider (PCP)</v>
          </cell>
          <cell r="M119" t="str">
            <v>No</v>
          </cell>
          <cell r="R119" t="str">
            <v>MOAZAMI GOLNAZ DR.</v>
          </cell>
          <cell r="W119" t="str">
            <v>MOAZAMI GOLNAZ MD</v>
          </cell>
          <cell r="X119" t="str">
            <v>COLUMBIA PRESBY MC</v>
          </cell>
          <cell r="Y119" t="str">
            <v>NEW YORK</v>
          </cell>
          <cell r="Z119" t="str">
            <v>NY</v>
          </cell>
          <cell r="AA119" t="str">
            <v>10032-3724</v>
          </cell>
          <cell r="AB119" t="str">
            <v>PHYSICIAN</v>
          </cell>
          <cell r="AC119" t="str">
            <v>M</v>
          </cell>
          <cell r="AD119" t="str">
            <v>No</v>
          </cell>
          <cell r="AE119" t="str">
            <v>MMIS</v>
          </cell>
          <cell r="AF119" t="str">
            <v>nypwestcampus</v>
          </cell>
          <cell r="AG119" t="str">
            <v>P</v>
          </cell>
        </row>
        <row r="120">
          <cell r="A120" t="str">
            <v>1750334389</v>
          </cell>
          <cell r="B120" t="str">
            <v>02820262</v>
          </cell>
          <cell r="C120" t="str">
            <v>SAFDIEH, JOSEPH E</v>
          </cell>
          <cell r="D120" t="str">
            <v>E0018169</v>
          </cell>
          <cell r="E120" t="str">
            <v>SAFDIEH JOSEPH MD</v>
          </cell>
          <cell r="G120" t="str">
            <v>Kathryn Spaziani</v>
          </cell>
          <cell r="H120" t="str">
            <v>(212) 305-1190</v>
          </cell>
          <cell r="J120" t="str">
            <v>kas9171@nyp.org</v>
          </cell>
          <cell r="L120" t="str">
            <v>All Other:: Practitioner - Non-Primary Care Provider (PCP)</v>
          </cell>
          <cell r="M120" t="str">
            <v>No</v>
          </cell>
          <cell r="R120" t="str">
            <v>SAFDIEH JOSEPH</v>
          </cell>
          <cell r="W120" t="str">
            <v>SAFDIEH JOSEPH MD</v>
          </cell>
          <cell r="X120" t="str">
            <v>520 E 70TH ST</v>
          </cell>
          <cell r="Y120" t="str">
            <v>NEW YORK</v>
          </cell>
          <cell r="Z120" t="str">
            <v>NY</v>
          </cell>
          <cell r="AA120" t="str">
            <v>10021-9800</v>
          </cell>
          <cell r="AB120" t="str">
            <v>PHYSICIAN</v>
          </cell>
          <cell r="AC120" t="str">
            <v>M</v>
          </cell>
          <cell r="AD120" t="str">
            <v>No</v>
          </cell>
          <cell r="AE120" t="str">
            <v>MMIS</v>
          </cell>
          <cell r="AF120" t="str">
            <v>nypeastcampus</v>
          </cell>
          <cell r="AG120" t="str">
            <v>P</v>
          </cell>
        </row>
        <row r="121">
          <cell r="A121" t="str">
            <v>1750352209</v>
          </cell>
          <cell r="B121" t="str">
            <v>01452657</v>
          </cell>
          <cell r="C121" t="str">
            <v>Pon, Steven</v>
          </cell>
          <cell r="D121" t="str">
            <v>E0154712</v>
          </cell>
          <cell r="E121" t="str">
            <v>PON STEVEN MD</v>
          </cell>
          <cell r="G121" t="str">
            <v>Kathryn Spaziani</v>
          </cell>
          <cell r="H121" t="str">
            <v>(212) 305-1190</v>
          </cell>
          <cell r="J121" t="str">
            <v>kas9171@nyp.org</v>
          </cell>
          <cell r="L121" t="str">
            <v>Practitioner - Non-Primary Care Provider (PCP)</v>
          </cell>
          <cell r="M121" t="str">
            <v>No</v>
          </cell>
          <cell r="R121" t="str">
            <v>PON STEVEN</v>
          </cell>
          <cell r="W121" t="str">
            <v>PON STEVEN MD</v>
          </cell>
          <cell r="X121" t="str">
            <v>PEDS CRITICAL CARE</v>
          </cell>
          <cell r="Y121" t="str">
            <v>NEW YORK</v>
          </cell>
          <cell r="Z121" t="str">
            <v>NY</v>
          </cell>
          <cell r="AA121" t="str">
            <v>10065-4870</v>
          </cell>
          <cell r="AB121" t="str">
            <v>PHYSICIAN</v>
          </cell>
          <cell r="AC121" t="str">
            <v>M</v>
          </cell>
          <cell r="AD121" t="str">
            <v>No</v>
          </cell>
          <cell r="AE121" t="str">
            <v>MMIS</v>
          </cell>
          <cell r="AF121" t="str">
            <v>nypeastcampus</v>
          </cell>
          <cell r="AG121" t="str">
            <v>P</v>
          </cell>
        </row>
        <row r="122">
          <cell r="A122" t="str">
            <v>1669797056</v>
          </cell>
          <cell r="B122" t="str">
            <v>03859730</v>
          </cell>
          <cell r="C122" t="str">
            <v xml:space="preserve">GIANNIKAS STARCIC, CHRISTINA </v>
          </cell>
          <cell r="D122" t="str">
            <v>E0376989</v>
          </cell>
          <cell r="E122" t="str">
            <v>GIANNIKAS STARCIC CHRISTINA</v>
          </cell>
          <cell r="G122" t="str">
            <v>Kathryn Spaziani</v>
          </cell>
          <cell r="H122" t="str">
            <v>(212) 305-1190</v>
          </cell>
          <cell r="J122" t="str">
            <v>kas9171@nyp.org</v>
          </cell>
          <cell r="L122" t="str">
            <v>Practitioner - Non-Primary Care Provider (PCP)</v>
          </cell>
          <cell r="M122" t="str">
            <v>No</v>
          </cell>
          <cell r="R122" t="str">
            <v>GIANNIKAS CHRISTINA DR.</v>
          </cell>
          <cell r="W122" t="str">
            <v>GIANNIKAS STARCIC CHRISTINA</v>
          </cell>
          <cell r="X122" t="str">
            <v>635 W 165TH ST</v>
          </cell>
          <cell r="Y122" t="str">
            <v>NEW YORK</v>
          </cell>
          <cell r="Z122" t="str">
            <v>NY</v>
          </cell>
          <cell r="AA122" t="str">
            <v>10032-3724</v>
          </cell>
          <cell r="AB122" t="str">
            <v>PHYSICIAN</v>
          </cell>
          <cell r="AC122" t="str">
            <v>M</v>
          </cell>
          <cell r="AD122" t="str">
            <v>No</v>
          </cell>
          <cell r="AE122" t="str">
            <v>MMIS</v>
          </cell>
          <cell r="AF122" t="str">
            <v>nypwestacn</v>
          </cell>
          <cell r="AG122" t="str">
            <v>P</v>
          </cell>
        </row>
        <row r="123">
          <cell r="A123" t="str">
            <v>1619063690</v>
          </cell>
          <cell r="B123" t="str">
            <v>02253749</v>
          </cell>
          <cell r="C123" t="str">
            <v>Eisenberg Nell</v>
          </cell>
          <cell r="D123" t="str">
            <v>E0074720</v>
          </cell>
          <cell r="E123" t="str">
            <v>EISENBERG NELL</v>
          </cell>
          <cell r="L123" t="str">
            <v>Practitioner - Non-Primary Care Provider (PCP)</v>
          </cell>
          <cell r="M123" t="str">
            <v>No</v>
          </cell>
          <cell r="R123" t="str">
            <v>EISENBERG NELL DR.</v>
          </cell>
          <cell r="W123" t="str">
            <v>EISENBERG NELL</v>
          </cell>
          <cell r="X123" t="str">
            <v>622 W 168TH ST</v>
          </cell>
          <cell r="Y123" t="str">
            <v>NEW YORK</v>
          </cell>
          <cell r="Z123" t="str">
            <v>NY</v>
          </cell>
          <cell r="AA123" t="str">
            <v>10032-3720</v>
          </cell>
          <cell r="AB123" t="str">
            <v>PHYSICIAN</v>
          </cell>
          <cell r="AC123" t="str">
            <v>M</v>
          </cell>
          <cell r="AD123" t="str">
            <v>No</v>
          </cell>
          <cell r="AE123" t="str">
            <v>MMIS</v>
          </cell>
          <cell r="AF123" t="str">
            <v>nypeastcampus</v>
          </cell>
          <cell r="AG123" t="str">
            <v>P</v>
          </cell>
        </row>
        <row r="124">
          <cell r="A124" t="str">
            <v>1194992446</v>
          </cell>
          <cell r="B124" t="str">
            <v>03234017</v>
          </cell>
          <cell r="C124" t="str">
            <v>Esquivel Ernie</v>
          </cell>
          <cell r="D124" t="str">
            <v>E0308221</v>
          </cell>
          <cell r="E124" t="str">
            <v>ESQUIVEL ERNIE LAPUS</v>
          </cell>
          <cell r="L124" t="str">
            <v>All Other:: Practitioner - Non-Primary Care Provider (PCP)</v>
          </cell>
          <cell r="M124" t="str">
            <v>No</v>
          </cell>
          <cell r="R124" t="str">
            <v>ESQUIVEL ERNIE DR.</v>
          </cell>
          <cell r="W124" t="str">
            <v>ESQUIVEL ERNIE LAPUS</v>
          </cell>
          <cell r="X124" t="str">
            <v>525 E 68TH ST</v>
          </cell>
          <cell r="Y124" t="str">
            <v>NEW YORK</v>
          </cell>
          <cell r="Z124" t="str">
            <v>NY</v>
          </cell>
          <cell r="AA124" t="str">
            <v>10065-4870</v>
          </cell>
          <cell r="AB124" t="str">
            <v>PHYSICIAN</v>
          </cell>
          <cell r="AC124" t="str">
            <v>M</v>
          </cell>
          <cell r="AD124" t="str">
            <v>No</v>
          </cell>
          <cell r="AE124" t="str">
            <v>MMIS</v>
          </cell>
          <cell r="AF124" t="str">
            <v>nypeastcampus</v>
          </cell>
          <cell r="AG124" t="str">
            <v>P</v>
          </cell>
        </row>
        <row r="125">
          <cell r="A125" t="str">
            <v>1821184839</v>
          </cell>
          <cell r="B125" t="str">
            <v>00321971</v>
          </cell>
          <cell r="C125" t="str">
            <v>DOMINICAN SISTERS FAMILY HEALTH SERVICE INC</v>
          </cell>
          <cell r="D125" t="str">
            <v>E0266928</v>
          </cell>
          <cell r="E125" t="str">
            <v>DOMINICAN SISTER FAMILY HEALT</v>
          </cell>
          <cell r="G125" t="str">
            <v>Mary Zagajeski</v>
          </cell>
          <cell r="L125" t="str">
            <v>All Other:: Hospice</v>
          </cell>
          <cell r="M125" t="str">
            <v>Yes</v>
          </cell>
          <cell r="R125" t="str">
            <v>DOMINICAN SISTERS FAMILY HEALTH SERVICE INC</v>
          </cell>
          <cell r="W125" t="str">
            <v>DOMINICAN SISTER FAMILY HEALT</v>
          </cell>
          <cell r="X125" t="str">
            <v>299 N HIGHLAND AVE</v>
          </cell>
          <cell r="Y125" t="str">
            <v>OSSINING</v>
          </cell>
          <cell r="Z125" t="str">
            <v>NY</v>
          </cell>
          <cell r="AA125" t="str">
            <v>10562-2327</v>
          </cell>
          <cell r="AB125" t="str">
            <v>HOME HEALTH AGENCY</v>
          </cell>
          <cell r="AC125" t="str">
            <v>M</v>
          </cell>
          <cell r="AD125" t="str">
            <v>No</v>
          </cell>
          <cell r="AE125" t="str">
            <v>MMIS</v>
          </cell>
          <cell r="AF125" t="str">
            <v>nypwestacn</v>
          </cell>
          <cell r="AG125" t="str">
            <v>P</v>
          </cell>
        </row>
        <row r="126">
          <cell r="A126" t="str">
            <v>1568704054</v>
          </cell>
          <cell r="C126" t="str">
            <v>Kim Mina</v>
          </cell>
          <cell r="G126" t="str">
            <v>Kathryn Spaziani</v>
          </cell>
          <cell r="H126" t="str">
            <v>(212) 305-1255</v>
          </cell>
          <cell r="J126" t="str">
            <v>kas9171@nyp.org</v>
          </cell>
          <cell r="K126" t="str">
            <v>Physician</v>
          </cell>
          <cell r="L126" t="str">
            <v>Uncategorized</v>
          </cell>
          <cell r="M126" t="str">
            <v>No</v>
          </cell>
          <cell r="R126" t="str">
            <v>KIM MINA</v>
          </cell>
          <cell r="S126" t="str">
            <v>622 W 168TH ST, PH5-133</v>
          </cell>
          <cell r="T126" t="str">
            <v>NEW YORK</v>
          </cell>
          <cell r="U126" t="str">
            <v>NY</v>
          </cell>
          <cell r="V126" t="str">
            <v>100323720</v>
          </cell>
          <cell r="AC126" t="str">
            <v>M</v>
          </cell>
          <cell r="AD126" t="str">
            <v>No</v>
          </cell>
          <cell r="AE126" t="str">
            <v>NPI only</v>
          </cell>
          <cell r="AF126" t="str">
            <v>nypwestcampus</v>
          </cell>
          <cell r="AG126" t="str">
            <v>P</v>
          </cell>
        </row>
        <row r="127">
          <cell r="A127" t="str">
            <v>1720105521</v>
          </cell>
          <cell r="B127" t="str">
            <v>03366814</v>
          </cell>
          <cell r="C127" t="str">
            <v>Sista Akhilesh</v>
          </cell>
          <cell r="D127" t="str">
            <v>E0323368</v>
          </cell>
          <cell r="E127" t="str">
            <v>SISTA AKHILESH</v>
          </cell>
          <cell r="L127" t="str">
            <v>All Other:: Practitioner - Non-Primary Care Provider (PCP)</v>
          </cell>
          <cell r="M127" t="str">
            <v>No</v>
          </cell>
          <cell r="R127" t="str">
            <v>SISTA AKHILESH</v>
          </cell>
          <cell r="W127" t="str">
            <v>SISTA AKHILESH KESHAV</v>
          </cell>
          <cell r="X127" t="str">
            <v>525 68TH STREET</v>
          </cell>
          <cell r="Y127" t="str">
            <v>NEW YORK</v>
          </cell>
          <cell r="Z127" t="str">
            <v>NY</v>
          </cell>
          <cell r="AA127" t="str">
            <v>10065-4885</v>
          </cell>
          <cell r="AB127" t="str">
            <v>PHYSICIAN</v>
          </cell>
          <cell r="AC127" t="str">
            <v>M</v>
          </cell>
          <cell r="AD127" t="str">
            <v>No</v>
          </cell>
          <cell r="AE127" t="str">
            <v>MMIS</v>
          </cell>
          <cell r="AF127" t="str">
            <v>nypeastcampus</v>
          </cell>
          <cell r="AG127" t="str">
            <v>P</v>
          </cell>
        </row>
        <row r="128">
          <cell r="A128" t="str">
            <v>1689850489</v>
          </cell>
          <cell r="B128" t="str">
            <v>03475761</v>
          </cell>
          <cell r="C128" t="str">
            <v>Constantine Gina</v>
          </cell>
          <cell r="D128" t="str">
            <v>E0336868</v>
          </cell>
          <cell r="E128" t="str">
            <v>CONSTANTINE GINA M</v>
          </cell>
          <cell r="L128" t="str">
            <v>All Other:: Practitioner - Non-Primary Care Provider (PCP)</v>
          </cell>
          <cell r="M128" t="str">
            <v>No</v>
          </cell>
          <cell r="R128" t="str">
            <v>CONSTANTINE GINA DR.</v>
          </cell>
          <cell r="W128" t="str">
            <v>CONSTANTINE GINA M</v>
          </cell>
          <cell r="X128" t="str">
            <v>525 E 68TH ST # 141 # 585</v>
          </cell>
          <cell r="Y128" t="str">
            <v>NEW YORK</v>
          </cell>
          <cell r="Z128" t="str">
            <v>NY</v>
          </cell>
          <cell r="AA128" t="str">
            <v>10065-4870</v>
          </cell>
          <cell r="AB128" t="str">
            <v>PHYSICIAN</v>
          </cell>
          <cell r="AC128" t="str">
            <v>M</v>
          </cell>
          <cell r="AD128" t="str">
            <v>No</v>
          </cell>
          <cell r="AE128" t="str">
            <v>MMIS</v>
          </cell>
          <cell r="AF128" t="str">
            <v>nypeastacn</v>
          </cell>
          <cell r="AG128" t="str">
            <v>P</v>
          </cell>
        </row>
        <row r="129">
          <cell r="A129" t="str">
            <v>1790929107</v>
          </cell>
          <cell r="B129" t="str">
            <v>03920409</v>
          </cell>
          <cell r="C129" t="str">
            <v>Decter Irina</v>
          </cell>
          <cell r="D129" t="str">
            <v>E0383208</v>
          </cell>
          <cell r="E129" t="str">
            <v>DECTER IRINA</v>
          </cell>
          <cell r="L129" t="str">
            <v>All Other:: Practitioner - Non-Primary Care Provider (PCP)</v>
          </cell>
          <cell r="M129" t="str">
            <v>No</v>
          </cell>
          <cell r="R129" t="str">
            <v>DECTER IRINA DR.</v>
          </cell>
          <cell r="W129" t="str">
            <v>DECTER IRINA</v>
          </cell>
          <cell r="X129" t="str">
            <v>2315 BROADWAY FRNT 4</v>
          </cell>
          <cell r="Y129" t="str">
            <v>NEW YORK</v>
          </cell>
          <cell r="Z129" t="str">
            <v>NY</v>
          </cell>
          <cell r="AA129" t="str">
            <v>10024-4332</v>
          </cell>
          <cell r="AB129" t="str">
            <v>PHYSICIAN</v>
          </cell>
          <cell r="AC129" t="str">
            <v>M</v>
          </cell>
          <cell r="AD129" t="str">
            <v>No</v>
          </cell>
          <cell r="AE129" t="str">
            <v>MMIS</v>
          </cell>
          <cell r="AF129" t="str">
            <v>nypeastacn</v>
          </cell>
          <cell r="AG129" t="str">
            <v>P</v>
          </cell>
        </row>
        <row r="130">
          <cell r="A130" t="str">
            <v>1386887594</v>
          </cell>
          <cell r="B130" t="str">
            <v>03918641</v>
          </cell>
          <cell r="C130" t="str">
            <v>Dodelzon Katerina</v>
          </cell>
          <cell r="D130" t="str">
            <v>E0383032</v>
          </cell>
          <cell r="E130" t="str">
            <v>DODELZON KATERINA</v>
          </cell>
          <cell r="L130" t="str">
            <v>All Other:: Practitioner - Non-Primary Care Provider (PCP)</v>
          </cell>
          <cell r="M130" t="str">
            <v>No</v>
          </cell>
          <cell r="R130" t="str">
            <v>DODELZON KATERINA DR.</v>
          </cell>
          <cell r="W130" t="str">
            <v>DODELZON KATERINA</v>
          </cell>
          <cell r="X130" t="str">
            <v>525 E 68TH ST # 141</v>
          </cell>
          <cell r="Y130" t="str">
            <v>NEW YORK</v>
          </cell>
          <cell r="Z130" t="str">
            <v>NY</v>
          </cell>
          <cell r="AA130" t="str">
            <v>10065-4870</v>
          </cell>
          <cell r="AB130" t="str">
            <v>PHYSICIAN</v>
          </cell>
          <cell r="AC130" t="str">
            <v>M</v>
          </cell>
          <cell r="AD130" t="str">
            <v>No</v>
          </cell>
          <cell r="AE130" t="str">
            <v>MMIS</v>
          </cell>
          <cell r="AF130" t="str">
            <v>nypeastcampus</v>
          </cell>
          <cell r="AG130" t="str">
            <v>P</v>
          </cell>
        </row>
        <row r="131">
          <cell r="A131" t="str">
            <v>1427330844</v>
          </cell>
          <cell r="B131" t="str">
            <v>03920243</v>
          </cell>
          <cell r="C131" t="str">
            <v>Gamss Caryn</v>
          </cell>
          <cell r="D131" t="str">
            <v>E0383192</v>
          </cell>
          <cell r="E131" t="str">
            <v>GAMSS CARYN</v>
          </cell>
          <cell r="L131" t="str">
            <v>All Other:: Practitioner - Non-Primary Care Provider (PCP)</v>
          </cell>
          <cell r="M131" t="str">
            <v>No</v>
          </cell>
          <cell r="R131" t="str">
            <v>GAMSS CARYN DR.</v>
          </cell>
          <cell r="W131" t="str">
            <v>GAMSS CARYN A</v>
          </cell>
          <cell r="X131" t="str">
            <v>2315 BROADWAY FRNT 4</v>
          </cell>
          <cell r="Y131" t="str">
            <v>NEW YORK</v>
          </cell>
          <cell r="Z131" t="str">
            <v>NY</v>
          </cell>
          <cell r="AA131" t="str">
            <v>10024-4332</v>
          </cell>
          <cell r="AB131" t="str">
            <v>PHYSICIAN</v>
          </cell>
          <cell r="AC131" t="str">
            <v>M</v>
          </cell>
          <cell r="AD131" t="str">
            <v>No</v>
          </cell>
          <cell r="AE131" t="str">
            <v>MMIS</v>
          </cell>
          <cell r="AF131" t="str">
            <v>nypwestacn</v>
          </cell>
          <cell r="AG131" t="str">
            <v>P</v>
          </cell>
        </row>
        <row r="132">
          <cell r="A132" t="str">
            <v>1033342886</v>
          </cell>
          <cell r="B132" t="str">
            <v>03969326</v>
          </cell>
          <cell r="C132" t="str">
            <v>Gupta Deepti</v>
          </cell>
          <cell r="D132" t="str">
            <v>E0388231</v>
          </cell>
          <cell r="E132" t="str">
            <v>GUPTA DEEPTI</v>
          </cell>
          <cell r="G132" t="str">
            <v>Kathryn Spaziani</v>
          </cell>
          <cell r="H132" t="str">
            <v>(212) 305-1255</v>
          </cell>
          <cell r="J132" t="str">
            <v>kas9171@nyp.org</v>
          </cell>
          <cell r="L132" t="str">
            <v>All Other:: Practitioner - Non-Primary Care Provider (PCP)</v>
          </cell>
          <cell r="M132" t="str">
            <v>No</v>
          </cell>
          <cell r="R132" t="str">
            <v>GUPTA DEEPTI DR.</v>
          </cell>
          <cell r="W132" t="str">
            <v>GUPTA DEEPTI</v>
          </cell>
          <cell r="X132" t="str">
            <v>2315 BROADWAY FRNT 4</v>
          </cell>
          <cell r="Y132" t="str">
            <v>NEW YORK</v>
          </cell>
          <cell r="Z132" t="str">
            <v>NY</v>
          </cell>
          <cell r="AA132" t="str">
            <v>10024-4332</v>
          </cell>
          <cell r="AB132" t="str">
            <v>PHYSICIAN</v>
          </cell>
          <cell r="AC132" t="str">
            <v>M</v>
          </cell>
          <cell r="AD132" t="str">
            <v>No</v>
          </cell>
          <cell r="AE132" t="str">
            <v>MMIS</v>
          </cell>
          <cell r="AF132" t="str">
            <v>nypeastcampus</v>
          </cell>
          <cell r="AG132" t="str">
            <v>P</v>
          </cell>
        </row>
        <row r="133">
          <cell r="A133" t="str">
            <v>1467684944</v>
          </cell>
          <cell r="B133" t="str">
            <v>03918834</v>
          </cell>
          <cell r="C133" t="str">
            <v>Hartman Maya</v>
          </cell>
          <cell r="D133" t="str">
            <v>E0383051</v>
          </cell>
          <cell r="E133" t="str">
            <v>HARTMAN MAYA</v>
          </cell>
          <cell r="L133" t="str">
            <v>All Other:: Practitioner - Non-Primary Care Provider (PCP)</v>
          </cell>
          <cell r="M133" t="str">
            <v>No</v>
          </cell>
          <cell r="R133" t="str">
            <v>HARTMAN MAYA</v>
          </cell>
          <cell r="W133" t="str">
            <v>HARTMAN MAYA ELISE</v>
          </cell>
          <cell r="X133" t="str">
            <v>525 E 68TH ST # 141</v>
          </cell>
          <cell r="Y133" t="str">
            <v>NEW YORK</v>
          </cell>
          <cell r="Z133" t="str">
            <v>NY</v>
          </cell>
          <cell r="AA133" t="str">
            <v>10065-4870</v>
          </cell>
          <cell r="AB133" t="str">
            <v>PHYSICIAN</v>
          </cell>
          <cell r="AC133" t="str">
            <v>M</v>
          </cell>
          <cell r="AD133" t="str">
            <v>No</v>
          </cell>
          <cell r="AE133" t="str">
            <v>MMIS</v>
          </cell>
          <cell r="AF133" t="str">
            <v>nypeastcampus</v>
          </cell>
          <cell r="AG133" t="str">
            <v>P</v>
          </cell>
        </row>
        <row r="134">
          <cell r="A134" t="str">
            <v>1699917229</v>
          </cell>
          <cell r="B134" t="str">
            <v>03921097</v>
          </cell>
          <cell r="C134" t="str">
            <v>Kao Linda</v>
          </cell>
          <cell r="D134" t="str">
            <v>E0383277</v>
          </cell>
          <cell r="E134" t="str">
            <v>KAO LINDA</v>
          </cell>
          <cell r="L134" t="str">
            <v>All Other:: Practitioner - Non-Primary Care Provider (PCP)</v>
          </cell>
          <cell r="M134" t="str">
            <v>No</v>
          </cell>
          <cell r="R134" t="str">
            <v>KAO LINDA DR.</v>
          </cell>
          <cell r="W134" t="str">
            <v>KAO LINDA YU-LING</v>
          </cell>
          <cell r="X134" t="str">
            <v>525 E 68TH ST # 141</v>
          </cell>
          <cell r="Y134" t="str">
            <v>NEW YORK</v>
          </cell>
          <cell r="Z134" t="str">
            <v>NY</v>
          </cell>
          <cell r="AA134" t="str">
            <v>10065-4885</v>
          </cell>
          <cell r="AB134" t="str">
            <v>PHYSICIAN</v>
          </cell>
          <cell r="AC134" t="str">
            <v>M</v>
          </cell>
          <cell r="AD134" t="str">
            <v>No</v>
          </cell>
          <cell r="AE134" t="str">
            <v>MMIS</v>
          </cell>
          <cell r="AF134" t="str">
            <v>nypwestacn</v>
          </cell>
          <cell r="AG134" t="str">
            <v>P</v>
          </cell>
        </row>
        <row r="135">
          <cell r="A135" t="str">
            <v>1417147679</v>
          </cell>
          <cell r="B135" t="str">
            <v>03043950</v>
          </cell>
          <cell r="C135" t="str">
            <v>Pierre-Paul Daphne</v>
          </cell>
          <cell r="D135" t="str">
            <v>E0286498</v>
          </cell>
          <cell r="E135" t="str">
            <v>PIERRE-PAUL DAPHNE MARIE MD</v>
          </cell>
          <cell r="L135" t="str">
            <v>All Other:: Practitioner - Non-Primary Care Provider (PCP)</v>
          </cell>
          <cell r="M135" t="str">
            <v>No</v>
          </cell>
          <cell r="R135" t="str">
            <v>PIERRE-PAUL DAPHNE</v>
          </cell>
          <cell r="W135" t="str">
            <v>PIERRE-PAUL DAPHNE MARIE MD</v>
          </cell>
          <cell r="X135" t="str">
            <v>34TH STREET AND CIVIC CENTER BLVD</v>
          </cell>
          <cell r="Y135" t="str">
            <v>PHILADELPHIA</v>
          </cell>
          <cell r="Z135" t="str">
            <v>PA</v>
          </cell>
          <cell r="AA135" t="str">
            <v>19104-4399</v>
          </cell>
          <cell r="AB135" t="str">
            <v>PHYSICIAN</v>
          </cell>
          <cell r="AC135" t="str">
            <v>M</v>
          </cell>
          <cell r="AD135" t="str">
            <v>No</v>
          </cell>
          <cell r="AE135" t="str">
            <v>MMIS</v>
          </cell>
          <cell r="AF135" t="str">
            <v>nypeastcampus</v>
          </cell>
          <cell r="AG135" t="str">
            <v>P</v>
          </cell>
        </row>
        <row r="136">
          <cell r="A136" t="str">
            <v>1083816607</v>
          </cell>
          <cell r="C136" t="str">
            <v>Pope-Moniz Julie</v>
          </cell>
          <cell r="G136" t="str">
            <v>Kathryn Spaziani</v>
          </cell>
          <cell r="H136" t="str">
            <v>(212) 305-1255</v>
          </cell>
          <cell r="J136" t="str">
            <v>kas9171@nyp.org</v>
          </cell>
          <cell r="K136" t="str">
            <v>Physician</v>
          </cell>
          <cell r="L136" t="str">
            <v>Uncategorized</v>
          </cell>
          <cell r="M136" t="str">
            <v>No</v>
          </cell>
          <cell r="R136" t="str">
            <v>MONIZ JULIE</v>
          </cell>
          <cell r="S136" t="str">
            <v>525 E 68TH ST</v>
          </cell>
          <cell r="T136" t="str">
            <v>NEW YORK</v>
          </cell>
          <cell r="U136" t="str">
            <v>NY</v>
          </cell>
          <cell r="V136" t="str">
            <v>100214870</v>
          </cell>
          <cell r="AC136" t="str">
            <v>M</v>
          </cell>
          <cell r="AD136" t="str">
            <v>No</v>
          </cell>
          <cell r="AE136" t="str">
            <v>NPI only</v>
          </cell>
          <cell r="AF136" t="str">
            <v>nypeastcampus</v>
          </cell>
          <cell r="AG136" t="str">
            <v>P</v>
          </cell>
        </row>
        <row r="137">
          <cell r="A137" t="str">
            <v>1417195215</v>
          </cell>
          <cell r="B137" t="str">
            <v>03267503</v>
          </cell>
          <cell r="C137" t="str">
            <v>Proekt Alexander</v>
          </cell>
          <cell r="D137" t="str">
            <v>E0312030</v>
          </cell>
          <cell r="E137" t="str">
            <v>PROEKT ALEXANDER</v>
          </cell>
          <cell r="L137" t="str">
            <v>All Other:: Practitioner - Non-Primary Care Provider (PCP)</v>
          </cell>
          <cell r="M137" t="str">
            <v>No</v>
          </cell>
          <cell r="R137" t="str">
            <v>PROEKT ALEX</v>
          </cell>
          <cell r="W137" t="str">
            <v>PROEKT ALEXANDER</v>
          </cell>
          <cell r="X137" t="str">
            <v>525 E 68TH ST</v>
          </cell>
          <cell r="Y137" t="str">
            <v>NEW YORK</v>
          </cell>
          <cell r="Z137" t="str">
            <v>NY</v>
          </cell>
          <cell r="AA137" t="str">
            <v>10065-4870</v>
          </cell>
          <cell r="AB137" t="str">
            <v>PHYSICIAN</v>
          </cell>
          <cell r="AC137" t="str">
            <v>M</v>
          </cell>
          <cell r="AD137" t="str">
            <v>No</v>
          </cell>
          <cell r="AE137" t="str">
            <v>MMIS</v>
          </cell>
          <cell r="AF137" t="str">
            <v>nypwestacn</v>
          </cell>
          <cell r="AG137" t="str">
            <v>P</v>
          </cell>
        </row>
        <row r="138">
          <cell r="A138" t="str">
            <v>1669552261</v>
          </cell>
          <cell r="C138" t="str">
            <v>O'Donnell Thomas</v>
          </cell>
          <cell r="G138" t="str">
            <v>Kathryn Spaziani</v>
          </cell>
          <cell r="H138" t="str">
            <v>(212) 305-1255</v>
          </cell>
          <cell r="J138" t="str">
            <v>kas9171@nyp.org</v>
          </cell>
          <cell r="K138" t="str">
            <v>Physician</v>
          </cell>
          <cell r="L138" t="str">
            <v>Practitioner - Non-Primary Care Provider (PCP)</v>
          </cell>
          <cell r="M138" t="str">
            <v>No</v>
          </cell>
          <cell r="R138" t="str">
            <v>O'DONNELL THOMAS</v>
          </cell>
          <cell r="S138" t="str">
            <v>170 WILLIAM ST, ANESTHESIOLOGY</v>
          </cell>
          <cell r="T138" t="str">
            <v>NEW YORK</v>
          </cell>
          <cell r="U138" t="str">
            <v>NY</v>
          </cell>
          <cell r="V138" t="str">
            <v>100382612</v>
          </cell>
          <cell r="AC138" t="str">
            <v>M</v>
          </cell>
          <cell r="AD138" t="str">
            <v>No</v>
          </cell>
          <cell r="AE138" t="str">
            <v>NPI only</v>
          </cell>
          <cell r="AF138" t="str">
            <v>nypeastcampus</v>
          </cell>
          <cell r="AG138" t="str">
            <v>P</v>
          </cell>
        </row>
        <row r="139">
          <cell r="A139" t="str">
            <v>1295953578</v>
          </cell>
          <cell r="C139" t="str">
            <v>Rathbun David</v>
          </cell>
          <cell r="G139" t="str">
            <v>Kathryn Spaziani</v>
          </cell>
          <cell r="H139" t="str">
            <v>(212) 305-1255</v>
          </cell>
          <cell r="J139" t="str">
            <v>kas9171@nyp.org</v>
          </cell>
          <cell r="K139" t="str">
            <v>Physician</v>
          </cell>
          <cell r="L139" t="str">
            <v>Practitioner - Non-Primary Care Provider (PCP)</v>
          </cell>
          <cell r="M139" t="str">
            <v>No</v>
          </cell>
          <cell r="R139" t="str">
            <v>RATHBUN DAVID MR.</v>
          </cell>
          <cell r="S139" t="str">
            <v>12 SYCAMORE LN</v>
          </cell>
          <cell r="T139" t="str">
            <v>LONG VALLEY</v>
          </cell>
          <cell r="U139" t="str">
            <v>NJ</v>
          </cell>
          <cell r="V139" t="str">
            <v>078533327</v>
          </cell>
          <cell r="AC139" t="str">
            <v>M</v>
          </cell>
          <cell r="AD139" t="str">
            <v>No</v>
          </cell>
          <cell r="AE139" t="str">
            <v>NPI only</v>
          </cell>
          <cell r="AF139" t="str">
            <v>nypwestacn</v>
          </cell>
          <cell r="AG139" t="str">
            <v>P</v>
          </cell>
        </row>
        <row r="140">
          <cell r="A140" t="str">
            <v>1376756072</v>
          </cell>
          <cell r="C140" t="str">
            <v>THE TRUSTEES OF COLUMBIA UNIVERSITY IN THE CITY OF NY</v>
          </cell>
          <cell r="K140" t="str">
            <v>All Other</v>
          </cell>
          <cell r="L140" t="str">
            <v>Uncategorized</v>
          </cell>
          <cell r="M140" t="str">
            <v>No</v>
          </cell>
          <cell r="R140" t="str">
            <v>THE TRUSTEES OF COLUMBIA UNIVERSITY IN THE CITY OF NY</v>
          </cell>
          <cell r="S140" t="str">
            <v>630 W 168TH ST, SUITE VC7-226</v>
          </cell>
          <cell r="T140" t="str">
            <v>NEW YORK</v>
          </cell>
          <cell r="U140" t="str">
            <v>NY</v>
          </cell>
          <cell r="V140" t="str">
            <v>100323725</v>
          </cell>
          <cell r="AC140" t="str">
            <v>M</v>
          </cell>
          <cell r="AD140" t="str">
            <v>No</v>
          </cell>
          <cell r="AE140" t="str">
            <v>NPI only</v>
          </cell>
          <cell r="AF140" t="str">
            <v>nypwestacn</v>
          </cell>
          <cell r="AG140" t="str">
            <v>P</v>
          </cell>
        </row>
        <row r="141">
          <cell r="A141" t="str">
            <v>1023141660</v>
          </cell>
          <cell r="B141" t="str">
            <v>02706518</v>
          </cell>
          <cell r="C141" t="str">
            <v>GARZA, LUIS A</v>
          </cell>
          <cell r="D141" t="str">
            <v>E0029533</v>
          </cell>
          <cell r="E141" t="str">
            <v>GARZA LUIZ ANGEL III</v>
          </cell>
          <cell r="G141" t="str">
            <v>Kathryn Spaziani</v>
          </cell>
          <cell r="H141" t="str">
            <v>(212) 305-1190</v>
          </cell>
          <cell r="J141" t="str">
            <v>kas9171@nyp.org</v>
          </cell>
          <cell r="L141" t="str">
            <v>Practitioner - Non-Primary Care Provider (PCP)</v>
          </cell>
          <cell r="M141" t="str">
            <v>No</v>
          </cell>
          <cell r="R141" t="str">
            <v>GARZA LUIS DR.</v>
          </cell>
          <cell r="W141" t="str">
            <v>GARZA LUIZ ANGEL III</v>
          </cell>
          <cell r="X141" t="str">
            <v>635 W 165TH ST FL 4</v>
          </cell>
          <cell r="Y141" t="str">
            <v>NEW YORK</v>
          </cell>
          <cell r="Z141" t="str">
            <v>NY</v>
          </cell>
          <cell r="AA141" t="str">
            <v>10032-3724</v>
          </cell>
          <cell r="AB141" t="str">
            <v>PHYSICIAN</v>
          </cell>
          <cell r="AC141" t="str">
            <v>M</v>
          </cell>
          <cell r="AD141" t="str">
            <v>No</v>
          </cell>
          <cell r="AE141" t="str">
            <v>MMIS</v>
          </cell>
          <cell r="AF141" t="str">
            <v>nypwestacn</v>
          </cell>
          <cell r="AG141" t="str">
            <v>P</v>
          </cell>
        </row>
        <row r="142">
          <cell r="A142" t="str">
            <v>1235351248</v>
          </cell>
          <cell r="B142" t="str">
            <v>03679756</v>
          </cell>
          <cell r="C142" t="str">
            <v>Andres San Martin, MD</v>
          </cell>
          <cell r="D142" t="str">
            <v>E0358405</v>
          </cell>
          <cell r="E142" t="str">
            <v>SAN MARTIN RAIMUNDO ANDRES C</v>
          </cell>
          <cell r="G142" t="str">
            <v>Dianna Dragatsi</v>
          </cell>
          <cell r="H142" t="str">
            <v>(212) 942-8533</v>
          </cell>
          <cell r="J142" t="str">
            <v>Dragats@nyspi.columbia.edu</v>
          </cell>
          <cell r="L142" t="str">
            <v>Practitioner - Non-Primary Care Provider (PCP)</v>
          </cell>
          <cell r="M142" t="str">
            <v>No</v>
          </cell>
          <cell r="R142" t="str">
            <v>SAN MARTIN RAIMUNDO ANDRES DR.</v>
          </cell>
          <cell r="W142" t="str">
            <v>SAN MARTIN RAIMUNDO ANDRES CARDEMIL</v>
          </cell>
          <cell r="X142" t="str">
            <v>26 SHERMAN AVE</v>
          </cell>
          <cell r="Y142" t="str">
            <v>NEW YORK</v>
          </cell>
          <cell r="Z142" t="str">
            <v>NY</v>
          </cell>
          <cell r="AA142" t="str">
            <v>10040-1602</v>
          </cell>
          <cell r="AB142" t="str">
            <v>PHYSICIAN</v>
          </cell>
          <cell r="AC142" t="str">
            <v>M</v>
          </cell>
          <cell r="AD142" t="str">
            <v>No</v>
          </cell>
          <cell r="AE142" t="str">
            <v>MMIS</v>
          </cell>
          <cell r="AF142" t="str">
            <v>nyspi</v>
          </cell>
          <cell r="AG142" t="str">
            <v>P</v>
          </cell>
        </row>
        <row r="143">
          <cell r="A143" t="str">
            <v>1003073172</v>
          </cell>
          <cell r="B143" t="str">
            <v>03052022</v>
          </cell>
          <cell r="C143" t="str">
            <v>Laura Sirulnik, MD</v>
          </cell>
          <cell r="D143" t="str">
            <v>E0287394</v>
          </cell>
          <cell r="E143" t="str">
            <v>SIRULNIK LAURA</v>
          </cell>
          <cell r="G143" t="str">
            <v>Dianna Dragatsi</v>
          </cell>
          <cell r="H143" t="str">
            <v>(212) 942-8534</v>
          </cell>
          <cell r="J143" t="str">
            <v>Dragats@nyspi.columbia.edu</v>
          </cell>
          <cell r="L143" t="str">
            <v>Practitioner - Non-Primary Care Provider (PCP)</v>
          </cell>
          <cell r="M143" t="str">
            <v>No</v>
          </cell>
          <cell r="R143" t="str">
            <v>SIRULNIK LAURA DR.</v>
          </cell>
          <cell r="W143" t="str">
            <v>SIRULNIK LAURA RAQUEL</v>
          </cell>
          <cell r="X143" t="str">
            <v>513 W 166TH ST FL 4</v>
          </cell>
          <cell r="Y143" t="str">
            <v>NEW YORK</v>
          </cell>
          <cell r="Z143" t="str">
            <v>NY</v>
          </cell>
          <cell r="AA143" t="str">
            <v>10032-4207</v>
          </cell>
          <cell r="AB143" t="str">
            <v>PHYSICIAN</v>
          </cell>
          <cell r="AC143" t="str">
            <v>M</v>
          </cell>
          <cell r="AD143" t="str">
            <v>No</v>
          </cell>
          <cell r="AE143" t="str">
            <v>MMIS</v>
          </cell>
          <cell r="AF143" t="str">
            <v>nyspi</v>
          </cell>
          <cell r="AG143" t="str">
            <v>P</v>
          </cell>
        </row>
        <row r="144">
          <cell r="A144" t="str">
            <v>1811974447</v>
          </cell>
          <cell r="C144" t="str">
            <v>Richard Sugden, PhD</v>
          </cell>
          <cell r="G144" t="str">
            <v>Dianna Dragatsi</v>
          </cell>
          <cell r="H144" t="str">
            <v>(212) 942-8535</v>
          </cell>
          <cell r="J144" t="str">
            <v>Dragats@nyspi.columbia.edu</v>
          </cell>
          <cell r="K144" t="str">
            <v>Other Practitioners</v>
          </cell>
          <cell r="L144" t="str">
            <v>Uncategorized</v>
          </cell>
          <cell r="M144" t="str">
            <v>No</v>
          </cell>
          <cell r="R144" t="str">
            <v>SUGDEN RICHARD DR.</v>
          </cell>
          <cell r="S144" t="str">
            <v>123 W 79TH ST, SUITE 202</v>
          </cell>
          <cell r="T144" t="str">
            <v>NEW YORK</v>
          </cell>
          <cell r="U144" t="str">
            <v>NY</v>
          </cell>
          <cell r="V144" t="str">
            <v>100246480</v>
          </cell>
          <cell r="AC144" t="str">
            <v>M</v>
          </cell>
          <cell r="AD144" t="str">
            <v>No</v>
          </cell>
          <cell r="AE144" t="str">
            <v>NPI only</v>
          </cell>
          <cell r="AF144" t="str">
            <v>nyspi</v>
          </cell>
          <cell r="AG144" t="str">
            <v>P</v>
          </cell>
        </row>
        <row r="145">
          <cell r="A145" t="str">
            <v>1457382061</v>
          </cell>
          <cell r="B145" t="str">
            <v>02441101</v>
          </cell>
          <cell r="C145" t="str">
            <v>Seshan Surya</v>
          </cell>
          <cell r="D145" t="str">
            <v>E0056022</v>
          </cell>
          <cell r="E145" t="str">
            <v>SESHAN SURYA</v>
          </cell>
          <cell r="G145" t="str">
            <v>Kathryn Spaziani</v>
          </cell>
          <cell r="H145" t="str">
            <v>(212) 305-1231</v>
          </cell>
          <cell r="J145" t="str">
            <v>kas9171@nyp.org</v>
          </cell>
          <cell r="L145" t="str">
            <v>All Other:: Practitioner - Non-Primary Care Provider (PCP)</v>
          </cell>
          <cell r="M145" t="str">
            <v>No</v>
          </cell>
          <cell r="R145" t="str">
            <v>SESHAN SURYA DR.</v>
          </cell>
          <cell r="W145" t="str">
            <v>SESHAN SURYA</v>
          </cell>
          <cell r="X145" t="str">
            <v>SESHAN SURYA</v>
          </cell>
          <cell r="Y145" t="str">
            <v>NEW YORK</v>
          </cell>
          <cell r="Z145" t="str">
            <v>NY</v>
          </cell>
          <cell r="AA145" t="str">
            <v>10065-4870</v>
          </cell>
          <cell r="AB145" t="str">
            <v>PHYSICIAN</v>
          </cell>
          <cell r="AC145" t="str">
            <v>M</v>
          </cell>
          <cell r="AD145" t="str">
            <v>No</v>
          </cell>
          <cell r="AE145" t="str">
            <v>MMIS</v>
          </cell>
          <cell r="AF145" t="str">
            <v>nypeastcampus</v>
          </cell>
          <cell r="AG145" t="str">
            <v>P</v>
          </cell>
        </row>
        <row r="146">
          <cell r="A146" t="str">
            <v>1508904103</v>
          </cell>
          <cell r="B146" t="str">
            <v>01183251</v>
          </cell>
          <cell r="C146" t="str">
            <v>CAROL DIMOND</v>
          </cell>
          <cell r="D146" t="str">
            <v>E0181564</v>
          </cell>
          <cell r="E146" t="str">
            <v>DIMOND CAROL L   MD</v>
          </cell>
          <cell r="G146" t="str">
            <v>Eva Eng</v>
          </cell>
          <cell r="H146" t="str">
            <v>(212) 752-4991</v>
          </cell>
          <cell r="J146" t="str">
            <v>eeng@archcare.org</v>
          </cell>
          <cell r="L146" t="str">
            <v>Practitioner - Non-Primary Care Provider (PCP)</v>
          </cell>
          <cell r="M146" t="str">
            <v>No</v>
          </cell>
          <cell r="R146" t="str">
            <v>DIMOND CAROL</v>
          </cell>
          <cell r="W146" t="str">
            <v>DIMOND CAROL L   MD</v>
          </cell>
          <cell r="X146" t="str">
            <v>1249 5TH AVE</v>
          </cell>
          <cell r="Y146" t="str">
            <v>NEW YORK</v>
          </cell>
          <cell r="Z146" t="str">
            <v>NY</v>
          </cell>
          <cell r="AA146" t="str">
            <v>10029-4413</v>
          </cell>
          <cell r="AB146" t="str">
            <v>PHYSICIAN</v>
          </cell>
          <cell r="AC146" t="str">
            <v>M</v>
          </cell>
          <cell r="AD146" t="str">
            <v>No</v>
          </cell>
          <cell r="AE146" t="str">
            <v>MMIS</v>
          </cell>
          <cell r="AF146" t="str">
            <v>nypwestacn</v>
          </cell>
          <cell r="AG146" t="str">
            <v>P</v>
          </cell>
        </row>
        <row r="147">
          <cell r="A147" t="str">
            <v>1518139872</v>
          </cell>
          <cell r="B147" t="str">
            <v>02990590</v>
          </cell>
          <cell r="C147" t="str">
            <v>EICHLER, BEZALEL F</v>
          </cell>
          <cell r="D147" t="str">
            <v>E0007641</v>
          </cell>
          <cell r="E147" t="str">
            <v>EICHLER BEZALEL</v>
          </cell>
          <cell r="G147" t="str">
            <v>Kathryn Spaziani</v>
          </cell>
          <cell r="H147" t="str">
            <v>(212) 305-1190</v>
          </cell>
          <cell r="J147" t="str">
            <v>kas9171@nyp.org</v>
          </cell>
          <cell r="L147" t="str">
            <v>Practitioner - Non-Primary Care Provider (PCP)</v>
          </cell>
          <cell r="M147" t="str">
            <v>No</v>
          </cell>
          <cell r="R147" t="str">
            <v>EICHLER BEZALEL</v>
          </cell>
          <cell r="W147" t="str">
            <v>EICHLER BEZALEL</v>
          </cell>
          <cell r="X147" t="str">
            <v>635 W 165TH ST FL 6</v>
          </cell>
          <cell r="Y147" t="str">
            <v>NEW YORK</v>
          </cell>
          <cell r="Z147" t="str">
            <v>NY</v>
          </cell>
          <cell r="AA147" t="str">
            <v>10032-3724</v>
          </cell>
          <cell r="AB147" t="str">
            <v>CLINICAL PSYCHOLOGIST</v>
          </cell>
          <cell r="AC147" t="str">
            <v>M</v>
          </cell>
          <cell r="AD147" t="str">
            <v>No</v>
          </cell>
          <cell r="AE147" t="str">
            <v>MMIS</v>
          </cell>
          <cell r="AF147" t="str">
            <v>nypwestacn</v>
          </cell>
          <cell r="AG147" t="str">
            <v>P</v>
          </cell>
        </row>
        <row r="148">
          <cell r="A148" t="str">
            <v>1295988970</v>
          </cell>
          <cell r="C148" t="str">
            <v>Abellar Rosanna</v>
          </cell>
          <cell r="G148" t="str">
            <v>Kathryn Spaziani</v>
          </cell>
          <cell r="H148" t="str">
            <v>(212) 305-1255</v>
          </cell>
          <cell r="J148" t="str">
            <v>kas9171@nyp.org</v>
          </cell>
          <cell r="K148" t="str">
            <v>Physician</v>
          </cell>
          <cell r="L148" t="str">
            <v>Practitioner - Non-Primary Care Provider (PCP)</v>
          </cell>
          <cell r="M148" t="str">
            <v>No</v>
          </cell>
          <cell r="R148" t="str">
            <v>ABELLAR ROSANNA</v>
          </cell>
          <cell r="S148" t="str">
            <v>630 W 168TH ST, PH 1564W</v>
          </cell>
          <cell r="T148" t="str">
            <v>NEW YORK</v>
          </cell>
          <cell r="U148" t="str">
            <v>NY</v>
          </cell>
          <cell r="V148" t="str">
            <v>100323725</v>
          </cell>
          <cell r="AC148" t="str">
            <v>M</v>
          </cell>
          <cell r="AD148" t="str">
            <v>No</v>
          </cell>
          <cell r="AE148" t="str">
            <v>NPI only</v>
          </cell>
          <cell r="AF148" t="str">
            <v>nypwestcampus</v>
          </cell>
          <cell r="AG148" t="str">
            <v>P</v>
          </cell>
        </row>
        <row r="149">
          <cell r="A149" t="str">
            <v>1447387857</v>
          </cell>
          <cell r="B149" t="str">
            <v>02229312</v>
          </cell>
          <cell r="C149" t="str">
            <v>Alobeid Bachir</v>
          </cell>
          <cell r="D149" t="str">
            <v>E0077158</v>
          </cell>
          <cell r="E149" t="str">
            <v>ALOBEID BANCHIER</v>
          </cell>
          <cell r="L149" t="str">
            <v>All Other:: Practitioner - Non-Primary Care Provider (PCP)</v>
          </cell>
          <cell r="M149" t="str">
            <v>No</v>
          </cell>
          <cell r="R149" t="str">
            <v>ALOBEID BACHIR</v>
          </cell>
          <cell r="W149" t="str">
            <v>ALOBEID BANCHIER</v>
          </cell>
          <cell r="X149" t="str">
            <v>ALOBEID BANCHIER</v>
          </cell>
          <cell r="Y149" t="str">
            <v>NEW YORK</v>
          </cell>
          <cell r="Z149" t="str">
            <v>NY</v>
          </cell>
          <cell r="AA149" t="str">
            <v>10065-4870</v>
          </cell>
          <cell r="AB149" t="str">
            <v>PHYSICIAN</v>
          </cell>
          <cell r="AC149" t="str">
            <v>M</v>
          </cell>
          <cell r="AD149" t="str">
            <v>No</v>
          </cell>
          <cell r="AE149" t="str">
            <v>MMIS</v>
          </cell>
          <cell r="AF149" t="str">
            <v>nypwestcampus</v>
          </cell>
          <cell r="AG149" t="str">
            <v>P</v>
          </cell>
        </row>
        <row r="150">
          <cell r="A150" t="str">
            <v>1043479991</v>
          </cell>
          <cell r="C150" t="str">
            <v>Turk Andrew</v>
          </cell>
          <cell r="G150" t="str">
            <v>Kathryn Spaziani</v>
          </cell>
          <cell r="H150" t="str">
            <v>(212) 305-1198</v>
          </cell>
          <cell r="J150" t="str">
            <v>kas9171@nyp.org</v>
          </cell>
          <cell r="K150" t="str">
            <v>Physician</v>
          </cell>
          <cell r="L150" t="str">
            <v>Practitioner - Non-Primary Care Provider (PCP)</v>
          </cell>
          <cell r="M150" t="str">
            <v>No</v>
          </cell>
          <cell r="R150" t="str">
            <v>TURK ANDREW</v>
          </cell>
          <cell r="S150" t="str">
            <v>622 W 168TH ST, PH 1564W</v>
          </cell>
          <cell r="T150" t="str">
            <v>NEW YORK</v>
          </cell>
          <cell r="U150" t="str">
            <v>NY</v>
          </cell>
          <cell r="V150" t="str">
            <v>100323720</v>
          </cell>
          <cell r="AC150" t="str">
            <v>M</v>
          </cell>
          <cell r="AD150" t="str">
            <v>No</v>
          </cell>
          <cell r="AE150" t="str">
            <v>NPI only</v>
          </cell>
          <cell r="AF150" t="str">
            <v>nypwestacn</v>
          </cell>
          <cell r="AG150" t="str">
            <v>P</v>
          </cell>
        </row>
        <row r="151">
          <cell r="A151" t="str">
            <v>1427290089</v>
          </cell>
          <cell r="C151" t="str">
            <v>Yang Hui-Min</v>
          </cell>
          <cell r="G151" t="str">
            <v>Kathryn Spaziani</v>
          </cell>
          <cell r="H151" t="str">
            <v>(212) 305-1199</v>
          </cell>
          <cell r="J151" t="str">
            <v>kas9171@nyp.org</v>
          </cell>
          <cell r="K151" t="str">
            <v>Physician</v>
          </cell>
          <cell r="L151" t="str">
            <v>Uncategorized</v>
          </cell>
          <cell r="M151" t="str">
            <v>No</v>
          </cell>
          <cell r="R151" t="str">
            <v>YANG HUI</v>
          </cell>
          <cell r="S151" t="str">
            <v>622 WEST 168TH ST PH1564W</v>
          </cell>
          <cell r="T151" t="str">
            <v>NY</v>
          </cell>
          <cell r="U151" t="str">
            <v>NY</v>
          </cell>
          <cell r="V151" t="str">
            <v>10032</v>
          </cell>
          <cell r="AC151" t="str">
            <v>M</v>
          </cell>
          <cell r="AD151" t="str">
            <v>No</v>
          </cell>
          <cell r="AE151" t="str">
            <v>NPI only</v>
          </cell>
          <cell r="AF151" t="str">
            <v>nypwestcampus</v>
          </cell>
          <cell r="AG151" t="str">
            <v>P</v>
          </cell>
        </row>
        <row r="152">
          <cell r="A152" t="str">
            <v>1184655763</v>
          </cell>
          <cell r="B152" t="str">
            <v>01832939</v>
          </cell>
          <cell r="C152" t="str">
            <v>Koizumi June</v>
          </cell>
          <cell r="D152" t="str">
            <v>E0116747</v>
          </cell>
          <cell r="E152" t="str">
            <v>KOIZUMI JUNE</v>
          </cell>
          <cell r="G152" t="str">
            <v>Kathryn Spaziani</v>
          </cell>
          <cell r="H152" t="str">
            <v>(212) 305-1200</v>
          </cell>
          <cell r="J152" t="str">
            <v>kas9171@nyp.org</v>
          </cell>
          <cell r="L152" t="str">
            <v>All Other:: Practitioner - Non-Primary Care Provider (PCP)</v>
          </cell>
          <cell r="M152" t="str">
            <v>No</v>
          </cell>
          <cell r="R152" t="str">
            <v>KOIZUMI JUNE DR.</v>
          </cell>
          <cell r="W152" t="str">
            <v>KOIZUMI JUNE</v>
          </cell>
          <cell r="X152" t="str">
            <v>KOIZUMI JUNE</v>
          </cell>
          <cell r="Y152" t="str">
            <v>NEW YORK</v>
          </cell>
          <cell r="Z152" t="str">
            <v>NY</v>
          </cell>
          <cell r="AA152" t="str">
            <v>10021-9800</v>
          </cell>
          <cell r="AB152" t="str">
            <v>PHYSICIAN</v>
          </cell>
          <cell r="AC152" t="str">
            <v>M</v>
          </cell>
          <cell r="AD152" t="str">
            <v>No</v>
          </cell>
          <cell r="AE152" t="str">
            <v>MMIS</v>
          </cell>
          <cell r="AF152" t="str">
            <v>nypeastcampus</v>
          </cell>
          <cell r="AG152" t="str">
            <v>P</v>
          </cell>
        </row>
        <row r="153">
          <cell r="A153" t="str">
            <v>1528233079</v>
          </cell>
          <cell r="B153" t="str">
            <v>03304592</v>
          </cell>
          <cell r="C153" t="str">
            <v>Soomekh Parviz</v>
          </cell>
          <cell r="D153" t="str">
            <v>E0316223</v>
          </cell>
          <cell r="E153" t="str">
            <v>SOOMEKH PARVIZ MD</v>
          </cell>
          <cell r="L153" t="str">
            <v>All Other:: Practitioner - Non-Primary Care Provider (PCP)</v>
          </cell>
          <cell r="M153" t="str">
            <v>No</v>
          </cell>
          <cell r="R153" t="str">
            <v>SOOMEKH PARVIZ DR.</v>
          </cell>
          <cell r="W153" t="str">
            <v>SOOMEKH PARVIZ MD</v>
          </cell>
          <cell r="X153" t="str">
            <v>170 WILLIAM ST</v>
          </cell>
          <cell r="Y153" t="str">
            <v>NEW YORK</v>
          </cell>
          <cell r="Z153" t="str">
            <v>NY</v>
          </cell>
          <cell r="AA153" t="str">
            <v>10038-2612</v>
          </cell>
          <cell r="AB153" t="str">
            <v>PHYSICIAN</v>
          </cell>
          <cell r="AC153" t="str">
            <v>M</v>
          </cell>
          <cell r="AD153" t="str">
            <v>No</v>
          </cell>
          <cell r="AE153" t="str">
            <v>MMIS</v>
          </cell>
          <cell r="AF153" t="str">
            <v>nypwestacn</v>
          </cell>
          <cell r="AG153" t="str">
            <v>P</v>
          </cell>
        </row>
        <row r="154">
          <cell r="A154" t="str">
            <v>1871703975</v>
          </cell>
          <cell r="B154" t="str">
            <v>03132950</v>
          </cell>
          <cell r="C154" t="str">
            <v>Tan Marco</v>
          </cell>
          <cell r="D154" t="str">
            <v>E0296903</v>
          </cell>
          <cell r="E154" t="str">
            <v>MARCO MARZANTAN</v>
          </cell>
          <cell r="L154" t="str">
            <v>Practitioner - Non-Primary Care Provider (PCP)</v>
          </cell>
          <cell r="M154" t="str">
            <v>Yes</v>
          </cell>
          <cell r="R154" t="str">
            <v>TAN MARCO</v>
          </cell>
          <cell r="W154" t="str">
            <v>TAN MARCO MARZAN</v>
          </cell>
          <cell r="X154" t="str">
            <v>585 SCHENECTADY AVE</v>
          </cell>
          <cell r="Y154" t="str">
            <v>BROOKLYN</v>
          </cell>
          <cell r="Z154" t="str">
            <v>NY</v>
          </cell>
          <cell r="AA154" t="str">
            <v>11203-1809</v>
          </cell>
          <cell r="AB154" t="str">
            <v>PHYSICIAN</v>
          </cell>
          <cell r="AC154" t="str">
            <v>M</v>
          </cell>
          <cell r="AD154" t="str">
            <v>No</v>
          </cell>
          <cell r="AE154" t="str">
            <v>MMIS</v>
          </cell>
          <cell r="AF154" t="str">
            <v>nypwestcampus</v>
          </cell>
          <cell r="AG154" t="str">
            <v>P</v>
          </cell>
        </row>
        <row r="155">
          <cell r="A155" t="str">
            <v>1780874461</v>
          </cell>
          <cell r="B155" t="str">
            <v>02920496</v>
          </cell>
          <cell r="C155" t="str">
            <v>Tang Michael</v>
          </cell>
          <cell r="D155" t="str">
            <v>E0008352</v>
          </cell>
          <cell r="E155" t="str">
            <v>TANG MICHAEL D MD</v>
          </cell>
          <cell r="L155" t="str">
            <v>All Other:: Practitioner - Non-Primary Care Provider (PCP)</v>
          </cell>
          <cell r="M155" t="str">
            <v>No</v>
          </cell>
          <cell r="R155" t="str">
            <v>TANG MICHAEL DR.</v>
          </cell>
          <cell r="W155" t="str">
            <v>TANG MICHAEL D MD</v>
          </cell>
          <cell r="X155" t="str">
            <v>339 HICKS ST</v>
          </cell>
          <cell r="Y155" t="str">
            <v>BROOKLYN</v>
          </cell>
          <cell r="Z155" t="str">
            <v>NY</v>
          </cell>
          <cell r="AA155" t="str">
            <v>11201-5509</v>
          </cell>
          <cell r="AB155" t="str">
            <v>PHYSICIAN</v>
          </cell>
          <cell r="AC155" t="str">
            <v>M</v>
          </cell>
          <cell r="AD155" t="str">
            <v>No</v>
          </cell>
          <cell r="AE155" t="str">
            <v>MMIS</v>
          </cell>
          <cell r="AF155" t="str">
            <v>nypwestcampus</v>
          </cell>
          <cell r="AG155" t="str">
            <v>P</v>
          </cell>
        </row>
        <row r="156">
          <cell r="A156" t="str">
            <v>1659385748</v>
          </cell>
          <cell r="B156" t="str">
            <v>00488784</v>
          </cell>
          <cell r="C156" t="str">
            <v>Sos Thomas</v>
          </cell>
          <cell r="D156" t="str">
            <v>E0250775</v>
          </cell>
          <cell r="E156" t="str">
            <v>SOS THOMAS ANDREW          MD</v>
          </cell>
          <cell r="L156" t="str">
            <v>All Other:: Practitioner - Non-Primary Care Provider (PCP)</v>
          </cell>
          <cell r="M156" t="str">
            <v>No</v>
          </cell>
          <cell r="R156" t="str">
            <v>SOS THOMAS</v>
          </cell>
          <cell r="W156" t="str">
            <v>SOS THOMAS ANDREW          MD</v>
          </cell>
          <cell r="Y156" t="str">
            <v>NEW YORK</v>
          </cell>
          <cell r="Z156" t="str">
            <v>NY</v>
          </cell>
          <cell r="AA156" t="str">
            <v>10065-4885</v>
          </cell>
          <cell r="AB156" t="str">
            <v>PHYSICIAN</v>
          </cell>
          <cell r="AC156" t="str">
            <v>M</v>
          </cell>
          <cell r="AD156" t="str">
            <v>No</v>
          </cell>
          <cell r="AE156" t="str">
            <v>MMIS</v>
          </cell>
          <cell r="AF156" t="str">
            <v>nypeastcampus</v>
          </cell>
          <cell r="AG156" t="str">
            <v>P</v>
          </cell>
        </row>
        <row r="157">
          <cell r="A157" t="str">
            <v>1205849395</v>
          </cell>
          <cell r="B157" t="str">
            <v>01562963</v>
          </cell>
          <cell r="C157" t="str">
            <v xml:space="preserve">BUCHNESS, MARY RUTH </v>
          </cell>
          <cell r="D157" t="str">
            <v>E0143704</v>
          </cell>
          <cell r="E157" t="str">
            <v>BUCHNESS MARY RUTH MD</v>
          </cell>
          <cell r="G157" t="str">
            <v>Kathryn Spaziani</v>
          </cell>
          <cell r="H157" t="str">
            <v>(212) 305-1190</v>
          </cell>
          <cell r="J157" t="str">
            <v>kas9171@nyp.org</v>
          </cell>
          <cell r="L157" t="str">
            <v>Practitioner - Non-Primary Care Provider (PCP)</v>
          </cell>
          <cell r="M157" t="str">
            <v>No</v>
          </cell>
          <cell r="R157" t="str">
            <v>BUCHNESS MARY RUTH</v>
          </cell>
          <cell r="W157" t="str">
            <v>BUCHNESS MARY RUTH MD</v>
          </cell>
          <cell r="X157" t="str">
            <v>32 W 18TH ST</v>
          </cell>
          <cell r="Y157" t="str">
            <v>NEW YORK</v>
          </cell>
          <cell r="Z157" t="str">
            <v>NY</v>
          </cell>
          <cell r="AA157" t="str">
            <v>10011-4612</v>
          </cell>
          <cell r="AB157" t="str">
            <v>PHYSICIAN</v>
          </cell>
          <cell r="AC157" t="str">
            <v>M</v>
          </cell>
          <cell r="AD157" t="str">
            <v>No</v>
          </cell>
          <cell r="AE157" t="str">
            <v>MMIS</v>
          </cell>
          <cell r="AF157" t="str">
            <v>nypwestacn</v>
          </cell>
          <cell r="AG157" t="str">
            <v>P</v>
          </cell>
        </row>
        <row r="158">
          <cell r="A158" t="str">
            <v>1043477268</v>
          </cell>
          <cell r="B158" t="str">
            <v>03079738</v>
          </cell>
          <cell r="C158" t="str">
            <v xml:space="preserve">LIN, FAY </v>
          </cell>
          <cell r="D158" t="str">
            <v>E0290642</v>
          </cell>
          <cell r="E158" t="str">
            <v>FAY YU-HUEI LIN MD</v>
          </cell>
          <cell r="G158" t="str">
            <v>Kathryn Spaziani</v>
          </cell>
          <cell r="H158" t="str">
            <v>(212) 305-1190</v>
          </cell>
          <cell r="J158" t="str">
            <v>kas9171@nyp.org</v>
          </cell>
          <cell r="L158" t="str">
            <v>All Other:: Practitioner - Non-Primary Care Provider (PCP)</v>
          </cell>
          <cell r="M158" t="str">
            <v>No</v>
          </cell>
          <cell r="R158" t="str">
            <v>LIN FAY</v>
          </cell>
          <cell r="W158" t="str">
            <v>LIN FAY YU-HUEI  MD</v>
          </cell>
          <cell r="X158" t="str">
            <v>520 E 70TH ST</v>
          </cell>
          <cell r="Y158" t="str">
            <v>NEW YORK</v>
          </cell>
          <cell r="Z158" t="str">
            <v>NY</v>
          </cell>
          <cell r="AA158" t="str">
            <v>10021-9800</v>
          </cell>
          <cell r="AB158" t="str">
            <v>PHYSICIAN</v>
          </cell>
          <cell r="AC158" t="str">
            <v>M</v>
          </cell>
          <cell r="AD158" t="str">
            <v>No</v>
          </cell>
          <cell r="AE158" t="str">
            <v>MMIS</v>
          </cell>
          <cell r="AF158" t="str">
            <v>nypwestacn</v>
          </cell>
          <cell r="AG158" t="str">
            <v>P</v>
          </cell>
        </row>
        <row r="159">
          <cell r="A159" t="str">
            <v>1043477557</v>
          </cell>
          <cell r="B159" t="str">
            <v>03320129</v>
          </cell>
          <cell r="C159" t="str">
            <v>Kasdorf, Ericalyn</v>
          </cell>
          <cell r="D159" t="str">
            <v>E0317668</v>
          </cell>
          <cell r="E159" t="str">
            <v>KASDORF ERICALYN</v>
          </cell>
          <cell r="G159" t="str">
            <v>Kathryn Spaziani</v>
          </cell>
          <cell r="H159" t="str">
            <v>(212) 305-1190</v>
          </cell>
          <cell r="J159" t="str">
            <v>kas9171@nyp.org</v>
          </cell>
          <cell r="L159" t="str">
            <v>Practitioner - Non-Primary Care Provider (PCP)</v>
          </cell>
          <cell r="M159" t="str">
            <v>No</v>
          </cell>
          <cell r="R159" t="str">
            <v>KASDORF ERICALYN</v>
          </cell>
          <cell r="W159" t="str">
            <v>KASDORF ERICALYN</v>
          </cell>
          <cell r="X159" t="str">
            <v>525 E 68TH ST</v>
          </cell>
          <cell r="Y159" t="str">
            <v>NEW YORK</v>
          </cell>
          <cell r="Z159" t="str">
            <v>NY</v>
          </cell>
          <cell r="AA159" t="str">
            <v>10065-4870</v>
          </cell>
          <cell r="AB159" t="str">
            <v>PHYSICIAN</v>
          </cell>
          <cell r="AC159" t="str">
            <v>M</v>
          </cell>
          <cell r="AD159" t="str">
            <v>No</v>
          </cell>
          <cell r="AE159" t="str">
            <v>MMIS</v>
          </cell>
          <cell r="AF159" t="str">
            <v>nypeastacn</v>
          </cell>
          <cell r="AG159" t="str">
            <v>P</v>
          </cell>
        </row>
        <row r="160">
          <cell r="A160" t="str">
            <v>1174557409</v>
          </cell>
          <cell r="B160" t="str">
            <v>00243958</v>
          </cell>
          <cell r="C160" t="str">
            <v>RIVERDALE MENTAL HEALTH ASSOCIATION</v>
          </cell>
          <cell r="D160" t="str">
            <v>E0274023</v>
          </cell>
          <cell r="E160" t="str">
            <v>RIVERDALE MENTAL HLTH CL</v>
          </cell>
          <cell r="L160" t="str">
            <v>All Other:: Mental Health:: Substance Abuse</v>
          </cell>
          <cell r="M160" t="str">
            <v>Yes</v>
          </cell>
          <cell r="R160" t="str">
            <v>RIVERDALE MENTAL HEALTH ASSOCIATION INC</v>
          </cell>
          <cell r="W160" t="str">
            <v>RIVERDALE MENTAL HLTH CL</v>
          </cell>
          <cell r="X160" t="str">
            <v>RIVERDALE CLN/CDT</v>
          </cell>
          <cell r="Y160" t="str">
            <v>BRONX</v>
          </cell>
          <cell r="Z160" t="str">
            <v>NY</v>
          </cell>
          <cell r="AA160" t="str">
            <v>10471-2138</v>
          </cell>
          <cell r="AB160" t="str">
            <v>DIAGNOSTIC AND TREATMENT CENTER</v>
          </cell>
          <cell r="AC160" t="str">
            <v>M</v>
          </cell>
          <cell r="AD160" t="str">
            <v>No</v>
          </cell>
          <cell r="AE160" t="str">
            <v>MMIS</v>
          </cell>
          <cell r="AF160" t="str">
            <v>nypwestacn</v>
          </cell>
          <cell r="AG160" t="str">
            <v>P</v>
          </cell>
        </row>
        <row r="161">
          <cell r="A161" t="str">
            <v>1326244799</v>
          </cell>
          <cell r="B161" t="str">
            <v>03330590</v>
          </cell>
          <cell r="C161" t="str">
            <v>VOSSELLER, JAMES T</v>
          </cell>
          <cell r="D161" t="str">
            <v>E0319215</v>
          </cell>
          <cell r="E161" t="str">
            <v>VOSSELLER JAMES</v>
          </cell>
          <cell r="G161" t="str">
            <v>Kathryn Spaziani</v>
          </cell>
          <cell r="H161" t="str">
            <v>(212) 305-1190</v>
          </cell>
          <cell r="J161" t="str">
            <v>kas9171@nyp.org</v>
          </cell>
          <cell r="L161" t="str">
            <v>Practitioner - Non-Primary Care Provider (PCP)</v>
          </cell>
          <cell r="M161" t="str">
            <v>No</v>
          </cell>
          <cell r="R161" t="str">
            <v>VOSSELLER JAMES DR.</v>
          </cell>
          <cell r="W161" t="str">
            <v>VOSSELLER JAMES TURNER</v>
          </cell>
          <cell r="X161" t="str">
            <v>5141 BROADWAY RM 3-029</v>
          </cell>
          <cell r="Y161" t="str">
            <v>NEW YORK</v>
          </cell>
          <cell r="Z161" t="str">
            <v>NY</v>
          </cell>
          <cell r="AA161" t="str">
            <v>10034-1159</v>
          </cell>
          <cell r="AB161" t="str">
            <v>PHYSICIAN</v>
          </cell>
          <cell r="AC161" t="str">
            <v>M</v>
          </cell>
          <cell r="AD161" t="str">
            <v>No</v>
          </cell>
          <cell r="AE161" t="str">
            <v>MMIS</v>
          </cell>
          <cell r="AF161" t="str">
            <v>nypwestcampus</v>
          </cell>
          <cell r="AG161" t="str">
            <v>P</v>
          </cell>
        </row>
        <row r="162">
          <cell r="A162" t="str">
            <v>1881673572</v>
          </cell>
          <cell r="B162" t="str">
            <v>02228233</v>
          </cell>
          <cell r="C162" t="str">
            <v>MATIZ-ZANONI, LUZ A</v>
          </cell>
          <cell r="D162" t="str">
            <v>E0077266</v>
          </cell>
          <cell r="E162" t="str">
            <v>MATIZ LUZ ADRIANA MD</v>
          </cell>
          <cell r="G162" t="str">
            <v>Kathryn Spaziani</v>
          </cell>
          <cell r="H162" t="str">
            <v>(212) 305-1190</v>
          </cell>
          <cell r="J162" t="str">
            <v>kas9171@nyp.org</v>
          </cell>
          <cell r="L162" t="str">
            <v>All Other:: Practitioner - Primary Care Provider (PCP)</v>
          </cell>
          <cell r="M162" t="str">
            <v>Yes</v>
          </cell>
          <cell r="R162" t="str">
            <v>MATIZ-ZANONI LUZ DR.</v>
          </cell>
          <cell r="W162" t="str">
            <v>MATIZ LUZ ADRIANA MD</v>
          </cell>
          <cell r="X162" t="str">
            <v># VC4-402</v>
          </cell>
          <cell r="Y162" t="str">
            <v>NEW YORK</v>
          </cell>
          <cell r="Z162" t="str">
            <v>NY</v>
          </cell>
          <cell r="AA162" t="str">
            <v>10032-3720</v>
          </cell>
          <cell r="AB162" t="str">
            <v>PHYSICIAN</v>
          </cell>
          <cell r="AC162" t="str">
            <v>M</v>
          </cell>
          <cell r="AD162" t="str">
            <v>No</v>
          </cell>
          <cell r="AE162" t="str">
            <v>MMIS</v>
          </cell>
          <cell r="AF162" t="str">
            <v>nypwestcampus</v>
          </cell>
          <cell r="AG162" t="str">
            <v>P</v>
          </cell>
        </row>
        <row r="163">
          <cell r="A163" t="str">
            <v>1184660904</v>
          </cell>
          <cell r="B163" t="str">
            <v>01748329</v>
          </cell>
          <cell r="C163" t="str">
            <v xml:space="preserve">LEDERMAN-BAROTZ, CAROLYN </v>
          </cell>
          <cell r="D163" t="str">
            <v>E0125194</v>
          </cell>
          <cell r="E163" t="str">
            <v>LEDERMAN CAROLYN ROSE MD</v>
          </cell>
          <cell r="G163" t="str">
            <v>Kathryn Spaziani</v>
          </cell>
          <cell r="H163" t="str">
            <v>(212) 305-1190</v>
          </cell>
          <cell r="J163" t="str">
            <v>kas9171@nyp.org</v>
          </cell>
          <cell r="L163" t="str">
            <v>Practitioner - Non-Primary Care Provider (PCP)</v>
          </cell>
          <cell r="M163" t="str">
            <v>No</v>
          </cell>
          <cell r="R163" t="str">
            <v>LEDERMAN CAROLYN</v>
          </cell>
          <cell r="W163" t="str">
            <v>LEDERMAN CAROLYN ROSE MD</v>
          </cell>
          <cell r="X163" t="str">
            <v>MARTIN E LEDERMAN MD</v>
          </cell>
          <cell r="Y163" t="str">
            <v>WHITE PLAINS</v>
          </cell>
          <cell r="Z163" t="str">
            <v>NY</v>
          </cell>
          <cell r="AA163" t="str">
            <v>10601-5112</v>
          </cell>
          <cell r="AB163" t="str">
            <v>PHYSICIAN</v>
          </cell>
          <cell r="AC163" t="str">
            <v>M</v>
          </cell>
          <cell r="AD163" t="str">
            <v>No</v>
          </cell>
          <cell r="AE163" t="str">
            <v>MMIS</v>
          </cell>
          <cell r="AF163" t="str">
            <v>nypwestcampus</v>
          </cell>
          <cell r="AG163" t="str">
            <v>P</v>
          </cell>
        </row>
        <row r="164">
          <cell r="A164" t="str">
            <v>1184683344</v>
          </cell>
          <cell r="B164" t="str">
            <v>02781193</v>
          </cell>
          <cell r="C164" t="str">
            <v xml:space="preserve">BURKART, KRISTIN </v>
          </cell>
          <cell r="D164" t="str">
            <v>E0022073</v>
          </cell>
          <cell r="E164" t="str">
            <v>BURKART KRISTIN M MD</v>
          </cell>
          <cell r="G164" t="str">
            <v>Kathryn Spaziani</v>
          </cell>
          <cell r="H164" t="str">
            <v>(212) 305-1190</v>
          </cell>
          <cell r="J164" t="str">
            <v>kas9171@nyp.org</v>
          </cell>
          <cell r="L164" t="str">
            <v>Practitioner - Non-Primary Care Provider (PCP)</v>
          </cell>
          <cell r="M164" t="str">
            <v>No</v>
          </cell>
          <cell r="R164" t="str">
            <v>BURKART KRISTIN</v>
          </cell>
          <cell r="W164" t="str">
            <v>BURKART KRISTIN M MD</v>
          </cell>
          <cell r="X164" t="str">
            <v>622 W 168TH ST</v>
          </cell>
          <cell r="Y164" t="str">
            <v>NEW YORK</v>
          </cell>
          <cell r="Z164" t="str">
            <v>NY</v>
          </cell>
          <cell r="AA164" t="str">
            <v>10032-3720</v>
          </cell>
          <cell r="AB164" t="str">
            <v>PHYSICIAN</v>
          </cell>
          <cell r="AC164" t="str">
            <v>M</v>
          </cell>
          <cell r="AD164" t="str">
            <v>No</v>
          </cell>
          <cell r="AE164" t="str">
            <v>MMIS</v>
          </cell>
          <cell r="AF164" t="str">
            <v>nypwestacn</v>
          </cell>
          <cell r="AG164" t="str">
            <v>P</v>
          </cell>
        </row>
        <row r="165">
          <cell r="A165" t="str">
            <v>1184711277</v>
          </cell>
          <cell r="B165" t="str">
            <v>00702456</v>
          </cell>
          <cell r="C165" t="str">
            <v>Solomon, Gail E</v>
          </cell>
          <cell r="D165" t="str">
            <v>E0229459</v>
          </cell>
          <cell r="E165" t="str">
            <v>SOLOMON GAIL E             MD</v>
          </cell>
          <cell r="G165" t="str">
            <v>Kathryn Spaziani</v>
          </cell>
          <cell r="H165" t="str">
            <v>(212) 305-1190</v>
          </cell>
          <cell r="J165" t="str">
            <v>kas9171@nyp.org</v>
          </cell>
          <cell r="L165" t="str">
            <v>Practitioner - Non-Primary Care Provider (PCP)</v>
          </cell>
          <cell r="M165" t="str">
            <v>No</v>
          </cell>
          <cell r="R165" t="str">
            <v>SOLOMON GAIL</v>
          </cell>
          <cell r="W165" t="str">
            <v>SOLOMON GAIL E             MD</v>
          </cell>
          <cell r="Y165" t="str">
            <v>NEW YORK</v>
          </cell>
          <cell r="Z165" t="str">
            <v>NY</v>
          </cell>
          <cell r="AA165" t="str">
            <v>10065-4870</v>
          </cell>
          <cell r="AB165" t="str">
            <v>PHYSICIAN</v>
          </cell>
          <cell r="AC165" t="str">
            <v>M</v>
          </cell>
          <cell r="AD165" t="str">
            <v>No</v>
          </cell>
          <cell r="AE165" t="str">
            <v>MMIS</v>
          </cell>
          <cell r="AF165" t="str">
            <v>nypeastcampus</v>
          </cell>
          <cell r="AG165" t="str">
            <v>P</v>
          </cell>
        </row>
        <row r="166">
          <cell r="A166" t="str">
            <v>1093802183</v>
          </cell>
          <cell r="B166" t="str">
            <v>01810264</v>
          </cell>
          <cell r="C166" t="str">
            <v>LO FASO, VERONICA M</v>
          </cell>
          <cell r="D166" t="str">
            <v>E0119011</v>
          </cell>
          <cell r="E166" t="str">
            <v>LOFASO VERONICA M MD</v>
          </cell>
          <cell r="G166" t="str">
            <v>Kathryn Spaziani</v>
          </cell>
          <cell r="H166" t="str">
            <v>(212) 305-1190</v>
          </cell>
          <cell r="J166" t="str">
            <v>kas9171@nyp.org</v>
          </cell>
          <cell r="L166" t="str">
            <v>All Other:: Practitioner - Primary Care Provider (PCP)</v>
          </cell>
          <cell r="M166" t="str">
            <v>No</v>
          </cell>
          <cell r="R166" t="str">
            <v>LOFASO VERONICA</v>
          </cell>
          <cell r="W166" t="str">
            <v>LOFASO VERONICA M MD</v>
          </cell>
          <cell r="X166" t="str">
            <v>CORNELL GERIAT ASC</v>
          </cell>
          <cell r="Y166" t="str">
            <v>NEW YORK</v>
          </cell>
          <cell r="Z166" t="str">
            <v>NY</v>
          </cell>
          <cell r="AA166" t="str">
            <v>10021-4895</v>
          </cell>
          <cell r="AB166" t="str">
            <v>PHYSICIAN</v>
          </cell>
          <cell r="AC166" t="str">
            <v>M</v>
          </cell>
          <cell r="AD166" t="str">
            <v>No</v>
          </cell>
          <cell r="AE166" t="str">
            <v>MMIS</v>
          </cell>
          <cell r="AF166" t="str">
            <v>nypeastcampus</v>
          </cell>
          <cell r="AG166" t="str">
            <v>P</v>
          </cell>
        </row>
        <row r="167">
          <cell r="A167" t="str">
            <v>1093838856</v>
          </cell>
          <cell r="B167" t="str">
            <v>01811201</v>
          </cell>
          <cell r="C167" t="str">
            <v xml:space="preserve">GORDON, PETER </v>
          </cell>
          <cell r="D167" t="str">
            <v>E0118917</v>
          </cell>
          <cell r="E167" t="str">
            <v>GORDON PETER MD</v>
          </cell>
          <cell r="G167" t="str">
            <v>Kathryn Spaziani</v>
          </cell>
          <cell r="H167" t="str">
            <v>(212) 305-1190</v>
          </cell>
          <cell r="J167" t="str">
            <v>kas9171@nyp.org</v>
          </cell>
          <cell r="L167" t="str">
            <v>All Other:: Practitioner - Primary Care Provider (PCP)</v>
          </cell>
          <cell r="M167" t="str">
            <v>Yes</v>
          </cell>
          <cell r="R167" t="str">
            <v>GORDON PETER DR.</v>
          </cell>
          <cell r="W167" t="str">
            <v>GORDON PETER MD</v>
          </cell>
          <cell r="X167" t="str">
            <v>NY PRESBYT HSP</v>
          </cell>
          <cell r="Y167" t="str">
            <v>NEW YORK</v>
          </cell>
          <cell r="Z167" t="str">
            <v>NY</v>
          </cell>
          <cell r="AA167" t="str">
            <v>10032-3720</v>
          </cell>
          <cell r="AB167" t="str">
            <v>PHYSICIAN</v>
          </cell>
          <cell r="AC167" t="str">
            <v>M</v>
          </cell>
          <cell r="AD167" t="str">
            <v>No</v>
          </cell>
          <cell r="AE167" t="str">
            <v>MMIS</v>
          </cell>
          <cell r="AF167" t="str">
            <v>nypwestacn</v>
          </cell>
          <cell r="AG167" t="str">
            <v>P</v>
          </cell>
        </row>
        <row r="168">
          <cell r="A168" t="str">
            <v>1710025549</v>
          </cell>
          <cell r="B168" t="str">
            <v>03371313</v>
          </cell>
          <cell r="C168" t="str">
            <v>Mwangi Nathaniel</v>
          </cell>
          <cell r="D168" t="str">
            <v>E0323975</v>
          </cell>
          <cell r="E168" t="str">
            <v>MWANGI NATHANIEL</v>
          </cell>
          <cell r="L168" t="str">
            <v>Practitioner - Non-Primary Care Provider (PCP)</v>
          </cell>
          <cell r="M168" t="str">
            <v>No</v>
          </cell>
          <cell r="R168" t="str">
            <v>MWANGI NATHANIEL MR.</v>
          </cell>
          <cell r="W168" t="str">
            <v>MWANGI NATHANIEL</v>
          </cell>
          <cell r="X168" t="str">
            <v>622 W 168TH ST PH 1-137</v>
          </cell>
          <cell r="Y168" t="str">
            <v>NEW YORK</v>
          </cell>
          <cell r="Z168" t="str">
            <v>NY</v>
          </cell>
          <cell r="AA168" t="str">
            <v>10032-3720</v>
          </cell>
          <cell r="AB168" t="str">
            <v>PHYSICIAN</v>
          </cell>
          <cell r="AC168" t="str">
            <v>M</v>
          </cell>
          <cell r="AD168" t="str">
            <v>No</v>
          </cell>
          <cell r="AE168" t="str">
            <v>MMIS</v>
          </cell>
          <cell r="AF168" t="str">
            <v>nypwestcampus</v>
          </cell>
          <cell r="AG168" t="str">
            <v>P</v>
          </cell>
        </row>
        <row r="169">
          <cell r="A169" t="str">
            <v>1891899894</v>
          </cell>
          <cell r="B169" t="str">
            <v>01355173</v>
          </cell>
          <cell r="C169" t="str">
            <v>Naamon Edwin</v>
          </cell>
          <cell r="D169" t="str">
            <v>E0164429</v>
          </cell>
          <cell r="E169" t="str">
            <v>NAAMON EDWIN L JR MD</v>
          </cell>
          <cell r="L169" t="str">
            <v>Practitioner - Non-Primary Care Provider (PCP)</v>
          </cell>
          <cell r="M169" t="str">
            <v>No</v>
          </cell>
          <cell r="R169" t="str">
            <v>NAAMON EDWIN DR.</v>
          </cell>
          <cell r="W169" t="str">
            <v>NAAMON EDWIN L JR MD</v>
          </cell>
          <cell r="X169" t="str">
            <v># VC2-205</v>
          </cell>
          <cell r="Y169" t="str">
            <v>NEW YORK</v>
          </cell>
          <cell r="Z169" t="str">
            <v>NY</v>
          </cell>
          <cell r="AA169" t="str">
            <v>10032-3720</v>
          </cell>
          <cell r="AB169" t="str">
            <v>PHYSICIAN</v>
          </cell>
          <cell r="AC169" t="str">
            <v>M</v>
          </cell>
          <cell r="AD169" t="str">
            <v>No</v>
          </cell>
          <cell r="AE169" t="str">
            <v>MMIS</v>
          </cell>
          <cell r="AF169" t="str">
            <v>nypwestcampus</v>
          </cell>
          <cell r="AG169" t="str">
            <v>P</v>
          </cell>
        </row>
        <row r="170">
          <cell r="A170" t="str">
            <v>1356445357</v>
          </cell>
          <cell r="B170" t="str">
            <v>00999308</v>
          </cell>
          <cell r="C170" t="str">
            <v>Olowe Oluremi</v>
          </cell>
          <cell r="D170" t="str">
            <v>E0199869</v>
          </cell>
          <cell r="E170" t="str">
            <v>OLOWE OLUREMI              MD</v>
          </cell>
          <cell r="L170" t="str">
            <v>Practitioner - Non-Primary Care Provider (PCP)</v>
          </cell>
          <cell r="M170" t="str">
            <v>No</v>
          </cell>
          <cell r="R170" t="str">
            <v>OLOWE OLUREMI</v>
          </cell>
          <cell r="W170" t="str">
            <v>OLOWE OLUREMI              MD</v>
          </cell>
          <cell r="X170" t="str">
            <v>47-13 197TH ST</v>
          </cell>
          <cell r="Y170" t="str">
            <v>FLUSHING</v>
          </cell>
          <cell r="Z170" t="str">
            <v>NY</v>
          </cell>
          <cell r="AA170" t="str">
            <v>11358</v>
          </cell>
          <cell r="AB170" t="str">
            <v>PHYSICIAN</v>
          </cell>
          <cell r="AC170" t="str">
            <v>M</v>
          </cell>
          <cell r="AD170" t="str">
            <v>No</v>
          </cell>
          <cell r="AE170" t="str">
            <v>MMIS</v>
          </cell>
          <cell r="AF170" t="str">
            <v>nypwestacn</v>
          </cell>
          <cell r="AG170" t="str">
            <v>P</v>
          </cell>
        </row>
        <row r="171">
          <cell r="A171" t="str">
            <v>1972514941</v>
          </cell>
          <cell r="C171" t="str">
            <v>Jennas Joseph</v>
          </cell>
          <cell r="G171" t="str">
            <v>Kathryn Spaziani</v>
          </cell>
          <cell r="H171" t="str">
            <v>(212) 305-1255</v>
          </cell>
          <cell r="J171" t="str">
            <v>kas9171@nyp.org</v>
          </cell>
          <cell r="K171" t="str">
            <v>Physician</v>
          </cell>
          <cell r="L171" t="str">
            <v>Practitioner - Non-Primary Care Provider (PCP)</v>
          </cell>
          <cell r="M171" t="str">
            <v>No</v>
          </cell>
          <cell r="R171" t="str">
            <v>JENNAS JOSEPH</v>
          </cell>
          <cell r="S171" t="str">
            <v>622 W 168TH ST</v>
          </cell>
          <cell r="T171" t="str">
            <v>NEW YORK</v>
          </cell>
          <cell r="U171" t="str">
            <v>NY</v>
          </cell>
          <cell r="V171" t="str">
            <v>100323720</v>
          </cell>
          <cell r="AC171" t="str">
            <v>M</v>
          </cell>
          <cell r="AD171" t="str">
            <v>No</v>
          </cell>
          <cell r="AE171" t="str">
            <v>NPI only</v>
          </cell>
          <cell r="AF171" t="str">
            <v>nypwestcampus</v>
          </cell>
          <cell r="AG171" t="str">
            <v>P</v>
          </cell>
        </row>
        <row r="172">
          <cell r="A172" t="str">
            <v>1588905962</v>
          </cell>
          <cell r="C172" t="str">
            <v>Keller Lizbeth</v>
          </cell>
          <cell r="G172" t="str">
            <v>Kathryn Spaziani</v>
          </cell>
          <cell r="H172" t="str">
            <v>(212) 305-1255</v>
          </cell>
          <cell r="J172" t="str">
            <v>kas9171@nyp.org</v>
          </cell>
          <cell r="K172" t="str">
            <v>Physician</v>
          </cell>
          <cell r="L172" t="str">
            <v>Uncategorized</v>
          </cell>
          <cell r="M172" t="str">
            <v>No</v>
          </cell>
          <cell r="AC172" t="str">
            <v>M</v>
          </cell>
          <cell r="AD172" t="str">
            <v>No</v>
          </cell>
          <cell r="AE172" t="str">
            <v>NPI only</v>
          </cell>
          <cell r="AF172" t="str">
            <v>nypwestacn</v>
          </cell>
          <cell r="AG172" t="str">
            <v>P</v>
          </cell>
        </row>
        <row r="173">
          <cell r="A173" t="str">
            <v>1447381751</v>
          </cell>
          <cell r="C173" t="str">
            <v>Kim Young</v>
          </cell>
          <cell r="G173" t="str">
            <v>Kathryn Spaziani</v>
          </cell>
          <cell r="H173" t="str">
            <v>(212) 305-1255</v>
          </cell>
          <cell r="J173" t="str">
            <v>kas9171@nyp.org</v>
          </cell>
          <cell r="K173" t="str">
            <v>Physician</v>
          </cell>
          <cell r="L173" t="str">
            <v>Uncategorized</v>
          </cell>
          <cell r="M173" t="str">
            <v>No</v>
          </cell>
          <cell r="R173" t="str">
            <v>KIM YOUNG</v>
          </cell>
          <cell r="S173" t="str">
            <v>622 WEST 168TH ST.</v>
          </cell>
          <cell r="T173" t="str">
            <v>NEW YORK</v>
          </cell>
          <cell r="U173" t="str">
            <v>NY</v>
          </cell>
          <cell r="V173" t="str">
            <v>10032</v>
          </cell>
          <cell r="AC173" t="str">
            <v>M</v>
          </cell>
          <cell r="AD173" t="str">
            <v>No</v>
          </cell>
          <cell r="AE173" t="str">
            <v>NPI only</v>
          </cell>
          <cell r="AF173" t="str">
            <v>nypwestcampus</v>
          </cell>
          <cell r="AG173" t="str">
            <v>P</v>
          </cell>
        </row>
        <row r="174">
          <cell r="A174" t="str">
            <v>1770883282</v>
          </cell>
          <cell r="B174" t="str">
            <v>03299667</v>
          </cell>
          <cell r="C174" t="str">
            <v>Landell Keisha</v>
          </cell>
          <cell r="D174" t="str">
            <v>E0315656</v>
          </cell>
          <cell r="E174" t="str">
            <v>LANDELL KEISHA CAROLINE ACNP</v>
          </cell>
          <cell r="L174" t="str">
            <v>Practitioner - Non-Primary Care Provider (PCP)</v>
          </cell>
          <cell r="M174" t="str">
            <v>No</v>
          </cell>
          <cell r="R174" t="str">
            <v>LANDELL KEISHA MS.</v>
          </cell>
          <cell r="W174" t="str">
            <v>LANDELL KEISHA CAROLINE ACNP</v>
          </cell>
          <cell r="X174" t="str">
            <v>622 W 168TH ST</v>
          </cell>
          <cell r="Y174" t="str">
            <v>NEW YORK</v>
          </cell>
          <cell r="Z174" t="str">
            <v>NY</v>
          </cell>
          <cell r="AA174" t="str">
            <v>10032-3720</v>
          </cell>
          <cell r="AB174" t="str">
            <v>PHYSICIAN</v>
          </cell>
          <cell r="AC174" t="str">
            <v>M</v>
          </cell>
          <cell r="AD174" t="str">
            <v>No</v>
          </cell>
          <cell r="AE174" t="str">
            <v>MMIS</v>
          </cell>
          <cell r="AF174" t="str">
            <v>nypwestcampus</v>
          </cell>
          <cell r="AG174" t="str">
            <v>P</v>
          </cell>
        </row>
        <row r="175">
          <cell r="A175" t="str">
            <v>1770991655</v>
          </cell>
          <cell r="C175" t="str">
            <v>Langone Danielle</v>
          </cell>
          <cell r="G175" t="str">
            <v>Kathryn Spaziani</v>
          </cell>
          <cell r="H175" t="str">
            <v>(212) 305-1255</v>
          </cell>
          <cell r="J175" t="str">
            <v>kas9171@nyp.org</v>
          </cell>
          <cell r="K175" t="str">
            <v>Physician</v>
          </cell>
          <cell r="L175" t="str">
            <v>Uncategorized</v>
          </cell>
          <cell r="M175" t="str">
            <v>No</v>
          </cell>
          <cell r="R175" t="str">
            <v>LANGONE DANIELLE</v>
          </cell>
          <cell r="S175" t="str">
            <v>630 W 168TH ST, CT ICU</v>
          </cell>
          <cell r="T175" t="str">
            <v>NEW YORK</v>
          </cell>
          <cell r="U175" t="str">
            <v>NY</v>
          </cell>
          <cell r="V175" t="str">
            <v>100323725</v>
          </cell>
          <cell r="AC175" t="str">
            <v>M</v>
          </cell>
          <cell r="AD175" t="str">
            <v>No</v>
          </cell>
          <cell r="AE175" t="str">
            <v>NPI only</v>
          </cell>
          <cell r="AF175" t="str">
            <v>nypwestcampus</v>
          </cell>
          <cell r="AG175" t="str">
            <v>P</v>
          </cell>
        </row>
        <row r="176">
          <cell r="A176" t="str">
            <v>1609912724</v>
          </cell>
          <cell r="C176" t="str">
            <v>Lee Song-Mi</v>
          </cell>
          <cell r="G176" t="str">
            <v>Kathryn Spaziani</v>
          </cell>
          <cell r="H176" t="str">
            <v>(212) 305-1255</v>
          </cell>
          <cell r="J176" t="str">
            <v>kas9171@nyp.org</v>
          </cell>
          <cell r="K176" t="str">
            <v>Physician</v>
          </cell>
          <cell r="L176" t="str">
            <v>Uncategorized</v>
          </cell>
          <cell r="M176" t="str">
            <v>No</v>
          </cell>
          <cell r="R176" t="str">
            <v>LEE SONG-MI MS.</v>
          </cell>
          <cell r="S176" t="str">
            <v>622 W 168TH ST</v>
          </cell>
          <cell r="T176" t="str">
            <v>NEW YORK</v>
          </cell>
          <cell r="U176" t="str">
            <v>NY</v>
          </cell>
          <cell r="V176" t="str">
            <v>100323720</v>
          </cell>
          <cell r="AC176" t="str">
            <v>M</v>
          </cell>
          <cell r="AD176" t="str">
            <v>No</v>
          </cell>
          <cell r="AE176" t="str">
            <v>NPI only</v>
          </cell>
          <cell r="AF176" t="str">
            <v>nypwestcampus</v>
          </cell>
          <cell r="AG176" t="str">
            <v>P</v>
          </cell>
        </row>
        <row r="177">
          <cell r="A177" t="str">
            <v>1972865772</v>
          </cell>
          <cell r="B177" t="str">
            <v>03484833</v>
          </cell>
          <cell r="C177" t="str">
            <v>Claudia Anglade</v>
          </cell>
          <cell r="D177" t="str">
            <v>E0337900</v>
          </cell>
          <cell r="E177" t="str">
            <v>ANGLADE CLAUDIA</v>
          </cell>
          <cell r="G177" t="str">
            <v>Corina Sharp</v>
          </cell>
          <cell r="H177" t="str">
            <v>(212) 545-2441</v>
          </cell>
          <cell r="J177" t="str">
            <v>csharp@chnnyc.org</v>
          </cell>
          <cell r="L177" t="str">
            <v>All Other:: Practitioner - Primary Care Provider (PCP)</v>
          </cell>
          <cell r="M177" t="str">
            <v>Yes</v>
          </cell>
          <cell r="R177" t="str">
            <v>ANGLADE CLAUDIA DR.</v>
          </cell>
          <cell r="W177" t="str">
            <v>ANGLADE CLAUDIA</v>
          </cell>
          <cell r="X177" t="str">
            <v>1167 NOSTRAND AVE</v>
          </cell>
          <cell r="Y177" t="str">
            <v>BROOKLYN</v>
          </cell>
          <cell r="Z177" t="str">
            <v>NY</v>
          </cell>
          <cell r="AA177" t="str">
            <v>11225-5417</v>
          </cell>
          <cell r="AB177" t="str">
            <v>PHYSICIAN</v>
          </cell>
          <cell r="AC177" t="str">
            <v>M</v>
          </cell>
          <cell r="AD177" t="str">
            <v>No</v>
          </cell>
          <cell r="AE177" t="str">
            <v>MMIS</v>
          </cell>
          <cell r="AF177" t="str">
            <v>chn</v>
          </cell>
          <cell r="AG177" t="str">
            <v>P</v>
          </cell>
        </row>
        <row r="178">
          <cell r="A178" t="str">
            <v>1669430310</v>
          </cell>
          <cell r="B178" t="str">
            <v>03128916</v>
          </cell>
          <cell r="C178" t="str">
            <v>KALINSKY, KEVIN</v>
          </cell>
          <cell r="D178" t="str">
            <v>E0296393</v>
          </cell>
          <cell r="E178" t="str">
            <v>KALINKSY KEVIN MICHAEL MD</v>
          </cell>
          <cell r="G178" t="str">
            <v>Kathryn Spaziani</v>
          </cell>
          <cell r="H178" t="str">
            <v>(212) 305-1267</v>
          </cell>
          <cell r="J178" t="str">
            <v>kas9171@nyp.org</v>
          </cell>
          <cell r="L178" t="str">
            <v>All Other:: Practitioner - Non-Primary Care Provider (PCP)</v>
          </cell>
          <cell r="M178" t="str">
            <v>No</v>
          </cell>
          <cell r="R178" t="str">
            <v>KALINSKY KEVIN</v>
          </cell>
          <cell r="W178" t="str">
            <v>KALINSKY KEVIN MICHAEL MD</v>
          </cell>
          <cell r="X178" t="str">
            <v>161 FORT WASHINGTON AVE</v>
          </cell>
          <cell r="Y178" t="str">
            <v>NEW YORK</v>
          </cell>
          <cell r="Z178" t="str">
            <v>NY</v>
          </cell>
          <cell r="AA178" t="str">
            <v>10032-3729</v>
          </cell>
          <cell r="AB178" t="str">
            <v>PHYSICIAN</v>
          </cell>
          <cell r="AC178" t="str">
            <v>M</v>
          </cell>
          <cell r="AD178" t="str">
            <v>No</v>
          </cell>
          <cell r="AE178" t="str">
            <v>MMIS</v>
          </cell>
          <cell r="AF178" t="str">
            <v>nypwestcampus</v>
          </cell>
          <cell r="AG178" t="str">
            <v>P</v>
          </cell>
        </row>
        <row r="179">
          <cell r="A179" t="str">
            <v>1073550562</v>
          </cell>
          <cell r="B179" t="str">
            <v>02988296</v>
          </cell>
          <cell r="C179" t="str">
            <v xml:space="preserve">POPOVIC, PREDRAG </v>
          </cell>
          <cell r="D179" t="str">
            <v>E0007402</v>
          </cell>
          <cell r="E179" t="str">
            <v>PREDRAG POPOVIC MD</v>
          </cell>
          <cell r="G179" t="str">
            <v>Kathryn Spaziani</v>
          </cell>
          <cell r="H179" t="str">
            <v>(212) 305-1190</v>
          </cell>
          <cell r="J179" t="str">
            <v>kas9171@nyp.org</v>
          </cell>
          <cell r="L179" t="str">
            <v>All Other:: Practitioner - Primary Care Provider (PCP)</v>
          </cell>
          <cell r="M179" t="str">
            <v>No</v>
          </cell>
          <cell r="R179" t="str">
            <v>POPOVIC PREDRAG</v>
          </cell>
          <cell r="W179" t="str">
            <v>POPOVIC PREDRAG MD</v>
          </cell>
          <cell r="X179" t="str">
            <v>622 W 168TH ST</v>
          </cell>
          <cell r="Y179" t="str">
            <v>NEW YORK</v>
          </cell>
          <cell r="Z179" t="str">
            <v>NY</v>
          </cell>
          <cell r="AA179" t="str">
            <v>10032-3720</v>
          </cell>
          <cell r="AB179" t="str">
            <v>PHYSICIAN</v>
          </cell>
          <cell r="AC179" t="str">
            <v>M</v>
          </cell>
          <cell r="AD179" t="str">
            <v>No</v>
          </cell>
          <cell r="AE179" t="str">
            <v>MMIS</v>
          </cell>
          <cell r="AF179" t="str">
            <v>nypwestcampus</v>
          </cell>
          <cell r="AG179" t="str">
            <v>P</v>
          </cell>
        </row>
        <row r="180">
          <cell r="A180" t="str">
            <v>1073584918</v>
          </cell>
          <cell r="B180" t="str">
            <v>01398296</v>
          </cell>
          <cell r="C180" t="str">
            <v>NIKETUKIS-WUJCIAK, VALERIE J</v>
          </cell>
          <cell r="D180" t="str">
            <v>E0160133</v>
          </cell>
          <cell r="E180" t="str">
            <v>NIKETAKIS-WUJCIAK VALERIE MD</v>
          </cell>
          <cell r="G180" t="str">
            <v>Kathryn Spaziani</v>
          </cell>
          <cell r="H180" t="str">
            <v>(212) 305-1190</v>
          </cell>
          <cell r="J180" t="str">
            <v>kas9171@nyp.org</v>
          </cell>
          <cell r="L180" t="str">
            <v>All Other:: Practitioner - Primary Care Provider (PCP)</v>
          </cell>
          <cell r="M180" t="str">
            <v>Yes</v>
          </cell>
          <cell r="R180" t="str">
            <v>NIKETAKIS VALERIE DR.</v>
          </cell>
          <cell r="W180" t="str">
            <v>NIKETAKIS-WUJCIAK VALERIE MD</v>
          </cell>
          <cell r="X180" t="str">
            <v>VC-4 6P6P</v>
          </cell>
          <cell r="Y180" t="str">
            <v>NEW YORK</v>
          </cell>
          <cell r="Z180" t="str">
            <v>NY</v>
          </cell>
          <cell r="AA180" t="str">
            <v>10032-3725</v>
          </cell>
          <cell r="AB180" t="str">
            <v>PHYSICIAN</v>
          </cell>
          <cell r="AC180" t="str">
            <v>M</v>
          </cell>
          <cell r="AD180" t="str">
            <v>No</v>
          </cell>
          <cell r="AE180" t="str">
            <v>MMIS</v>
          </cell>
          <cell r="AF180" t="str">
            <v>nypwestcampus</v>
          </cell>
          <cell r="AG180" t="str">
            <v>P</v>
          </cell>
        </row>
        <row r="181">
          <cell r="A181" t="str">
            <v>1467615914</v>
          </cell>
          <cell r="B181" t="str">
            <v>03375546</v>
          </cell>
          <cell r="C181" t="str">
            <v>Ciecierega, Thomas M.</v>
          </cell>
          <cell r="D181" t="str">
            <v>E0324484</v>
          </cell>
          <cell r="E181" t="str">
            <v>CIECIEREGA THOMAS</v>
          </cell>
          <cell r="G181" t="str">
            <v>Kathryn Spaziani</v>
          </cell>
          <cell r="H181" t="str">
            <v>(212) 305-1190</v>
          </cell>
          <cell r="J181" t="str">
            <v>kas9171@nyp.org</v>
          </cell>
          <cell r="L181" t="str">
            <v>All Other:: Practitioner - Non-Primary Care Provider (PCP)</v>
          </cell>
          <cell r="M181" t="str">
            <v>No</v>
          </cell>
          <cell r="R181" t="str">
            <v>CIECIEREGA THOMAS DR.</v>
          </cell>
          <cell r="W181" t="str">
            <v>CIECIEREGA THOMAS</v>
          </cell>
          <cell r="X181" t="str">
            <v>525 E 68TH ST # 225</v>
          </cell>
          <cell r="Y181" t="str">
            <v>NEW YORK</v>
          </cell>
          <cell r="Z181" t="str">
            <v>NY</v>
          </cell>
          <cell r="AA181" t="str">
            <v>10065-4897</v>
          </cell>
          <cell r="AB181" t="str">
            <v>PHYSICIAN</v>
          </cell>
          <cell r="AC181" t="str">
            <v>M</v>
          </cell>
          <cell r="AD181" t="str">
            <v>No</v>
          </cell>
          <cell r="AE181" t="str">
            <v>MMIS</v>
          </cell>
          <cell r="AF181" t="str">
            <v>nypeastacn</v>
          </cell>
          <cell r="AG181" t="str">
            <v>P</v>
          </cell>
        </row>
        <row r="182">
          <cell r="A182" t="str">
            <v>1467652313</v>
          </cell>
          <cell r="B182" t="str">
            <v>03385004</v>
          </cell>
          <cell r="C182" t="str">
            <v>BAROR, ELENA S</v>
          </cell>
          <cell r="D182" t="str">
            <v>E0325627</v>
          </cell>
          <cell r="E182" t="str">
            <v>BAROR ELENA</v>
          </cell>
          <cell r="G182" t="str">
            <v>Kathryn Spaziani</v>
          </cell>
          <cell r="H182" t="str">
            <v>(212) 305-1190</v>
          </cell>
          <cell r="J182" t="str">
            <v>kas9171@nyp.org</v>
          </cell>
          <cell r="L182" t="str">
            <v>Mental Health:: Practitioner - Non-Primary Care Provider (PCP)</v>
          </cell>
          <cell r="M182" t="str">
            <v>No</v>
          </cell>
          <cell r="R182" t="str">
            <v>BAROR ELENA MS.</v>
          </cell>
          <cell r="W182" t="str">
            <v>BAROR ELENA</v>
          </cell>
          <cell r="X182" t="str">
            <v>6510 99TH ST STE LL1</v>
          </cell>
          <cell r="Y182" t="str">
            <v>REGO PARK</v>
          </cell>
          <cell r="Z182" t="str">
            <v>NY</v>
          </cell>
          <cell r="AA182" t="str">
            <v>11374-3536</v>
          </cell>
          <cell r="AB182" t="str">
            <v>CLINICAL PSYCHOLOGIST</v>
          </cell>
          <cell r="AC182" t="str">
            <v>M</v>
          </cell>
          <cell r="AD182" t="str">
            <v>No</v>
          </cell>
          <cell r="AE182" t="str">
            <v>MMIS</v>
          </cell>
          <cell r="AF182" t="str">
            <v>nypwestacn</v>
          </cell>
          <cell r="AG182" t="str">
            <v>P</v>
          </cell>
        </row>
        <row r="183">
          <cell r="A183" t="str">
            <v>1306285077</v>
          </cell>
          <cell r="B183" t="str">
            <v>03697550</v>
          </cell>
          <cell r="C183" t="str">
            <v xml:space="preserve">CARRASCO, BELINDA </v>
          </cell>
          <cell r="D183" t="str">
            <v>E0360260</v>
          </cell>
          <cell r="E183" t="str">
            <v>CARRASCO BELINDA</v>
          </cell>
          <cell r="G183" t="str">
            <v>Kathryn Spaziani</v>
          </cell>
          <cell r="H183" t="str">
            <v>(212) 305-1190</v>
          </cell>
          <cell r="J183" t="str">
            <v>kas9171@nyp.org</v>
          </cell>
          <cell r="L183" t="str">
            <v>Mental Health:: Practitioner - Non-Primary Care Provider (PCP)</v>
          </cell>
          <cell r="M183" t="str">
            <v>No</v>
          </cell>
          <cell r="R183" t="str">
            <v>CARRASCO BELINDA DR.</v>
          </cell>
          <cell r="W183" t="str">
            <v>CARRASCO BELINDA</v>
          </cell>
          <cell r="X183" t="str">
            <v>635 W 165TH ST FL 6</v>
          </cell>
          <cell r="Y183" t="str">
            <v>NEW YORK</v>
          </cell>
          <cell r="Z183" t="str">
            <v>NY</v>
          </cell>
          <cell r="AA183" t="str">
            <v>10032-3724</v>
          </cell>
          <cell r="AB183" t="str">
            <v>CLINICAL PSYCHOLOGIST</v>
          </cell>
          <cell r="AC183" t="str">
            <v>M</v>
          </cell>
          <cell r="AD183" t="str">
            <v>No</v>
          </cell>
          <cell r="AE183" t="str">
            <v>MMIS</v>
          </cell>
          <cell r="AF183" t="str">
            <v>nypwestacn</v>
          </cell>
          <cell r="AG183" t="str">
            <v>P</v>
          </cell>
        </row>
        <row r="184">
          <cell r="A184" t="str">
            <v>1497897953</v>
          </cell>
          <cell r="B184" t="str">
            <v>03287336</v>
          </cell>
          <cell r="C184" t="str">
            <v>POPPLEWELL, DEBORAH A</v>
          </cell>
          <cell r="D184" t="str">
            <v>E0314268</v>
          </cell>
          <cell r="E184" t="str">
            <v>POPPLEWELL DEBORAH</v>
          </cell>
          <cell r="G184" t="str">
            <v>Kathryn Spaziani</v>
          </cell>
          <cell r="H184" t="str">
            <v>(212) 305-1190</v>
          </cell>
          <cell r="J184" t="str">
            <v>kas9171@nyp.org</v>
          </cell>
          <cell r="L184" t="str">
            <v>Practitioner - Non-Primary Care Provider (PCP)</v>
          </cell>
          <cell r="M184" t="str">
            <v>No</v>
          </cell>
          <cell r="R184" t="str">
            <v>POPPLEWELL DEBORAH DR.</v>
          </cell>
          <cell r="W184" t="str">
            <v>POPPLEWELL DEBORAH</v>
          </cell>
          <cell r="X184" t="str">
            <v>HARKNESS EYE INSTITUTE 635 WEST 165TH ST</v>
          </cell>
          <cell r="Y184" t="str">
            <v>NEW YORK</v>
          </cell>
          <cell r="Z184" t="str">
            <v>NY</v>
          </cell>
          <cell r="AA184" t="str">
            <v>10032-3724</v>
          </cell>
          <cell r="AB184" t="str">
            <v>OPTOMETRIST</v>
          </cell>
          <cell r="AC184" t="str">
            <v>M</v>
          </cell>
          <cell r="AD184" t="str">
            <v>No</v>
          </cell>
          <cell r="AE184" t="str">
            <v>MMIS</v>
          </cell>
          <cell r="AF184" t="str">
            <v>nypwestcampus</v>
          </cell>
          <cell r="AG184" t="str">
            <v>P</v>
          </cell>
        </row>
        <row r="185">
          <cell r="A185" t="str">
            <v>1780854703</v>
          </cell>
          <cell r="B185" t="str">
            <v>02958836</v>
          </cell>
          <cell r="C185" t="str">
            <v>MILLER, RUSSELL S</v>
          </cell>
          <cell r="D185" t="str">
            <v>E0004104</v>
          </cell>
          <cell r="E185" t="str">
            <v>RUSSELL S MILLER</v>
          </cell>
          <cell r="G185" t="str">
            <v>Kathryn Spaziani</v>
          </cell>
          <cell r="H185" t="str">
            <v>(212) 305-1190</v>
          </cell>
          <cell r="J185" t="str">
            <v>kas9171@nyp.org</v>
          </cell>
          <cell r="L185" t="str">
            <v>All Other:: Practitioner - Non-Primary Care Provider (PCP)</v>
          </cell>
          <cell r="M185" t="str">
            <v>Yes</v>
          </cell>
          <cell r="R185" t="str">
            <v>MILLER RUSSELL</v>
          </cell>
          <cell r="W185" t="str">
            <v>MILLER RUSSELL SCOTT MD</v>
          </cell>
          <cell r="X185" t="str">
            <v>3959 BROADWAY</v>
          </cell>
          <cell r="Y185" t="str">
            <v>NEW YORK</v>
          </cell>
          <cell r="Z185" t="str">
            <v>NY</v>
          </cell>
          <cell r="AA185" t="str">
            <v>10032-1559</v>
          </cell>
          <cell r="AB185" t="str">
            <v>PHYSICIAN</v>
          </cell>
          <cell r="AC185" t="str">
            <v>M</v>
          </cell>
          <cell r="AD185" t="str">
            <v>No</v>
          </cell>
          <cell r="AE185" t="str">
            <v>MMIS</v>
          </cell>
          <cell r="AF185" t="str">
            <v>nypwestcampus</v>
          </cell>
          <cell r="AG185" t="str">
            <v>P</v>
          </cell>
        </row>
        <row r="186">
          <cell r="A186" t="str">
            <v>1477577815</v>
          </cell>
          <cell r="B186" t="str">
            <v>03421854</v>
          </cell>
          <cell r="C186" t="str">
            <v xml:space="preserve">SEWRATHAN-GHOSH, SHERRY </v>
          </cell>
          <cell r="D186" t="str">
            <v>E0330468</v>
          </cell>
          <cell r="E186" t="str">
            <v>SEWRATHAN-GHOSH SHERRY</v>
          </cell>
          <cell r="G186" t="str">
            <v>Kathryn Spaziani</v>
          </cell>
          <cell r="H186" t="str">
            <v>(212) 305-1190</v>
          </cell>
          <cell r="J186" t="str">
            <v>kas9171@nyp.org</v>
          </cell>
          <cell r="L186" t="str">
            <v>Practitioner - Non-Primary Care Provider (PCP)</v>
          </cell>
          <cell r="M186" t="str">
            <v>No</v>
          </cell>
          <cell r="R186" t="str">
            <v>SEWRATHAN-GHOSH SHERRY MRS.</v>
          </cell>
          <cell r="W186" t="str">
            <v>SEWRATHAN-GHOSH SHERRY</v>
          </cell>
          <cell r="X186" t="str">
            <v>622 W 168TH ST</v>
          </cell>
          <cell r="Y186" t="str">
            <v>NEW YORK</v>
          </cell>
          <cell r="Z186" t="str">
            <v>NY</v>
          </cell>
          <cell r="AA186" t="str">
            <v>10032-3720</v>
          </cell>
          <cell r="AB186" t="str">
            <v>PHYSICIAN</v>
          </cell>
          <cell r="AC186" t="str">
            <v>M</v>
          </cell>
          <cell r="AD186" t="str">
            <v>No</v>
          </cell>
          <cell r="AE186" t="str">
            <v>MMIS</v>
          </cell>
          <cell r="AF186" t="str">
            <v>nypeastacn</v>
          </cell>
          <cell r="AG186" t="str">
            <v>P</v>
          </cell>
        </row>
        <row r="187">
          <cell r="A187" t="str">
            <v>1437117058</v>
          </cell>
          <cell r="B187" t="str">
            <v>02932016</v>
          </cell>
          <cell r="C187" t="str">
            <v xml:space="preserve">SRIVASTAVA, MONIKA </v>
          </cell>
          <cell r="D187" t="str">
            <v>E0001193</v>
          </cell>
          <cell r="E187" t="str">
            <v>SRIVASTAVA MONIKA</v>
          </cell>
          <cell r="G187" t="str">
            <v>Kathryn Spaziani</v>
          </cell>
          <cell r="H187" t="str">
            <v>(212) 305-1190</v>
          </cell>
          <cell r="J187" t="str">
            <v>kas9171@nyp.org</v>
          </cell>
          <cell r="L187" t="str">
            <v>Practitioner - Non-Primary Care Provider (PCP)</v>
          </cell>
          <cell r="M187" t="str">
            <v>No</v>
          </cell>
          <cell r="R187" t="str">
            <v>SRIVASTAVA MONIKA</v>
          </cell>
          <cell r="W187" t="str">
            <v>SRIVASTAVA MONIKA</v>
          </cell>
          <cell r="X187" t="str">
            <v>949 CENTRAL AVE # A</v>
          </cell>
          <cell r="Y187" t="str">
            <v>WOODMERE</v>
          </cell>
          <cell r="Z187" t="str">
            <v>NY</v>
          </cell>
          <cell r="AA187" t="str">
            <v>11598-1204</v>
          </cell>
          <cell r="AB187" t="str">
            <v>PHYSICIAN</v>
          </cell>
          <cell r="AC187" t="str">
            <v>M</v>
          </cell>
          <cell r="AD187" t="str">
            <v>No</v>
          </cell>
          <cell r="AE187" t="str">
            <v>MMIS</v>
          </cell>
          <cell r="AF187" t="str">
            <v>nypwestcampus</v>
          </cell>
          <cell r="AG187" t="str">
            <v>P</v>
          </cell>
        </row>
        <row r="188">
          <cell r="A188" t="str">
            <v>1619077856</v>
          </cell>
          <cell r="B188" t="str">
            <v>01356298</v>
          </cell>
          <cell r="C188" t="str">
            <v>CHEFITZ, ALLEN B</v>
          </cell>
          <cell r="D188" t="str">
            <v>E0164318</v>
          </cell>
          <cell r="E188" t="str">
            <v>CHEFITZ ALLEN B MD</v>
          </cell>
          <cell r="G188" t="str">
            <v>Kathryn Spaziani</v>
          </cell>
          <cell r="H188" t="str">
            <v>(212) 305-1190</v>
          </cell>
          <cell r="J188" t="str">
            <v>kas9171@nyp.org</v>
          </cell>
          <cell r="L188" t="str">
            <v>All Other:: Practitioner - Non-Primary Care Provider (PCP)</v>
          </cell>
          <cell r="M188" t="str">
            <v>No</v>
          </cell>
          <cell r="R188" t="str">
            <v>CHEFITZ ALLEN DR.</v>
          </cell>
          <cell r="W188" t="str">
            <v>CHEFITZ ALLEN B MD</v>
          </cell>
          <cell r="X188" t="str">
            <v>STE 301</v>
          </cell>
          <cell r="Y188" t="str">
            <v>NEW ROCHELLE</v>
          </cell>
          <cell r="Z188" t="str">
            <v>NY</v>
          </cell>
          <cell r="AA188" t="str">
            <v>10801-4909</v>
          </cell>
          <cell r="AB188" t="str">
            <v>PHYSICIAN</v>
          </cell>
          <cell r="AC188" t="str">
            <v>M</v>
          </cell>
          <cell r="AD188" t="str">
            <v>No</v>
          </cell>
          <cell r="AE188" t="str">
            <v>MMIS</v>
          </cell>
          <cell r="AF188" t="str">
            <v>nypwestcampus</v>
          </cell>
          <cell r="AG188" t="str">
            <v>P</v>
          </cell>
        </row>
        <row r="189">
          <cell r="A189" t="str">
            <v>1619092350</v>
          </cell>
          <cell r="B189" t="str">
            <v>02919304</v>
          </cell>
          <cell r="C189" t="str">
            <v>GOLDBERG, SARAH K</v>
          </cell>
          <cell r="D189" t="str">
            <v>E0000125</v>
          </cell>
          <cell r="E189" t="str">
            <v>THOMPSON SARAH</v>
          </cell>
          <cell r="G189" t="str">
            <v>Kathryn Spaziani</v>
          </cell>
          <cell r="H189" t="str">
            <v>(212) 305-1190</v>
          </cell>
          <cell r="J189" t="str">
            <v>kas9171@nyp.org</v>
          </cell>
          <cell r="L189" t="str">
            <v>Practitioner - Non-Primary Care Provider (PCP)</v>
          </cell>
          <cell r="M189" t="str">
            <v>Yes</v>
          </cell>
          <cell r="R189" t="str">
            <v>GOLDBERG SARAH</v>
          </cell>
          <cell r="W189" t="str">
            <v>GOLDBERG SARAH K</v>
          </cell>
          <cell r="X189" t="str">
            <v>35 E 125TH ST STE 520</v>
          </cell>
          <cell r="Y189" t="str">
            <v>NEW YORK</v>
          </cell>
          <cell r="Z189" t="str">
            <v>NY</v>
          </cell>
          <cell r="AA189" t="str">
            <v>10035-1816</v>
          </cell>
          <cell r="AB189" t="str">
            <v>PHYSICIAN</v>
          </cell>
          <cell r="AC189" t="str">
            <v>M</v>
          </cell>
          <cell r="AD189" t="str">
            <v>No</v>
          </cell>
          <cell r="AE189" t="str">
            <v>MMIS</v>
          </cell>
          <cell r="AF189" t="str">
            <v>nypwestacn</v>
          </cell>
          <cell r="AG189" t="str">
            <v>P</v>
          </cell>
        </row>
        <row r="190">
          <cell r="A190" t="str">
            <v>1134201742</v>
          </cell>
          <cell r="B190" t="str">
            <v>01445165</v>
          </cell>
          <cell r="C190" t="str">
            <v>GARCIA-CARRASQUILLO, REUBEN J</v>
          </cell>
          <cell r="D190" t="str">
            <v>E0155461</v>
          </cell>
          <cell r="E190" t="str">
            <v>GARCIA CARRASQUILLO REUBEN MD</v>
          </cell>
          <cell r="G190" t="str">
            <v>Kathryn Spaziani</v>
          </cell>
          <cell r="H190" t="str">
            <v>(212) 305-1190</v>
          </cell>
          <cell r="J190" t="str">
            <v>kas9171@nyp.org</v>
          </cell>
          <cell r="L190" t="str">
            <v>All Other:: Practitioner - Non-Primary Care Provider (PCP)</v>
          </cell>
          <cell r="M190" t="str">
            <v>Yes</v>
          </cell>
          <cell r="R190" t="str">
            <v>GARCIA-CARRASQUILLO REUBEN DR.</v>
          </cell>
          <cell r="W190" t="str">
            <v>GARCIA CARRASQUILLO REUBEN MD</v>
          </cell>
          <cell r="X190" t="str">
            <v>ATCHLEY PAV S-301</v>
          </cell>
          <cell r="Y190" t="str">
            <v>NEW YORK</v>
          </cell>
          <cell r="Z190" t="str">
            <v>NY</v>
          </cell>
          <cell r="AA190" t="str">
            <v>10032-3729</v>
          </cell>
          <cell r="AB190" t="str">
            <v>PHYSICIAN</v>
          </cell>
          <cell r="AC190" t="str">
            <v>M</v>
          </cell>
          <cell r="AD190" t="str">
            <v>No</v>
          </cell>
          <cell r="AE190" t="str">
            <v>MMIS</v>
          </cell>
          <cell r="AF190" t="str">
            <v>nypwestacn</v>
          </cell>
          <cell r="AG190" t="str">
            <v>P</v>
          </cell>
        </row>
        <row r="191">
          <cell r="A191" t="str">
            <v>1346373636</v>
          </cell>
          <cell r="B191" t="str">
            <v>03181477</v>
          </cell>
          <cell r="C191" t="str">
            <v xml:space="preserve">ROBLES, VIRGINIA </v>
          </cell>
          <cell r="D191" t="str">
            <v>E0302334</v>
          </cell>
          <cell r="E191" t="str">
            <v>ROBLES VIRGINIA</v>
          </cell>
          <cell r="G191" t="str">
            <v>Kathryn Spaziani</v>
          </cell>
          <cell r="H191" t="str">
            <v>(212) 305-1190</v>
          </cell>
          <cell r="J191" t="str">
            <v>kas9171@nyp.org</v>
          </cell>
          <cell r="L191" t="str">
            <v>Practitioner - Non-Primary Care Provider (PCP)</v>
          </cell>
          <cell r="M191" t="str">
            <v>No</v>
          </cell>
          <cell r="R191" t="str">
            <v>ROBLES VIRGINIA DR.</v>
          </cell>
          <cell r="W191" t="str">
            <v>ROBLES VIRGINIA</v>
          </cell>
          <cell r="X191" t="str">
            <v>622 W 168TH ST FL 4</v>
          </cell>
          <cell r="Y191" t="str">
            <v>NEW YORK</v>
          </cell>
          <cell r="Z191" t="str">
            <v>NY</v>
          </cell>
          <cell r="AA191" t="str">
            <v>10032-3720</v>
          </cell>
          <cell r="AB191" t="str">
            <v>CLINICAL PSYCHOLOGIST</v>
          </cell>
          <cell r="AC191" t="str">
            <v>M</v>
          </cell>
          <cell r="AD191" t="str">
            <v>No</v>
          </cell>
          <cell r="AE191" t="str">
            <v>MMIS</v>
          </cell>
          <cell r="AF191" t="str">
            <v>nypwestcampus</v>
          </cell>
          <cell r="AG191" t="str">
            <v>P</v>
          </cell>
        </row>
        <row r="192">
          <cell r="A192" t="str">
            <v>1124062922</v>
          </cell>
          <cell r="B192" t="str">
            <v>02372576</v>
          </cell>
          <cell r="C192" t="str">
            <v>DESCIAK, EDWARD B</v>
          </cell>
          <cell r="D192" t="str">
            <v>E0062853</v>
          </cell>
          <cell r="E192" t="str">
            <v>DESCIAK EDWARD</v>
          </cell>
          <cell r="G192" t="str">
            <v>Kathryn Spaziani</v>
          </cell>
          <cell r="H192" t="str">
            <v>(212) 305-1190</v>
          </cell>
          <cell r="J192" t="str">
            <v>kas9171@nyp.org</v>
          </cell>
          <cell r="L192" t="str">
            <v>Practitioner - Non-Primary Care Provider (PCP)</v>
          </cell>
          <cell r="M192" t="str">
            <v>No</v>
          </cell>
          <cell r="R192" t="str">
            <v>DESCIAK EDWARD</v>
          </cell>
          <cell r="W192" t="str">
            <v>DESCIAK EDWARD</v>
          </cell>
          <cell r="X192" t="str">
            <v>DESCIAK EDWARD</v>
          </cell>
          <cell r="Y192" t="str">
            <v>MIDDLETOWN</v>
          </cell>
          <cell r="Z192" t="str">
            <v>NY</v>
          </cell>
          <cell r="AA192" t="str">
            <v>10941-4018</v>
          </cell>
          <cell r="AB192" t="str">
            <v>PHYSICIAN</v>
          </cell>
          <cell r="AC192" t="str">
            <v>M</v>
          </cell>
          <cell r="AD192" t="str">
            <v>No</v>
          </cell>
          <cell r="AE192" t="str">
            <v>MMIS</v>
          </cell>
          <cell r="AF192" t="str">
            <v>nypwestacn</v>
          </cell>
          <cell r="AG192" t="str">
            <v>P</v>
          </cell>
        </row>
        <row r="193">
          <cell r="C193" t="str">
            <v>Project Renewal, Inc.</v>
          </cell>
          <cell r="G193" t="str">
            <v>Susan Dan</v>
          </cell>
          <cell r="H193" t="str">
            <v>(212) 620-0340</v>
          </cell>
          <cell r="I193">
            <v>310</v>
          </cell>
          <cell r="J193" t="str">
            <v>Susan.Dan@projectrenewal.org</v>
          </cell>
          <cell r="K193" t="str">
            <v>Housing</v>
          </cell>
          <cell r="L193" t="str">
            <v>CBO</v>
          </cell>
          <cell r="M193" t="str">
            <v>No</v>
          </cell>
          <cell r="AC193" t="str">
            <v>M</v>
          </cell>
          <cell r="AD193" t="str">
            <v>No</v>
          </cell>
          <cell r="AE193" t="str">
            <v>No NPI or MMIS</v>
          </cell>
          <cell r="AF193" t="str">
            <v>nypwestacn</v>
          </cell>
          <cell r="AG193" t="str">
            <v>P</v>
          </cell>
        </row>
        <row r="194">
          <cell r="A194" t="str">
            <v>1497785349</v>
          </cell>
          <cell r="B194" t="str">
            <v>00352992</v>
          </cell>
          <cell r="C194" t="str">
            <v>MICHELSEN, CHRISTOPHER B</v>
          </cell>
          <cell r="D194" t="str">
            <v>E0263869</v>
          </cell>
          <cell r="E194" t="str">
            <v>MICHELSEN CHRISTOPHER B H  MD</v>
          </cell>
          <cell r="G194" t="str">
            <v>Kathryn Spaziani</v>
          </cell>
          <cell r="H194" t="str">
            <v>(212) 305-1190</v>
          </cell>
          <cell r="J194" t="str">
            <v>kas9171@nyp.org</v>
          </cell>
          <cell r="L194" t="str">
            <v>Practitioner - Non-Primary Care Provider (PCP)</v>
          </cell>
          <cell r="M194" t="str">
            <v>No</v>
          </cell>
          <cell r="R194" t="str">
            <v>MICHELSEN CHRISTOPHER</v>
          </cell>
          <cell r="W194" t="str">
            <v>MICHELSEN CHRISTOPHER B H  MD</v>
          </cell>
          <cell r="X194" t="str">
            <v>SURG ORTHOPEDIC GRP</v>
          </cell>
          <cell r="Y194" t="str">
            <v>NEW YORK</v>
          </cell>
          <cell r="Z194" t="str">
            <v>NY</v>
          </cell>
          <cell r="AA194" t="str">
            <v>10032-3720</v>
          </cell>
          <cell r="AB194" t="str">
            <v>PHYSICIAN</v>
          </cell>
          <cell r="AC194" t="str">
            <v>M</v>
          </cell>
          <cell r="AD194" t="str">
            <v>No</v>
          </cell>
          <cell r="AE194" t="str">
            <v>MMIS</v>
          </cell>
          <cell r="AF194" t="str">
            <v>nypwestacn</v>
          </cell>
          <cell r="AG194" t="str">
            <v>P</v>
          </cell>
        </row>
        <row r="195">
          <cell r="A195" t="str">
            <v>1316991037</v>
          </cell>
          <cell r="B195" t="str">
            <v>01836373</v>
          </cell>
          <cell r="C195" t="str">
            <v xml:space="preserve">OSMAN, YASEMIN </v>
          </cell>
          <cell r="D195" t="str">
            <v>E0116403</v>
          </cell>
          <cell r="E195" t="str">
            <v>OSMAN YASEMIN</v>
          </cell>
          <cell r="G195" t="str">
            <v>Kathryn Spaziani</v>
          </cell>
          <cell r="H195" t="str">
            <v>(212) 305-1190</v>
          </cell>
          <cell r="J195" t="str">
            <v>kas9171@nyp.org</v>
          </cell>
          <cell r="L195" t="str">
            <v>Practitioner - Non-Primary Care Provider (PCP)</v>
          </cell>
          <cell r="M195" t="str">
            <v>No</v>
          </cell>
          <cell r="R195" t="str">
            <v>OSMAN YASEMIN MS.</v>
          </cell>
          <cell r="W195" t="str">
            <v>OSMAN YASEMIN</v>
          </cell>
          <cell r="X195" t="str">
            <v>OSMAN YASEMIN</v>
          </cell>
          <cell r="Y195" t="str">
            <v>GARDEN CITY</v>
          </cell>
          <cell r="Z195" t="str">
            <v>NY</v>
          </cell>
          <cell r="AA195" t="str">
            <v>11530-5766</v>
          </cell>
          <cell r="AB195" t="str">
            <v>PHYSICIAN</v>
          </cell>
          <cell r="AC195" t="str">
            <v>M</v>
          </cell>
          <cell r="AD195" t="str">
            <v>No</v>
          </cell>
          <cell r="AE195" t="str">
            <v>MMIS</v>
          </cell>
          <cell r="AF195" t="str">
            <v>nypwestcampus</v>
          </cell>
          <cell r="AG195" t="str">
            <v>P</v>
          </cell>
        </row>
        <row r="196">
          <cell r="A196" t="str">
            <v>1669534178</v>
          </cell>
          <cell r="B196" t="str">
            <v>01988476</v>
          </cell>
          <cell r="C196" t="str">
            <v xml:space="preserve">MENDIRATTA, ANIL </v>
          </cell>
          <cell r="D196" t="str">
            <v>E0101212</v>
          </cell>
          <cell r="E196" t="str">
            <v>MENDIRATTA ANIL MD</v>
          </cell>
          <cell r="G196" t="str">
            <v>Kathryn Spaziani</v>
          </cell>
          <cell r="H196" t="str">
            <v>(212) 305-1190</v>
          </cell>
          <cell r="J196" t="str">
            <v>kas9171@nyp.org</v>
          </cell>
          <cell r="L196" t="str">
            <v>Practitioner - Non-Primary Care Provider (PCP)</v>
          </cell>
          <cell r="M196" t="str">
            <v>No</v>
          </cell>
          <cell r="R196" t="str">
            <v>MENDIRATTA ANIL DR.</v>
          </cell>
          <cell r="W196" t="str">
            <v>MENDIRATTA ANIL MD</v>
          </cell>
          <cell r="X196" t="str">
            <v>374 STOCKHOLM ST</v>
          </cell>
          <cell r="Y196" t="str">
            <v>BROOKLYN</v>
          </cell>
          <cell r="Z196" t="str">
            <v>NY</v>
          </cell>
          <cell r="AA196" t="str">
            <v>11237-4006</v>
          </cell>
          <cell r="AB196" t="str">
            <v>PHYSICIAN</v>
          </cell>
          <cell r="AC196" t="str">
            <v>M</v>
          </cell>
          <cell r="AD196" t="str">
            <v>No</v>
          </cell>
          <cell r="AE196" t="str">
            <v>MMIS</v>
          </cell>
          <cell r="AF196" t="str">
            <v>nypwestcampus</v>
          </cell>
          <cell r="AG196" t="str">
            <v>P</v>
          </cell>
        </row>
        <row r="197">
          <cell r="A197" t="str">
            <v>1558413484</v>
          </cell>
          <cell r="B197" t="str">
            <v>02905195</v>
          </cell>
          <cell r="C197" t="str">
            <v>CHENG, WINSTON T</v>
          </cell>
          <cell r="D197" t="str">
            <v>E0009688</v>
          </cell>
          <cell r="E197" t="str">
            <v>CHENG WINSTON TAN</v>
          </cell>
          <cell r="G197" t="str">
            <v>Kathryn Spaziani</v>
          </cell>
          <cell r="H197" t="str">
            <v>(212) 305-1190</v>
          </cell>
          <cell r="J197" t="str">
            <v>kas9171@nyp.org</v>
          </cell>
          <cell r="L197" t="str">
            <v>Practitioner - Non-Primary Care Provider (PCP)</v>
          </cell>
          <cell r="M197" t="str">
            <v>No</v>
          </cell>
          <cell r="R197" t="str">
            <v>CHENG WINSTON MR.</v>
          </cell>
          <cell r="W197" t="str">
            <v>CHENG WINSTON TAN</v>
          </cell>
          <cell r="X197" t="str">
            <v>866 E TREMONT AVE FL 1</v>
          </cell>
          <cell r="Y197" t="str">
            <v>BRONX</v>
          </cell>
          <cell r="Z197" t="str">
            <v>NY</v>
          </cell>
          <cell r="AA197" t="str">
            <v>10460-4201</v>
          </cell>
          <cell r="AB197" t="str">
            <v>THERAPIST</v>
          </cell>
          <cell r="AC197" t="str">
            <v>M</v>
          </cell>
          <cell r="AD197" t="str">
            <v>No</v>
          </cell>
          <cell r="AE197" t="str">
            <v>MMIS</v>
          </cell>
          <cell r="AF197" t="str">
            <v>nypeastacn</v>
          </cell>
          <cell r="AG197" t="str">
            <v>P</v>
          </cell>
        </row>
        <row r="198">
          <cell r="A198" t="str">
            <v>1184655375</v>
          </cell>
          <cell r="B198" t="str">
            <v>01202868</v>
          </cell>
          <cell r="C198" t="str">
            <v>Kelly Anna</v>
          </cell>
          <cell r="D198" t="str">
            <v>E0179603</v>
          </cell>
          <cell r="E198" t="str">
            <v>KELLY ANNA B MD</v>
          </cell>
          <cell r="L198" t="str">
            <v>All Other:: Practitioner - Non-Primary Care Provider (PCP)</v>
          </cell>
          <cell r="M198" t="str">
            <v>No</v>
          </cell>
          <cell r="R198" t="str">
            <v>KELLY ANNA</v>
          </cell>
          <cell r="W198" t="str">
            <v>KELLY ANNA B MD</v>
          </cell>
          <cell r="X198" t="str">
            <v>PASCACK VALLEY HOSP</v>
          </cell>
          <cell r="Y198" t="str">
            <v>WESTWOOD</v>
          </cell>
          <cell r="Z198" t="str">
            <v>NJ</v>
          </cell>
          <cell r="AA198" t="str">
            <v>07675-3181</v>
          </cell>
          <cell r="AB198" t="str">
            <v>PHYSICIAN</v>
          </cell>
          <cell r="AC198" t="str">
            <v>M</v>
          </cell>
          <cell r="AD198" t="str">
            <v>No</v>
          </cell>
          <cell r="AE198" t="str">
            <v>MMIS</v>
          </cell>
          <cell r="AF198" t="str">
            <v>nypwestcampus</v>
          </cell>
          <cell r="AG198" t="str">
            <v>P</v>
          </cell>
        </row>
        <row r="199">
          <cell r="A199" t="str">
            <v>1861479560</v>
          </cell>
          <cell r="B199" t="str">
            <v>01482791</v>
          </cell>
          <cell r="C199" t="str">
            <v>BELTRANI, VINCENT JR. P</v>
          </cell>
          <cell r="D199" t="str">
            <v>E0151706</v>
          </cell>
          <cell r="E199" t="str">
            <v>BELTRANI VINCENT PETER MD</v>
          </cell>
          <cell r="G199" t="str">
            <v>Kathryn Spaziani</v>
          </cell>
          <cell r="H199" t="str">
            <v>(212) 305-1190</v>
          </cell>
          <cell r="J199" t="str">
            <v>kas9171@nyp.org</v>
          </cell>
          <cell r="L199" t="str">
            <v>All Other:: Practitioner - Non-Primary Care Provider (PCP)</v>
          </cell>
          <cell r="M199" t="str">
            <v>No</v>
          </cell>
          <cell r="R199" t="str">
            <v>BELTRANI VINCENT</v>
          </cell>
          <cell r="W199" t="str">
            <v>BELTRANI VINCENT PETER MD</v>
          </cell>
          <cell r="X199" t="str">
            <v>2507 SOUTH RD</v>
          </cell>
          <cell r="Y199" t="str">
            <v>POUGHKEEPSIE</v>
          </cell>
          <cell r="Z199" t="str">
            <v>NY</v>
          </cell>
          <cell r="AA199" t="str">
            <v>12601-5465</v>
          </cell>
          <cell r="AB199" t="str">
            <v>PHYSICIAN</v>
          </cell>
          <cell r="AC199" t="str">
            <v>M</v>
          </cell>
          <cell r="AD199" t="str">
            <v>No</v>
          </cell>
          <cell r="AE199" t="str">
            <v>MMIS</v>
          </cell>
          <cell r="AF199" t="str">
            <v>nypwestacn</v>
          </cell>
          <cell r="AG199" t="str">
            <v>P</v>
          </cell>
        </row>
        <row r="200">
          <cell r="A200" t="str">
            <v>1861521239</v>
          </cell>
          <cell r="B200" t="str">
            <v>01112972</v>
          </cell>
          <cell r="C200" t="str">
            <v>FLORAKIS, GEORGE J</v>
          </cell>
          <cell r="D200" t="str">
            <v>E0188578</v>
          </cell>
          <cell r="E200" t="str">
            <v>FLORAKIS GEORGE JAMES MD</v>
          </cell>
          <cell r="G200" t="str">
            <v>Kathryn Spaziani</v>
          </cell>
          <cell r="H200" t="str">
            <v>(212) 305-1190</v>
          </cell>
          <cell r="J200" t="str">
            <v>kas9171@nyp.org</v>
          </cell>
          <cell r="L200" t="str">
            <v>Practitioner - Non-Primary Care Provider (PCP)</v>
          </cell>
          <cell r="M200" t="str">
            <v>No</v>
          </cell>
          <cell r="R200" t="str">
            <v>FLORAKIS GEORGE DR.</v>
          </cell>
          <cell r="W200" t="str">
            <v>FLORAKIS GEORGE JAMES MD</v>
          </cell>
          <cell r="Y200" t="str">
            <v>NEW YORK</v>
          </cell>
          <cell r="Z200" t="str">
            <v>NY</v>
          </cell>
          <cell r="AA200" t="str">
            <v>10032-3724</v>
          </cell>
          <cell r="AB200" t="str">
            <v>PHYSICIAN</v>
          </cell>
          <cell r="AC200" t="str">
            <v>M</v>
          </cell>
          <cell r="AD200" t="str">
            <v>No</v>
          </cell>
          <cell r="AE200" t="str">
            <v>MMIS</v>
          </cell>
          <cell r="AF200" t="str">
            <v>nypwestacn</v>
          </cell>
          <cell r="AG200" t="str">
            <v>P</v>
          </cell>
        </row>
        <row r="201">
          <cell r="A201" t="str">
            <v>1861558918</v>
          </cell>
          <cell r="B201" t="str">
            <v>01249178</v>
          </cell>
          <cell r="C201" t="str">
            <v>REZZADEH, RUDY R</v>
          </cell>
          <cell r="D201" t="str">
            <v>E0174988</v>
          </cell>
          <cell r="E201" t="str">
            <v>REZZADEH RUDY R MD</v>
          </cell>
          <cell r="G201" t="str">
            <v>Kathryn Spaziani</v>
          </cell>
          <cell r="H201" t="str">
            <v>(212) 305-1190</v>
          </cell>
          <cell r="J201" t="str">
            <v>kas9171@nyp.org</v>
          </cell>
          <cell r="L201" t="str">
            <v>All Other:: Practitioner - Primary Care Provider (PCP)</v>
          </cell>
          <cell r="M201" t="str">
            <v>No</v>
          </cell>
          <cell r="R201" t="str">
            <v>REZZADEH RUDY DR.</v>
          </cell>
          <cell r="W201" t="str">
            <v>REZZADEH RUDY R MD</v>
          </cell>
          <cell r="X201" t="str">
            <v>850 AMSTERDAM AVE</v>
          </cell>
          <cell r="Y201" t="str">
            <v>NEW YORK</v>
          </cell>
          <cell r="Z201" t="str">
            <v>NY</v>
          </cell>
          <cell r="AA201" t="str">
            <v>10025-5170</v>
          </cell>
          <cell r="AB201" t="str">
            <v>PHYSICIAN</v>
          </cell>
          <cell r="AC201" t="str">
            <v>M</v>
          </cell>
          <cell r="AD201" t="str">
            <v>No</v>
          </cell>
          <cell r="AE201" t="str">
            <v>MMIS</v>
          </cell>
          <cell r="AF201" t="str">
            <v>nypwestcampus</v>
          </cell>
          <cell r="AG201" t="str">
            <v>P</v>
          </cell>
        </row>
        <row r="202">
          <cell r="A202" t="str">
            <v>1154333276</v>
          </cell>
          <cell r="B202" t="str">
            <v>01187695</v>
          </cell>
          <cell r="C202" t="str">
            <v>WANG, CHRISTOPHER M</v>
          </cell>
          <cell r="D202" t="str">
            <v>E0181120</v>
          </cell>
          <cell r="E202" t="str">
            <v>WANG CHRISTOPHER M MD</v>
          </cell>
          <cell r="G202" t="str">
            <v>Kathryn Spaziani</v>
          </cell>
          <cell r="H202" t="str">
            <v>(212) 305-1190</v>
          </cell>
          <cell r="J202" t="str">
            <v>kas9171@nyp.org</v>
          </cell>
          <cell r="L202" t="str">
            <v>Practitioner - Primary Care Provider (PCP)</v>
          </cell>
          <cell r="M202" t="str">
            <v>Yes</v>
          </cell>
          <cell r="R202" t="str">
            <v>WANG CHRISTOPHER</v>
          </cell>
          <cell r="W202" t="str">
            <v>WANG CHRISTOPHER M MD</v>
          </cell>
          <cell r="X202" t="str">
            <v>DEPT OF FAMILY MED</v>
          </cell>
          <cell r="Y202" t="str">
            <v>NEW YORK</v>
          </cell>
          <cell r="Z202" t="str">
            <v>NY</v>
          </cell>
          <cell r="AA202" t="str">
            <v>10034</v>
          </cell>
          <cell r="AB202" t="str">
            <v>PHYSICIAN</v>
          </cell>
          <cell r="AC202" t="str">
            <v>M</v>
          </cell>
          <cell r="AD202" t="str">
            <v>No</v>
          </cell>
          <cell r="AE202" t="str">
            <v>MMIS</v>
          </cell>
          <cell r="AF202" t="str">
            <v>nypwestcampus</v>
          </cell>
          <cell r="AG202" t="str">
            <v>P</v>
          </cell>
        </row>
        <row r="203">
          <cell r="A203" t="str">
            <v>1619064706</v>
          </cell>
          <cell r="B203" t="str">
            <v>01360521</v>
          </cell>
          <cell r="C203" t="str">
            <v>ANDERSEN, HOLLY S</v>
          </cell>
          <cell r="D203" t="str">
            <v>E0163898</v>
          </cell>
          <cell r="E203" t="str">
            <v>ANDERSEN HOLLY SUE  MD</v>
          </cell>
          <cell r="G203" t="str">
            <v>Kathryn Spaziani</v>
          </cell>
          <cell r="H203" t="str">
            <v>(212) 305-1190</v>
          </cell>
          <cell r="J203" t="str">
            <v>kas9171@nyp.org</v>
          </cell>
          <cell r="L203" t="str">
            <v>Practitioner - Non-Primary Care Provider (PCP)</v>
          </cell>
          <cell r="M203" t="str">
            <v>No</v>
          </cell>
          <cell r="R203" t="str">
            <v>ANDERSEN HOLLY</v>
          </cell>
          <cell r="W203" t="str">
            <v>ANDERSEN HOLLY SUE  MD</v>
          </cell>
          <cell r="X203" t="str">
            <v>520 E 70TH ST</v>
          </cell>
          <cell r="Y203" t="str">
            <v>NEW YORK</v>
          </cell>
          <cell r="Z203" t="str">
            <v>NY</v>
          </cell>
          <cell r="AA203" t="str">
            <v>10021-9800</v>
          </cell>
          <cell r="AB203" t="str">
            <v>PHYSICIAN</v>
          </cell>
          <cell r="AC203" t="str">
            <v>M</v>
          </cell>
          <cell r="AD203" t="str">
            <v>No</v>
          </cell>
          <cell r="AE203" t="str">
            <v>MMIS</v>
          </cell>
          <cell r="AF203" t="str">
            <v>nypeastacn</v>
          </cell>
          <cell r="AG203" t="str">
            <v>P</v>
          </cell>
        </row>
        <row r="204">
          <cell r="A204" t="str">
            <v>1306079819</v>
          </cell>
          <cell r="B204" t="str">
            <v>03835389</v>
          </cell>
          <cell r="C204" t="str">
            <v>Atkinson, Katie J.</v>
          </cell>
          <cell r="D204" t="str">
            <v>E0374467</v>
          </cell>
          <cell r="E204" t="str">
            <v>ATKINSON KATIE</v>
          </cell>
          <cell r="G204" t="str">
            <v>Kathryn Spaziani</v>
          </cell>
          <cell r="H204" t="str">
            <v>(212) 305-1190</v>
          </cell>
          <cell r="J204" t="str">
            <v>kas9171@nyp.org</v>
          </cell>
          <cell r="L204" t="str">
            <v>All Other:: Practitioner - Non-Primary Care Provider (PCP)</v>
          </cell>
          <cell r="M204" t="str">
            <v>No</v>
          </cell>
          <cell r="R204" t="str">
            <v>ATKINSON KATIE MISS</v>
          </cell>
          <cell r="W204" t="str">
            <v>ATKINSON KATIE JEAN</v>
          </cell>
          <cell r="X204" t="str">
            <v>525 E 68TH ST P-695, BOX 585</v>
          </cell>
          <cell r="Y204" t="str">
            <v>NEW YORK</v>
          </cell>
          <cell r="Z204" t="str">
            <v>NY</v>
          </cell>
          <cell r="AA204" t="str">
            <v>10065-4870</v>
          </cell>
          <cell r="AB204" t="str">
            <v>PHYSICIAN</v>
          </cell>
          <cell r="AC204" t="str">
            <v>M</v>
          </cell>
          <cell r="AD204" t="str">
            <v>No</v>
          </cell>
          <cell r="AE204" t="str">
            <v>MMIS</v>
          </cell>
          <cell r="AF204" t="str">
            <v>nypeastcampus</v>
          </cell>
          <cell r="AG204" t="str">
            <v>P</v>
          </cell>
        </row>
        <row r="205">
          <cell r="A205" t="str">
            <v>1245499870</v>
          </cell>
          <cell r="B205" t="str">
            <v>03375211</v>
          </cell>
          <cell r="C205" t="str">
            <v>SORKIN, LYSSA Y</v>
          </cell>
          <cell r="D205" t="str">
            <v>E0324451</v>
          </cell>
          <cell r="E205" t="str">
            <v>SORKIN LYSSA</v>
          </cell>
          <cell r="G205" t="str">
            <v>Kathryn Spaziani</v>
          </cell>
          <cell r="H205" t="str">
            <v>(212) 305-1190</v>
          </cell>
          <cell r="J205" t="str">
            <v>kas9171@nyp.org</v>
          </cell>
          <cell r="L205" t="str">
            <v>Practitioner - Non-Primary Care Provider (PCP)</v>
          </cell>
          <cell r="M205" t="str">
            <v>No</v>
          </cell>
          <cell r="R205" t="str">
            <v>JACOBS LYSSA DR.</v>
          </cell>
          <cell r="W205" t="str">
            <v>COULSORKIN LYSSA Y</v>
          </cell>
          <cell r="X205" t="str">
            <v>180 FORT WASHINGTON AVE STE 199</v>
          </cell>
          <cell r="Y205" t="str">
            <v>NEW YORK</v>
          </cell>
          <cell r="Z205" t="str">
            <v>NY</v>
          </cell>
          <cell r="AA205" t="str">
            <v>10032-3722</v>
          </cell>
          <cell r="AB205" t="str">
            <v>PHYSICIAN</v>
          </cell>
          <cell r="AC205" t="str">
            <v>M</v>
          </cell>
          <cell r="AD205" t="str">
            <v>No</v>
          </cell>
          <cell r="AE205" t="str">
            <v>MMIS</v>
          </cell>
          <cell r="AF205" t="str">
            <v>nypwestcampus</v>
          </cell>
          <cell r="AG205" t="str">
            <v>P</v>
          </cell>
        </row>
        <row r="206">
          <cell r="A206" t="str">
            <v>1669494746</v>
          </cell>
          <cell r="B206" t="str">
            <v>02784292</v>
          </cell>
          <cell r="C206" t="str">
            <v>ABRAMS, JULIAN A</v>
          </cell>
          <cell r="D206" t="str">
            <v>E0021763</v>
          </cell>
          <cell r="E206" t="str">
            <v>ABRAMS JULIAN A  MD</v>
          </cell>
          <cell r="G206" t="str">
            <v>Kathryn Spaziani</v>
          </cell>
          <cell r="H206" t="str">
            <v>(212) 305-1190</v>
          </cell>
          <cell r="J206" t="str">
            <v>kas9171@nyp.org</v>
          </cell>
          <cell r="L206" t="str">
            <v>Practitioner - Non-Primary Care Provider (PCP)</v>
          </cell>
          <cell r="M206" t="str">
            <v>No</v>
          </cell>
          <cell r="R206" t="str">
            <v>ABRAMS JULIAN DR.</v>
          </cell>
          <cell r="W206" t="str">
            <v>ABRAMS JULIAN A  MD</v>
          </cell>
          <cell r="X206" t="str">
            <v>622 W 168TH ST</v>
          </cell>
          <cell r="Y206" t="str">
            <v>NEW YORK</v>
          </cell>
          <cell r="Z206" t="str">
            <v>NY</v>
          </cell>
          <cell r="AA206" t="str">
            <v>10032-3720</v>
          </cell>
          <cell r="AB206" t="str">
            <v>PHYSICIAN</v>
          </cell>
          <cell r="AC206" t="str">
            <v>M</v>
          </cell>
          <cell r="AD206" t="str">
            <v>No</v>
          </cell>
          <cell r="AE206" t="str">
            <v>MMIS</v>
          </cell>
          <cell r="AF206" t="str">
            <v>nypwestacn</v>
          </cell>
          <cell r="AG206" t="str">
            <v>P</v>
          </cell>
        </row>
        <row r="207">
          <cell r="A207" t="str">
            <v>1669525697</v>
          </cell>
          <cell r="B207" t="str">
            <v>02193671</v>
          </cell>
          <cell r="C207" t="str">
            <v>COLEMAN, HANNA R</v>
          </cell>
          <cell r="D207" t="str">
            <v>E0080714</v>
          </cell>
          <cell r="E207" t="str">
            <v>COLEMAN HANNA R MD</v>
          </cell>
          <cell r="G207" t="str">
            <v>Kathryn Spaziani</v>
          </cell>
          <cell r="H207" t="str">
            <v>(212) 305-1190</v>
          </cell>
          <cell r="J207" t="str">
            <v>kas9171@nyp.org</v>
          </cell>
          <cell r="L207" t="str">
            <v>Practitioner - Non-Primary Care Provider (PCP)</v>
          </cell>
          <cell r="M207" t="str">
            <v>Yes</v>
          </cell>
          <cell r="R207" t="str">
            <v>COLEMAN HANNA DR.</v>
          </cell>
          <cell r="W207" t="str">
            <v>COLEMAN HANNA R MD</v>
          </cell>
          <cell r="X207" t="str">
            <v>MEET PHYSICIAN GRP</v>
          </cell>
          <cell r="Y207" t="str">
            <v>NEW YORK</v>
          </cell>
          <cell r="Z207" t="str">
            <v>NY</v>
          </cell>
          <cell r="AA207" t="str">
            <v>10065-7471</v>
          </cell>
          <cell r="AB207" t="str">
            <v>PHYSICIAN</v>
          </cell>
          <cell r="AC207" t="str">
            <v>M</v>
          </cell>
          <cell r="AD207" t="str">
            <v>No</v>
          </cell>
          <cell r="AE207" t="str">
            <v>MMIS</v>
          </cell>
          <cell r="AF207" t="str">
            <v>nypwestacn</v>
          </cell>
          <cell r="AG207" t="str">
            <v>P</v>
          </cell>
        </row>
        <row r="208">
          <cell r="A208" t="str">
            <v>1316194293</v>
          </cell>
          <cell r="B208" t="str">
            <v>03384250</v>
          </cell>
          <cell r="C208" t="str">
            <v>McGuinn, Catherine E.</v>
          </cell>
          <cell r="D208" t="str">
            <v>E0325552</v>
          </cell>
          <cell r="E208" t="str">
            <v>MCGUINN CATHERINE</v>
          </cell>
          <cell r="G208" t="str">
            <v>Kathryn Spaziani</v>
          </cell>
          <cell r="H208" t="str">
            <v>(212) 305-1190</v>
          </cell>
          <cell r="J208" t="str">
            <v>kas9171@nyp.org</v>
          </cell>
          <cell r="L208" t="str">
            <v>All Other:: Practitioner - Non-Primary Care Provider (PCP)</v>
          </cell>
          <cell r="M208" t="str">
            <v>No</v>
          </cell>
          <cell r="R208" t="str">
            <v>MCGUINN CATHERINE DR.</v>
          </cell>
          <cell r="W208" t="str">
            <v>MCGUINN CATHERINE ELLEN</v>
          </cell>
          <cell r="X208" t="str">
            <v>525 E 68TH ST</v>
          </cell>
          <cell r="Y208" t="str">
            <v>NEW YORK</v>
          </cell>
          <cell r="Z208" t="str">
            <v>NY</v>
          </cell>
          <cell r="AA208" t="str">
            <v>10065-4870</v>
          </cell>
          <cell r="AB208" t="str">
            <v>PHYSICIAN</v>
          </cell>
          <cell r="AC208" t="str">
            <v>M</v>
          </cell>
          <cell r="AD208" t="str">
            <v>No</v>
          </cell>
          <cell r="AE208" t="str">
            <v>MMIS</v>
          </cell>
          <cell r="AF208" t="str">
            <v>nypeastcampus</v>
          </cell>
          <cell r="AG208" t="str">
            <v>P</v>
          </cell>
        </row>
        <row r="209">
          <cell r="A209" t="str">
            <v>1316264674</v>
          </cell>
          <cell r="B209" t="str">
            <v>04016428</v>
          </cell>
          <cell r="C209" t="str">
            <v xml:space="preserve">GAVAZI, ELONA </v>
          </cell>
          <cell r="D209" t="str">
            <v>E0393135</v>
          </cell>
          <cell r="E209" t="str">
            <v>GAVAZI ELONA</v>
          </cell>
          <cell r="G209" t="str">
            <v>Kathryn Spaziani</v>
          </cell>
          <cell r="H209" t="str">
            <v>(212) 305-1190</v>
          </cell>
          <cell r="J209" t="str">
            <v>kas9171@nyp.org</v>
          </cell>
          <cell r="L209" t="str">
            <v>Practitioner - Non-Primary Care Provider (PCP)</v>
          </cell>
          <cell r="M209" t="str">
            <v>No</v>
          </cell>
          <cell r="R209" t="str">
            <v>GAVAZI ELONA DR.</v>
          </cell>
          <cell r="W209" t="str">
            <v>GAVAZI ELONA</v>
          </cell>
          <cell r="X209" t="str">
            <v>635 W 165TH ST</v>
          </cell>
          <cell r="Y209" t="str">
            <v>NEW YORK</v>
          </cell>
          <cell r="Z209" t="str">
            <v>NY</v>
          </cell>
          <cell r="AA209" t="str">
            <v>10032-3724</v>
          </cell>
          <cell r="AB209" t="str">
            <v>PHYSICIAN</v>
          </cell>
          <cell r="AC209" t="str">
            <v>M</v>
          </cell>
          <cell r="AD209" t="str">
            <v>No</v>
          </cell>
          <cell r="AE209" t="str">
            <v>MMIS</v>
          </cell>
          <cell r="AF209" t="str">
            <v>nypwestcampus</v>
          </cell>
          <cell r="AG209" t="str">
            <v>P</v>
          </cell>
        </row>
        <row r="210">
          <cell r="A210" t="str">
            <v>1043452659</v>
          </cell>
          <cell r="B210" t="str">
            <v>03239383</v>
          </cell>
          <cell r="C210" t="str">
            <v>Wladyka Christopher</v>
          </cell>
          <cell r="D210" t="str">
            <v>E0308853</v>
          </cell>
          <cell r="E210" t="str">
            <v>CHRISTOPHER GEORGE WLADYKA</v>
          </cell>
          <cell r="L210" t="str">
            <v>All Other:: Practitioner - Non-Primary Care Provider (PCP)</v>
          </cell>
          <cell r="M210" t="str">
            <v>No</v>
          </cell>
          <cell r="R210" t="str">
            <v>WLADYKA CHRISTOPHER</v>
          </cell>
          <cell r="W210" t="str">
            <v>WLADYKA CHRISTOPHER GEORGE</v>
          </cell>
          <cell r="X210" t="str">
            <v>525 E 68TH ST</v>
          </cell>
          <cell r="Y210" t="str">
            <v>NEW YORK</v>
          </cell>
          <cell r="Z210" t="str">
            <v>NY</v>
          </cell>
          <cell r="AA210" t="str">
            <v>10065-4870</v>
          </cell>
          <cell r="AB210" t="str">
            <v>PHYSICIAN</v>
          </cell>
          <cell r="AC210" t="str">
            <v>M</v>
          </cell>
          <cell r="AD210" t="str">
            <v>No</v>
          </cell>
          <cell r="AE210" t="str">
            <v>MMIS</v>
          </cell>
          <cell r="AF210" t="str">
            <v>nypeastcampus</v>
          </cell>
          <cell r="AG210" t="str">
            <v>P</v>
          </cell>
        </row>
        <row r="211">
          <cell r="A211" t="str">
            <v>1508145269</v>
          </cell>
          <cell r="B211" t="str">
            <v>03923824</v>
          </cell>
          <cell r="C211" t="str">
            <v>Taubman Cara</v>
          </cell>
          <cell r="D211" t="str">
            <v>E0383550</v>
          </cell>
          <cell r="E211" t="str">
            <v>TAUBMAN CARA</v>
          </cell>
          <cell r="L211" t="str">
            <v>Practitioner - Non-Primary Care Provider (PCP)</v>
          </cell>
          <cell r="M211" t="str">
            <v>No</v>
          </cell>
          <cell r="R211" t="str">
            <v>TAUBMAN CARA DR.</v>
          </cell>
          <cell r="W211" t="str">
            <v>TAUBMAN CARA</v>
          </cell>
          <cell r="X211" t="str">
            <v>622 W 168TH ST</v>
          </cell>
          <cell r="Y211" t="str">
            <v>NEW YORK</v>
          </cell>
          <cell r="Z211" t="str">
            <v>NY</v>
          </cell>
          <cell r="AA211" t="str">
            <v>10032-3720</v>
          </cell>
          <cell r="AB211" t="str">
            <v>PHYSICIAN</v>
          </cell>
          <cell r="AC211" t="str">
            <v>M</v>
          </cell>
          <cell r="AD211" t="str">
            <v>No</v>
          </cell>
          <cell r="AE211" t="str">
            <v>MMIS</v>
          </cell>
          <cell r="AF211" t="str">
            <v>nypwestcampus</v>
          </cell>
          <cell r="AG211" t="str">
            <v>P</v>
          </cell>
        </row>
        <row r="212">
          <cell r="A212" t="str">
            <v>1437332004</v>
          </cell>
          <cell r="B212" t="str">
            <v>02947542</v>
          </cell>
          <cell r="C212" t="str">
            <v>Selick Inna</v>
          </cell>
          <cell r="D212" t="str">
            <v>E0002911</v>
          </cell>
          <cell r="E212" t="str">
            <v>SELICK INNA NP</v>
          </cell>
          <cell r="L212" t="str">
            <v>Practitioner - Non-Primary Care Provider (PCP)</v>
          </cell>
          <cell r="M212" t="str">
            <v>No</v>
          </cell>
          <cell r="R212" t="str">
            <v>SELICK INNA</v>
          </cell>
          <cell r="W212" t="str">
            <v>SELICK INNA NP</v>
          </cell>
          <cell r="X212" t="str">
            <v>622 W 168TH ST</v>
          </cell>
          <cell r="Y212" t="str">
            <v>NEW YORK</v>
          </cell>
          <cell r="Z212" t="str">
            <v>NY</v>
          </cell>
          <cell r="AA212" t="str">
            <v>10032-3720</v>
          </cell>
          <cell r="AB212" t="str">
            <v>PHYSICIAN</v>
          </cell>
          <cell r="AC212" t="str">
            <v>M</v>
          </cell>
          <cell r="AD212" t="str">
            <v>No</v>
          </cell>
          <cell r="AE212" t="str">
            <v>MMIS</v>
          </cell>
          <cell r="AF212" t="str">
            <v>nypwestcampus</v>
          </cell>
          <cell r="AG212" t="str">
            <v>P</v>
          </cell>
        </row>
        <row r="213">
          <cell r="A213" t="str">
            <v>1699984385</v>
          </cell>
          <cell r="C213" t="str">
            <v>Sharp Hugh</v>
          </cell>
          <cell r="G213" t="str">
            <v>Kathryn Spaziani</v>
          </cell>
          <cell r="H213" t="str">
            <v>(212) 305-1255</v>
          </cell>
          <cell r="J213" t="str">
            <v>kas9171@nyp.org</v>
          </cell>
          <cell r="K213" t="str">
            <v>Physician</v>
          </cell>
          <cell r="L213" t="str">
            <v>Practitioner - Non-Primary Care Provider (PCP)</v>
          </cell>
          <cell r="M213" t="str">
            <v>No</v>
          </cell>
          <cell r="R213" t="str">
            <v>SHARP HUGH MR.</v>
          </cell>
          <cell r="S213" t="str">
            <v>622 W 168TH ST</v>
          </cell>
          <cell r="T213" t="str">
            <v>NEW YORK</v>
          </cell>
          <cell r="U213" t="str">
            <v>NY</v>
          </cell>
          <cell r="V213" t="str">
            <v>100323720</v>
          </cell>
          <cell r="AC213" t="str">
            <v>M</v>
          </cell>
          <cell r="AD213" t="str">
            <v>No</v>
          </cell>
          <cell r="AE213" t="str">
            <v>NPI only</v>
          </cell>
          <cell r="AF213" t="str">
            <v>nypwestcampus</v>
          </cell>
          <cell r="AG213" t="str">
            <v>P</v>
          </cell>
        </row>
        <row r="214">
          <cell r="A214" t="str">
            <v>1467484394</v>
          </cell>
          <cell r="B214" t="str">
            <v>02007454</v>
          </cell>
          <cell r="C214" t="str">
            <v>Susman Jonathan</v>
          </cell>
          <cell r="D214" t="str">
            <v>E0099316</v>
          </cell>
          <cell r="E214" t="str">
            <v>SUSMAN JONATHAN MD</v>
          </cell>
          <cell r="L214" t="str">
            <v>All Other:: Practitioner - Non-Primary Care Provider (PCP)</v>
          </cell>
          <cell r="M214" t="str">
            <v>No</v>
          </cell>
          <cell r="R214" t="str">
            <v>SUSMAN JONATHAN DR.</v>
          </cell>
          <cell r="W214" t="str">
            <v>SUSMAN JONATHAN MD</v>
          </cell>
          <cell r="X214" t="str">
            <v>PRESBYTERIAN HSP</v>
          </cell>
          <cell r="Y214" t="str">
            <v>NEW YORK</v>
          </cell>
          <cell r="Z214" t="str">
            <v>NY</v>
          </cell>
          <cell r="AA214" t="str">
            <v>10032-3720</v>
          </cell>
          <cell r="AB214" t="str">
            <v>PHYSICIAN</v>
          </cell>
          <cell r="AC214" t="str">
            <v>M</v>
          </cell>
          <cell r="AD214" t="str">
            <v>No</v>
          </cell>
          <cell r="AE214" t="str">
            <v>MMIS</v>
          </cell>
          <cell r="AF214" t="str">
            <v>nypwestcampus</v>
          </cell>
          <cell r="AG214" t="str">
            <v>P</v>
          </cell>
        </row>
        <row r="215">
          <cell r="A215" t="str">
            <v>1033233564</v>
          </cell>
          <cell r="C215" t="str">
            <v>Vaknin Amy</v>
          </cell>
          <cell r="G215" t="str">
            <v>Kathryn Spaziani</v>
          </cell>
          <cell r="H215" t="str">
            <v>(212) 305-1255</v>
          </cell>
          <cell r="J215" t="str">
            <v>kas9171@nyp.org</v>
          </cell>
          <cell r="K215" t="str">
            <v>Physician</v>
          </cell>
          <cell r="L215" t="str">
            <v>Practitioner - Non-Primary Care Provider (PCP)</v>
          </cell>
          <cell r="M215" t="str">
            <v>No</v>
          </cell>
          <cell r="R215" t="str">
            <v>VAKNIN AMY</v>
          </cell>
          <cell r="S215" t="str">
            <v>622 W 168TH ST</v>
          </cell>
          <cell r="T215" t="str">
            <v>NEW YORK</v>
          </cell>
          <cell r="U215" t="str">
            <v>NY</v>
          </cell>
          <cell r="V215" t="str">
            <v>100323720</v>
          </cell>
          <cell r="AC215" t="str">
            <v>M</v>
          </cell>
          <cell r="AD215" t="str">
            <v>No</v>
          </cell>
          <cell r="AE215" t="str">
            <v>NPI only</v>
          </cell>
          <cell r="AF215" t="str">
            <v>nypwestcampus</v>
          </cell>
          <cell r="AG215" t="str">
            <v>P</v>
          </cell>
        </row>
        <row r="216">
          <cell r="A216" t="str">
            <v>1871699637</v>
          </cell>
          <cell r="B216" t="str">
            <v>02040742</v>
          </cell>
          <cell r="C216" t="str">
            <v>Weintraub Joshua</v>
          </cell>
          <cell r="D216" t="str">
            <v>E0095988</v>
          </cell>
          <cell r="E216" t="str">
            <v>WEINTRAUB JOSHUA LORIN MD</v>
          </cell>
          <cell r="L216" t="str">
            <v>All Other:: Practitioner - Non-Primary Care Provider (PCP)</v>
          </cell>
          <cell r="M216" t="str">
            <v>No</v>
          </cell>
          <cell r="R216" t="str">
            <v>WEINTRAUB JOSHUA MR.</v>
          </cell>
          <cell r="W216" t="str">
            <v>WEINTRAUB JOSHUA LORIN MD</v>
          </cell>
          <cell r="Y216" t="str">
            <v>NEW YORK</v>
          </cell>
          <cell r="Z216" t="str">
            <v>NY</v>
          </cell>
          <cell r="AA216" t="str">
            <v>10032-3720</v>
          </cell>
          <cell r="AB216" t="str">
            <v>PHYSICIAN</v>
          </cell>
          <cell r="AC216" t="str">
            <v>M</v>
          </cell>
          <cell r="AD216" t="str">
            <v>No</v>
          </cell>
          <cell r="AE216" t="str">
            <v>MMIS</v>
          </cell>
          <cell r="AF216" t="str">
            <v>nypwestcampus</v>
          </cell>
          <cell r="AG216" t="str">
            <v>P</v>
          </cell>
        </row>
        <row r="217">
          <cell r="A217" t="str">
            <v>1205129814</v>
          </cell>
          <cell r="B217" t="str">
            <v>03374527</v>
          </cell>
          <cell r="C217" t="str">
            <v>Young-Geye, Stephanie Y, PMHNP</v>
          </cell>
          <cell r="D217" t="str">
            <v>E0324382</v>
          </cell>
          <cell r="E217" t="str">
            <v>YOUNG-GEYE STEPHANIE</v>
          </cell>
          <cell r="G217" t="str">
            <v>Crystal Jordan</v>
          </cell>
          <cell r="H217" t="str">
            <v>(212) 803-2858</v>
          </cell>
          <cell r="J217" t="str">
            <v>cjordan@harlemunited.org</v>
          </cell>
          <cell r="L217" t="str">
            <v>Mental Health:: Practitioner - Primary Care Provider (PCP)</v>
          </cell>
          <cell r="M217" t="str">
            <v>Yes</v>
          </cell>
          <cell r="R217" t="str">
            <v>YOUNG-GEYE STEPHANIE MRS.</v>
          </cell>
          <cell r="W217" t="str">
            <v>YOUNG-GEYE STEPHANIE</v>
          </cell>
          <cell r="X217" t="str">
            <v>2515 QUEENS PLZ N</v>
          </cell>
          <cell r="Y217" t="str">
            <v>LONG ISLAND CITY</v>
          </cell>
          <cell r="Z217" t="str">
            <v>NY</v>
          </cell>
          <cell r="AA217" t="str">
            <v>11101-4001</v>
          </cell>
          <cell r="AB217" t="str">
            <v>PHYSICIAN</v>
          </cell>
          <cell r="AC217" t="str">
            <v>M</v>
          </cell>
          <cell r="AD217" t="str">
            <v>No</v>
          </cell>
          <cell r="AE217" t="str">
            <v>MMIS</v>
          </cell>
          <cell r="AF217" t="str">
            <v>harlemunited</v>
          </cell>
          <cell r="AG217" t="str">
            <v>P</v>
          </cell>
        </row>
        <row r="218">
          <cell r="A218" t="str">
            <v>1285822056</v>
          </cell>
          <cell r="B218" t="str">
            <v>03355180</v>
          </cell>
          <cell r="C218" t="str">
            <v>Ciotti, Andrew NP PMH</v>
          </cell>
          <cell r="D218" t="str">
            <v>E0322099</v>
          </cell>
          <cell r="E218" t="str">
            <v>CIOTTI ANDREW JAMES</v>
          </cell>
          <cell r="G218" t="str">
            <v>Crystal Jordan</v>
          </cell>
          <cell r="H218" t="str">
            <v>(212) 803-2859</v>
          </cell>
          <cell r="J218" t="str">
            <v>cjordan@harlemunited.org</v>
          </cell>
          <cell r="L218" t="str">
            <v>All Other:: Mental Health:: Practitioner - Non-Primary Care Provider (PCP)</v>
          </cell>
          <cell r="M218" t="str">
            <v>Yes</v>
          </cell>
          <cell r="R218" t="str">
            <v>CIOTTI ANDREW MR.</v>
          </cell>
          <cell r="W218" t="str">
            <v>CIOTTI ANDREW JAMES</v>
          </cell>
          <cell r="X218" t="str">
            <v>9498 MANHATTAN AVE</v>
          </cell>
          <cell r="Y218" t="str">
            <v>BROOKLYN</v>
          </cell>
          <cell r="Z218" t="str">
            <v>NY</v>
          </cell>
          <cell r="AA218" t="str">
            <v>10014-1200</v>
          </cell>
          <cell r="AB218" t="str">
            <v>PHYSICIAN</v>
          </cell>
          <cell r="AC218" t="str">
            <v>M</v>
          </cell>
          <cell r="AD218" t="str">
            <v>No</v>
          </cell>
          <cell r="AE218" t="str">
            <v>MMIS</v>
          </cell>
          <cell r="AF218" t="str">
            <v>harlemunited</v>
          </cell>
          <cell r="AG218" t="str">
            <v>P</v>
          </cell>
        </row>
        <row r="219">
          <cell r="A219" t="str">
            <v>1861813636</v>
          </cell>
          <cell r="B219" t="str">
            <v>03853849</v>
          </cell>
          <cell r="C219" t="str">
            <v>Beyer, Lori, LMSW</v>
          </cell>
          <cell r="D219" t="str">
            <v>E0376370</v>
          </cell>
          <cell r="E219" t="str">
            <v>BEYER LORI</v>
          </cell>
          <cell r="G219" t="str">
            <v>Crystal Jordan</v>
          </cell>
          <cell r="H219" t="str">
            <v>(212) 803-2860</v>
          </cell>
          <cell r="J219" t="str">
            <v>cjordan@harlemunited.org</v>
          </cell>
          <cell r="L219" t="str">
            <v>Mental Health:: Practitioner - Non-Primary Care Provider (PCP)</v>
          </cell>
          <cell r="M219" t="str">
            <v>No</v>
          </cell>
          <cell r="R219" t="str">
            <v>BEYER LORI MS.</v>
          </cell>
          <cell r="W219" t="str">
            <v>BEYER LORI</v>
          </cell>
          <cell r="X219" t="str">
            <v>179 EAST 116TH STREE</v>
          </cell>
          <cell r="Y219" t="str">
            <v>NEW YORK</v>
          </cell>
          <cell r="Z219" t="str">
            <v>NY</v>
          </cell>
          <cell r="AA219" t="str">
            <v>10029</v>
          </cell>
          <cell r="AB219" t="str">
            <v>CLINICAL SOCIAL WORKER (CSW)</v>
          </cell>
          <cell r="AC219" t="str">
            <v>M</v>
          </cell>
          <cell r="AD219" t="str">
            <v>No</v>
          </cell>
          <cell r="AE219" t="str">
            <v>MMIS</v>
          </cell>
          <cell r="AF219" t="str">
            <v>harlemunited</v>
          </cell>
          <cell r="AG219" t="str">
            <v>P</v>
          </cell>
        </row>
        <row r="220">
          <cell r="A220" t="str">
            <v>1730507690</v>
          </cell>
          <cell r="C220" t="str">
            <v>La Melvin</v>
          </cell>
          <cell r="G220" t="str">
            <v>Kathryn Spaziani</v>
          </cell>
          <cell r="H220" t="str">
            <v>(212) 305-1255</v>
          </cell>
          <cell r="J220" t="str">
            <v>kas9171@nyp.org</v>
          </cell>
          <cell r="K220" t="str">
            <v>Physician</v>
          </cell>
          <cell r="L220" t="str">
            <v>Uncategorized</v>
          </cell>
          <cell r="M220" t="str">
            <v>No</v>
          </cell>
          <cell r="R220" t="str">
            <v>LA MELVIN DR.</v>
          </cell>
          <cell r="S220" t="str">
            <v>525 E 68TH ST # 124</v>
          </cell>
          <cell r="T220" t="str">
            <v>NEW YORK</v>
          </cell>
          <cell r="U220" t="str">
            <v>NY</v>
          </cell>
          <cell r="V220" t="str">
            <v>100654870</v>
          </cell>
          <cell r="AC220" t="str">
            <v>M</v>
          </cell>
          <cell r="AD220" t="str">
            <v>No</v>
          </cell>
          <cell r="AE220" t="str">
            <v>NPI only</v>
          </cell>
          <cell r="AF220" t="str">
            <v>nypeastcampus</v>
          </cell>
          <cell r="AG220" t="str">
            <v>P</v>
          </cell>
        </row>
        <row r="221">
          <cell r="A221" t="str">
            <v>1063754497</v>
          </cell>
          <cell r="C221" t="str">
            <v>Lampl Jenica</v>
          </cell>
          <cell r="G221" t="str">
            <v>Kathryn Spaziani</v>
          </cell>
          <cell r="H221" t="str">
            <v>(212) 305-1255</v>
          </cell>
          <cell r="J221" t="str">
            <v>kas9171@nyp.org</v>
          </cell>
          <cell r="K221" t="str">
            <v>Physician</v>
          </cell>
          <cell r="L221" t="str">
            <v>Uncategorized</v>
          </cell>
          <cell r="M221" t="str">
            <v>No</v>
          </cell>
          <cell r="R221" t="str">
            <v>LAMPL JENICA DR.</v>
          </cell>
          <cell r="S221" t="str">
            <v>25 POPLAR LN</v>
          </cell>
          <cell r="T221" t="str">
            <v>COMMACK</v>
          </cell>
          <cell r="U221" t="str">
            <v>NY</v>
          </cell>
          <cell r="V221" t="str">
            <v>117252410</v>
          </cell>
          <cell r="AC221" t="str">
            <v>M</v>
          </cell>
          <cell r="AD221" t="str">
            <v>No</v>
          </cell>
          <cell r="AE221" t="str">
            <v>NPI only</v>
          </cell>
          <cell r="AF221" t="str">
            <v>nypeastcampus</v>
          </cell>
          <cell r="AG221" t="str">
            <v>P</v>
          </cell>
        </row>
        <row r="222">
          <cell r="A222" t="str">
            <v>1619312642</v>
          </cell>
          <cell r="C222" t="str">
            <v>Landon Jennifer</v>
          </cell>
          <cell r="G222" t="str">
            <v>Kathryn Spaziani</v>
          </cell>
          <cell r="H222" t="str">
            <v>(212) 305-1255</v>
          </cell>
          <cell r="J222" t="str">
            <v>kas9171@nyp.org</v>
          </cell>
          <cell r="K222" t="str">
            <v>Physician</v>
          </cell>
          <cell r="L222" t="str">
            <v>Uncategorized</v>
          </cell>
          <cell r="M222" t="str">
            <v>No</v>
          </cell>
          <cell r="R222" t="str">
            <v>LANDON JENNIFER</v>
          </cell>
          <cell r="S222" t="str">
            <v>525 E 68TH ST</v>
          </cell>
          <cell r="T222" t="str">
            <v>NEW YORK</v>
          </cell>
          <cell r="U222" t="str">
            <v>NY</v>
          </cell>
          <cell r="V222" t="str">
            <v>100654870</v>
          </cell>
          <cell r="AC222" t="str">
            <v>M</v>
          </cell>
          <cell r="AD222" t="str">
            <v>No</v>
          </cell>
          <cell r="AE222" t="str">
            <v>NPI only</v>
          </cell>
          <cell r="AF222" t="str">
            <v>nypeastcampus</v>
          </cell>
          <cell r="AG222" t="str">
            <v>P</v>
          </cell>
        </row>
        <row r="223">
          <cell r="A223" t="str">
            <v>1497011233</v>
          </cell>
          <cell r="C223" t="str">
            <v>Li Jingyi</v>
          </cell>
          <cell r="G223" t="str">
            <v>Kathryn Spaziani</v>
          </cell>
          <cell r="H223" t="str">
            <v>(212) 305-1255</v>
          </cell>
          <cell r="J223" t="str">
            <v>kas9171@nyp.org</v>
          </cell>
          <cell r="K223" t="str">
            <v>Physician</v>
          </cell>
          <cell r="L223" t="str">
            <v>Uncategorized</v>
          </cell>
          <cell r="M223" t="str">
            <v>No</v>
          </cell>
          <cell r="R223" t="str">
            <v>LI JINGYI</v>
          </cell>
          <cell r="S223" t="str">
            <v>525 E 68TH ST # 124</v>
          </cell>
          <cell r="T223" t="str">
            <v>NEW YORK</v>
          </cell>
          <cell r="U223" t="str">
            <v>NY</v>
          </cell>
          <cell r="V223" t="str">
            <v>100654870</v>
          </cell>
          <cell r="AC223" t="str">
            <v>M</v>
          </cell>
          <cell r="AD223" t="str">
            <v>No</v>
          </cell>
          <cell r="AE223" t="str">
            <v>NPI only</v>
          </cell>
          <cell r="AF223" t="str">
            <v>nypeastcampus</v>
          </cell>
          <cell r="AG223" t="str">
            <v>P</v>
          </cell>
        </row>
        <row r="224">
          <cell r="A224" t="str">
            <v>1235495680</v>
          </cell>
          <cell r="C224" t="str">
            <v>Licina Lauren</v>
          </cell>
          <cell r="G224" t="str">
            <v>Kathryn Spaziani</v>
          </cell>
          <cell r="H224" t="str">
            <v>(212) 305-1255</v>
          </cell>
          <cell r="J224" t="str">
            <v>kas9171@nyp.org</v>
          </cell>
          <cell r="K224" t="str">
            <v>Physician</v>
          </cell>
          <cell r="L224" t="str">
            <v>Uncategorized</v>
          </cell>
          <cell r="M224" t="str">
            <v>No</v>
          </cell>
          <cell r="R224" t="str">
            <v>LICINA LAUREN DR.</v>
          </cell>
          <cell r="S224" t="str">
            <v>525 E 68TH ST</v>
          </cell>
          <cell r="T224" t="str">
            <v>NEW YORK</v>
          </cell>
          <cell r="U224" t="str">
            <v>NY</v>
          </cell>
          <cell r="V224" t="str">
            <v>100654870</v>
          </cell>
          <cell r="AC224" t="str">
            <v>M</v>
          </cell>
          <cell r="AD224" t="str">
            <v>No</v>
          </cell>
          <cell r="AE224" t="str">
            <v>NPI only</v>
          </cell>
          <cell r="AF224" t="str">
            <v>nypeastcampus</v>
          </cell>
          <cell r="AG224" t="str">
            <v>P</v>
          </cell>
        </row>
        <row r="225">
          <cell r="A225" t="str">
            <v>1578820528</v>
          </cell>
          <cell r="C225" t="str">
            <v>Margulis Ilan</v>
          </cell>
          <cell r="G225" t="str">
            <v>Kathryn Spaziani</v>
          </cell>
          <cell r="H225" t="str">
            <v>(212) 305-1255</v>
          </cell>
          <cell r="J225" t="str">
            <v>kas9171@nyp.org</v>
          </cell>
          <cell r="K225" t="str">
            <v>Physician</v>
          </cell>
          <cell r="L225" t="str">
            <v>Uncategorized</v>
          </cell>
          <cell r="M225" t="str">
            <v>No</v>
          </cell>
          <cell r="R225" t="str">
            <v>MARGULIS ILAN DR.</v>
          </cell>
          <cell r="S225" t="str">
            <v>525 E 68TH ST, BOX 124</v>
          </cell>
          <cell r="T225" t="str">
            <v>NEW YORK</v>
          </cell>
          <cell r="U225" t="str">
            <v>NY</v>
          </cell>
          <cell r="V225" t="str">
            <v>100654870</v>
          </cell>
          <cell r="AC225" t="str">
            <v>M</v>
          </cell>
          <cell r="AD225" t="str">
            <v>No</v>
          </cell>
          <cell r="AE225" t="str">
            <v>NPI only</v>
          </cell>
          <cell r="AF225" t="str">
            <v>nypeastcampus</v>
          </cell>
          <cell r="AG225" t="str">
            <v>P</v>
          </cell>
        </row>
        <row r="226">
          <cell r="A226" t="str">
            <v>1518378710</v>
          </cell>
          <cell r="C226" t="str">
            <v>Marr Joshua</v>
          </cell>
          <cell r="G226" t="str">
            <v>Kathryn Spaziani</v>
          </cell>
          <cell r="H226" t="str">
            <v>(212) 305-1255</v>
          </cell>
          <cell r="J226" t="str">
            <v>kas9171@nyp.org</v>
          </cell>
          <cell r="K226" t="str">
            <v>Physician</v>
          </cell>
          <cell r="L226" t="str">
            <v>Uncategorized</v>
          </cell>
          <cell r="M226" t="str">
            <v>No</v>
          </cell>
          <cell r="R226" t="str">
            <v>MARR JOSHUA</v>
          </cell>
          <cell r="S226" t="str">
            <v>525 E 68TH ST, ROOM M-312</v>
          </cell>
          <cell r="T226" t="str">
            <v>NEW YORK</v>
          </cell>
          <cell r="U226" t="str">
            <v>NY</v>
          </cell>
          <cell r="V226" t="str">
            <v>100654870</v>
          </cell>
          <cell r="AC226" t="str">
            <v>M</v>
          </cell>
          <cell r="AD226" t="str">
            <v>No</v>
          </cell>
          <cell r="AE226" t="str">
            <v>NPI only</v>
          </cell>
          <cell r="AF226" t="str">
            <v>nypeastcampus</v>
          </cell>
          <cell r="AG226" t="str">
            <v>P</v>
          </cell>
        </row>
        <row r="227">
          <cell r="A227" t="str">
            <v>1609119247</v>
          </cell>
          <cell r="C227" t="str">
            <v>McCullough Danielle</v>
          </cell>
          <cell r="G227" t="str">
            <v>Kathryn Spaziani</v>
          </cell>
          <cell r="H227" t="str">
            <v>(212) 305-1255</v>
          </cell>
          <cell r="J227" t="str">
            <v>kas9171@nyp.org</v>
          </cell>
          <cell r="K227" t="str">
            <v>Physician</v>
          </cell>
          <cell r="L227" t="str">
            <v>Uncategorized</v>
          </cell>
          <cell r="M227" t="str">
            <v>No</v>
          </cell>
          <cell r="R227" t="str">
            <v>MCCULLOUGH DANIELLE DR.</v>
          </cell>
          <cell r="S227" t="str">
            <v>420 E 70TH ST, 11D2</v>
          </cell>
          <cell r="T227" t="str">
            <v>NEW YORK</v>
          </cell>
          <cell r="U227" t="str">
            <v>NY</v>
          </cell>
          <cell r="V227" t="str">
            <v>100215320</v>
          </cell>
          <cell r="AC227" t="str">
            <v>M</v>
          </cell>
          <cell r="AD227" t="str">
            <v>No</v>
          </cell>
          <cell r="AE227" t="str">
            <v>NPI only</v>
          </cell>
          <cell r="AF227" t="str">
            <v>nypeastcampus</v>
          </cell>
          <cell r="AG227" t="str">
            <v>P</v>
          </cell>
        </row>
        <row r="228">
          <cell r="A228" t="str">
            <v>1144317223</v>
          </cell>
          <cell r="B228" t="str">
            <v>01591708</v>
          </cell>
          <cell r="C228" t="str">
            <v>Mack Patricia</v>
          </cell>
          <cell r="D228" t="str">
            <v>E0140836</v>
          </cell>
          <cell r="E228" t="str">
            <v>MACK PATRICIA FOGARTY MD</v>
          </cell>
          <cell r="L228" t="str">
            <v>Practitioner - Non-Primary Care Provider (PCP)</v>
          </cell>
          <cell r="M228" t="str">
            <v>No</v>
          </cell>
          <cell r="R228" t="str">
            <v>FOGARTY-MACK PATRICIA</v>
          </cell>
          <cell r="W228" t="str">
            <v>MACK PATRICIA FOGARTY MD</v>
          </cell>
          <cell r="X228" t="str">
            <v>CUMC-NYH ANES DT/ADM</v>
          </cell>
          <cell r="Y228" t="str">
            <v>NEW YORK</v>
          </cell>
          <cell r="Z228" t="str">
            <v>NY</v>
          </cell>
          <cell r="AA228" t="str">
            <v>10065-4870</v>
          </cell>
          <cell r="AB228" t="str">
            <v>PHYSICIAN</v>
          </cell>
          <cell r="AC228" t="str">
            <v>M</v>
          </cell>
          <cell r="AD228" t="str">
            <v>No</v>
          </cell>
          <cell r="AE228" t="str">
            <v>MMIS</v>
          </cell>
          <cell r="AF228" t="str">
            <v>nypeastcampus</v>
          </cell>
          <cell r="AG228" t="str">
            <v>P</v>
          </cell>
        </row>
        <row r="229">
          <cell r="A229" t="str">
            <v>1700898707</v>
          </cell>
          <cell r="B229" t="str">
            <v>00896680</v>
          </cell>
          <cell r="C229" t="str">
            <v>Maggio Louis</v>
          </cell>
          <cell r="D229" t="str">
            <v>E0210081</v>
          </cell>
          <cell r="E229" t="str">
            <v>MAGGIO LOUIS J MD</v>
          </cell>
          <cell r="L229" t="str">
            <v>All Other:: Practitioner - Non-Primary Care Provider (PCP)</v>
          </cell>
          <cell r="M229" t="str">
            <v>No</v>
          </cell>
          <cell r="R229" t="str">
            <v>MAGGIO LOUIS DR.</v>
          </cell>
          <cell r="W229" t="str">
            <v>MAGGIO LOUIS J MD</v>
          </cell>
          <cell r="X229" t="str">
            <v>NEW YORK HOSP</v>
          </cell>
          <cell r="Y229" t="str">
            <v>NEW YORK</v>
          </cell>
          <cell r="Z229" t="str">
            <v>NY</v>
          </cell>
          <cell r="AA229" t="str">
            <v>10065-4885</v>
          </cell>
          <cell r="AB229" t="str">
            <v>PHYSICIAN</v>
          </cell>
          <cell r="AC229" t="str">
            <v>M</v>
          </cell>
          <cell r="AD229" t="str">
            <v>No</v>
          </cell>
          <cell r="AE229" t="str">
            <v>MMIS</v>
          </cell>
          <cell r="AF229" t="str">
            <v>nypeastcampus</v>
          </cell>
          <cell r="AG229" t="str">
            <v>P</v>
          </cell>
        </row>
        <row r="230">
          <cell r="A230" t="str">
            <v>1346483864</v>
          </cell>
          <cell r="B230" t="str">
            <v>04010500</v>
          </cell>
          <cell r="C230" t="str">
            <v>McSwain Marisa</v>
          </cell>
          <cell r="D230" t="str">
            <v>E0392482</v>
          </cell>
          <cell r="E230" t="str">
            <v>MCSWAIN MARISA CHRISTIAN</v>
          </cell>
          <cell r="G230" t="str">
            <v>Kathryn Spaziani</v>
          </cell>
          <cell r="H230" t="str">
            <v>(212) 305-1255</v>
          </cell>
          <cell r="J230" t="str">
            <v>kas9171@nyp.org</v>
          </cell>
          <cell r="L230" t="str">
            <v>Practitioner - Non-Primary Care Provider (PCP)</v>
          </cell>
          <cell r="M230" t="str">
            <v>No</v>
          </cell>
          <cell r="R230" t="str">
            <v>MCSWAIN MARISA</v>
          </cell>
          <cell r="W230" t="str">
            <v>MCSWAIN MARISA CHRISTIAN</v>
          </cell>
          <cell r="X230" t="str">
            <v>525 E 68TH ST</v>
          </cell>
          <cell r="Y230" t="str">
            <v>NEW YORK</v>
          </cell>
          <cell r="Z230" t="str">
            <v>NY</v>
          </cell>
          <cell r="AA230" t="str">
            <v>10065-4870</v>
          </cell>
          <cell r="AB230" t="str">
            <v>PHYSICIAN</v>
          </cell>
          <cell r="AC230" t="str">
            <v>M</v>
          </cell>
          <cell r="AD230" t="str">
            <v>No</v>
          </cell>
          <cell r="AE230" t="str">
            <v>MMIS</v>
          </cell>
          <cell r="AF230" t="str">
            <v>nypeastcampus</v>
          </cell>
          <cell r="AG230" t="str">
            <v>P</v>
          </cell>
        </row>
        <row r="231">
          <cell r="A231" t="str">
            <v>1023041795</v>
          </cell>
          <cell r="B231" t="str">
            <v>02383475</v>
          </cell>
          <cell r="C231" t="str">
            <v>LULENESH BELAYNEH</v>
          </cell>
          <cell r="D231" t="str">
            <v>E0061771</v>
          </cell>
          <cell r="E231" t="str">
            <v>BELAYNEH LULENESH MD</v>
          </cell>
          <cell r="G231" t="str">
            <v>Eva Eng</v>
          </cell>
          <cell r="H231" t="str">
            <v>(212) 752-5014</v>
          </cell>
          <cell r="J231" t="str">
            <v>eeng@archcare.org</v>
          </cell>
          <cell r="L231" t="str">
            <v>All Other:: Practitioner - Non-Primary Care Provider (PCP)</v>
          </cell>
          <cell r="M231" t="str">
            <v>No</v>
          </cell>
          <cell r="R231" t="str">
            <v>BELAYNEH LULENESH</v>
          </cell>
          <cell r="W231" t="str">
            <v>BELAYNEH LULENESH MD</v>
          </cell>
          <cell r="X231" t="str">
            <v>1249 5TH AVE</v>
          </cell>
          <cell r="Y231" t="str">
            <v>NEW YORK</v>
          </cell>
          <cell r="Z231" t="str">
            <v>NY</v>
          </cell>
          <cell r="AA231" t="str">
            <v>10029-4413</v>
          </cell>
          <cell r="AB231" t="str">
            <v>PHYSICIAN</v>
          </cell>
          <cell r="AC231" t="str">
            <v>M</v>
          </cell>
          <cell r="AD231" t="str">
            <v>No</v>
          </cell>
          <cell r="AE231" t="str">
            <v>MMIS</v>
          </cell>
          <cell r="AF231" t="str">
            <v>nypwestacn</v>
          </cell>
          <cell r="AG231" t="str">
            <v>P</v>
          </cell>
        </row>
        <row r="232">
          <cell r="A232" t="str">
            <v>1386731461</v>
          </cell>
          <cell r="B232" t="str">
            <v>00543022</v>
          </cell>
          <cell r="C232" t="str">
            <v>KLIGFIELD, PAUL D</v>
          </cell>
          <cell r="D232" t="str">
            <v>E0245362</v>
          </cell>
          <cell r="E232" t="str">
            <v>KLIGFIELD PAUL DAVID       MD</v>
          </cell>
          <cell r="G232" t="str">
            <v>Kathryn Spaziani</v>
          </cell>
          <cell r="H232" t="str">
            <v>(212) 305-1190</v>
          </cell>
          <cell r="J232" t="str">
            <v>kas9171@nyp.org</v>
          </cell>
          <cell r="L232" t="str">
            <v>All Other:: Practitioner - Non-Primary Care Provider (PCP)</v>
          </cell>
          <cell r="M232" t="str">
            <v>No</v>
          </cell>
          <cell r="R232" t="str">
            <v>KLIGFIELD PAUL</v>
          </cell>
          <cell r="W232" t="str">
            <v>KLIGFIELD PAUL DAVID       MD</v>
          </cell>
          <cell r="X232" t="str">
            <v>NY HOSP CORNELL ME C</v>
          </cell>
          <cell r="Y232" t="str">
            <v>NEW YORK</v>
          </cell>
          <cell r="Z232" t="str">
            <v>NY</v>
          </cell>
          <cell r="AA232" t="str">
            <v>10065-4897</v>
          </cell>
          <cell r="AB232" t="str">
            <v>PHYSICIAN</v>
          </cell>
          <cell r="AC232" t="str">
            <v>M</v>
          </cell>
          <cell r="AD232" t="str">
            <v>No</v>
          </cell>
          <cell r="AE232" t="str">
            <v>MMIS</v>
          </cell>
          <cell r="AF232" t="str">
            <v>nypeastacn</v>
          </cell>
          <cell r="AG232" t="str">
            <v>P</v>
          </cell>
        </row>
        <row r="233">
          <cell r="A233" t="str">
            <v>1609842921</v>
          </cell>
          <cell r="B233" t="str">
            <v>01351573</v>
          </cell>
          <cell r="C233" t="str">
            <v xml:space="preserve">GISSEN, MELANIE </v>
          </cell>
          <cell r="D233" t="str">
            <v>E0164787</v>
          </cell>
          <cell r="E233" t="str">
            <v>GISSEN MELANIE  MD</v>
          </cell>
          <cell r="G233" t="str">
            <v>Kathryn Spaziani</v>
          </cell>
          <cell r="H233" t="str">
            <v>(212) 305-1190</v>
          </cell>
          <cell r="J233" t="str">
            <v>kas9171@nyp.org</v>
          </cell>
          <cell r="L233" t="str">
            <v>All Other:: Practitioner - Primary Care Provider (PCP)</v>
          </cell>
          <cell r="M233" t="str">
            <v>Yes</v>
          </cell>
          <cell r="R233" t="str">
            <v>GISSEN MELANIE DR.</v>
          </cell>
          <cell r="W233" t="str">
            <v>GISSEN MELANIE  MD</v>
          </cell>
          <cell r="X233" t="str">
            <v>SLR HOSP CENTER 2D</v>
          </cell>
          <cell r="Y233" t="str">
            <v>NEW YORK</v>
          </cell>
          <cell r="Z233" t="str">
            <v>NY</v>
          </cell>
          <cell r="AA233" t="str">
            <v>10029-2314</v>
          </cell>
          <cell r="AB233" t="str">
            <v>PHYSICIAN</v>
          </cell>
          <cell r="AC233" t="str">
            <v>M</v>
          </cell>
          <cell r="AD233" t="str">
            <v>No</v>
          </cell>
          <cell r="AE233" t="str">
            <v>MMIS</v>
          </cell>
          <cell r="AF233" t="str">
            <v>nypwestacn</v>
          </cell>
          <cell r="AG233" t="str">
            <v>P</v>
          </cell>
        </row>
        <row r="234">
          <cell r="A234" t="str">
            <v>1700167665</v>
          </cell>
          <cell r="C234" t="str">
            <v>Jennifer L. Jones</v>
          </cell>
          <cell r="G234" t="str">
            <v>Eva Eng</v>
          </cell>
          <cell r="H234" t="str">
            <v>(212) 752-4976</v>
          </cell>
          <cell r="J234" t="str">
            <v>eeng@archcare.org</v>
          </cell>
          <cell r="K234" t="str">
            <v>Other Practitioners</v>
          </cell>
          <cell r="L234" t="str">
            <v>Uncategorized</v>
          </cell>
          <cell r="M234" t="str">
            <v>No</v>
          </cell>
          <cell r="R234" t="str">
            <v>JONES JENNIFER</v>
          </cell>
          <cell r="S234" t="str">
            <v>150 RIVERSIDE DR</v>
          </cell>
          <cell r="T234" t="str">
            <v>NEW YORK</v>
          </cell>
          <cell r="U234" t="str">
            <v>NY</v>
          </cell>
          <cell r="V234" t="str">
            <v>100242298</v>
          </cell>
          <cell r="AC234" t="str">
            <v>M</v>
          </cell>
          <cell r="AD234" t="str">
            <v>No</v>
          </cell>
          <cell r="AE234" t="str">
            <v>NPI only</v>
          </cell>
          <cell r="AF234" t="str">
            <v>nypwestacn</v>
          </cell>
          <cell r="AG234" t="str">
            <v>P</v>
          </cell>
        </row>
        <row r="235">
          <cell r="A235" t="str">
            <v>1427318948</v>
          </cell>
          <cell r="C235" t="str">
            <v>Early Micheal</v>
          </cell>
          <cell r="G235" t="str">
            <v>Kathryn Spaziani</v>
          </cell>
          <cell r="H235" t="str">
            <v>(212) 305-1255</v>
          </cell>
          <cell r="J235" t="str">
            <v>kas9171@nyp.org</v>
          </cell>
          <cell r="K235" t="str">
            <v>Physician</v>
          </cell>
          <cell r="L235" t="str">
            <v>Uncategorized</v>
          </cell>
          <cell r="M235" t="str">
            <v>No</v>
          </cell>
          <cell r="R235" t="str">
            <v>EARLY MICHAEL MR.</v>
          </cell>
          <cell r="S235" t="str">
            <v>525 E 68TH ST, NEWYORK-PRESBYTERIAN/ WEILL CORNELL</v>
          </cell>
          <cell r="T235" t="str">
            <v>NEW YORK</v>
          </cell>
          <cell r="U235" t="str">
            <v>NY</v>
          </cell>
          <cell r="V235" t="str">
            <v>100654870</v>
          </cell>
          <cell r="AC235" t="str">
            <v>M</v>
          </cell>
          <cell r="AD235" t="str">
            <v>No</v>
          </cell>
          <cell r="AE235" t="str">
            <v>NPI only</v>
          </cell>
          <cell r="AF235" t="str">
            <v>nypeastcampus</v>
          </cell>
          <cell r="AG235" t="str">
            <v>P</v>
          </cell>
        </row>
        <row r="236">
          <cell r="A236" t="str">
            <v>1851640007</v>
          </cell>
          <cell r="C236" t="str">
            <v>Enaiett Lindsay</v>
          </cell>
          <cell r="G236" t="str">
            <v>Kathryn Spaziani</v>
          </cell>
          <cell r="H236" t="str">
            <v>(212) 305-1255</v>
          </cell>
          <cell r="J236" t="str">
            <v>kas9171@nyp.org</v>
          </cell>
          <cell r="K236" t="str">
            <v>Physician</v>
          </cell>
          <cell r="L236" t="str">
            <v>Practitioner - Non-Primary Care Provider (PCP)</v>
          </cell>
          <cell r="M236" t="str">
            <v>No</v>
          </cell>
          <cell r="R236" t="str">
            <v>ENAIETT LINDSAY</v>
          </cell>
          <cell r="S236" t="str">
            <v>525 E 68TH ST</v>
          </cell>
          <cell r="T236" t="str">
            <v>NEW YORK</v>
          </cell>
          <cell r="U236" t="str">
            <v>NY</v>
          </cell>
          <cell r="V236" t="str">
            <v>100654870</v>
          </cell>
          <cell r="AC236" t="str">
            <v>M</v>
          </cell>
          <cell r="AD236" t="str">
            <v>No</v>
          </cell>
          <cell r="AE236" t="str">
            <v>NPI only</v>
          </cell>
          <cell r="AF236" t="str">
            <v>nypeastcampus</v>
          </cell>
          <cell r="AG236" t="str">
            <v>P</v>
          </cell>
        </row>
        <row r="237">
          <cell r="A237" t="str">
            <v>1871759845</v>
          </cell>
          <cell r="C237" t="str">
            <v>Fiore Nicholas</v>
          </cell>
          <cell r="G237" t="str">
            <v>Kathryn Spaziani</v>
          </cell>
          <cell r="H237" t="str">
            <v>(212) 305-1255</v>
          </cell>
          <cell r="J237" t="str">
            <v>kas9171@nyp.org</v>
          </cell>
          <cell r="K237" t="str">
            <v>Physician</v>
          </cell>
          <cell r="L237" t="str">
            <v>Uncategorized</v>
          </cell>
          <cell r="M237" t="str">
            <v>No</v>
          </cell>
          <cell r="R237" t="str">
            <v>FIORE NICHOLAS MR.</v>
          </cell>
          <cell r="S237" t="str">
            <v>525 E 68TH ST</v>
          </cell>
          <cell r="T237" t="str">
            <v>NEW YORK</v>
          </cell>
          <cell r="U237" t="str">
            <v>NY</v>
          </cell>
          <cell r="V237" t="str">
            <v>100654870</v>
          </cell>
          <cell r="AC237" t="str">
            <v>M</v>
          </cell>
          <cell r="AD237" t="str">
            <v>No</v>
          </cell>
          <cell r="AE237" t="str">
            <v>NPI only</v>
          </cell>
          <cell r="AF237" t="str">
            <v>nypeastcampus</v>
          </cell>
          <cell r="AG237" t="str">
            <v>P</v>
          </cell>
        </row>
        <row r="238">
          <cell r="A238" t="str">
            <v>1346275732</v>
          </cell>
          <cell r="B238" t="str">
            <v>01391666</v>
          </cell>
          <cell r="C238" t="str">
            <v>Green Robert</v>
          </cell>
          <cell r="D238" t="str">
            <v>E0160795</v>
          </cell>
          <cell r="E238" t="str">
            <v>GREEN ROBERT ALAN MD</v>
          </cell>
          <cell r="L238" t="str">
            <v>Practitioner - Non-Primary Care Provider (PCP)</v>
          </cell>
          <cell r="M238" t="str">
            <v>No</v>
          </cell>
          <cell r="R238" t="str">
            <v>GREEN ROBERT</v>
          </cell>
          <cell r="W238" t="str">
            <v>GREEN ROBERT ALAN MD</v>
          </cell>
          <cell r="X238" t="str">
            <v># VC2-205</v>
          </cell>
          <cell r="Y238" t="str">
            <v>NEW YORK</v>
          </cell>
          <cell r="Z238" t="str">
            <v>NY</v>
          </cell>
          <cell r="AA238" t="str">
            <v>10032-3720</v>
          </cell>
          <cell r="AB238" t="str">
            <v>PHYSICIAN</v>
          </cell>
          <cell r="AC238" t="str">
            <v>M</v>
          </cell>
          <cell r="AD238" t="str">
            <v>No</v>
          </cell>
          <cell r="AE238" t="str">
            <v>MMIS</v>
          </cell>
          <cell r="AF238" t="str">
            <v>nypwestcampus</v>
          </cell>
          <cell r="AG238" t="str">
            <v>P</v>
          </cell>
        </row>
        <row r="239">
          <cell r="A239" t="str">
            <v>1043250285</v>
          </cell>
          <cell r="B239" t="str">
            <v>02441138</v>
          </cell>
          <cell r="C239" t="str">
            <v>Ely Scott</v>
          </cell>
          <cell r="D239" t="str">
            <v>E0056019</v>
          </cell>
          <cell r="E239" t="str">
            <v>ELY SCOTT</v>
          </cell>
          <cell r="G239" t="str">
            <v>Kathryn Spaziani</v>
          </cell>
          <cell r="H239" t="str">
            <v>(212) 305-1203</v>
          </cell>
          <cell r="J239" t="str">
            <v>kas9171@nyp.org</v>
          </cell>
          <cell r="L239" t="str">
            <v>All Other:: Practitioner - Non-Primary Care Provider (PCP)</v>
          </cell>
          <cell r="M239" t="str">
            <v>No</v>
          </cell>
          <cell r="R239" t="str">
            <v>ELY SCOTT PROF.</v>
          </cell>
          <cell r="W239" t="str">
            <v>ELY SCOTT</v>
          </cell>
          <cell r="X239" t="str">
            <v>ELY SCOTT</v>
          </cell>
          <cell r="Y239" t="str">
            <v>NEW YORK</v>
          </cell>
          <cell r="Z239" t="str">
            <v>NY</v>
          </cell>
          <cell r="AA239" t="str">
            <v>10065-4870</v>
          </cell>
          <cell r="AB239" t="str">
            <v>PHYSICIAN</v>
          </cell>
          <cell r="AC239" t="str">
            <v>M</v>
          </cell>
          <cell r="AD239" t="str">
            <v>No</v>
          </cell>
          <cell r="AE239" t="str">
            <v>MMIS</v>
          </cell>
          <cell r="AF239" t="str">
            <v>nypeastcampus</v>
          </cell>
          <cell r="AG239" t="str">
            <v>P</v>
          </cell>
        </row>
        <row r="240">
          <cell r="A240" t="str">
            <v>1598829699</v>
          </cell>
          <cell r="B240" t="str">
            <v>03166869</v>
          </cell>
          <cell r="C240" t="str">
            <v>Geyer Julia</v>
          </cell>
          <cell r="D240" t="str">
            <v>E0300670</v>
          </cell>
          <cell r="E240" t="str">
            <v>GEYER JULIA</v>
          </cell>
          <cell r="G240" t="str">
            <v>Kathryn Spaziani</v>
          </cell>
          <cell r="H240" t="str">
            <v>(212) 305-1204</v>
          </cell>
          <cell r="J240" t="str">
            <v>kas9171@nyp.org</v>
          </cell>
          <cell r="L240" t="str">
            <v>All Other:: Practitioner - Non-Primary Care Provider (PCP)</v>
          </cell>
          <cell r="M240" t="str">
            <v>No</v>
          </cell>
          <cell r="R240" t="str">
            <v>GEYER JULIA</v>
          </cell>
          <cell r="W240" t="str">
            <v>GEYER JULIA</v>
          </cell>
          <cell r="X240" t="str">
            <v>525 E 68TH ST</v>
          </cell>
          <cell r="Y240" t="str">
            <v>NEW YORK</v>
          </cell>
          <cell r="Z240" t="str">
            <v>NY</v>
          </cell>
          <cell r="AA240" t="str">
            <v>10065-4870</v>
          </cell>
          <cell r="AB240" t="str">
            <v>PHYSICIAN</v>
          </cell>
          <cell r="AC240" t="str">
            <v>M</v>
          </cell>
          <cell r="AD240" t="str">
            <v>No</v>
          </cell>
          <cell r="AE240" t="str">
            <v>MMIS</v>
          </cell>
          <cell r="AF240" t="str">
            <v>nypeastcampus</v>
          </cell>
          <cell r="AG240" t="str">
            <v>P</v>
          </cell>
        </row>
        <row r="241">
          <cell r="A241" t="str">
            <v>1598705246</v>
          </cell>
          <cell r="B241" t="str">
            <v>01832851</v>
          </cell>
          <cell r="C241" t="str">
            <v>Knowles Daniel</v>
          </cell>
          <cell r="D241" t="str">
            <v>E0116755</v>
          </cell>
          <cell r="E241" t="str">
            <v>KNOWLES DANIEL</v>
          </cell>
          <cell r="G241" t="str">
            <v>Kathryn Spaziani</v>
          </cell>
          <cell r="H241" t="str">
            <v>(212) 305-1205</v>
          </cell>
          <cell r="J241" t="str">
            <v>kas9171@nyp.org</v>
          </cell>
          <cell r="L241" t="str">
            <v>Practitioner - Non-Primary Care Provider (PCP)</v>
          </cell>
          <cell r="M241" t="str">
            <v>No</v>
          </cell>
          <cell r="R241" t="str">
            <v>KNOWLES DANIEL DR.</v>
          </cell>
          <cell r="W241" t="str">
            <v>KNOWLES DANIEL</v>
          </cell>
          <cell r="X241" t="str">
            <v>KNOWLES DANIEL</v>
          </cell>
          <cell r="Y241" t="str">
            <v>NEW YORK</v>
          </cell>
          <cell r="Z241" t="str">
            <v>NY</v>
          </cell>
          <cell r="AA241" t="str">
            <v>10065-4805</v>
          </cell>
          <cell r="AB241" t="str">
            <v>PHYSICIAN</v>
          </cell>
          <cell r="AC241" t="str">
            <v>M</v>
          </cell>
          <cell r="AD241" t="str">
            <v>No</v>
          </cell>
          <cell r="AE241" t="str">
            <v>MMIS</v>
          </cell>
          <cell r="AF241" t="str">
            <v>nypeastcampus</v>
          </cell>
          <cell r="AG241" t="str">
            <v>P</v>
          </cell>
        </row>
        <row r="242">
          <cell r="A242" t="str">
            <v>1689631301</v>
          </cell>
          <cell r="B242" t="str">
            <v>03065987</v>
          </cell>
          <cell r="C242" t="str">
            <v>Orazi Attilio</v>
          </cell>
          <cell r="D242" t="str">
            <v>E0289083</v>
          </cell>
          <cell r="E242" t="str">
            <v>ORAZI ATTILIO</v>
          </cell>
          <cell r="G242" t="str">
            <v>Kathryn Spaziani</v>
          </cell>
          <cell r="H242" t="str">
            <v>(212) 305-1206</v>
          </cell>
          <cell r="J242" t="str">
            <v>kas9171@nyp.org</v>
          </cell>
          <cell r="L242" t="str">
            <v>All Other:: Practitioner - Non-Primary Care Provider (PCP)</v>
          </cell>
          <cell r="M242" t="str">
            <v>No</v>
          </cell>
          <cell r="R242" t="str">
            <v>ORAZI ATTILIO</v>
          </cell>
          <cell r="W242" t="str">
            <v>ORAZI ATTILIO</v>
          </cell>
          <cell r="X242" t="str">
            <v>525 E 68TH ST</v>
          </cell>
          <cell r="Y242" t="str">
            <v>NEW YORK</v>
          </cell>
          <cell r="Z242" t="str">
            <v>NY</v>
          </cell>
          <cell r="AA242" t="str">
            <v>10065-4870</v>
          </cell>
          <cell r="AB242" t="str">
            <v>PHYSICIAN</v>
          </cell>
          <cell r="AC242" t="str">
            <v>M</v>
          </cell>
          <cell r="AD242" t="str">
            <v>No</v>
          </cell>
          <cell r="AE242" t="str">
            <v>MMIS</v>
          </cell>
          <cell r="AF242" t="str">
            <v>nypeastcampus</v>
          </cell>
          <cell r="AG242" t="str">
            <v>P</v>
          </cell>
        </row>
        <row r="243">
          <cell r="A243" t="str">
            <v>1548340037</v>
          </cell>
          <cell r="B243" t="str">
            <v>02584976</v>
          </cell>
          <cell r="C243" t="str">
            <v>Shaknovich Rita</v>
          </cell>
          <cell r="D243" t="str">
            <v>E0041658</v>
          </cell>
          <cell r="E243" t="str">
            <v>SHAKNOVICH RITA</v>
          </cell>
          <cell r="G243" t="str">
            <v>Kathryn Spaziani</v>
          </cell>
          <cell r="H243" t="str">
            <v>(212) 305-1207</v>
          </cell>
          <cell r="J243" t="str">
            <v>kas9171@nyp.org</v>
          </cell>
          <cell r="L243" t="str">
            <v>All Other:: Practitioner - Non-Primary Care Provider (PCP)</v>
          </cell>
          <cell r="M243" t="str">
            <v>No</v>
          </cell>
          <cell r="R243" t="str">
            <v>SHAKNOVICH RITA</v>
          </cell>
          <cell r="W243" t="str">
            <v>SHAKNOVICH RITA</v>
          </cell>
          <cell r="X243" t="str">
            <v>SHAKNOVICH RITA</v>
          </cell>
          <cell r="Y243" t="str">
            <v>BRONX</v>
          </cell>
          <cell r="Z243" t="str">
            <v>NY</v>
          </cell>
          <cell r="AA243" t="str">
            <v>10461</v>
          </cell>
          <cell r="AB243" t="str">
            <v>PHYSICIAN</v>
          </cell>
          <cell r="AC243" t="str">
            <v>M</v>
          </cell>
          <cell r="AD243" t="str">
            <v>No</v>
          </cell>
          <cell r="AE243" t="str">
            <v>MMIS</v>
          </cell>
          <cell r="AF243" t="str">
            <v>nypwestacn</v>
          </cell>
          <cell r="AG243" t="str">
            <v>P</v>
          </cell>
        </row>
        <row r="244">
          <cell r="A244" t="str">
            <v>1912947680</v>
          </cell>
          <cell r="B244" t="str">
            <v>02236666</v>
          </cell>
          <cell r="C244" t="str">
            <v>Tam Wayne</v>
          </cell>
          <cell r="D244" t="str">
            <v>E0076423</v>
          </cell>
          <cell r="E244" t="str">
            <v>TAM WAYNE</v>
          </cell>
          <cell r="G244" t="str">
            <v>Kathryn Spaziani</v>
          </cell>
          <cell r="H244" t="str">
            <v>(212) 305-1208</v>
          </cell>
          <cell r="J244" t="str">
            <v>kas9171@nyp.org</v>
          </cell>
          <cell r="L244" t="str">
            <v>All Other:: Practitioner - Non-Primary Care Provider (PCP)</v>
          </cell>
          <cell r="M244" t="str">
            <v>No</v>
          </cell>
          <cell r="R244" t="str">
            <v>TAM WAYNE DR.</v>
          </cell>
          <cell r="W244" t="str">
            <v>TAM WAYNE</v>
          </cell>
          <cell r="X244" t="str">
            <v>TAM WAYNE</v>
          </cell>
          <cell r="Y244" t="str">
            <v>NEW YORK</v>
          </cell>
          <cell r="Z244" t="str">
            <v>NY</v>
          </cell>
          <cell r="AA244" t="str">
            <v>10065-4870</v>
          </cell>
          <cell r="AB244" t="str">
            <v>PHYSICIAN</v>
          </cell>
          <cell r="AC244" t="str">
            <v>M</v>
          </cell>
          <cell r="AD244" t="str">
            <v>No</v>
          </cell>
          <cell r="AE244" t="str">
            <v>MMIS</v>
          </cell>
          <cell r="AF244" t="str">
            <v>nypeastcampus</v>
          </cell>
          <cell r="AG244" t="str">
            <v>P</v>
          </cell>
        </row>
        <row r="245">
          <cell r="A245" t="str">
            <v>1780738682</v>
          </cell>
          <cell r="B245" t="str">
            <v>00227183</v>
          </cell>
          <cell r="C245" t="str">
            <v>Pang Leila Mei</v>
          </cell>
          <cell r="D245" t="str">
            <v>E0274961</v>
          </cell>
          <cell r="E245" t="str">
            <v>PANG LEILA M MD</v>
          </cell>
          <cell r="L245" t="str">
            <v>All Other:: Practitioner - Non-Primary Care Provider (PCP)</v>
          </cell>
          <cell r="M245" t="str">
            <v>No</v>
          </cell>
          <cell r="R245" t="str">
            <v>PANG LEILA DR.</v>
          </cell>
          <cell r="W245" t="str">
            <v>PANG LEILA M</v>
          </cell>
          <cell r="X245" t="str">
            <v>COLUMBIA PRESBY HOSP</v>
          </cell>
          <cell r="Y245" t="str">
            <v>NEW YORK</v>
          </cell>
          <cell r="Z245" t="str">
            <v>NY</v>
          </cell>
          <cell r="AA245" t="str">
            <v>10032-3720</v>
          </cell>
          <cell r="AB245" t="str">
            <v>PHYSICIAN</v>
          </cell>
          <cell r="AC245" t="str">
            <v>M</v>
          </cell>
          <cell r="AD245" t="str">
            <v>No</v>
          </cell>
          <cell r="AE245" t="str">
            <v>MMIS</v>
          </cell>
          <cell r="AF245" t="str">
            <v>nypwestcampus</v>
          </cell>
          <cell r="AG245" t="str">
            <v>P</v>
          </cell>
        </row>
        <row r="246">
          <cell r="A246" t="str">
            <v>1699829507</v>
          </cell>
          <cell r="B246" t="str">
            <v>02001352</v>
          </cell>
          <cell r="C246" t="str">
            <v>Saraiya Neeta</v>
          </cell>
          <cell r="D246" t="str">
            <v>E0099925</v>
          </cell>
          <cell r="E246" t="str">
            <v>SARAIYA NEETA RAJENDRA MD</v>
          </cell>
          <cell r="L246" t="str">
            <v>All Other:: Practitioner - Non-Primary Care Provider (PCP)</v>
          </cell>
          <cell r="M246" t="str">
            <v>No</v>
          </cell>
          <cell r="R246" t="str">
            <v>SARAIYA NEETA DR.</v>
          </cell>
          <cell r="W246" t="str">
            <v>SARAIYA NEETA RAJENDRA MD</v>
          </cell>
          <cell r="X246" t="str">
            <v>NY PRESBYTERIAN HOSP</v>
          </cell>
          <cell r="Y246" t="str">
            <v>NEW YORK</v>
          </cell>
          <cell r="Z246" t="str">
            <v>NY</v>
          </cell>
          <cell r="AA246" t="str">
            <v>10032-3720</v>
          </cell>
          <cell r="AB246" t="str">
            <v>PHYSICIAN</v>
          </cell>
          <cell r="AC246" t="str">
            <v>M</v>
          </cell>
          <cell r="AD246" t="str">
            <v>No</v>
          </cell>
          <cell r="AE246" t="str">
            <v>MMIS</v>
          </cell>
          <cell r="AF246" t="str">
            <v>nypwestcampus</v>
          </cell>
          <cell r="AG246" t="str">
            <v>P</v>
          </cell>
        </row>
        <row r="247">
          <cell r="A247" t="str">
            <v>1366596082</v>
          </cell>
          <cell r="B247" t="str">
            <v>01133646</v>
          </cell>
          <cell r="C247" t="str">
            <v>Schechter William</v>
          </cell>
          <cell r="D247" t="str">
            <v>E0186514</v>
          </cell>
          <cell r="E247" t="str">
            <v>SCHECHTER WILLIAM SETH MD</v>
          </cell>
          <cell r="L247" t="str">
            <v>Practitioner - Non-Primary Care Provider (PCP)</v>
          </cell>
          <cell r="M247" t="str">
            <v>No</v>
          </cell>
          <cell r="R247" t="str">
            <v>SCHECHTER WILLIAM</v>
          </cell>
          <cell r="W247" t="str">
            <v>SCHECHTER WILLIAM SETH MD</v>
          </cell>
          <cell r="X247" t="str">
            <v>COLUMBIA PRESBY</v>
          </cell>
          <cell r="Y247" t="str">
            <v>NEW YORK</v>
          </cell>
          <cell r="Z247" t="str">
            <v>NY</v>
          </cell>
          <cell r="AA247" t="str">
            <v>10032-3720</v>
          </cell>
          <cell r="AB247" t="str">
            <v>PHYSICIAN</v>
          </cell>
          <cell r="AC247" t="str">
            <v>M</v>
          </cell>
          <cell r="AD247" t="str">
            <v>No</v>
          </cell>
          <cell r="AE247" t="str">
            <v>MMIS</v>
          </cell>
          <cell r="AF247" t="str">
            <v>nypwestcampus</v>
          </cell>
          <cell r="AG247" t="str">
            <v>P</v>
          </cell>
        </row>
        <row r="248">
          <cell r="A248" t="str">
            <v>1932253556</v>
          </cell>
          <cell r="B248" t="str">
            <v>01055572</v>
          </cell>
          <cell r="C248" t="str">
            <v>Sun Lena</v>
          </cell>
          <cell r="D248" t="str">
            <v>E0194310</v>
          </cell>
          <cell r="E248" t="str">
            <v>SUN LENA MD</v>
          </cell>
          <cell r="L248" t="str">
            <v>Practitioner - Non-Primary Care Provider (PCP)</v>
          </cell>
          <cell r="M248" t="str">
            <v>No</v>
          </cell>
          <cell r="R248" t="str">
            <v>SUN LENA DR.</v>
          </cell>
          <cell r="W248" t="str">
            <v>SUN LENA MD</v>
          </cell>
          <cell r="X248" t="str">
            <v>COLUMBIA PRESBYTERN</v>
          </cell>
          <cell r="Y248" t="str">
            <v>NEW YORK</v>
          </cell>
          <cell r="Z248" t="str">
            <v>NY</v>
          </cell>
          <cell r="AA248" t="str">
            <v>10032-3720</v>
          </cell>
          <cell r="AB248" t="str">
            <v>PHYSICIAN</v>
          </cell>
          <cell r="AC248" t="str">
            <v>M</v>
          </cell>
          <cell r="AD248" t="str">
            <v>No</v>
          </cell>
          <cell r="AE248" t="str">
            <v>MMIS</v>
          </cell>
          <cell r="AF248" t="str">
            <v>nypwestcampus</v>
          </cell>
          <cell r="AG248" t="str">
            <v>P</v>
          </cell>
        </row>
        <row r="249">
          <cell r="A249" t="str">
            <v>1326076076</v>
          </cell>
          <cell r="B249" t="str">
            <v>00888211</v>
          </cell>
          <cell r="C249" t="str">
            <v>Khandji Alexander</v>
          </cell>
          <cell r="D249" t="str">
            <v>E0210927</v>
          </cell>
          <cell r="E249" t="str">
            <v>KHANDJI ALEXANDER G        MD</v>
          </cell>
          <cell r="L249" t="str">
            <v>All Other:: Practitioner - Non-Primary Care Provider (PCP)</v>
          </cell>
          <cell r="M249" t="str">
            <v>No</v>
          </cell>
          <cell r="R249" t="str">
            <v>KHANDJI ALEXANDER</v>
          </cell>
          <cell r="W249" t="str">
            <v>KHANDJI ALEXANDER G        MD</v>
          </cell>
          <cell r="X249" t="str">
            <v>ST LUKES/RSVLT HC</v>
          </cell>
          <cell r="Y249" t="str">
            <v>NEW YORK</v>
          </cell>
          <cell r="Z249" t="str">
            <v>NY</v>
          </cell>
          <cell r="AA249" t="str">
            <v>10019</v>
          </cell>
          <cell r="AB249" t="str">
            <v>PHYSICIAN</v>
          </cell>
          <cell r="AC249" t="str">
            <v>M</v>
          </cell>
          <cell r="AD249" t="str">
            <v>No</v>
          </cell>
          <cell r="AE249" t="str">
            <v>MMIS</v>
          </cell>
          <cell r="AF249" t="str">
            <v>nypwestcampus</v>
          </cell>
          <cell r="AG249" t="str">
            <v>P</v>
          </cell>
        </row>
        <row r="250">
          <cell r="A250" t="str">
            <v>1568491843</v>
          </cell>
          <cell r="B250" t="str">
            <v>02145251</v>
          </cell>
          <cell r="C250" t="str">
            <v>Lignelli Angela</v>
          </cell>
          <cell r="D250" t="str">
            <v>E0085549</v>
          </cell>
          <cell r="E250" t="str">
            <v>LIGNELLI ANGELA MD</v>
          </cell>
          <cell r="L250" t="str">
            <v>All Other:: Practitioner - Non-Primary Care Provider (PCP)</v>
          </cell>
          <cell r="M250" t="str">
            <v>No</v>
          </cell>
          <cell r="R250" t="str">
            <v>LIGNELLI ANGELA</v>
          </cell>
          <cell r="W250" t="str">
            <v>LIGNELLI ANGELA MD</v>
          </cell>
          <cell r="X250" t="str">
            <v>COLUMB PRES RAD</v>
          </cell>
          <cell r="Y250" t="str">
            <v>NEW YORK</v>
          </cell>
          <cell r="Z250" t="str">
            <v>NY</v>
          </cell>
          <cell r="AA250" t="str">
            <v>10032-3720</v>
          </cell>
          <cell r="AB250" t="str">
            <v>PHYSICIAN</v>
          </cell>
          <cell r="AC250" t="str">
            <v>M</v>
          </cell>
          <cell r="AD250" t="str">
            <v>No</v>
          </cell>
          <cell r="AE250" t="str">
            <v>MMIS</v>
          </cell>
          <cell r="AF250" t="str">
            <v>nypwestcampus</v>
          </cell>
          <cell r="AG250" t="str">
            <v>P</v>
          </cell>
        </row>
        <row r="251">
          <cell r="A251" t="str">
            <v>1700992153</v>
          </cell>
          <cell r="B251" t="str">
            <v>01902574</v>
          </cell>
          <cell r="C251" t="str">
            <v>Ross Regina</v>
          </cell>
          <cell r="D251" t="str">
            <v>E0109791</v>
          </cell>
          <cell r="E251" t="str">
            <v>LOWE GINA M MD</v>
          </cell>
          <cell r="L251" t="str">
            <v>All Other:: Practitioner - Non-Primary Care Provider (PCP)</v>
          </cell>
          <cell r="M251" t="str">
            <v>No</v>
          </cell>
          <cell r="R251" t="str">
            <v>ROSS REGINA</v>
          </cell>
          <cell r="W251" t="str">
            <v>ROSS REGINA LOWE MD</v>
          </cell>
          <cell r="X251" t="str">
            <v>622 W 168TH ST</v>
          </cell>
          <cell r="Y251" t="str">
            <v>NEW YORK</v>
          </cell>
          <cell r="Z251" t="str">
            <v>NY</v>
          </cell>
          <cell r="AA251" t="str">
            <v>10032-3720</v>
          </cell>
          <cell r="AB251" t="str">
            <v>PHYSICIAN</v>
          </cell>
          <cell r="AC251" t="str">
            <v>M</v>
          </cell>
          <cell r="AD251" t="str">
            <v>No</v>
          </cell>
          <cell r="AE251" t="str">
            <v>MMIS</v>
          </cell>
          <cell r="AF251" t="str">
            <v>nypwestcampus</v>
          </cell>
          <cell r="AG251" t="str">
            <v>P</v>
          </cell>
        </row>
        <row r="252">
          <cell r="A252" t="str">
            <v>1699754804</v>
          </cell>
          <cell r="B252" t="str">
            <v>00416160</v>
          </cell>
          <cell r="C252" t="str">
            <v>Gabriel Guardarramas</v>
          </cell>
          <cell r="D252" t="str">
            <v>E0257655</v>
          </cell>
          <cell r="E252" t="str">
            <v>GUARDARRAMAS GABRIEL R MD  PC</v>
          </cell>
          <cell r="G252" t="str">
            <v>Gabriel Guardarammas</v>
          </cell>
          <cell r="H252" t="str">
            <v>(212) 222-1142</v>
          </cell>
          <cell r="J252" t="str">
            <v>pfhs@msn.com</v>
          </cell>
          <cell r="L252" t="str">
            <v>Practitioner - Non-Primary Care Provider (PCP)</v>
          </cell>
          <cell r="M252" t="str">
            <v>Yes</v>
          </cell>
          <cell r="R252" t="str">
            <v>GUARDARRAMAS GABRIEL DR.</v>
          </cell>
          <cell r="W252" t="str">
            <v>GUARDARRAMAS GABRIEL R</v>
          </cell>
          <cell r="X252" t="str">
            <v>600 W 111TH ST STE 1E</v>
          </cell>
          <cell r="Y252" t="str">
            <v>NEW YORK</v>
          </cell>
          <cell r="Z252" t="str">
            <v>NY</v>
          </cell>
          <cell r="AA252" t="str">
            <v>10025-1813</v>
          </cell>
          <cell r="AB252" t="str">
            <v>PHYSICIAN</v>
          </cell>
          <cell r="AC252" t="str">
            <v>M</v>
          </cell>
          <cell r="AD252" t="str">
            <v>No</v>
          </cell>
          <cell r="AE252" t="str">
            <v>MMIS</v>
          </cell>
          <cell r="AF252" t="str">
            <v>commproviders</v>
          </cell>
          <cell r="AG252" t="str">
            <v>P</v>
          </cell>
        </row>
        <row r="253">
          <cell r="A253" t="str">
            <v>1831260710</v>
          </cell>
          <cell r="B253" t="str">
            <v>01425709</v>
          </cell>
          <cell r="C253" t="str">
            <v>Lovaglio Frank</v>
          </cell>
          <cell r="D253" t="str">
            <v>E0157404</v>
          </cell>
          <cell r="E253" t="str">
            <v>LOVAGLIO FRANK H MD</v>
          </cell>
          <cell r="L253" t="str">
            <v>Practitioner - Non-Primary Care Provider (PCP)</v>
          </cell>
          <cell r="M253" t="str">
            <v>No</v>
          </cell>
          <cell r="R253" t="str">
            <v>LOVAGLIO FRANK</v>
          </cell>
          <cell r="W253" t="str">
            <v>LOVAGLIO FRANK H MD</v>
          </cell>
          <cell r="X253" t="str">
            <v>ST LUKES HOSP-ED</v>
          </cell>
          <cell r="Y253" t="str">
            <v>NEW YORK</v>
          </cell>
          <cell r="Z253" t="str">
            <v>NY</v>
          </cell>
          <cell r="AA253" t="str">
            <v>10025</v>
          </cell>
          <cell r="AB253" t="str">
            <v>PHYSICIAN</v>
          </cell>
          <cell r="AC253" t="str">
            <v>M</v>
          </cell>
          <cell r="AD253" t="str">
            <v>No</v>
          </cell>
          <cell r="AE253" t="str">
            <v>MMIS</v>
          </cell>
          <cell r="AF253" t="str">
            <v>nypwestcampus</v>
          </cell>
          <cell r="AG253" t="str">
            <v>P</v>
          </cell>
        </row>
        <row r="254">
          <cell r="A254" t="str">
            <v>1043544943</v>
          </cell>
          <cell r="B254" t="str">
            <v>03159482</v>
          </cell>
          <cell r="C254" t="str">
            <v>McTaggart Maria</v>
          </cell>
          <cell r="D254" t="str">
            <v>E0299826</v>
          </cell>
          <cell r="E254" t="str">
            <v>MCTAGGART MARIA</v>
          </cell>
          <cell r="L254" t="str">
            <v>Practitioner - Non-Primary Care Provider (PCP)</v>
          </cell>
          <cell r="M254" t="str">
            <v>No</v>
          </cell>
          <cell r="R254" t="str">
            <v>MCTAGGART MARIA MRS.</v>
          </cell>
          <cell r="W254" t="str">
            <v>MCTAGGART MARIA ELENA</v>
          </cell>
          <cell r="X254" t="str">
            <v>130 ROSE AVE</v>
          </cell>
          <cell r="Y254" t="str">
            <v>STATEN ISLAND</v>
          </cell>
          <cell r="Z254" t="str">
            <v>NY</v>
          </cell>
          <cell r="AA254" t="str">
            <v>10306-2241</v>
          </cell>
          <cell r="AB254" t="str">
            <v>PHYSICIAN</v>
          </cell>
          <cell r="AC254" t="str">
            <v>M</v>
          </cell>
          <cell r="AD254" t="str">
            <v>No</v>
          </cell>
          <cell r="AE254" t="str">
            <v>MMIS</v>
          </cell>
          <cell r="AF254" t="str">
            <v>nypwestcampus</v>
          </cell>
          <cell r="AG254" t="str">
            <v>P</v>
          </cell>
        </row>
        <row r="255">
          <cell r="A255" t="str">
            <v>1093038390</v>
          </cell>
          <cell r="B255" t="str">
            <v>03480893</v>
          </cell>
          <cell r="C255" t="str">
            <v>Mithani Naushina</v>
          </cell>
          <cell r="D255" t="str">
            <v>E0337460</v>
          </cell>
          <cell r="E255" t="str">
            <v>NAUSHINA MITHANI</v>
          </cell>
          <cell r="L255" t="str">
            <v>Practitioner - Non-Primary Care Provider (PCP)</v>
          </cell>
          <cell r="M255" t="str">
            <v>No</v>
          </cell>
          <cell r="R255" t="str">
            <v>MITHANI NAUSHINA</v>
          </cell>
          <cell r="W255" t="str">
            <v>MITHANI NAUSHINA N</v>
          </cell>
          <cell r="X255" t="str">
            <v>525 E 68TH ST</v>
          </cell>
          <cell r="Y255" t="str">
            <v>NEW YORK</v>
          </cell>
          <cell r="Z255" t="str">
            <v>NY</v>
          </cell>
          <cell r="AA255" t="str">
            <v>10065-4870</v>
          </cell>
          <cell r="AB255" t="str">
            <v>PHYSICIAN</v>
          </cell>
          <cell r="AC255" t="str">
            <v>M</v>
          </cell>
          <cell r="AD255" t="str">
            <v>No</v>
          </cell>
          <cell r="AE255" t="str">
            <v>MMIS</v>
          </cell>
          <cell r="AF255" t="str">
            <v>nypeastacn</v>
          </cell>
          <cell r="AG255" t="str">
            <v>P</v>
          </cell>
        </row>
        <row r="256">
          <cell r="A256" t="str">
            <v>1194863381</v>
          </cell>
          <cell r="B256" t="str">
            <v>03423278</v>
          </cell>
          <cell r="C256" t="str">
            <v>Monteau Lucien</v>
          </cell>
          <cell r="D256" t="str">
            <v>E0330639</v>
          </cell>
          <cell r="E256" t="str">
            <v>MONTEAU LUCIEN</v>
          </cell>
          <cell r="L256" t="str">
            <v>Practitioner - Non-Primary Care Provider (PCP)</v>
          </cell>
          <cell r="M256" t="str">
            <v>No</v>
          </cell>
          <cell r="R256" t="str">
            <v>MONTEAU LUCIEN MR.</v>
          </cell>
          <cell r="W256" t="str">
            <v>MONTEAU LUCIEN</v>
          </cell>
          <cell r="X256" t="str">
            <v>622 W 168TH ST</v>
          </cell>
          <cell r="Y256" t="str">
            <v>NEW YORK</v>
          </cell>
          <cell r="Z256" t="str">
            <v>NY</v>
          </cell>
          <cell r="AA256" t="str">
            <v>10032-3720</v>
          </cell>
          <cell r="AB256" t="str">
            <v>PHYSICIAN</v>
          </cell>
          <cell r="AC256" t="str">
            <v>M</v>
          </cell>
          <cell r="AD256" t="str">
            <v>No</v>
          </cell>
          <cell r="AE256" t="str">
            <v>MMIS</v>
          </cell>
          <cell r="AF256" t="str">
            <v>nypwestcampus</v>
          </cell>
          <cell r="AG256" t="str">
            <v>P</v>
          </cell>
        </row>
        <row r="257">
          <cell r="A257" t="str">
            <v>1740292861</v>
          </cell>
          <cell r="B257" t="str">
            <v>02598350</v>
          </cell>
          <cell r="C257" t="str">
            <v xml:space="preserve">SWICA, YAEL </v>
          </cell>
          <cell r="D257" t="str">
            <v>E0040322</v>
          </cell>
          <cell r="E257" t="str">
            <v>SWICA YAEL MD</v>
          </cell>
          <cell r="G257" t="str">
            <v>Kathryn Spaziani</v>
          </cell>
          <cell r="H257" t="str">
            <v>(212) 305-1190</v>
          </cell>
          <cell r="J257" t="str">
            <v>kas9171@nyp.org</v>
          </cell>
          <cell r="L257" t="str">
            <v>Practitioner - Primary Care Provider (PCP)</v>
          </cell>
          <cell r="M257" t="str">
            <v>No</v>
          </cell>
          <cell r="R257" t="str">
            <v>SWICA YAEL</v>
          </cell>
          <cell r="W257" t="str">
            <v>SWICA YAEL MD</v>
          </cell>
          <cell r="X257" t="str">
            <v>COLUMBIA UNIV MED CT</v>
          </cell>
          <cell r="Y257" t="str">
            <v>NEW YORK</v>
          </cell>
          <cell r="Z257" t="str">
            <v>NY</v>
          </cell>
          <cell r="AA257" t="str">
            <v>10032-3720</v>
          </cell>
          <cell r="AB257" t="str">
            <v>PHYSICIAN</v>
          </cell>
          <cell r="AC257" t="str">
            <v>M</v>
          </cell>
          <cell r="AD257" t="str">
            <v>No</v>
          </cell>
          <cell r="AE257" t="str">
            <v>MMIS</v>
          </cell>
          <cell r="AF257" t="str">
            <v>nypwestcampus</v>
          </cell>
          <cell r="AG257" t="str">
            <v>P</v>
          </cell>
        </row>
        <row r="258">
          <cell r="A258" t="str">
            <v>1578544490</v>
          </cell>
          <cell r="B258" t="str">
            <v>00589799</v>
          </cell>
          <cell r="C258" t="str">
            <v>YIP, CHUN K</v>
          </cell>
          <cell r="D258" t="str">
            <v>E0240701</v>
          </cell>
          <cell r="E258" t="str">
            <v>YIP CHUN K                 MD</v>
          </cell>
          <cell r="G258" t="str">
            <v>Kathryn Spaziani</v>
          </cell>
          <cell r="H258" t="str">
            <v>(212) 305-1190</v>
          </cell>
          <cell r="J258" t="str">
            <v>kas9171@nyp.org</v>
          </cell>
          <cell r="L258" t="str">
            <v>All Other:: Practitioner - Non-Primary Care Provider (PCP)</v>
          </cell>
          <cell r="M258" t="str">
            <v>No</v>
          </cell>
          <cell r="R258" t="str">
            <v>YIP CHUN DR.</v>
          </cell>
          <cell r="W258" t="str">
            <v>YIP CHUN K                 MD</v>
          </cell>
          <cell r="X258" t="str">
            <v>PH 1</v>
          </cell>
          <cell r="Y258" t="str">
            <v>NEW YORK</v>
          </cell>
          <cell r="Z258" t="str">
            <v>NY</v>
          </cell>
          <cell r="AA258" t="str">
            <v>10013-2854</v>
          </cell>
          <cell r="AB258" t="str">
            <v>PHYSICIAN</v>
          </cell>
          <cell r="AC258" t="str">
            <v>M</v>
          </cell>
          <cell r="AD258" t="str">
            <v>No</v>
          </cell>
          <cell r="AE258" t="str">
            <v>MMIS</v>
          </cell>
          <cell r="AF258" t="str">
            <v>nypeastacn</v>
          </cell>
          <cell r="AG258" t="str">
            <v>P</v>
          </cell>
        </row>
        <row r="259">
          <cell r="A259" t="str">
            <v>1235490145</v>
          </cell>
          <cell r="C259" t="str">
            <v>MONTGOMERY, MARY E</v>
          </cell>
          <cell r="G259" t="str">
            <v>Kathryn Spaziani</v>
          </cell>
          <cell r="H259" t="str">
            <v>(212) 305-1190</v>
          </cell>
          <cell r="J259" t="str">
            <v>kas9171@nyp.org</v>
          </cell>
          <cell r="K259" t="str">
            <v>Physician</v>
          </cell>
          <cell r="L259" t="str">
            <v>Practitioner - Non-Primary Care Provider (PCP)</v>
          </cell>
          <cell r="M259" t="str">
            <v>No</v>
          </cell>
          <cell r="R259" t="str">
            <v>MONTGOMERY MARY</v>
          </cell>
          <cell r="S259" t="str">
            <v>520 E 70TH ST, STARR PAVILION 5TH FLOOR ROOM ST 530E</v>
          </cell>
          <cell r="T259" t="str">
            <v>NEW YORK</v>
          </cell>
          <cell r="U259" t="str">
            <v>NY</v>
          </cell>
          <cell r="V259" t="str">
            <v>100219800</v>
          </cell>
          <cell r="AC259" t="str">
            <v>M</v>
          </cell>
          <cell r="AD259" t="str">
            <v>No</v>
          </cell>
          <cell r="AE259" t="str">
            <v>NPI only</v>
          </cell>
          <cell r="AF259" t="str">
            <v>nypwestacn</v>
          </cell>
          <cell r="AG259" t="str">
            <v>P</v>
          </cell>
        </row>
        <row r="260">
          <cell r="A260" t="str">
            <v>1013064948</v>
          </cell>
          <cell r="B260" t="str">
            <v>02577246</v>
          </cell>
          <cell r="C260" t="str">
            <v>WINFREE, CHRISTOPHER J</v>
          </cell>
          <cell r="D260" t="str">
            <v>E0042429</v>
          </cell>
          <cell r="E260" t="str">
            <v>WINFREE CHRISTOPHER J MD</v>
          </cell>
          <cell r="G260" t="str">
            <v>Kathryn Spaziani</v>
          </cell>
          <cell r="H260" t="str">
            <v>(212) 305-1190</v>
          </cell>
          <cell r="J260" t="str">
            <v>kas9171@nyp.org</v>
          </cell>
          <cell r="L260" t="str">
            <v>All Other:: Practitioner - Non-Primary Care Provider (PCP)</v>
          </cell>
          <cell r="M260" t="str">
            <v>No</v>
          </cell>
          <cell r="R260" t="str">
            <v>WINFREE CHRISTOPHER DR.</v>
          </cell>
          <cell r="W260" t="str">
            <v>WINFREE CHRISTOPHER J MD</v>
          </cell>
          <cell r="X260" t="str">
            <v>NEURO INST</v>
          </cell>
          <cell r="Y260" t="str">
            <v>NEW YORK</v>
          </cell>
          <cell r="Z260" t="str">
            <v>NY</v>
          </cell>
          <cell r="AA260" t="str">
            <v>10032-3726</v>
          </cell>
          <cell r="AB260" t="str">
            <v>PHYSICIAN</v>
          </cell>
          <cell r="AC260" t="str">
            <v>M</v>
          </cell>
          <cell r="AD260" t="str">
            <v>No</v>
          </cell>
          <cell r="AE260" t="str">
            <v>MMIS</v>
          </cell>
          <cell r="AF260" t="str">
            <v>nypwestcampus</v>
          </cell>
          <cell r="AG260" t="str">
            <v>P</v>
          </cell>
        </row>
        <row r="261">
          <cell r="A261" t="str">
            <v>1194929034</v>
          </cell>
          <cell r="B261" t="str">
            <v>03130421</v>
          </cell>
          <cell r="C261" t="str">
            <v>LANGSDORF, JENNIFER A</v>
          </cell>
          <cell r="D261" t="str">
            <v>E0296581</v>
          </cell>
          <cell r="E261" t="str">
            <v>JENNIFER A LANGSDORF</v>
          </cell>
          <cell r="G261" t="str">
            <v>Kathryn Spaziani</v>
          </cell>
          <cell r="H261" t="str">
            <v>(212) 305-1190</v>
          </cell>
          <cell r="J261" t="str">
            <v>kas9171@nyp.org</v>
          </cell>
          <cell r="L261" t="str">
            <v>All Other:: Practitioner - Non-Primary Care Provider (PCP)</v>
          </cell>
          <cell r="M261" t="str">
            <v>No</v>
          </cell>
          <cell r="R261" t="str">
            <v>LANGSDORF JENNIFER</v>
          </cell>
          <cell r="W261" t="str">
            <v>LANGSDORF JENNIFER ALLYSON MD</v>
          </cell>
          <cell r="X261" t="str">
            <v>525 E 68TH ST RM F-610</v>
          </cell>
          <cell r="Y261" t="str">
            <v>NEW YORK</v>
          </cell>
          <cell r="Z261" t="str">
            <v>NY</v>
          </cell>
          <cell r="AA261" t="str">
            <v>10065-4870</v>
          </cell>
          <cell r="AB261" t="str">
            <v>PHYSICIAN</v>
          </cell>
          <cell r="AC261" t="str">
            <v>M</v>
          </cell>
          <cell r="AD261" t="str">
            <v>No</v>
          </cell>
          <cell r="AE261" t="str">
            <v>MMIS</v>
          </cell>
          <cell r="AF261" t="str">
            <v>nypeastcampus</v>
          </cell>
          <cell r="AG261" t="str">
            <v>P</v>
          </cell>
        </row>
        <row r="262">
          <cell r="A262" t="str">
            <v>1215928510</v>
          </cell>
          <cell r="B262" t="str">
            <v>01049476</v>
          </cell>
          <cell r="C262" t="str">
            <v>VISITING NURSE SERVICE OF NEW YORK HOSPICE CARE</v>
          </cell>
          <cell r="D262" t="str">
            <v>E0194920</v>
          </cell>
          <cell r="E262" t="str">
            <v>VNS OF NY HOSPICE CARE</v>
          </cell>
          <cell r="G262" t="str">
            <v>Sarah Larson</v>
          </cell>
          <cell r="H262" t="str">
            <v>(212) 609-7593</v>
          </cell>
          <cell r="J262" t="str">
            <v>sarah.larson@vnsny.org</v>
          </cell>
          <cell r="L262" t="str">
            <v>All Other:: Hospice</v>
          </cell>
          <cell r="M262" t="str">
            <v>No</v>
          </cell>
          <cell r="R262" t="str">
            <v>VISITING NURSE SERVICE OF NEW YORK HOSPICE CARE</v>
          </cell>
          <cell r="W262" t="str">
            <v>VNS OF NY HOSPICE CARE</v>
          </cell>
          <cell r="X262" t="str">
            <v>1250 BROADWAY</v>
          </cell>
          <cell r="Y262" t="str">
            <v>NEW YORK</v>
          </cell>
          <cell r="Z262" t="str">
            <v>NY</v>
          </cell>
          <cell r="AA262" t="str">
            <v>10001-3701</v>
          </cell>
          <cell r="AB262" t="str">
            <v>DIAGNOSTIC AND TREATMENT CENTER</v>
          </cell>
          <cell r="AC262" t="str">
            <v>M</v>
          </cell>
          <cell r="AD262" t="str">
            <v>No</v>
          </cell>
          <cell r="AE262" t="str">
            <v>MMIS</v>
          </cell>
          <cell r="AF262" t="str">
            <v>nypwestacn</v>
          </cell>
          <cell r="AG262" t="str">
            <v>P</v>
          </cell>
        </row>
        <row r="263">
          <cell r="A263" t="str">
            <v>1275560377</v>
          </cell>
          <cell r="B263" t="str">
            <v>03075656</v>
          </cell>
          <cell r="C263" t="str">
            <v xml:space="preserve">CRUZ-ARRIETA, EDUVIGIS </v>
          </cell>
          <cell r="D263" t="str">
            <v>E0290191</v>
          </cell>
          <cell r="E263" t="str">
            <v>CRUZ ARRIETA EDUVIGIS PSY</v>
          </cell>
          <cell r="G263" t="str">
            <v>Kathryn Spaziani</v>
          </cell>
          <cell r="H263" t="str">
            <v>(212) 305-1190</v>
          </cell>
          <cell r="J263" t="str">
            <v>kas9171@nyp.org</v>
          </cell>
          <cell r="L263" t="str">
            <v>Mental Health:: Practitioner - Non-Primary Care Provider (PCP)</v>
          </cell>
          <cell r="M263" t="str">
            <v>No</v>
          </cell>
          <cell r="R263" t="str">
            <v>CRUZ ARRIETA EDUVIGIS DR.</v>
          </cell>
          <cell r="W263" t="str">
            <v>CRUZ ARRIETA EDUVIGIS PSY</v>
          </cell>
          <cell r="X263" t="str">
            <v>3959 BROADWAY FL 6 # N</v>
          </cell>
          <cell r="Y263" t="str">
            <v>NEW YORK</v>
          </cell>
          <cell r="Z263" t="str">
            <v>NY</v>
          </cell>
          <cell r="AA263" t="str">
            <v>10032-1559</v>
          </cell>
          <cell r="AB263" t="str">
            <v>CLINICAL PSYCHOLOGIST</v>
          </cell>
          <cell r="AC263" t="str">
            <v>M</v>
          </cell>
          <cell r="AD263" t="str">
            <v>No</v>
          </cell>
          <cell r="AE263" t="str">
            <v>MMIS</v>
          </cell>
          <cell r="AF263" t="str">
            <v>nypeastacn</v>
          </cell>
          <cell r="AG263" t="str">
            <v>P</v>
          </cell>
        </row>
        <row r="264">
          <cell r="A264" t="str">
            <v>1215947239</v>
          </cell>
          <cell r="B264" t="str">
            <v>03518590</v>
          </cell>
          <cell r="C264" t="str">
            <v xml:space="preserve">SINHA, SANJAI </v>
          </cell>
          <cell r="D264" t="str">
            <v>E0341557</v>
          </cell>
          <cell r="E264" t="str">
            <v>SINHA SANJAI</v>
          </cell>
          <cell r="G264" t="str">
            <v>Kathryn Spaziani</v>
          </cell>
          <cell r="H264" t="str">
            <v>(212) 305-1190</v>
          </cell>
          <cell r="J264" t="str">
            <v>kas9171@nyp.org</v>
          </cell>
          <cell r="L264" t="str">
            <v>All Other:: Practitioner - Primary Care Provider (PCP)</v>
          </cell>
          <cell r="M264" t="str">
            <v>No</v>
          </cell>
          <cell r="R264" t="str">
            <v>SINHA SANJAI DR.</v>
          </cell>
          <cell r="W264" t="str">
            <v>SINHA SANJAI</v>
          </cell>
          <cell r="X264" t="str">
            <v>1484 1ST AVE # 2N</v>
          </cell>
          <cell r="Y264" t="str">
            <v>NEW YORK</v>
          </cell>
          <cell r="Z264" t="str">
            <v>NY</v>
          </cell>
          <cell r="AA264" t="str">
            <v>10075-2304</v>
          </cell>
          <cell r="AB264" t="str">
            <v>PHYSICIAN</v>
          </cell>
          <cell r="AC264" t="str">
            <v>M</v>
          </cell>
          <cell r="AD264" t="str">
            <v>No</v>
          </cell>
          <cell r="AE264" t="str">
            <v>MMIS</v>
          </cell>
          <cell r="AF264" t="str">
            <v>nypeastcampus</v>
          </cell>
          <cell r="AG264" t="str">
            <v>P</v>
          </cell>
        </row>
        <row r="265">
          <cell r="A265" t="str">
            <v>1609126630</v>
          </cell>
          <cell r="B265" t="str">
            <v>03576565</v>
          </cell>
          <cell r="C265" t="str">
            <v>Zhou, Hui Qin</v>
          </cell>
          <cell r="D265" t="str">
            <v>E0347460</v>
          </cell>
          <cell r="E265" t="str">
            <v>ZHOU HUI QIN</v>
          </cell>
          <cell r="G265" t="str">
            <v>Betty Cheng</v>
          </cell>
          <cell r="H265" t="str">
            <v>(212) 379-6988</v>
          </cell>
          <cell r="I265">
            <v>2604</v>
          </cell>
          <cell r="J265" t="str">
            <v>bcheng@cbwchc.org</v>
          </cell>
          <cell r="L265" t="str">
            <v>All Other:: Practitioner - Primary Care Provider (PCP)</v>
          </cell>
          <cell r="M265" t="str">
            <v>No</v>
          </cell>
          <cell r="R265" t="str">
            <v>ZHOU HUI QIN MS.</v>
          </cell>
          <cell r="W265" t="str">
            <v>ZHOU HUI QIN</v>
          </cell>
          <cell r="X265" t="str">
            <v>268 CANAL ST</v>
          </cell>
          <cell r="Y265" t="str">
            <v>NEW YORK</v>
          </cell>
          <cell r="Z265" t="str">
            <v>NY</v>
          </cell>
          <cell r="AA265" t="str">
            <v>10013-3599</v>
          </cell>
          <cell r="AB265" t="str">
            <v>PHYSICIAN</v>
          </cell>
          <cell r="AC265" t="str">
            <v>M</v>
          </cell>
          <cell r="AD265" t="str">
            <v>No</v>
          </cell>
          <cell r="AE265" t="str">
            <v>MMIS</v>
          </cell>
          <cell r="AF265" t="str">
            <v>cbwchc</v>
          </cell>
          <cell r="AG265" t="str">
            <v>P</v>
          </cell>
        </row>
        <row r="266">
          <cell r="A266" t="str">
            <v>1487944641</v>
          </cell>
          <cell r="C266" t="str">
            <v>Soliman Fatima</v>
          </cell>
          <cell r="G266" t="str">
            <v>Kathryn Spaziani</v>
          </cell>
          <cell r="H266" t="str">
            <v>(212) 305-1255</v>
          </cell>
          <cell r="J266" t="str">
            <v>kas9171@nyp.org</v>
          </cell>
          <cell r="K266" t="str">
            <v>Physician</v>
          </cell>
          <cell r="L266" t="str">
            <v>Uncategorized</v>
          </cell>
          <cell r="M266" t="str">
            <v>No</v>
          </cell>
          <cell r="R266" t="str">
            <v>SOLIMAN FATIMA DR.</v>
          </cell>
          <cell r="S266" t="str">
            <v>525 E 68TH ST, BOX 141</v>
          </cell>
          <cell r="T266" t="str">
            <v>NEW YORK</v>
          </cell>
          <cell r="U266" t="str">
            <v>NY</v>
          </cell>
          <cell r="V266" t="str">
            <v>100654870</v>
          </cell>
          <cell r="AC266" t="str">
            <v>M</v>
          </cell>
          <cell r="AD266" t="str">
            <v>No</v>
          </cell>
          <cell r="AE266" t="str">
            <v>NPI only</v>
          </cell>
          <cell r="AF266" t="str">
            <v>nypeastcampus</v>
          </cell>
          <cell r="AG266" t="str">
            <v>P</v>
          </cell>
        </row>
        <row r="267">
          <cell r="A267" t="str">
            <v>1205198918</v>
          </cell>
          <cell r="C267" t="str">
            <v>Spivey Jessica</v>
          </cell>
          <cell r="G267" t="str">
            <v>Kathryn Spaziani</v>
          </cell>
          <cell r="H267" t="str">
            <v>(212) 305-1255</v>
          </cell>
          <cell r="J267" t="str">
            <v>kas9171@nyp.org</v>
          </cell>
          <cell r="K267" t="str">
            <v>Physician</v>
          </cell>
          <cell r="L267" t="str">
            <v>Uncategorized</v>
          </cell>
          <cell r="M267" t="str">
            <v>No</v>
          </cell>
          <cell r="R267" t="str">
            <v>SPIVEY JESSICA</v>
          </cell>
          <cell r="S267" t="str">
            <v>3400 SPRUCE ST</v>
          </cell>
          <cell r="T267" t="str">
            <v>PHILADELPHIA</v>
          </cell>
          <cell r="U267" t="str">
            <v>PA</v>
          </cell>
          <cell r="V267" t="str">
            <v>191044206</v>
          </cell>
          <cell r="AC267" t="str">
            <v>M</v>
          </cell>
          <cell r="AD267" t="str">
            <v>No</v>
          </cell>
          <cell r="AE267" t="str">
            <v>NPI only</v>
          </cell>
          <cell r="AF267" t="str">
            <v>nypeastcampus</v>
          </cell>
          <cell r="AG267" t="str">
            <v>P</v>
          </cell>
        </row>
        <row r="268">
          <cell r="A268" t="str">
            <v>1538503909</v>
          </cell>
          <cell r="C268" t="str">
            <v>Stradford Travis</v>
          </cell>
          <cell r="G268" t="str">
            <v>Kathryn Spaziani</v>
          </cell>
          <cell r="H268" t="str">
            <v>(212) 305-1255</v>
          </cell>
          <cell r="J268" t="str">
            <v>kas9171@nyp.org</v>
          </cell>
          <cell r="K268" t="str">
            <v>Physician</v>
          </cell>
          <cell r="L268" t="str">
            <v>Uncategorized</v>
          </cell>
          <cell r="M268" t="str">
            <v>No</v>
          </cell>
          <cell r="R268" t="str">
            <v>STRADFORD TRAVIS DR.</v>
          </cell>
          <cell r="S268" t="str">
            <v>100 HAVEN AVE, APARTMENT 8B</v>
          </cell>
          <cell r="T268" t="str">
            <v>NEW YORK</v>
          </cell>
          <cell r="U268" t="str">
            <v>NY</v>
          </cell>
          <cell r="V268" t="str">
            <v>100322645</v>
          </cell>
          <cell r="AC268" t="str">
            <v>M</v>
          </cell>
          <cell r="AD268" t="str">
            <v>No</v>
          </cell>
          <cell r="AE268" t="str">
            <v>NPI only</v>
          </cell>
          <cell r="AF268" t="str">
            <v>nypeastcampus</v>
          </cell>
          <cell r="AG268" t="str">
            <v>P</v>
          </cell>
        </row>
        <row r="269">
          <cell r="A269" t="str">
            <v>1639472384</v>
          </cell>
          <cell r="C269" t="str">
            <v>Thimmappa Nanda Deepa</v>
          </cell>
          <cell r="G269" t="str">
            <v>Kathryn Spaziani</v>
          </cell>
          <cell r="H269" t="str">
            <v>(212) 305-1255</v>
          </cell>
          <cell r="J269" t="str">
            <v>kas9171@nyp.org</v>
          </cell>
          <cell r="K269" t="str">
            <v>Physician</v>
          </cell>
          <cell r="L269" t="str">
            <v>Uncategorized</v>
          </cell>
          <cell r="M269" t="str">
            <v>No</v>
          </cell>
          <cell r="R269" t="str">
            <v>THIMMAPP NANDA DEEPA DR.</v>
          </cell>
          <cell r="S269" t="str">
            <v>1275 YORK AVENUE, DEPT OF RADIOLOGY</v>
          </cell>
          <cell r="T269" t="str">
            <v>NEW YORK</v>
          </cell>
          <cell r="U269" t="str">
            <v>NY</v>
          </cell>
          <cell r="V269" t="str">
            <v>10065</v>
          </cell>
          <cell r="AC269" t="str">
            <v>M</v>
          </cell>
          <cell r="AD269" t="str">
            <v>No</v>
          </cell>
          <cell r="AE269" t="str">
            <v>NPI only</v>
          </cell>
          <cell r="AF269" t="str">
            <v>nypwestacn</v>
          </cell>
          <cell r="AG269" t="str">
            <v>P</v>
          </cell>
        </row>
        <row r="270">
          <cell r="A270" t="str">
            <v>1801915343</v>
          </cell>
          <cell r="B270" t="str">
            <v>02706774</v>
          </cell>
          <cell r="C270" t="str">
            <v xml:space="preserve">GALLAGHER, TRISH </v>
          </cell>
          <cell r="D270" t="str">
            <v>E0029507</v>
          </cell>
          <cell r="E270" t="str">
            <v>GALLAGHER TRISH</v>
          </cell>
          <cell r="G270" t="str">
            <v>Kathryn Spaziani</v>
          </cell>
          <cell r="H270" t="str">
            <v>(212) 305-1190</v>
          </cell>
          <cell r="J270" t="str">
            <v>kas9171@nyp.org</v>
          </cell>
          <cell r="L270" t="str">
            <v>Practitioner - Non-Primary Care Provider (PCP)</v>
          </cell>
          <cell r="M270" t="str">
            <v>No</v>
          </cell>
          <cell r="R270" t="str">
            <v>GALLAGHER PATRICIA DR.</v>
          </cell>
          <cell r="W270" t="str">
            <v>GALLAGHER TRISH</v>
          </cell>
          <cell r="X270" t="str">
            <v>3959 BROADWAY FL 6 # N</v>
          </cell>
          <cell r="Y270" t="str">
            <v>NEW YORK</v>
          </cell>
          <cell r="Z270" t="str">
            <v>NY</v>
          </cell>
          <cell r="AA270" t="str">
            <v>10032-1559</v>
          </cell>
          <cell r="AB270" t="str">
            <v>CLINICAL PSYCHOLOGIST</v>
          </cell>
          <cell r="AC270" t="str">
            <v>M</v>
          </cell>
          <cell r="AD270" t="str">
            <v>No</v>
          </cell>
          <cell r="AE270" t="str">
            <v>MMIS</v>
          </cell>
          <cell r="AF270" t="str">
            <v>nypwestacn</v>
          </cell>
          <cell r="AG270" t="str">
            <v>P</v>
          </cell>
        </row>
        <row r="271">
          <cell r="A271" t="str">
            <v>1346331477</v>
          </cell>
          <cell r="B271" t="str">
            <v>02687167</v>
          </cell>
          <cell r="C271" t="str">
            <v>DOUSMANIS, ATHANASIOS G</v>
          </cell>
          <cell r="D271" t="str">
            <v>E0031461</v>
          </cell>
          <cell r="E271" t="str">
            <v>DOUSMANIS ATHANASIOS G MD</v>
          </cell>
          <cell r="G271" t="str">
            <v>Kathryn Spaziani</v>
          </cell>
          <cell r="H271" t="str">
            <v>(212) 305-1190</v>
          </cell>
          <cell r="J271" t="str">
            <v>kas9171@nyp.org</v>
          </cell>
          <cell r="L271" t="str">
            <v>All Other:: Practitioner - Non-Primary Care Provider (PCP)</v>
          </cell>
          <cell r="M271" t="str">
            <v>No</v>
          </cell>
          <cell r="R271" t="str">
            <v>DOUSMANIS ATHANASIOS DR.</v>
          </cell>
          <cell r="W271" t="str">
            <v>DOUSMANIS ATHANASIOS G MD</v>
          </cell>
          <cell r="X271" t="str">
            <v>506 MALCOLM X BLVD</v>
          </cell>
          <cell r="Y271" t="str">
            <v>NEW YORK</v>
          </cell>
          <cell r="Z271" t="str">
            <v>NY</v>
          </cell>
          <cell r="AA271" t="str">
            <v>10037-1802</v>
          </cell>
          <cell r="AB271" t="str">
            <v>PHYSICIAN</v>
          </cell>
          <cell r="AC271" t="str">
            <v>M</v>
          </cell>
          <cell r="AD271" t="str">
            <v>No</v>
          </cell>
          <cell r="AE271" t="str">
            <v>MMIS</v>
          </cell>
          <cell r="AF271" t="str">
            <v>nypwestacn</v>
          </cell>
          <cell r="AG271" t="str">
            <v>P</v>
          </cell>
        </row>
        <row r="272">
          <cell r="A272" t="str">
            <v>1639172943</v>
          </cell>
          <cell r="B272" t="str">
            <v>01848535</v>
          </cell>
          <cell r="C272" t="str">
            <v>Albert Steven</v>
          </cell>
          <cell r="D272" t="str">
            <v>E0115187</v>
          </cell>
          <cell r="E272" t="str">
            <v>ALBERT STEVEN ALAN MD</v>
          </cell>
          <cell r="L272" t="str">
            <v>All Other:: Practitioner - Non-Primary Care Provider (PCP)</v>
          </cell>
          <cell r="M272" t="str">
            <v>No</v>
          </cell>
          <cell r="R272" t="str">
            <v>ALBERT STEVEN DR.</v>
          </cell>
          <cell r="W272" t="str">
            <v>ALBERT STEVEN ALAN MD</v>
          </cell>
          <cell r="X272" t="str">
            <v>NYH-CUMC RADIOL</v>
          </cell>
          <cell r="Y272" t="str">
            <v>NEW YORK</v>
          </cell>
          <cell r="Z272" t="str">
            <v>NY</v>
          </cell>
          <cell r="AA272" t="str">
            <v>10065-4870</v>
          </cell>
          <cell r="AB272" t="str">
            <v>PHYSICIAN</v>
          </cell>
          <cell r="AC272" t="str">
            <v>M</v>
          </cell>
          <cell r="AD272" t="str">
            <v>No</v>
          </cell>
          <cell r="AE272" t="str">
            <v>MMIS</v>
          </cell>
          <cell r="AF272" t="str">
            <v>nypeastcampus</v>
          </cell>
          <cell r="AG272" t="str">
            <v>P</v>
          </cell>
        </row>
        <row r="273">
          <cell r="A273" t="str">
            <v>1841387933</v>
          </cell>
          <cell r="B273" t="str">
            <v>01440757</v>
          </cell>
          <cell r="C273" t="str">
            <v>SCHLEGEL, PETER</v>
          </cell>
          <cell r="D273" t="str">
            <v>E0155901</v>
          </cell>
          <cell r="E273" t="str">
            <v>SCHLEGEL PETER NILES</v>
          </cell>
          <cell r="G273" t="str">
            <v>Kathryn Spaziani</v>
          </cell>
          <cell r="H273" t="str">
            <v>(212) 305-1329</v>
          </cell>
          <cell r="J273" t="str">
            <v>kas9171@nyp.org</v>
          </cell>
          <cell r="L273" t="str">
            <v>All Other:: Practitioner - Non-Primary Care Provider (PCP)</v>
          </cell>
          <cell r="M273" t="str">
            <v>No</v>
          </cell>
          <cell r="R273" t="str">
            <v>SCHLEGEL PETER</v>
          </cell>
          <cell r="W273" t="str">
            <v>SCHLEGEL PETER NILES</v>
          </cell>
          <cell r="X273" t="str">
            <v>CORNELL UROLOGY</v>
          </cell>
          <cell r="Y273" t="str">
            <v>NEW YORK</v>
          </cell>
          <cell r="Z273" t="str">
            <v>NY</v>
          </cell>
          <cell r="AA273" t="str">
            <v>10065-4870</v>
          </cell>
          <cell r="AB273" t="str">
            <v>PHYSICIAN</v>
          </cell>
          <cell r="AC273" t="str">
            <v>M</v>
          </cell>
          <cell r="AD273" t="str">
            <v>No</v>
          </cell>
          <cell r="AE273" t="str">
            <v>MMIS</v>
          </cell>
          <cell r="AF273" t="str">
            <v>nypeastcampus</v>
          </cell>
          <cell r="AG273" t="str">
            <v>P</v>
          </cell>
        </row>
        <row r="274">
          <cell r="A274" t="str">
            <v>1932326139</v>
          </cell>
          <cell r="B274" t="str">
            <v>03146458</v>
          </cell>
          <cell r="C274" t="str">
            <v>CRAWFORD-LEMELLE, SUSAN J</v>
          </cell>
          <cell r="D274" t="str">
            <v>E0298396</v>
          </cell>
          <cell r="E274" t="str">
            <v>CRAWFORD-LEMELLE SUSAN</v>
          </cell>
          <cell r="G274" t="str">
            <v>Kathryn Spaziani</v>
          </cell>
          <cell r="H274" t="str">
            <v>(212) 305-1190</v>
          </cell>
          <cell r="J274" t="str">
            <v>kas9171@nyp.org</v>
          </cell>
          <cell r="L274" t="str">
            <v>Practitioner - Non-Primary Care Provider (PCP)</v>
          </cell>
          <cell r="M274" t="str">
            <v>No</v>
          </cell>
          <cell r="R274" t="str">
            <v>CRAWFORD LEMELLE SUSAN DR.</v>
          </cell>
          <cell r="W274" t="str">
            <v>CRAWFORD-LEMELLE SUSAN J</v>
          </cell>
          <cell r="X274" t="str">
            <v>630 WEST 168TH ST</v>
          </cell>
          <cell r="Y274" t="str">
            <v>NEW YORK</v>
          </cell>
          <cell r="Z274" t="str">
            <v>NY</v>
          </cell>
          <cell r="AA274" t="str">
            <v>10032-3725</v>
          </cell>
          <cell r="AB274" t="str">
            <v>DENTIST</v>
          </cell>
          <cell r="AC274" t="str">
            <v>M</v>
          </cell>
          <cell r="AD274" t="str">
            <v>No</v>
          </cell>
          <cell r="AE274" t="str">
            <v>MMIS</v>
          </cell>
          <cell r="AF274" t="str">
            <v>nypwestacn</v>
          </cell>
          <cell r="AG274" t="str">
            <v>P</v>
          </cell>
        </row>
        <row r="275">
          <cell r="A275" t="str">
            <v>1922138437</v>
          </cell>
          <cell r="B275" t="str">
            <v>01523257</v>
          </cell>
          <cell r="C275" t="str">
            <v>Claude, Shari</v>
          </cell>
          <cell r="D275" t="str">
            <v>E0147669</v>
          </cell>
          <cell r="E275" t="str">
            <v>CLAUDE SHARI LISA MD</v>
          </cell>
          <cell r="G275" t="str">
            <v>Kathryn Spaziani</v>
          </cell>
          <cell r="H275" t="str">
            <v>(212) 305-1190</v>
          </cell>
          <cell r="J275" t="str">
            <v>kas9171@nyp.org</v>
          </cell>
          <cell r="L275" t="str">
            <v>Practitioner - Non-Primary Care Provider (PCP)</v>
          </cell>
          <cell r="M275" t="str">
            <v>No</v>
          </cell>
          <cell r="R275" t="str">
            <v>CLAUDE SHARI</v>
          </cell>
          <cell r="W275" t="str">
            <v>CLAUDE SHARI LISA MD</v>
          </cell>
          <cell r="X275" t="str">
            <v>170 WILLIAM ST</v>
          </cell>
          <cell r="Y275" t="str">
            <v>NEW YORK</v>
          </cell>
          <cell r="Z275" t="str">
            <v>NY</v>
          </cell>
          <cell r="AA275" t="str">
            <v>10038-2612</v>
          </cell>
          <cell r="AB275" t="str">
            <v>PHYSICIAN</v>
          </cell>
          <cell r="AC275" t="str">
            <v>M</v>
          </cell>
          <cell r="AD275" t="str">
            <v>No</v>
          </cell>
          <cell r="AE275" t="str">
            <v>MMIS</v>
          </cell>
          <cell r="AF275" t="str">
            <v>nypwestacn</v>
          </cell>
          <cell r="AG275" t="str">
            <v>P</v>
          </cell>
        </row>
        <row r="276">
          <cell r="A276" t="str">
            <v>1013341932</v>
          </cell>
          <cell r="C276" t="str">
            <v>ROBINSON, SHAYNE J</v>
          </cell>
          <cell r="G276" t="str">
            <v>Kathryn Spaziani</v>
          </cell>
          <cell r="H276" t="str">
            <v>(212) 305-1190</v>
          </cell>
          <cell r="J276" t="str">
            <v>kas9171@nyp.org</v>
          </cell>
          <cell r="K276" t="str">
            <v>Physician</v>
          </cell>
          <cell r="L276" t="str">
            <v>Uncategorized</v>
          </cell>
          <cell r="M276" t="str">
            <v>No</v>
          </cell>
          <cell r="R276" t="str">
            <v>ROBINSON SHAYNE</v>
          </cell>
          <cell r="S276" t="str">
            <v>525 E 68TH ST</v>
          </cell>
          <cell r="T276" t="str">
            <v>NEW YORK</v>
          </cell>
          <cell r="U276" t="str">
            <v>NY</v>
          </cell>
          <cell r="V276" t="str">
            <v>100654870</v>
          </cell>
          <cell r="AC276" t="str">
            <v>M</v>
          </cell>
          <cell r="AD276" t="str">
            <v>No</v>
          </cell>
          <cell r="AE276" t="str">
            <v>NPI only</v>
          </cell>
          <cell r="AF276" t="str">
            <v>nypwestacn</v>
          </cell>
          <cell r="AG276" t="str">
            <v>P</v>
          </cell>
        </row>
        <row r="277">
          <cell r="A277" t="str">
            <v>1922153071</v>
          </cell>
          <cell r="B277" t="str">
            <v>01757955</v>
          </cell>
          <cell r="C277" t="str">
            <v>MERRICK, SAMUEL T</v>
          </cell>
          <cell r="D277" t="str">
            <v>E0124233</v>
          </cell>
          <cell r="E277" t="str">
            <v>MERRICK SAMUEL T MD</v>
          </cell>
          <cell r="G277" t="str">
            <v>Kathryn Spaziani</v>
          </cell>
          <cell r="H277" t="str">
            <v>(212) 305-1190</v>
          </cell>
          <cell r="J277" t="str">
            <v>kas9171@nyp.org</v>
          </cell>
          <cell r="L277" t="str">
            <v>All Other:: Practitioner - Primary Care Provider (PCP)</v>
          </cell>
          <cell r="M277" t="str">
            <v>No</v>
          </cell>
          <cell r="R277" t="str">
            <v>MERRICK SAMUEL DR.</v>
          </cell>
          <cell r="W277" t="str">
            <v>MERRICK SAMUEL THOMPSON</v>
          </cell>
          <cell r="X277" t="str">
            <v>525 E 68TH ST RM F24</v>
          </cell>
          <cell r="Y277" t="str">
            <v>NEW YORK</v>
          </cell>
          <cell r="Z277" t="str">
            <v>NY</v>
          </cell>
          <cell r="AA277" t="str">
            <v>10065-4870</v>
          </cell>
          <cell r="AB277" t="str">
            <v>PHYSICIAN</v>
          </cell>
          <cell r="AC277" t="str">
            <v>M</v>
          </cell>
          <cell r="AD277" t="str">
            <v>No</v>
          </cell>
          <cell r="AE277" t="str">
            <v>MMIS</v>
          </cell>
          <cell r="AF277" t="str">
            <v>nypeastcampus</v>
          </cell>
          <cell r="AG277" t="str">
            <v>P</v>
          </cell>
        </row>
        <row r="278">
          <cell r="A278" t="str">
            <v>1922169895</v>
          </cell>
          <cell r="B278" t="str">
            <v>02294824</v>
          </cell>
          <cell r="C278" t="str">
            <v>HIPPIAS, CARMEL E</v>
          </cell>
          <cell r="D278" t="str">
            <v>E0070618</v>
          </cell>
          <cell r="E278" t="str">
            <v>HIPPIAS CARMEL</v>
          </cell>
          <cell r="G278" t="str">
            <v>Kathryn Spaziani</v>
          </cell>
          <cell r="H278" t="str">
            <v>(212) 305-1190</v>
          </cell>
          <cell r="J278" t="str">
            <v>kas9171@nyp.org</v>
          </cell>
          <cell r="L278" t="str">
            <v>Practitioner - Primary Care Provider (PCP)</v>
          </cell>
          <cell r="M278" t="str">
            <v>Yes</v>
          </cell>
          <cell r="R278" t="str">
            <v>HIPPIAS CARMEL MS.</v>
          </cell>
          <cell r="W278" t="str">
            <v>HIPPIAS CARMEL</v>
          </cell>
          <cell r="X278" t="str">
            <v>525 E 68TH ST F-23</v>
          </cell>
          <cell r="Y278" t="str">
            <v>NEW YORK</v>
          </cell>
          <cell r="Z278" t="str">
            <v>NY</v>
          </cell>
          <cell r="AA278" t="str">
            <v>10461-1138</v>
          </cell>
          <cell r="AB278" t="str">
            <v>PHYSICIAN</v>
          </cell>
          <cell r="AC278" t="str">
            <v>M</v>
          </cell>
          <cell r="AD278" t="str">
            <v>No</v>
          </cell>
          <cell r="AE278" t="str">
            <v>MMIS</v>
          </cell>
          <cell r="AF278" t="str">
            <v>nypeastacn</v>
          </cell>
          <cell r="AG278" t="str">
            <v>P</v>
          </cell>
        </row>
        <row r="279">
          <cell r="A279" t="str">
            <v>1922183052</v>
          </cell>
          <cell r="B279" t="str">
            <v>00574832</v>
          </cell>
          <cell r="C279" t="str">
            <v>YOUNGE, RICHARD G</v>
          </cell>
          <cell r="D279" t="str">
            <v>E0242191</v>
          </cell>
          <cell r="E279" t="str">
            <v>YOUNGE RICHARD GEORGE      MD</v>
          </cell>
          <cell r="G279" t="str">
            <v>Kathryn Spaziani</v>
          </cell>
          <cell r="H279" t="str">
            <v>(212) 305-1190</v>
          </cell>
          <cell r="J279" t="str">
            <v>kas9171@nyp.org</v>
          </cell>
          <cell r="L279" t="str">
            <v>All Other:: Practitioner - Primary Care Provider (PCP)</v>
          </cell>
          <cell r="M279" t="str">
            <v>Yes</v>
          </cell>
          <cell r="R279" t="str">
            <v>YOUNGE RICHARD</v>
          </cell>
          <cell r="W279" t="str">
            <v>YOUNGE RICHARD GEORGE      MD</v>
          </cell>
          <cell r="Y279" t="str">
            <v>BROOKLYN</v>
          </cell>
          <cell r="Z279" t="str">
            <v>NY</v>
          </cell>
          <cell r="AA279" t="str">
            <v>11203-2056</v>
          </cell>
          <cell r="AB279" t="str">
            <v>PHYSICIAN</v>
          </cell>
          <cell r="AC279" t="str">
            <v>M</v>
          </cell>
          <cell r="AD279" t="str">
            <v>No</v>
          </cell>
          <cell r="AE279" t="str">
            <v>MMIS</v>
          </cell>
          <cell r="AF279" t="str">
            <v>nypwestcampus</v>
          </cell>
          <cell r="AG279" t="str">
            <v>P</v>
          </cell>
        </row>
        <row r="280">
          <cell r="A280" t="str">
            <v>1871557256</v>
          </cell>
          <cell r="B280" t="str">
            <v>01649334</v>
          </cell>
          <cell r="C280" t="str">
            <v>Lin, Rita H.</v>
          </cell>
          <cell r="D280" t="str">
            <v>E0135082</v>
          </cell>
          <cell r="E280" t="str">
            <v>LIN RITA H MD</v>
          </cell>
          <cell r="G280" t="str">
            <v>Kathryn Spaziani</v>
          </cell>
          <cell r="H280" t="str">
            <v>(212) 305-1190</v>
          </cell>
          <cell r="J280" t="str">
            <v>kas9171@nyp.org</v>
          </cell>
          <cell r="L280" t="str">
            <v>Practitioner - Primary Care Provider (PCP)</v>
          </cell>
          <cell r="M280" t="str">
            <v>No</v>
          </cell>
          <cell r="R280" t="str">
            <v>LIN RITA</v>
          </cell>
          <cell r="W280" t="str">
            <v>LIN RITA HSIAO-HUI</v>
          </cell>
          <cell r="X280" t="str">
            <v>170 WILLIAM ST</v>
          </cell>
          <cell r="Y280" t="str">
            <v>NEW YORK</v>
          </cell>
          <cell r="Z280" t="str">
            <v>NY</v>
          </cell>
          <cell r="AA280" t="str">
            <v>10038-2612</v>
          </cell>
          <cell r="AB280" t="str">
            <v>PHYSICIAN</v>
          </cell>
          <cell r="AC280" t="str">
            <v>M</v>
          </cell>
          <cell r="AD280" t="str">
            <v>No</v>
          </cell>
          <cell r="AE280" t="str">
            <v>MMIS</v>
          </cell>
          <cell r="AF280" t="str">
            <v>nypwestacn</v>
          </cell>
          <cell r="AG280" t="str">
            <v>P</v>
          </cell>
        </row>
        <row r="281">
          <cell r="A281" t="str">
            <v>1679520381</v>
          </cell>
          <cell r="B281" t="str">
            <v>03687785</v>
          </cell>
          <cell r="C281" t="str">
            <v>KADIYALA, RAJENDRA K</v>
          </cell>
          <cell r="D281" t="str">
            <v>E0359270</v>
          </cell>
          <cell r="E281" t="str">
            <v>KADIYALA RAJENDRA</v>
          </cell>
          <cell r="G281" t="str">
            <v>Kathryn Spaziani</v>
          </cell>
          <cell r="H281" t="str">
            <v>(212) 305-1190</v>
          </cell>
          <cell r="J281" t="str">
            <v>kas9171@nyp.org</v>
          </cell>
          <cell r="L281" t="str">
            <v>Practitioner - Non-Primary Care Provider (PCP)</v>
          </cell>
          <cell r="M281" t="str">
            <v>No</v>
          </cell>
          <cell r="R281" t="str">
            <v>KADIYALA RAJENDRA</v>
          </cell>
          <cell r="W281" t="str">
            <v>KADIYALA RAJENDRA KUMAR</v>
          </cell>
          <cell r="X281" t="str">
            <v>161 FORT WASHINGTON AVE FL 2</v>
          </cell>
          <cell r="Y281" t="str">
            <v>NEW YORK</v>
          </cell>
          <cell r="Z281" t="str">
            <v>NY</v>
          </cell>
          <cell r="AA281" t="str">
            <v>10032-3729</v>
          </cell>
          <cell r="AB281" t="str">
            <v>PHYSICIAN</v>
          </cell>
          <cell r="AC281" t="str">
            <v>M</v>
          </cell>
          <cell r="AD281" t="str">
            <v>No</v>
          </cell>
          <cell r="AE281" t="str">
            <v>MMIS</v>
          </cell>
          <cell r="AF281" t="str">
            <v>nypwestacn</v>
          </cell>
          <cell r="AG281" t="str">
            <v>P</v>
          </cell>
        </row>
        <row r="282">
          <cell r="A282" t="str">
            <v>1174571251</v>
          </cell>
          <cell r="B282" t="str">
            <v>01196721</v>
          </cell>
          <cell r="C282" t="str">
            <v>COOKE, CLAUDIA M</v>
          </cell>
          <cell r="D282" t="str">
            <v>E0180217</v>
          </cell>
          <cell r="E282" t="str">
            <v>COOKE CLAUDIA M MD</v>
          </cell>
          <cell r="G282" t="str">
            <v>Kathryn Spaziani</v>
          </cell>
          <cell r="H282" t="str">
            <v>(212) 305-1190</v>
          </cell>
          <cell r="J282" t="str">
            <v>kas9171@nyp.org</v>
          </cell>
          <cell r="L282" t="str">
            <v>Practitioner - Non-Primary Care Provider (PCP)</v>
          </cell>
          <cell r="M282" t="str">
            <v>No</v>
          </cell>
          <cell r="R282" t="str">
            <v>COOKE CLAUDIA</v>
          </cell>
          <cell r="W282" t="str">
            <v>COOKE CLAUDIA M MD</v>
          </cell>
          <cell r="AB282" t="str">
            <v>PHYSICIAN</v>
          </cell>
          <cell r="AC282" t="str">
            <v>M</v>
          </cell>
          <cell r="AD282" t="str">
            <v>No</v>
          </cell>
          <cell r="AE282" t="str">
            <v>MMIS</v>
          </cell>
          <cell r="AF282" t="str">
            <v>nypwestcampus</v>
          </cell>
          <cell r="AG282" t="str">
            <v>P</v>
          </cell>
        </row>
        <row r="283">
          <cell r="A283" t="str">
            <v>1629350418</v>
          </cell>
          <cell r="B283" t="str">
            <v>03428282</v>
          </cell>
          <cell r="C283" t="str">
            <v xml:space="preserve">ASFAHA, SAMUEL </v>
          </cell>
          <cell r="D283" t="str">
            <v>E0329051</v>
          </cell>
          <cell r="E283" t="str">
            <v>ASFAHA SAMUEL</v>
          </cell>
          <cell r="G283" t="str">
            <v>Kathryn Spaziani</v>
          </cell>
          <cell r="H283" t="str">
            <v>(212) 305-1190</v>
          </cell>
          <cell r="J283" t="str">
            <v>kas9171@nyp.org</v>
          </cell>
          <cell r="L283" t="str">
            <v>Practitioner - Non-Primary Care Provider (PCP)</v>
          </cell>
          <cell r="M283" t="str">
            <v>No</v>
          </cell>
          <cell r="R283" t="str">
            <v>ASFAHA SAMUEL DR.</v>
          </cell>
          <cell r="W283" t="str">
            <v>ASFAHA SAMUEL</v>
          </cell>
          <cell r="X283" t="str">
            <v>622 W 168TH ST</v>
          </cell>
          <cell r="Y283" t="str">
            <v>NEW YORK</v>
          </cell>
          <cell r="Z283" t="str">
            <v>NY</v>
          </cell>
          <cell r="AA283" t="str">
            <v>10032-3720</v>
          </cell>
          <cell r="AB283" t="str">
            <v>PHYSICIAN</v>
          </cell>
          <cell r="AC283" t="str">
            <v>M</v>
          </cell>
          <cell r="AD283" t="str">
            <v>No</v>
          </cell>
          <cell r="AE283" t="str">
            <v>MMIS</v>
          </cell>
          <cell r="AF283" t="str">
            <v>nypwestacn</v>
          </cell>
          <cell r="AG283" t="str">
            <v>P</v>
          </cell>
        </row>
        <row r="284">
          <cell r="A284" t="str">
            <v>1932122900</v>
          </cell>
          <cell r="B284" t="str">
            <v>02924858</v>
          </cell>
          <cell r="C284" t="str">
            <v>HARRIS, LE WANZA M</v>
          </cell>
          <cell r="D284" t="str">
            <v>E0000527</v>
          </cell>
          <cell r="E284" t="str">
            <v>HARRIS LE</v>
          </cell>
          <cell r="G284" t="str">
            <v>Kathryn Spaziani</v>
          </cell>
          <cell r="H284" t="str">
            <v>(212) 305-1190</v>
          </cell>
          <cell r="J284" t="str">
            <v>kas9171@nyp.org</v>
          </cell>
          <cell r="L284" t="str">
            <v>Practitioner - Primary Care Provider (PCP)</v>
          </cell>
          <cell r="M284" t="str">
            <v>Yes</v>
          </cell>
          <cell r="R284" t="str">
            <v>HARRIS LEWANZA DR.</v>
          </cell>
          <cell r="W284" t="str">
            <v>HARRIS LE</v>
          </cell>
          <cell r="X284" t="str">
            <v>610 W 158TH ST</v>
          </cell>
          <cell r="Y284" t="str">
            <v>NEW YORK</v>
          </cell>
          <cell r="Z284" t="str">
            <v>NY</v>
          </cell>
          <cell r="AA284" t="str">
            <v>10032-7104</v>
          </cell>
          <cell r="AB284" t="str">
            <v>PHYSICIAN</v>
          </cell>
          <cell r="AC284" t="str">
            <v>M</v>
          </cell>
          <cell r="AD284" t="str">
            <v>No</v>
          </cell>
          <cell r="AE284" t="str">
            <v>MMIS</v>
          </cell>
          <cell r="AF284" t="str">
            <v>nypwestacn</v>
          </cell>
          <cell r="AG284" t="str">
            <v>P</v>
          </cell>
        </row>
        <row r="285">
          <cell r="C285" t="str">
            <v>Coalicion Mexicano</v>
          </cell>
          <cell r="G285" t="str">
            <v>Jairo Guzman</v>
          </cell>
          <cell r="J285" t="str">
            <v>jguzman@coalicionmexicana.org</v>
          </cell>
          <cell r="K285" t="str">
            <v>Community Advocacy and Support</v>
          </cell>
          <cell r="L285" t="str">
            <v>CBO</v>
          </cell>
          <cell r="M285" t="str">
            <v>No</v>
          </cell>
          <cell r="AC285" t="str">
            <v>M</v>
          </cell>
          <cell r="AD285" t="str">
            <v>No</v>
          </cell>
          <cell r="AE285" t="str">
            <v>No NPI or MMIS</v>
          </cell>
          <cell r="AF285" t="str">
            <v>nypeastacn</v>
          </cell>
          <cell r="AG285" t="str">
            <v>P</v>
          </cell>
        </row>
        <row r="286">
          <cell r="A286" t="str">
            <v>1134385172</v>
          </cell>
          <cell r="B286" t="str">
            <v>03810919</v>
          </cell>
          <cell r="C286" t="str">
            <v>Yu Christine</v>
          </cell>
          <cell r="D286" t="str">
            <v>E0371857</v>
          </cell>
          <cell r="E286" t="str">
            <v>YU CHRISTINE MEI-YAN</v>
          </cell>
          <cell r="L286" t="str">
            <v>Practitioner - Non-Primary Care Provider (PCP)</v>
          </cell>
          <cell r="M286" t="str">
            <v>No</v>
          </cell>
          <cell r="R286" t="str">
            <v>YU CHRISTINE</v>
          </cell>
          <cell r="W286" t="str">
            <v>YU CHRISTINE MEI-YAN</v>
          </cell>
          <cell r="X286" t="str">
            <v>535 E 70TH ST</v>
          </cell>
          <cell r="Y286" t="str">
            <v>NEW YORK</v>
          </cell>
          <cell r="Z286" t="str">
            <v>NY</v>
          </cell>
          <cell r="AA286" t="str">
            <v>10021-4823</v>
          </cell>
          <cell r="AB286" t="str">
            <v>PHYSICIAN</v>
          </cell>
          <cell r="AC286" t="str">
            <v>M</v>
          </cell>
          <cell r="AD286" t="str">
            <v>No</v>
          </cell>
          <cell r="AE286" t="str">
            <v>MMIS</v>
          </cell>
          <cell r="AF286" t="str">
            <v>nypeastcampus</v>
          </cell>
          <cell r="AG286" t="str">
            <v>P</v>
          </cell>
        </row>
        <row r="287">
          <cell r="A287" t="str">
            <v>1265598783</v>
          </cell>
          <cell r="B287" t="str">
            <v>03179908</v>
          </cell>
          <cell r="C287" t="str">
            <v>TRUSTEES OF COLUMBIA UNIVERSITY IN</v>
          </cell>
          <cell r="D287" t="str">
            <v>E0302160</v>
          </cell>
          <cell r="E287" t="str">
            <v>TRUSTEES OF COLUMBIA UNIVERSITY IN</v>
          </cell>
          <cell r="L287" t="str">
            <v>All Other</v>
          </cell>
          <cell r="M287" t="str">
            <v>No</v>
          </cell>
          <cell r="R287" t="str">
            <v>THE TRUSTEES OF COLUMBIA UNIVERSITY IN THE CITY OF NEW YORK</v>
          </cell>
          <cell r="W287" t="str">
            <v>TRUSTEES OF COLUMBIA UNIVERSITY IN</v>
          </cell>
          <cell r="X287" t="str">
            <v>55 PALMER AVE</v>
          </cell>
          <cell r="Y287" t="str">
            <v>BRONXVILLE</v>
          </cell>
          <cell r="Z287" t="str">
            <v>NY</v>
          </cell>
          <cell r="AA287" t="str">
            <v>10708-3403</v>
          </cell>
          <cell r="AB287" t="str">
            <v>PHYSICIANS GROUP</v>
          </cell>
          <cell r="AC287" t="str">
            <v>M</v>
          </cell>
          <cell r="AD287" t="str">
            <v>No</v>
          </cell>
          <cell r="AE287" t="str">
            <v>MMIS</v>
          </cell>
          <cell r="AF287" t="str">
            <v>nypwestacn</v>
          </cell>
          <cell r="AG287" t="str">
            <v>P</v>
          </cell>
        </row>
        <row r="288">
          <cell r="A288" t="str">
            <v>1003075920</v>
          </cell>
          <cell r="C288" t="str">
            <v>Lagana Stephen</v>
          </cell>
          <cell r="G288" t="str">
            <v>Kathryn Spaziani</v>
          </cell>
          <cell r="H288" t="str">
            <v>(212) 305-1255</v>
          </cell>
          <cell r="J288" t="str">
            <v>kas9171@nyp.org</v>
          </cell>
          <cell r="K288" t="str">
            <v>Physician</v>
          </cell>
          <cell r="L288" t="str">
            <v>Uncategorized</v>
          </cell>
          <cell r="M288" t="str">
            <v>No</v>
          </cell>
          <cell r="R288" t="str">
            <v>LAGANA STEPHEN</v>
          </cell>
          <cell r="S288" t="str">
            <v>630 WEST 168TH ST PH 1564W</v>
          </cell>
          <cell r="T288" t="str">
            <v>NY</v>
          </cell>
          <cell r="U288" t="str">
            <v>NY</v>
          </cell>
          <cell r="V288" t="str">
            <v>10032</v>
          </cell>
          <cell r="AC288" t="str">
            <v>M</v>
          </cell>
          <cell r="AD288" t="str">
            <v>No</v>
          </cell>
          <cell r="AE288" t="str">
            <v>NPI only</v>
          </cell>
          <cell r="AF288" t="str">
            <v>nypwestcampus</v>
          </cell>
          <cell r="AG288" t="str">
            <v>P</v>
          </cell>
        </row>
        <row r="289">
          <cell r="A289" t="str">
            <v>1689701930</v>
          </cell>
          <cell r="B289" t="str">
            <v>01811458</v>
          </cell>
          <cell r="C289" t="str">
            <v>Lefkowitch Jay</v>
          </cell>
          <cell r="D289" t="str">
            <v>E0118892</v>
          </cell>
          <cell r="E289" t="str">
            <v>LEFKOWITCH JAY</v>
          </cell>
          <cell r="L289" t="str">
            <v>All Other:: Practitioner - Non-Primary Care Provider (PCP)</v>
          </cell>
          <cell r="M289" t="str">
            <v>No</v>
          </cell>
          <cell r="R289" t="str">
            <v>LEFKOWITCH JAY</v>
          </cell>
          <cell r="W289" t="str">
            <v>LEFKOWITCH JAY</v>
          </cell>
          <cell r="X289" t="str">
            <v>LEFKOWITCH JAY</v>
          </cell>
          <cell r="Y289" t="str">
            <v>NEW YORK</v>
          </cell>
          <cell r="Z289" t="str">
            <v>NY</v>
          </cell>
          <cell r="AA289" t="str">
            <v>10032-3720</v>
          </cell>
          <cell r="AB289" t="str">
            <v>PHYSICIAN</v>
          </cell>
          <cell r="AC289" t="str">
            <v>M</v>
          </cell>
          <cell r="AD289" t="str">
            <v>No</v>
          </cell>
          <cell r="AE289" t="str">
            <v>MMIS</v>
          </cell>
          <cell r="AF289" t="str">
            <v>nypwestcampus</v>
          </cell>
          <cell r="AG289" t="str">
            <v>P</v>
          </cell>
        </row>
        <row r="290">
          <cell r="A290" t="str">
            <v>1215029020</v>
          </cell>
          <cell r="B290" t="str">
            <v>03721693</v>
          </cell>
          <cell r="C290" t="str">
            <v>KATSAROS, MARIA G</v>
          </cell>
          <cell r="D290" t="str">
            <v>E0362672</v>
          </cell>
          <cell r="E290" t="str">
            <v>KATSAROS MARIA</v>
          </cell>
          <cell r="G290" t="str">
            <v>Kathryn Spaziani</v>
          </cell>
          <cell r="H290" t="str">
            <v>(212) 305-1190</v>
          </cell>
          <cell r="J290" t="str">
            <v>kas9171@nyp.org</v>
          </cell>
          <cell r="L290" t="str">
            <v>Practitioner - Non-Primary Care Provider (PCP)</v>
          </cell>
          <cell r="M290" t="str">
            <v>No</v>
          </cell>
          <cell r="R290" t="str">
            <v>KATSAROS MARIA</v>
          </cell>
          <cell r="W290" t="str">
            <v>KATSAROS MARIA</v>
          </cell>
          <cell r="X290" t="str">
            <v>622 W 168TH ST FL 10</v>
          </cell>
          <cell r="Y290" t="str">
            <v>NEW YORK</v>
          </cell>
          <cell r="Z290" t="str">
            <v>NY</v>
          </cell>
          <cell r="AA290" t="str">
            <v>10032-3720</v>
          </cell>
          <cell r="AB290" t="str">
            <v>THERAPIST</v>
          </cell>
          <cell r="AC290" t="str">
            <v>M</v>
          </cell>
          <cell r="AD290" t="str">
            <v>No</v>
          </cell>
          <cell r="AE290" t="str">
            <v>MMIS</v>
          </cell>
          <cell r="AF290" t="str">
            <v>nypwestacn</v>
          </cell>
          <cell r="AG290" t="str">
            <v>P</v>
          </cell>
        </row>
        <row r="291">
          <cell r="A291" t="str">
            <v>1376672493</v>
          </cell>
          <cell r="B291" t="str">
            <v>03765524</v>
          </cell>
          <cell r="C291" t="str">
            <v>CHIRELSTEIN, GENEVI</v>
          </cell>
          <cell r="D291" t="str">
            <v>E0367242</v>
          </cell>
          <cell r="E291" t="str">
            <v>CHIRELSTEIN GENEVIEVE</v>
          </cell>
          <cell r="G291" t="str">
            <v>Kathryn Spaziani</v>
          </cell>
          <cell r="H291" t="str">
            <v>(212) 305-1212</v>
          </cell>
          <cell r="J291" t="str">
            <v>kas9171@nyp.org</v>
          </cell>
          <cell r="L291" t="str">
            <v>Practitioner - Non-Primary Care Provider (PCP)</v>
          </cell>
          <cell r="M291" t="str">
            <v>No</v>
          </cell>
          <cell r="R291" t="str">
            <v>CHIRELSTEIN GENEVIEVE MS.</v>
          </cell>
          <cell r="W291" t="str">
            <v>CHIRELSTEIN GENEVIEVE</v>
          </cell>
          <cell r="X291" t="str">
            <v>3959 BROADWAY</v>
          </cell>
          <cell r="Y291" t="str">
            <v>NEW YORK</v>
          </cell>
          <cell r="Z291" t="str">
            <v>NY</v>
          </cell>
          <cell r="AA291" t="str">
            <v>10032-1559</v>
          </cell>
          <cell r="AB291" t="str">
            <v>PHYSICIAN</v>
          </cell>
          <cell r="AC291" t="str">
            <v>M</v>
          </cell>
          <cell r="AD291" t="str">
            <v>No</v>
          </cell>
          <cell r="AE291" t="str">
            <v>MMIS</v>
          </cell>
          <cell r="AF291" t="str">
            <v>nypwestacn</v>
          </cell>
          <cell r="AG291" t="str">
            <v>P</v>
          </cell>
        </row>
        <row r="292">
          <cell r="A292" t="str">
            <v>1265686794</v>
          </cell>
          <cell r="B292" t="str">
            <v>03236179</v>
          </cell>
          <cell r="C292" t="str">
            <v xml:space="preserve">NHAN-CHANG, CHIA-LING </v>
          </cell>
          <cell r="D292" t="str">
            <v>E0308483</v>
          </cell>
          <cell r="E292" t="str">
            <v>CHIA-LING NHAN-CHANG</v>
          </cell>
          <cell r="G292" t="str">
            <v>Kathryn Spaziani</v>
          </cell>
          <cell r="H292" t="str">
            <v>(212) 305-1190</v>
          </cell>
          <cell r="J292" t="str">
            <v>kas9171@nyp.org</v>
          </cell>
          <cell r="L292" t="str">
            <v>All Other:: Practitioner - Non-Primary Care Provider (PCP)</v>
          </cell>
          <cell r="M292" t="str">
            <v>Yes</v>
          </cell>
          <cell r="R292" t="str">
            <v>NHAN-CHANG CHIA-LING DR.</v>
          </cell>
          <cell r="W292" t="str">
            <v>NHAN-CHANG CHIA-LING</v>
          </cell>
          <cell r="X292" t="str">
            <v>622 W 168TH ST</v>
          </cell>
          <cell r="Y292" t="str">
            <v>NEW YORK</v>
          </cell>
          <cell r="Z292" t="str">
            <v>NY</v>
          </cell>
          <cell r="AA292" t="str">
            <v>10032-3720</v>
          </cell>
          <cell r="AB292" t="str">
            <v>PHYSICIAN</v>
          </cell>
          <cell r="AC292" t="str">
            <v>M</v>
          </cell>
          <cell r="AD292" t="str">
            <v>No</v>
          </cell>
          <cell r="AE292" t="str">
            <v>MMIS</v>
          </cell>
          <cell r="AF292" t="str">
            <v>nypwestcampus</v>
          </cell>
          <cell r="AG292" t="str">
            <v>P</v>
          </cell>
        </row>
        <row r="293">
          <cell r="A293" t="str">
            <v>1720013220</v>
          </cell>
          <cell r="B293" t="str">
            <v>02299681</v>
          </cell>
          <cell r="C293" t="str">
            <v xml:space="preserve">Oster, Ady Shmuel             </v>
          </cell>
          <cell r="D293" t="str">
            <v>E0070132</v>
          </cell>
          <cell r="E293" t="str">
            <v>OSTER ADY S MD</v>
          </cell>
          <cell r="G293" t="str">
            <v>Betty Cheng</v>
          </cell>
          <cell r="H293" t="str">
            <v>(212) 379-6988</v>
          </cell>
          <cell r="I293">
            <v>2604</v>
          </cell>
          <cell r="J293" t="str">
            <v>bcheng@cbwchc.org</v>
          </cell>
          <cell r="L293" t="str">
            <v>All Other:: Practitioner - Primary Care Provider (PCP)</v>
          </cell>
          <cell r="M293" t="str">
            <v>Yes</v>
          </cell>
          <cell r="R293" t="str">
            <v>OSTER ADY</v>
          </cell>
          <cell r="W293" t="str">
            <v>OSTER ADY S MD</v>
          </cell>
          <cell r="X293" t="str">
            <v>1 GUSTAVE L LEVY PL</v>
          </cell>
          <cell r="Y293" t="str">
            <v>NEW YORK</v>
          </cell>
          <cell r="Z293" t="str">
            <v>NY</v>
          </cell>
          <cell r="AA293" t="str">
            <v>10029-6500</v>
          </cell>
          <cell r="AB293" t="str">
            <v>PHYSICIAN</v>
          </cell>
          <cell r="AC293" t="str">
            <v>M</v>
          </cell>
          <cell r="AD293" t="str">
            <v>No</v>
          </cell>
          <cell r="AE293" t="str">
            <v>MMIS</v>
          </cell>
          <cell r="AF293" t="str">
            <v>cbwchc</v>
          </cell>
          <cell r="AG293" t="str">
            <v>P</v>
          </cell>
        </row>
        <row r="294">
          <cell r="A294" t="str">
            <v>1093802175</v>
          </cell>
          <cell r="B294" t="str">
            <v>01079785</v>
          </cell>
          <cell r="C294" t="str">
            <v>LABAR, DOUGLAS R</v>
          </cell>
          <cell r="D294" t="str">
            <v>E0191893</v>
          </cell>
          <cell r="E294" t="str">
            <v>LABAR DOUGLAS  R MD</v>
          </cell>
          <cell r="G294" t="str">
            <v>Kathryn Spaziani</v>
          </cell>
          <cell r="H294" t="str">
            <v>(212) 305-1190</v>
          </cell>
          <cell r="J294" t="str">
            <v>kas9171@nyp.org</v>
          </cell>
          <cell r="L294" t="str">
            <v>All Other:: Practitioner - Non-Primary Care Provider (PCP)</v>
          </cell>
          <cell r="M294" t="str">
            <v>No</v>
          </cell>
          <cell r="R294" t="str">
            <v>LABAR DOUGLAS</v>
          </cell>
          <cell r="W294" t="str">
            <v>LABAR DOUGLAS  R MD</v>
          </cell>
          <cell r="X294" t="str">
            <v>NEW YORK HOSPITAL</v>
          </cell>
          <cell r="Y294" t="str">
            <v>NEW YORK CITY</v>
          </cell>
          <cell r="Z294" t="str">
            <v>NY</v>
          </cell>
          <cell r="AA294" t="str">
            <v>10021</v>
          </cell>
          <cell r="AB294" t="str">
            <v>PHYSICIAN</v>
          </cell>
          <cell r="AC294" t="str">
            <v>M</v>
          </cell>
          <cell r="AD294" t="str">
            <v>No</v>
          </cell>
          <cell r="AE294" t="str">
            <v>MMIS</v>
          </cell>
          <cell r="AF294" t="str">
            <v>nypeastcampus</v>
          </cell>
          <cell r="AG294" t="str">
            <v>P</v>
          </cell>
        </row>
        <row r="295">
          <cell r="A295" t="str">
            <v>1548266133</v>
          </cell>
          <cell r="C295" t="str">
            <v>Lyons Richard</v>
          </cell>
          <cell r="G295" t="str">
            <v>Kathryn Spaziani</v>
          </cell>
          <cell r="H295" t="str">
            <v>(212) 305-1255</v>
          </cell>
          <cell r="J295" t="str">
            <v>kas9171@nyp.org</v>
          </cell>
          <cell r="K295" t="str">
            <v>Physician</v>
          </cell>
          <cell r="L295" t="str">
            <v>Practitioner - Non-Primary Care Provider (PCP)</v>
          </cell>
          <cell r="M295" t="str">
            <v>No</v>
          </cell>
          <cell r="R295" t="str">
            <v>LYONS RICHARD</v>
          </cell>
          <cell r="S295" t="str">
            <v>170 WILLIAM ST</v>
          </cell>
          <cell r="T295" t="str">
            <v>NEW YORK</v>
          </cell>
          <cell r="U295" t="str">
            <v>NY</v>
          </cell>
          <cell r="V295" t="str">
            <v>100382612</v>
          </cell>
          <cell r="AC295" t="str">
            <v>M</v>
          </cell>
          <cell r="AD295" t="str">
            <v>No</v>
          </cell>
          <cell r="AE295" t="str">
            <v>NPI only</v>
          </cell>
          <cell r="AF295" t="str">
            <v>nypeastcampus</v>
          </cell>
          <cell r="AG295" t="str">
            <v>P</v>
          </cell>
        </row>
        <row r="296">
          <cell r="A296" t="str">
            <v>1932437092</v>
          </cell>
          <cell r="C296" t="str">
            <v>McDonnell Shannon</v>
          </cell>
          <cell r="G296" t="str">
            <v>Kathryn Spaziani</v>
          </cell>
          <cell r="H296" t="str">
            <v>(212) 305-1255</v>
          </cell>
          <cell r="J296" t="str">
            <v>kas9171@nyp.org</v>
          </cell>
          <cell r="K296" t="str">
            <v>Physician</v>
          </cell>
          <cell r="L296" t="str">
            <v>Uncategorized</v>
          </cell>
          <cell r="M296" t="str">
            <v>No</v>
          </cell>
          <cell r="R296" t="str">
            <v>MCDONNELL SHANNON</v>
          </cell>
          <cell r="S296" t="str">
            <v>525 E 68TH ST</v>
          </cell>
          <cell r="T296" t="str">
            <v>NEW YORK</v>
          </cell>
          <cell r="U296" t="str">
            <v>NY</v>
          </cell>
          <cell r="V296" t="str">
            <v>100654870</v>
          </cell>
          <cell r="AC296" t="str">
            <v>M</v>
          </cell>
          <cell r="AD296" t="str">
            <v>No</v>
          </cell>
          <cell r="AE296" t="str">
            <v>NPI only</v>
          </cell>
          <cell r="AF296" t="str">
            <v>nypwestacn</v>
          </cell>
          <cell r="AG296" t="str">
            <v>P</v>
          </cell>
        </row>
        <row r="297">
          <cell r="A297" t="str">
            <v>1316024839</v>
          </cell>
          <cell r="B297" t="str">
            <v>02863216</v>
          </cell>
          <cell r="C297" t="str">
            <v>Cushing Melissa</v>
          </cell>
          <cell r="D297" t="str">
            <v>E0013877</v>
          </cell>
          <cell r="E297" t="str">
            <v>CUSHING MELISSA</v>
          </cell>
          <cell r="G297" t="str">
            <v>Kathryn Spaziani</v>
          </cell>
          <cell r="H297" t="str">
            <v>(212) 305-1209</v>
          </cell>
          <cell r="J297" t="str">
            <v>kas9171@nyp.org</v>
          </cell>
          <cell r="L297" t="str">
            <v>All Other:: Practitioner - Non-Primary Care Provider (PCP)</v>
          </cell>
          <cell r="M297" t="str">
            <v>No</v>
          </cell>
          <cell r="R297" t="str">
            <v>CUSHING MELISSA DR.</v>
          </cell>
          <cell r="W297" t="str">
            <v>CUSHING MELISSA</v>
          </cell>
          <cell r="X297" t="str">
            <v>525 E 68TH ST</v>
          </cell>
          <cell r="Y297" t="str">
            <v>NEW YORK</v>
          </cell>
          <cell r="Z297" t="str">
            <v>NY</v>
          </cell>
          <cell r="AA297" t="str">
            <v>10065-4870</v>
          </cell>
          <cell r="AB297" t="str">
            <v>PHYSICIAN</v>
          </cell>
          <cell r="AC297" t="str">
            <v>M</v>
          </cell>
          <cell r="AD297" t="str">
            <v>No</v>
          </cell>
          <cell r="AE297" t="str">
            <v>MMIS</v>
          </cell>
          <cell r="AF297" t="str">
            <v>nypeastcampus</v>
          </cell>
          <cell r="AG297" t="str">
            <v>P</v>
          </cell>
        </row>
        <row r="298">
          <cell r="A298" t="str">
            <v>1144499773</v>
          </cell>
          <cell r="C298" t="str">
            <v>Jenkins Stephen</v>
          </cell>
          <cell r="G298" t="str">
            <v>Kathryn Spaziani</v>
          </cell>
          <cell r="H298" t="str">
            <v>(212) 305-1210</v>
          </cell>
          <cell r="J298" t="str">
            <v>kas9171@nyp.org</v>
          </cell>
          <cell r="K298" t="str">
            <v>Physician</v>
          </cell>
          <cell r="L298" t="str">
            <v>Uncategorized</v>
          </cell>
          <cell r="M298" t="str">
            <v>No</v>
          </cell>
          <cell r="R298" t="str">
            <v>JENKINS STEPHEN</v>
          </cell>
          <cell r="S298" t="str">
            <v>525 E 68TH ST, BOX 69</v>
          </cell>
          <cell r="T298" t="str">
            <v>NEW YORK</v>
          </cell>
          <cell r="U298" t="str">
            <v>NY</v>
          </cell>
          <cell r="V298" t="str">
            <v>100654870</v>
          </cell>
          <cell r="AC298" t="str">
            <v>M</v>
          </cell>
          <cell r="AD298" t="str">
            <v>No</v>
          </cell>
          <cell r="AE298" t="str">
            <v>NPI only</v>
          </cell>
          <cell r="AF298" t="str">
            <v>nypwestacn</v>
          </cell>
          <cell r="AG298" t="str">
            <v>P</v>
          </cell>
        </row>
        <row r="299">
          <cell r="A299" t="str">
            <v>1952699431</v>
          </cell>
          <cell r="B299" t="str">
            <v>03555355</v>
          </cell>
          <cell r="C299" t="str">
            <v>Ergonul, Zuhal</v>
          </cell>
          <cell r="D299" t="str">
            <v>E0345572</v>
          </cell>
          <cell r="E299" t="str">
            <v>ERGONUL ZUHAL</v>
          </cell>
          <cell r="G299" t="str">
            <v>Kathryn Spaziani</v>
          </cell>
          <cell r="H299" t="str">
            <v>(212) 305-1190</v>
          </cell>
          <cell r="J299" t="str">
            <v>kas9171@nyp.org</v>
          </cell>
          <cell r="L299" t="str">
            <v>Practitioner - Non-Primary Care Provider (PCP)</v>
          </cell>
          <cell r="M299" t="str">
            <v>No</v>
          </cell>
          <cell r="R299" t="str">
            <v>ERGONUL ZUHAL</v>
          </cell>
          <cell r="W299" t="str">
            <v>ERGONUL ZUHAL</v>
          </cell>
          <cell r="X299" t="str">
            <v>525 E 68TH ST # 225</v>
          </cell>
          <cell r="Y299" t="str">
            <v>NEW YORK</v>
          </cell>
          <cell r="Z299" t="str">
            <v>NY</v>
          </cell>
          <cell r="AA299" t="str">
            <v>10065-4870</v>
          </cell>
          <cell r="AB299" t="str">
            <v>PHYSICIAN</v>
          </cell>
          <cell r="AC299" t="str">
            <v>M</v>
          </cell>
          <cell r="AD299" t="str">
            <v>No</v>
          </cell>
          <cell r="AE299" t="str">
            <v>MMIS</v>
          </cell>
          <cell r="AF299" t="str">
            <v>nypwestacn</v>
          </cell>
          <cell r="AG299" t="str">
            <v>P</v>
          </cell>
        </row>
        <row r="300">
          <cell r="A300" t="str">
            <v>1003951112</v>
          </cell>
          <cell r="B300" t="str">
            <v>02885101</v>
          </cell>
          <cell r="C300" t="str">
            <v>GRIBBIN, DOROTA M</v>
          </cell>
          <cell r="D300" t="str">
            <v>E0011694</v>
          </cell>
          <cell r="E300" t="str">
            <v>GRIBBIN DOROTA</v>
          </cell>
          <cell r="G300" t="str">
            <v>Kathryn Spaziani</v>
          </cell>
          <cell r="H300" t="str">
            <v>(212) 305-1190</v>
          </cell>
          <cell r="J300" t="str">
            <v>kas9171@nyp.org</v>
          </cell>
          <cell r="L300" t="str">
            <v>Practitioner - Non-Primary Care Provider (PCP)</v>
          </cell>
          <cell r="M300" t="str">
            <v>No</v>
          </cell>
          <cell r="R300" t="str">
            <v>GRIBBIN DOROTA</v>
          </cell>
          <cell r="W300" t="str">
            <v>GRIBBIN DOROTA</v>
          </cell>
          <cell r="X300" t="str">
            <v>VANDERBILT CLINIC RE</v>
          </cell>
          <cell r="Y300" t="str">
            <v>NEW YORK</v>
          </cell>
          <cell r="Z300" t="str">
            <v>NY</v>
          </cell>
          <cell r="AA300" t="str">
            <v>10032</v>
          </cell>
          <cell r="AB300" t="str">
            <v>PHYSICIAN</v>
          </cell>
          <cell r="AC300" t="str">
            <v>M</v>
          </cell>
          <cell r="AD300" t="str">
            <v>No</v>
          </cell>
          <cell r="AE300" t="str">
            <v>MMIS</v>
          </cell>
          <cell r="AF300" t="str">
            <v>nypwestacn</v>
          </cell>
          <cell r="AG300" t="str">
            <v>P</v>
          </cell>
        </row>
        <row r="301">
          <cell r="A301" t="str">
            <v>1568478642</v>
          </cell>
          <cell r="B301" t="str">
            <v>00904687</v>
          </cell>
          <cell r="C301" t="str">
            <v>WARNER, CAROLYN H</v>
          </cell>
          <cell r="D301" t="str">
            <v>E0209283</v>
          </cell>
          <cell r="E301" t="str">
            <v>WARNER CAROLYN HAZARD      MD</v>
          </cell>
          <cell r="G301" t="str">
            <v>Kathryn Spaziani</v>
          </cell>
          <cell r="H301" t="str">
            <v>(212) 305-1190</v>
          </cell>
          <cell r="J301" t="str">
            <v>kas9171@nyp.org</v>
          </cell>
          <cell r="L301" t="str">
            <v>Practitioner - Non-Primary Care Provider (PCP)</v>
          </cell>
          <cell r="M301" t="str">
            <v>No</v>
          </cell>
          <cell r="R301" t="str">
            <v>WARNER CAROLYN DR.</v>
          </cell>
          <cell r="W301" t="str">
            <v>WARNER CAROLYN HAZARD      MD</v>
          </cell>
          <cell r="X301" t="str">
            <v>3 GATES CIR</v>
          </cell>
          <cell r="Y301" t="str">
            <v>BUFFALO</v>
          </cell>
          <cell r="Z301" t="str">
            <v>NY</v>
          </cell>
          <cell r="AA301" t="str">
            <v>14209-1120</v>
          </cell>
          <cell r="AB301" t="str">
            <v>PHYSICIAN</v>
          </cell>
          <cell r="AC301" t="str">
            <v>M</v>
          </cell>
          <cell r="AD301" t="str">
            <v>No</v>
          </cell>
          <cell r="AE301" t="str">
            <v>MMIS</v>
          </cell>
          <cell r="AF301" t="str">
            <v>nypwestacn</v>
          </cell>
          <cell r="AG301" t="str">
            <v>P</v>
          </cell>
        </row>
        <row r="302">
          <cell r="A302" t="str">
            <v>1427002245</v>
          </cell>
          <cell r="B302" t="str">
            <v>03091563</v>
          </cell>
          <cell r="C302" t="str">
            <v>SUH, LEEJEE H</v>
          </cell>
          <cell r="D302" t="str">
            <v>E0292044</v>
          </cell>
          <cell r="E302" t="str">
            <v>SUH LEEJEE HAN</v>
          </cell>
          <cell r="G302" t="str">
            <v>Kathryn Spaziani</v>
          </cell>
          <cell r="H302" t="str">
            <v>(212) 305-1190</v>
          </cell>
          <cell r="J302" t="str">
            <v>kas9171@nyp.org</v>
          </cell>
          <cell r="L302" t="str">
            <v>All Other:: Practitioner - Non-Primary Care Provider (PCP)</v>
          </cell>
          <cell r="M302" t="str">
            <v>No</v>
          </cell>
          <cell r="R302" t="str">
            <v>SUH LEEJEE</v>
          </cell>
          <cell r="W302" t="str">
            <v>SUH LEEJEE HAN</v>
          </cell>
          <cell r="X302" t="str">
            <v>635 W 165TH ST</v>
          </cell>
          <cell r="Y302" t="str">
            <v>NEW YORK</v>
          </cell>
          <cell r="Z302" t="str">
            <v>NY</v>
          </cell>
          <cell r="AA302" t="str">
            <v>10032-3724</v>
          </cell>
          <cell r="AB302" t="str">
            <v>PHYSICIAN</v>
          </cell>
          <cell r="AC302" t="str">
            <v>M</v>
          </cell>
          <cell r="AD302" t="str">
            <v>No</v>
          </cell>
          <cell r="AE302" t="str">
            <v>MMIS</v>
          </cell>
          <cell r="AF302" t="str">
            <v>nypwestcampus</v>
          </cell>
          <cell r="AG302" t="str">
            <v>P</v>
          </cell>
        </row>
        <row r="303">
          <cell r="A303" t="str">
            <v>1396830550</v>
          </cell>
          <cell r="B303" t="str">
            <v>01862940</v>
          </cell>
          <cell r="C303" t="str">
            <v>JONES, ERICA C</v>
          </cell>
          <cell r="D303" t="str">
            <v>E0113748</v>
          </cell>
          <cell r="E303" t="str">
            <v>JONES ERICA C MD</v>
          </cell>
          <cell r="G303" t="str">
            <v>Kathryn Spaziani</v>
          </cell>
          <cell r="H303" t="str">
            <v>(212) 305-1190</v>
          </cell>
          <cell r="J303" t="str">
            <v>kas9171@nyp.org</v>
          </cell>
          <cell r="L303" t="str">
            <v>All Other:: Practitioner - Non-Primary Care Provider (PCP)</v>
          </cell>
          <cell r="M303" t="str">
            <v>No</v>
          </cell>
          <cell r="R303" t="str">
            <v>JONES ERICA</v>
          </cell>
          <cell r="W303" t="str">
            <v>JONES ERICA C MD</v>
          </cell>
          <cell r="X303" t="str">
            <v>CARDIOL ASSOC/STARR4</v>
          </cell>
          <cell r="Y303" t="str">
            <v>NEW YORK</v>
          </cell>
          <cell r="Z303" t="str">
            <v>NY</v>
          </cell>
          <cell r="AA303" t="str">
            <v>10021-9800</v>
          </cell>
          <cell r="AB303" t="str">
            <v>PHYSICIAN</v>
          </cell>
          <cell r="AC303" t="str">
            <v>M</v>
          </cell>
          <cell r="AD303" t="str">
            <v>No</v>
          </cell>
          <cell r="AE303" t="str">
            <v>MMIS</v>
          </cell>
          <cell r="AF303" t="str">
            <v>nypeastacn</v>
          </cell>
          <cell r="AG303" t="str">
            <v>P</v>
          </cell>
        </row>
        <row r="304">
          <cell r="A304" t="str">
            <v>1629168893</v>
          </cell>
          <cell r="B304" t="str">
            <v>02661232</v>
          </cell>
          <cell r="C304" t="str">
            <v>Worgall, Stefan</v>
          </cell>
          <cell r="D304" t="str">
            <v>E0034046</v>
          </cell>
          <cell r="E304" t="str">
            <v>WORGALL STEFAN MD</v>
          </cell>
          <cell r="G304" t="str">
            <v>Kathryn Spaziani</v>
          </cell>
          <cell r="H304" t="str">
            <v>(212) 305-1190</v>
          </cell>
          <cell r="J304" t="str">
            <v>kas9171@nyp.org</v>
          </cell>
          <cell r="L304" t="str">
            <v>All Other:: Practitioner - Primary Care Provider (PCP)</v>
          </cell>
          <cell r="M304" t="str">
            <v>No</v>
          </cell>
          <cell r="R304" t="str">
            <v>WORGALL STEFAN</v>
          </cell>
          <cell r="W304" t="str">
            <v>WORGALL STEFAN</v>
          </cell>
          <cell r="X304" t="str">
            <v>525 E 68TH ST</v>
          </cell>
          <cell r="Y304" t="str">
            <v>NEW YORK</v>
          </cell>
          <cell r="Z304" t="str">
            <v>NY</v>
          </cell>
          <cell r="AA304" t="str">
            <v>10065-4870</v>
          </cell>
          <cell r="AB304" t="str">
            <v>PHYSICIAN</v>
          </cell>
          <cell r="AC304" t="str">
            <v>M</v>
          </cell>
          <cell r="AD304" t="str">
            <v>No</v>
          </cell>
          <cell r="AE304" t="str">
            <v>MMIS</v>
          </cell>
          <cell r="AF304" t="str">
            <v>nypeastcampus</v>
          </cell>
          <cell r="AG304" t="str">
            <v>P</v>
          </cell>
        </row>
        <row r="305">
          <cell r="A305" t="str">
            <v>1578596243</v>
          </cell>
          <cell r="B305" t="str">
            <v>01820584</v>
          </cell>
          <cell r="C305" t="str">
            <v>TRUSTEES OF COLUMBIA UNIVERSITY IN CITY OF NY HEMATOLOGY ONCOLOGY</v>
          </cell>
          <cell r="D305" t="str">
            <v>E0117980</v>
          </cell>
          <cell r="E305" t="str">
            <v>HEMATOLOGY ONCOL COLUMBIA UNV</v>
          </cell>
          <cell r="L305" t="str">
            <v>All Other</v>
          </cell>
          <cell r="M305" t="str">
            <v>No</v>
          </cell>
          <cell r="R305" t="str">
            <v>TRUSTEES OF COLUMBIA UNIVERSITY IN CITY OF NY HEMATOLOGY ONCOLOGY</v>
          </cell>
          <cell r="W305" t="str">
            <v>HEMATOLOGY ONCOL COLUMBIA UNV</v>
          </cell>
          <cell r="X305" t="str">
            <v>161 FORT WASHINGTON AVE</v>
          </cell>
          <cell r="Y305" t="str">
            <v>NEW YORK</v>
          </cell>
          <cell r="Z305" t="str">
            <v>NY</v>
          </cell>
          <cell r="AA305" t="str">
            <v>10032-3729</v>
          </cell>
          <cell r="AB305" t="str">
            <v>PHYSICIANS GROUP</v>
          </cell>
          <cell r="AC305" t="str">
            <v>M</v>
          </cell>
          <cell r="AD305" t="str">
            <v>No</v>
          </cell>
          <cell r="AE305" t="str">
            <v>MMIS</v>
          </cell>
          <cell r="AF305" t="str">
            <v>nypwestacn</v>
          </cell>
          <cell r="AG305" t="str">
            <v>P</v>
          </cell>
        </row>
        <row r="306">
          <cell r="A306" t="str">
            <v>1295836021</v>
          </cell>
          <cell r="B306" t="str">
            <v>02730014</v>
          </cell>
          <cell r="C306" t="str">
            <v>SCHEVON, CATHERINE A</v>
          </cell>
          <cell r="D306" t="str">
            <v>E0027186</v>
          </cell>
          <cell r="E306" t="str">
            <v>SCHEVON CATHERINE ANNE MD</v>
          </cell>
          <cell r="G306" t="str">
            <v>Kathryn Spaziani</v>
          </cell>
          <cell r="H306" t="str">
            <v>(212) 305-1190</v>
          </cell>
          <cell r="J306" t="str">
            <v>kas9171@nyp.org</v>
          </cell>
          <cell r="L306" t="str">
            <v>Practitioner - Non-Primary Care Provider (PCP)</v>
          </cell>
          <cell r="M306" t="str">
            <v>No</v>
          </cell>
          <cell r="R306" t="str">
            <v>SCHEVON CATHERINE DR.</v>
          </cell>
          <cell r="W306" t="str">
            <v>SCHEVON CATHERINE ANNE</v>
          </cell>
          <cell r="X306" t="str">
            <v>710 W 168TH ST</v>
          </cell>
          <cell r="Y306" t="str">
            <v>NEW YORK</v>
          </cell>
          <cell r="Z306" t="str">
            <v>NY</v>
          </cell>
          <cell r="AA306" t="str">
            <v>10032-3726</v>
          </cell>
          <cell r="AB306" t="str">
            <v>PHYSICIAN</v>
          </cell>
          <cell r="AC306" t="str">
            <v>M</v>
          </cell>
          <cell r="AD306" t="str">
            <v>No</v>
          </cell>
          <cell r="AE306" t="str">
            <v>MMIS</v>
          </cell>
          <cell r="AF306" t="str">
            <v>nypwestcampus</v>
          </cell>
          <cell r="AG306" t="str">
            <v>P</v>
          </cell>
        </row>
        <row r="307">
          <cell r="A307" t="str">
            <v>1982648143</v>
          </cell>
          <cell r="B307" t="str">
            <v>02963633</v>
          </cell>
          <cell r="C307" t="str">
            <v>SCHLEIMER, HELEN L</v>
          </cell>
          <cell r="D307" t="str">
            <v>E0004693</v>
          </cell>
          <cell r="E307" t="str">
            <v>SCHLEIMER HELEN LILLI</v>
          </cell>
          <cell r="G307" t="str">
            <v>Kathryn Spaziani</v>
          </cell>
          <cell r="H307" t="str">
            <v>(212) 305-1190</v>
          </cell>
          <cell r="J307" t="str">
            <v>kas9171@nyp.org</v>
          </cell>
          <cell r="L307" t="str">
            <v>Practitioner - Non-Primary Care Provider (PCP)</v>
          </cell>
          <cell r="M307" t="str">
            <v>No</v>
          </cell>
          <cell r="R307" t="str">
            <v>SCHLEIMER HELEN DR.</v>
          </cell>
          <cell r="W307" t="str">
            <v>SCHLEIMER HELEN LILLI</v>
          </cell>
          <cell r="X307" t="str">
            <v>7925 WINCHESTER BLVD</v>
          </cell>
          <cell r="Y307" t="str">
            <v>QUEENS VILLAGE</v>
          </cell>
          <cell r="Z307" t="str">
            <v>NY</v>
          </cell>
          <cell r="AA307" t="str">
            <v>11427-2128</v>
          </cell>
          <cell r="AB307" t="str">
            <v>PHYSICIAN</v>
          </cell>
          <cell r="AC307" t="str">
            <v>M</v>
          </cell>
          <cell r="AD307" t="str">
            <v>No</v>
          </cell>
          <cell r="AE307" t="str">
            <v>MMIS</v>
          </cell>
          <cell r="AF307" t="str">
            <v>nypwestcampus</v>
          </cell>
          <cell r="AG307" t="str">
            <v>P</v>
          </cell>
        </row>
        <row r="308">
          <cell r="A308" t="str">
            <v>1982671814</v>
          </cell>
          <cell r="B308" t="str">
            <v>01836891</v>
          </cell>
          <cell r="C308" t="str">
            <v>FRANCK, JEANNE M</v>
          </cell>
          <cell r="D308" t="str">
            <v>E0116351</v>
          </cell>
          <cell r="E308" t="str">
            <v>FRANCK JEANNE</v>
          </cell>
          <cell r="G308" t="str">
            <v>Kathryn Spaziani</v>
          </cell>
          <cell r="H308" t="str">
            <v>(212) 305-1190</v>
          </cell>
          <cell r="J308" t="str">
            <v>kas9171@nyp.org</v>
          </cell>
          <cell r="L308" t="str">
            <v>Practitioner - Non-Primary Care Provider (PCP)</v>
          </cell>
          <cell r="M308" t="str">
            <v>No</v>
          </cell>
          <cell r="R308" t="str">
            <v>FRANCK JEANNE MARIE DR.</v>
          </cell>
          <cell r="W308" t="str">
            <v>FRANCK JEANNE</v>
          </cell>
          <cell r="X308" t="str">
            <v>FRANCK JEANNE</v>
          </cell>
          <cell r="Y308" t="str">
            <v>GARDEN CITY</v>
          </cell>
          <cell r="Z308" t="str">
            <v>NY</v>
          </cell>
          <cell r="AA308" t="str">
            <v>11530-5806</v>
          </cell>
          <cell r="AB308" t="str">
            <v>PHYSICIAN</v>
          </cell>
          <cell r="AC308" t="str">
            <v>M</v>
          </cell>
          <cell r="AD308" t="str">
            <v>No</v>
          </cell>
          <cell r="AE308" t="str">
            <v>MMIS</v>
          </cell>
          <cell r="AF308" t="str">
            <v>nypwestcampus</v>
          </cell>
          <cell r="AG308" t="str">
            <v>P</v>
          </cell>
        </row>
        <row r="309">
          <cell r="A309" t="str">
            <v>1598978371</v>
          </cell>
          <cell r="B309" t="str">
            <v>01536401</v>
          </cell>
          <cell r="C309" t="str">
            <v xml:space="preserve">MATHUR-WAGH, USHA </v>
          </cell>
          <cell r="D309" t="str">
            <v>E0146355</v>
          </cell>
          <cell r="E309" t="str">
            <v>WAGH USHA MATHUR MD</v>
          </cell>
          <cell r="G309" t="str">
            <v>Kathryn Spaziani</v>
          </cell>
          <cell r="H309" t="str">
            <v>(212) 305-1190</v>
          </cell>
          <cell r="J309" t="str">
            <v>kas9171@nyp.org</v>
          </cell>
          <cell r="L309" t="str">
            <v>All Other:: Practitioner - Primary Care Provider (PCP)</v>
          </cell>
          <cell r="M309" t="str">
            <v>No</v>
          </cell>
          <cell r="R309" t="str">
            <v>MATHUR-WAGH USHA DR.</v>
          </cell>
          <cell r="W309" t="str">
            <v>WAGH USHA MATHUR</v>
          </cell>
          <cell r="X309" t="str">
            <v>56 W 23RD ST</v>
          </cell>
          <cell r="Y309" t="str">
            <v>NEW YORK</v>
          </cell>
          <cell r="Z309" t="str">
            <v>NY</v>
          </cell>
          <cell r="AA309" t="str">
            <v>10010-0000</v>
          </cell>
          <cell r="AB309" t="str">
            <v>PHYSICIAN</v>
          </cell>
          <cell r="AC309" t="str">
            <v>M</v>
          </cell>
          <cell r="AD309" t="str">
            <v>No</v>
          </cell>
          <cell r="AE309" t="str">
            <v>MMIS</v>
          </cell>
          <cell r="AF309" t="str">
            <v>nypeastcampus</v>
          </cell>
          <cell r="AG309" t="str">
            <v>P</v>
          </cell>
        </row>
        <row r="310">
          <cell r="A310" t="str">
            <v>1871760124</v>
          </cell>
          <cell r="B310" t="str">
            <v>02930147</v>
          </cell>
          <cell r="C310" t="str">
            <v>PENA, KAREN M</v>
          </cell>
          <cell r="D310" t="str">
            <v>E0001006</v>
          </cell>
          <cell r="E310" t="str">
            <v>PENA KAREN</v>
          </cell>
          <cell r="G310" t="str">
            <v>Kathryn Spaziani</v>
          </cell>
          <cell r="H310" t="str">
            <v>(212) 305-1190</v>
          </cell>
          <cell r="J310" t="str">
            <v>kas9171@nyp.org</v>
          </cell>
          <cell r="L310" t="str">
            <v>Mental Health:: Practitioner - Non-Primary Care Provider (PCP)</v>
          </cell>
          <cell r="M310" t="str">
            <v>No</v>
          </cell>
          <cell r="R310" t="str">
            <v>PENA KAREN MS.</v>
          </cell>
          <cell r="W310" t="str">
            <v>PENA KAREN M</v>
          </cell>
          <cell r="X310" t="str">
            <v>622 W 168TH ST FL 4</v>
          </cell>
          <cell r="Y310" t="str">
            <v>NEW YORK</v>
          </cell>
          <cell r="Z310" t="str">
            <v>NY</v>
          </cell>
          <cell r="AA310" t="str">
            <v>10032-3720</v>
          </cell>
          <cell r="AB310" t="str">
            <v>CLINICAL SOCIAL WORKER (CSW)</v>
          </cell>
          <cell r="AC310" t="str">
            <v>M</v>
          </cell>
          <cell r="AD310" t="str">
            <v>No</v>
          </cell>
          <cell r="AE310" t="str">
            <v>MMIS</v>
          </cell>
          <cell r="AF310" t="str">
            <v>nypwestacn</v>
          </cell>
          <cell r="AG310" t="str">
            <v>P</v>
          </cell>
        </row>
        <row r="311">
          <cell r="A311" t="str">
            <v>1083751184</v>
          </cell>
          <cell r="B311" t="str">
            <v>03486326</v>
          </cell>
          <cell r="C311" t="str">
            <v>GRIMES, CARA</v>
          </cell>
          <cell r="D311" t="str">
            <v>E0338092</v>
          </cell>
          <cell r="E311" t="str">
            <v>GRIMES CARA LOUISE</v>
          </cell>
          <cell r="G311" t="str">
            <v>Kathryn Spaziani</v>
          </cell>
          <cell r="H311" t="str">
            <v>(212) 305-1248</v>
          </cell>
          <cell r="J311" t="str">
            <v>kas9171@nyp.org</v>
          </cell>
          <cell r="L311" t="str">
            <v>All Other:: Practitioner - Non-Primary Care Provider (PCP)</v>
          </cell>
          <cell r="M311" t="str">
            <v>No</v>
          </cell>
          <cell r="R311" t="str">
            <v>GRIMES CARA</v>
          </cell>
          <cell r="W311" t="str">
            <v>GRIMES CARA LOUISE</v>
          </cell>
          <cell r="X311" t="str">
            <v>622 W 168TH ST</v>
          </cell>
          <cell r="Y311" t="str">
            <v>NEW YORK</v>
          </cell>
          <cell r="Z311" t="str">
            <v>NY</v>
          </cell>
          <cell r="AA311" t="str">
            <v>10032-3720</v>
          </cell>
          <cell r="AB311" t="str">
            <v>PHYSICIAN</v>
          </cell>
          <cell r="AC311" t="str">
            <v>M</v>
          </cell>
          <cell r="AD311" t="str">
            <v>No</v>
          </cell>
          <cell r="AE311" t="str">
            <v>MMIS</v>
          </cell>
          <cell r="AF311" t="str">
            <v>nypwestacn</v>
          </cell>
          <cell r="AG311" t="str">
            <v>P</v>
          </cell>
        </row>
        <row r="312">
          <cell r="A312" t="str">
            <v>1578600177</v>
          </cell>
          <cell r="B312" t="str">
            <v>03658904</v>
          </cell>
          <cell r="C312" t="str">
            <v xml:space="preserve">YE, SIQIN </v>
          </cell>
          <cell r="D312" t="str">
            <v>E0356332</v>
          </cell>
          <cell r="E312" t="str">
            <v>YE SIQIN</v>
          </cell>
          <cell r="G312" t="str">
            <v>Kathryn Spaziani</v>
          </cell>
          <cell r="H312" t="str">
            <v>(212) 305-1190</v>
          </cell>
          <cell r="J312" t="str">
            <v>kas9171@nyp.org</v>
          </cell>
          <cell r="L312" t="str">
            <v>Practitioner - Non-Primary Care Provider (PCP)</v>
          </cell>
          <cell r="M312" t="str">
            <v>No</v>
          </cell>
          <cell r="R312" t="str">
            <v>YE SIQIN DR.</v>
          </cell>
          <cell r="W312" t="str">
            <v>YE SIQIN</v>
          </cell>
          <cell r="X312" t="str">
            <v>622 W 168TH ST PH 3-342</v>
          </cell>
          <cell r="Y312" t="str">
            <v>NEW YORK</v>
          </cell>
          <cell r="Z312" t="str">
            <v>NY</v>
          </cell>
          <cell r="AA312" t="str">
            <v>10032-3720</v>
          </cell>
          <cell r="AB312" t="str">
            <v>PHYSICIAN</v>
          </cell>
          <cell r="AC312" t="str">
            <v>M</v>
          </cell>
          <cell r="AD312" t="str">
            <v>No</v>
          </cell>
          <cell r="AE312" t="str">
            <v>MMIS</v>
          </cell>
          <cell r="AF312" t="str">
            <v>nypwestcampus</v>
          </cell>
          <cell r="AG312" t="str">
            <v>P</v>
          </cell>
        </row>
        <row r="313">
          <cell r="A313" t="str">
            <v>1578609541</v>
          </cell>
          <cell r="B313" t="str">
            <v>02828059</v>
          </cell>
          <cell r="C313" t="str">
            <v>STEVENS, AMY F</v>
          </cell>
          <cell r="D313" t="str">
            <v>E0017390</v>
          </cell>
          <cell r="E313" t="str">
            <v>STEVENS AMY</v>
          </cell>
          <cell r="G313" t="str">
            <v>Kathryn Spaziani</v>
          </cell>
          <cell r="H313" t="str">
            <v>(212) 305-1190</v>
          </cell>
          <cell r="J313" t="str">
            <v>kas9171@nyp.org</v>
          </cell>
          <cell r="L313" t="str">
            <v>Practitioner - Non-Primary Care Provider (PCP)</v>
          </cell>
          <cell r="M313" t="str">
            <v>No</v>
          </cell>
          <cell r="R313" t="str">
            <v>STEVENS AMY</v>
          </cell>
          <cell r="W313" t="str">
            <v>STEVENS AMY</v>
          </cell>
          <cell r="X313" t="str">
            <v>161 FORT WASHINGTON AVE</v>
          </cell>
          <cell r="Y313" t="str">
            <v>NEW YORK</v>
          </cell>
          <cell r="Z313" t="str">
            <v>NY</v>
          </cell>
          <cell r="AA313" t="str">
            <v>10032-3729</v>
          </cell>
          <cell r="AB313" t="str">
            <v>PHYSICIAN</v>
          </cell>
          <cell r="AC313" t="str">
            <v>M</v>
          </cell>
          <cell r="AD313" t="str">
            <v>No</v>
          </cell>
          <cell r="AE313" t="str">
            <v>MMIS</v>
          </cell>
          <cell r="AF313" t="str">
            <v>nypwestcampus</v>
          </cell>
          <cell r="AG313" t="str">
            <v>P</v>
          </cell>
        </row>
        <row r="314">
          <cell r="A314" t="str">
            <v>1033376827</v>
          </cell>
          <cell r="B314" t="str">
            <v>03375064</v>
          </cell>
          <cell r="C314" t="str">
            <v>Cohen, Lilian Liou</v>
          </cell>
          <cell r="D314" t="str">
            <v>E0324436</v>
          </cell>
          <cell r="E314" t="str">
            <v>COHEN LILIAN</v>
          </cell>
          <cell r="G314" t="str">
            <v>Kathryn Spaziani</v>
          </cell>
          <cell r="H314" t="str">
            <v>(212) 305-1190</v>
          </cell>
          <cell r="J314" t="str">
            <v>kas9171@nyp.org</v>
          </cell>
          <cell r="L314" t="str">
            <v>All Other:: Practitioner - Non-Primary Care Provider (PCP)</v>
          </cell>
          <cell r="M314" t="str">
            <v>No</v>
          </cell>
          <cell r="R314" t="str">
            <v>COHEN LILIAN DR.</v>
          </cell>
          <cell r="W314" t="str">
            <v>COHEN LILIAN LIOU</v>
          </cell>
          <cell r="X314" t="str">
            <v>525 E 68TH ST</v>
          </cell>
          <cell r="Y314" t="str">
            <v>NEW YORK</v>
          </cell>
          <cell r="Z314" t="str">
            <v>NY</v>
          </cell>
          <cell r="AA314" t="str">
            <v>10065-4870</v>
          </cell>
          <cell r="AB314" t="str">
            <v>PHYSICIAN</v>
          </cell>
          <cell r="AC314" t="str">
            <v>M</v>
          </cell>
          <cell r="AD314" t="str">
            <v>No</v>
          </cell>
          <cell r="AE314" t="str">
            <v>MMIS</v>
          </cell>
          <cell r="AF314" t="str">
            <v>nypeastcampus</v>
          </cell>
          <cell r="AG314" t="str">
            <v>P</v>
          </cell>
        </row>
        <row r="315">
          <cell r="A315" t="str">
            <v>1821388182</v>
          </cell>
          <cell r="C315" t="str">
            <v>Esenther Brandon</v>
          </cell>
          <cell r="G315" t="str">
            <v>Kathryn Spaziani</v>
          </cell>
          <cell r="H315" t="str">
            <v>(212) 305-1255</v>
          </cell>
          <cell r="J315" t="str">
            <v>kas9171@nyp.org</v>
          </cell>
          <cell r="K315" t="str">
            <v>Physician</v>
          </cell>
          <cell r="L315" t="str">
            <v>Uncategorized</v>
          </cell>
          <cell r="M315" t="str">
            <v>No</v>
          </cell>
          <cell r="R315" t="str">
            <v>ESENTHER BRANDON</v>
          </cell>
          <cell r="S315" t="str">
            <v>622 W 168TH ST, PH5-133 STEM</v>
          </cell>
          <cell r="T315" t="str">
            <v>NEW YORK</v>
          </cell>
          <cell r="U315" t="str">
            <v>NY</v>
          </cell>
          <cell r="V315" t="str">
            <v>100323720</v>
          </cell>
          <cell r="AC315" t="str">
            <v>M</v>
          </cell>
          <cell r="AD315" t="str">
            <v>No</v>
          </cell>
          <cell r="AE315" t="str">
            <v>NPI only</v>
          </cell>
          <cell r="AF315" t="str">
            <v>nypeastacn</v>
          </cell>
          <cell r="AG315" t="str">
            <v>P</v>
          </cell>
        </row>
        <row r="316">
          <cell r="A316" t="str">
            <v>1245596204</v>
          </cell>
          <cell r="C316" t="str">
            <v>Evers Jacob</v>
          </cell>
          <cell r="G316" t="str">
            <v>Kathryn Spaziani</v>
          </cell>
          <cell r="H316" t="str">
            <v>(212) 305-1255</v>
          </cell>
          <cell r="J316" t="str">
            <v>kas9171@nyp.org</v>
          </cell>
          <cell r="K316" t="str">
            <v>Physician</v>
          </cell>
          <cell r="L316" t="str">
            <v>Uncategorized</v>
          </cell>
          <cell r="M316" t="str">
            <v>No</v>
          </cell>
          <cell r="R316" t="str">
            <v>EVERS JACOB MR.</v>
          </cell>
          <cell r="S316" t="str">
            <v>177 FORT WASHINGTON AVE</v>
          </cell>
          <cell r="T316" t="str">
            <v>NEW YORK</v>
          </cell>
          <cell r="U316" t="str">
            <v>NY</v>
          </cell>
          <cell r="V316" t="str">
            <v>100323733</v>
          </cell>
          <cell r="AC316" t="str">
            <v>M</v>
          </cell>
          <cell r="AD316" t="str">
            <v>No</v>
          </cell>
          <cell r="AE316" t="str">
            <v>NPI only</v>
          </cell>
          <cell r="AF316" t="str">
            <v>nypwestcampus</v>
          </cell>
          <cell r="AG316" t="str">
            <v>P</v>
          </cell>
        </row>
        <row r="317">
          <cell r="A317" t="str">
            <v>1164519575</v>
          </cell>
          <cell r="B317" t="str">
            <v>02099145</v>
          </cell>
          <cell r="C317" t="str">
            <v>TAYLOR, DELPHINE S</v>
          </cell>
          <cell r="D317" t="str">
            <v>E0090154</v>
          </cell>
          <cell r="E317" t="str">
            <v>TAYLOR DELPHINE MD</v>
          </cell>
          <cell r="G317" t="str">
            <v>Kathryn Spaziani</v>
          </cell>
          <cell r="H317" t="str">
            <v>(212) 305-1190</v>
          </cell>
          <cell r="J317" t="str">
            <v>kas9171@nyp.org</v>
          </cell>
          <cell r="L317" t="str">
            <v>All Other:: Practitioner - Primary Care Provider (PCP)</v>
          </cell>
          <cell r="M317" t="str">
            <v>Yes</v>
          </cell>
          <cell r="R317" t="str">
            <v>TAYLOR DELPHINE DR.</v>
          </cell>
          <cell r="W317" t="str">
            <v>TAYLOR DELPHINE MD</v>
          </cell>
          <cell r="X317" t="str">
            <v>NY PRESBYTERIAN</v>
          </cell>
          <cell r="Y317" t="str">
            <v>NEW YORK</v>
          </cell>
          <cell r="Z317" t="str">
            <v>NY</v>
          </cell>
          <cell r="AA317" t="str">
            <v>10032-3720</v>
          </cell>
          <cell r="AB317" t="str">
            <v>PHYSICIAN</v>
          </cell>
          <cell r="AC317" t="str">
            <v>M</v>
          </cell>
          <cell r="AD317" t="str">
            <v>No</v>
          </cell>
          <cell r="AE317" t="str">
            <v>MMIS</v>
          </cell>
          <cell r="AF317" t="str">
            <v>nypwestcampus</v>
          </cell>
          <cell r="AG317" t="str">
            <v>P</v>
          </cell>
        </row>
        <row r="318">
          <cell r="A318" t="str">
            <v>1326072745</v>
          </cell>
          <cell r="C318" t="str">
            <v>Youm Sookie</v>
          </cell>
          <cell r="G318" t="str">
            <v>Kathryn Spaziani</v>
          </cell>
          <cell r="H318" t="str">
            <v>(212) 305-1255</v>
          </cell>
          <cell r="J318" t="str">
            <v>kas9171@nyp.org</v>
          </cell>
          <cell r="K318" t="str">
            <v>Physician</v>
          </cell>
          <cell r="L318" t="str">
            <v>Uncategorized</v>
          </cell>
          <cell r="M318" t="str">
            <v>No</v>
          </cell>
          <cell r="R318" t="str">
            <v>YOUM SOOKIE MS.</v>
          </cell>
          <cell r="S318" t="str">
            <v>133 MOORE AVE</v>
          </cell>
          <cell r="T318" t="str">
            <v>LEONIA</v>
          </cell>
          <cell r="U318" t="str">
            <v>NJ</v>
          </cell>
          <cell r="V318" t="str">
            <v>076052009</v>
          </cell>
          <cell r="AC318" t="str">
            <v>M</v>
          </cell>
          <cell r="AD318" t="str">
            <v>No</v>
          </cell>
          <cell r="AE318" t="str">
            <v>NPI only</v>
          </cell>
          <cell r="AF318" t="str">
            <v>nypwestcampus</v>
          </cell>
          <cell r="AG318" t="str">
            <v>P</v>
          </cell>
        </row>
        <row r="319">
          <cell r="A319" t="str">
            <v>1437292067</v>
          </cell>
          <cell r="C319" t="str">
            <v>Yun Jongmin</v>
          </cell>
          <cell r="G319" t="str">
            <v>Kathryn Spaziani</v>
          </cell>
          <cell r="H319" t="str">
            <v>(212) 305-1255</v>
          </cell>
          <cell r="J319" t="str">
            <v>kas9171@nyp.org</v>
          </cell>
          <cell r="K319" t="str">
            <v>Physician</v>
          </cell>
          <cell r="L319" t="str">
            <v>Uncategorized</v>
          </cell>
          <cell r="M319" t="str">
            <v>No</v>
          </cell>
          <cell r="R319" t="str">
            <v>YUN JONGMIN MS.</v>
          </cell>
          <cell r="S319" t="str">
            <v>622 W 168TH ST</v>
          </cell>
          <cell r="T319" t="str">
            <v>NEW YORK</v>
          </cell>
          <cell r="U319" t="str">
            <v>NY</v>
          </cell>
          <cell r="V319" t="str">
            <v>100323720</v>
          </cell>
          <cell r="AC319" t="str">
            <v>M</v>
          </cell>
          <cell r="AD319" t="str">
            <v>No</v>
          </cell>
          <cell r="AE319" t="str">
            <v>NPI only</v>
          </cell>
          <cell r="AF319" t="str">
            <v>nypwestcampus</v>
          </cell>
          <cell r="AG319" t="str">
            <v>P</v>
          </cell>
        </row>
        <row r="320">
          <cell r="A320" t="str">
            <v>1023453966</v>
          </cell>
          <cell r="C320" t="str">
            <v>Arora Neeti</v>
          </cell>
          <cell r="G320" t="str">
            <v>Kathryn Spaziani</v>
          </cell>
          <cell r="H320" t="str">
            <v>(212) 305-1255</v>
          </cell>
          <cell r="J320" t="str">
            <v>kas9171@nyp.org</v>
          </cell>
          <cell r="K320" t="str">
            <v>Physician</v>
          </cell>
          <cell r="L320" t="str">
            <v>Uncategorized</v>
          </cell>
          <cell r="M320" t="str">
            <v>No</v>
          </cell>
          <cell r="R320" t="str">
            <v>ARORA NEETI</v>
          </cell>
          <cell r="S320" t="str">
            <v>9800 VESPER AVE, #105</v>
          </cell>
          <cell r="T320" t="str">
            <v>PANORAMA CITY</v>
          </cell>
          <cell r="U320" t="str">
            <v>CA</v>
          </cell>
          <cell r="V320" t="str">
            <v>914021049</v>
          </cell>
          <cell r="AC320" t="str">
            <v>M</v>
          </cell>
          <cell r="AD320" t="str">
            <v>No</v>
          </cell>
          <cell r="AE320" t="str">
            <v>NPI only</v>
          </cell>
          <cell r="AF320" t="str">
            <v>nypeastcampus</v>
          </cell>
          <cell r="AG320" t="str">
            <v>P</v>
          </cell>
        </row>
        <row r="321">
          <cell r="A321" t="str">
            <v>1235376401</v>
          </cell>
          <cell r="B321" t="str">
            <v>03078897</v>
          </cell>
          <cell r="C321" t="str">
            <v>CASIMIR, YVES E</v>
          </cell>
          <cell r="D321" t="str">
            <v>E0290534</v>
          </cell>
          <cell r="E321" t="str">
            <v>CASIMIR YVES</v>
          </cell>
          <cell r="G321" t="str">
            <v>Kathryn Spaziani</v>
          </cell>
          <cell r="H321" t="str">
            <v>(212) 305-1190</v>
          </cell>
          <cell r="J321" t="str">
            <v>kas9171@nyp.org</v>
          </cell>
          <cell r="L321" t="str">
            <v>All Other:: Practitioner - Primary Care Provider (PCP)</v>
          </cell>
          <cell r="M321" t="str">
            <v>Yes</v>
          </cell>
          <cell r="R321" t="str">
            <v>CASIMIR YVES</v>
          </cell>
          <cell r="W321" t="str">
            <v>CASIMIR YVES EDELINE</v>
          </cell>
          <cell r="X321" t="str">
            <v>622 W 168TH ST FL 2</v>
          </cell>
          <cell r="Y321" t="str">
            <v>NEW YORK</v>
          </cell>
          <cell r="Z321" t="str">
            <v>NY</v>
          </cell>
          <cell r="AA321" t="str">
            <v>10032-3720</v>
          </cell>
          <cell r="AB321" t="str">
            <v>PHYSICIAN</v>
          </cell>
          <cell r="AC321" t="str">
            <v>M</v>
          </cell>
          <cell r="AD321" t="str">
            <v>No</v>
          </cell>
          <cell r="AE321" t="str">
            <v>MMIS</v>
          </cell>
          <cell r="AF321" t="str">
            <v>nypwestcampus</v>
          </cell>
          <cell r="AG321" t="str">
            <v>P</v>
          </cell>
        </row>
        <row r="322">
          <cell r="A322" t="str">
            <v>1679535314</v>
          </cell>
          <cell r="B322" t="str">
            <v>03330398</v>
          </cell>
          <cell r="C322" t="str">
            <v>HOROWITZ, JASON D</v>
          </cell>
          <cell r="D322" t="str">
            <v>E0319195</v>
          </cell>
          <cell r="E322" t="str">
            <v>HOROWITZ JASON</v>
          </cell>
          <cell r="G322" t="str">
            <v>Kathryn Spaziani</v>
          </cell>
          <cell r="H322" t="str">
            <v>(212) 305-1190</v>
          </cell>
          <cell r="J322" t="str">
            <v>kas9171@nyp.org</v>
          </cell>
          <cell r="L322" t="str">
            <v>All Other:: Practitioner - Non-Primary Care Provider (PCP)</v>
          </cell>
          <cell r="M322" t="str">
            <v>No</v>
          </cell>
          <cell r="R322" t="str">
            <v>HOROWITZ JASON DR.</v>
          </cell>
          <cell r="W322" t="str">
            <v>HOROWITZ JASON D</v>
          </cell>
          <cell r="X322" t="str">
            <v>635 W 165TH ST</v>
          </cell>
          <cell r="Y322" t="str">
            <v>NEW YORK</v>
          </cell>
          <cell r="Z322" t="str">
            <v>NY</v>
          </cell>
          <cell r="AA322" t="str">
            <v>10032-3724</v>
          </cell>
          <cell r="AB322" t="str">
            <v>PHYSICIAN</v>
          </cell>
          <cell r="AC322" t="str">
            <v>M</v>
          </cell>
          <cell r="AD322" t="str">
            <v>No</v>
          </cell>
          <cell r="AE322" t="str">
            <v>MMIS</v>
          </cell>
          <cell r="AF322" t="str">
            <v>nypwestacn</v>
          </cell>
          <cell r="AG322" t="str">
            <v>P</v>
          </cell>
        </row>
        <row r="323">
          <cell r="A323" t="str">
            <v>1679657019</v>
          </cell>
          <cell r="B323" t="str">
            <v>02227961</v>
          </cell>
          <cell r="C323" t="str">
            <v>STAVROPOULOS, STAVROS N</v>
          </cell>
          <cell r="D323" t="str">
            <v>E0077293</v>
          </cell>
          <cell r="E323" t="str">
            <v>STAVROPOULOS STAVROS N</v>
          </cell>
          <cell r="G323" t="str">
            <v>Kathryn Spaziani</v>
          </cell>
          <cell r="H323" t="str">
            <v>(212) 305-1190</v>
          </cell>
          <cell r="J323" t="str">
            <v>kas9171@nyp.org</v>
          </cell>
          <cell r="L323" t="str">
            <v>All Other:: Practitioner - Non-Primary Care Provider (PCP)</v>
          </cell>
          <cell r="M323" t="str">
            <v>No</v>
          </cell>
          <cell r="R323" t="str">
            <v>STAVROPOULOS STAVROS DR.</v>
          </cell>
          <cell r="W323" t="str">
            <v>STAVROPOULOS STAVROS N</v>
          </cell>
          <cell r="X323" t="str">
            <v>161 FORT WASHINGTON AVE</v>
          </cell>
          <cell r="Y323" t="str">
            <v>NEW YORK</v>
          </cell>
          <cell r="Z323" t="str">
            <v>NY</v>
          </cell>
          <cell r="AA323" t="str">
            <v>10032-3729</v>
          </cell>
          <cell r="AB323" t="str">
            <v>PHYSICIAN</v>
          </cell>
          <cell r="AC323" t="str">
            <v>M</v>
          </cell>
          <cell r="AD323" t="str">
            <v>No</v>
          </cell>
          <cell r="AE323" t="str">
            <v>MMIS</v>
          </cell>
          <cell r="AF323" t="str">
            <v>nypwestcampus</v>
          </cell>
          <cell r="AG323" t="str">
            <v>P</v>
          </cell>
        </row>
        <row r="324">
          <cell r="A324" t="str">
            <v>1629285630</v>
          </cell>
          <cell r="B324" t="str">
            <v>02883241</v>
          </cell>
          <cell r="C324" t="str">
            <v>Sy Calvin</v>
          </cell>
          <cell r="D324" t="str">
            <v>E0011880</v>
          </cell>
          <cell r="E324" t="str">
            <v>SY CALVIN GO MD</v>
          </cell>
          <cell r="L324" t="str">
            <v>All Other:: Practitioner - Non-Primary Care Provider (PCP)</v>
          </cell>
          <cell r="M324" t="str">
            <v>No</v>
          </cell>
          <cell r="R324" t="str">
            <v>SY CALVIN</v>
          </cell>
          <cell r="W324" t="str">
            <v>SY CALVIN GO MD</v>
          </cell>
          <cell r="X324" t="str">
            <v>525 E 68TH ST</v>
          </cell>
          <cell r="Y324" t="str">
            <v>NEW YORK</v>
          </cell>
          <cell r="Z324" t="str">
            <v>NY</v>
          </cell>
          <cell r="AA324" t="str">
            <v>10065-4870</v>
          </cell>
          <cell r="AB324" t="str">
            <v>PHYSICIAN</v>
          </cell>
          <cell r="AC324" t="str">
            <v>M</v>
          </cell>
          <cell r="AD324" t="str">
            <v>No</v>
          </cell>
          <cell r="AE324" t="str">
            <v>MMIS</v>
          </cell>
          <cell r="AF324" t="str">
            <v>nypeastcampus</v>
          </cell>
          <cell r="AG324" t="str">
            <v>P</v>
          </cell>
        </row>
        <row r="325">
          <cell r="A325" t="str">
            <v>1255659785</v>
          </cell>
          <cell r="B325" t="str">
            <v>03340278</v>
          </cell>
          <cell r="C325" t="str">
            <v>Yhu Stephen</v>
          </cell>
          <cell r="D325" t="str">
            <v>E0320305</v>
          </cell>
          <cell r="E325" t="str">
            <v>YHU STEPHEN</v>
          </cell>
          <cell r="L325" t="str">
            <v>All Other:: Practitioner - Non-Primary Care Provider (PCP)</v>
          </cell>
          <cell r="M325" t="str">
            <v>No</v>
          </cell>
          <cell r="R325" t="str">
            <v>YHU STEPHEN DR.</v>
          </cell>
          <cell r="W325" t="str">
            <v>YHU STEPHEN</v>
          </cell>
          <cell r="X325" t="str">
            <v>525 E 68TH ST</v>
          </cell>
          <cell r="Y325" t="str">
            <v>NEW YORK</v>
          </cell>
          <cell r="Z325" t="str">
            <v>NY</v>
          </cell>
          <cell r="AA325" t="str">
            <v>10065-4885</v>
          </cell>
          <cell r="AB325" t="str">
            <v>PHYSICIAN</v>
          </cell>
          <cell r="AC325" t="str">
            <v>M</v>
          </cell>
          <cell r="AD325" t="str">
            <v>No</v>
          </cell>
          <cell r="AE325" t="str">
            <v>MMIS</v>
          </cell>
          <cell r="AF325" t="str">
            <v>nypeastcampus</v>
          </cell>
          <cell r="AG325" t="str">
            <v>P</v>
          </cell>
        </row>
        <row r="326">
          <cell r="A326" t="str">
            <v>1891952768</v>
          </cell>
          <cell r="B326" t="str">
            <v>03227061</v>
          </cell>
          <cell r="C326" t="str">
            <v>GERALDINO-PARDILLA, LAURA B</v>
          </cell>
          <cell r="D326" t="str">
            <v>E0307427</v>
          </cell>
          <cell r="E326" t="str">
            <v>GERALDINO PARDILLA LAURA BERNICE</v>
          </cell>
          <cell r="G326" t="str">
            <v>Kathryn Spaziani</v>
          </cell>
          <cell r="H326" t="str">
            <v>(212) 305-1190</v>
          </cell>
          <cell r="J326" t="str">
            <v>kas9171@nyp.org</v>
          </cell>
          <cell r="L326" t="str">
            <v>All Other:: Practitioner - Non-Primary Care Provider (PCP)</v>
          </cell>
          <cell r="M326" t="str">
            <v>No</v>
          </cell>
          <cell r="R326" t="str">
            <v>GERALDINO PARDILLA LAURA</v>
          </cell>
          <cell r="W326" t="str">
            <v>GERALDINO PARDILLA LAURA BERNICE</v>
          </cell>
          <cell r="X326" t="str">
            <v>622 W 168TH ST</v>
          </cell>
          <cell r="Y326" t="str">
            <v>NEW YORK</v>
          </cell>
          <cell r="Z326" t="str">
            <v>NY</v>
          </cell>
          <cell r="AA326" t="str">
            <v>10032-3720</v>
          </cell>
          <cell r="AB326" t="str">
            <v>PHYSICIAN</v>
          </cell>
          <cell r="AC326" t="str">
            <v>M</v>
          </cell>
          <cell r="AD326" t="str">
            <v>No</v>
          </cell>
          <cell r="AE326" t="str">
            <v>MMIS</v>
          </cell>
          <cell r="AF326" t="str">
            <v>nypwestcampus</v>
          </cell>
          <cell r="AG326" t="str">
            <v>P</v>
          </cell>
        </row>
        <row r="327">
          <cell r="A327" t="str">
            <v>1407000375</v>
          </cell>
          <cell r="B327" t="str">
            <v>03090466</v>
          </cell>
          <cell r="C327" t="str">
            <v>MARTIR, JEANNETTE E</v>
          </cell>
          <cell r="D327" t="str">
            <v>E0291905</v>
          </cell>
          <cell r="E327" t="str">
            <v>MARTIR JEANNETTE</v>
          </cell>
          <cell r="G327" t="str">
            <v>Kathryn Spaziani</v>
          </cell>
          <cell r="H327" t="str">
            <v>(212) 305-1190</v>
          </cell>
          <cell r="J327" t="str">
            <v>kas9171@nyp.org</v>
          </cell>
          <cell r="L327" t="str">
            <v>Practitioner - Non-Primary Care Provider (PCP)</v>
          </cell>
          <cell r="M327" t="str">
            <v>No</v>
          </cell>
          <cell r="R327" t="str">
            <v>MARTIR JEANETTE</v>
          </cell>
          <cell r="W327" t="str">
            <v>MARTIR JEANNETTE</v>
          </cell>
          <cell r="X327" t="str">
            <v>21 AUDUBON AVE</v>
          </cell>
          <cell r="Y327" t="str">
            <v>NEW YORK</v>
          </cell>
          <cell r="Z327" t="str">
            <v>NY</v>
          </cell>
          <cell r="AA327" t="str">
            <v>10032-4220</v>
          </cell>
          <cell r="AB327" t="str">
            <v>CLINICAL SOCIAL WORKER (CSW)</v>
          </cell>
          <cell r="AC327" t="str">
            <v>M</v>
          </cell>
          <cell r="AD327" t="str">
            <v>No</v>
          </cell>
          <cell r="AE327" t="str">
            <v>MMIS</v>
          </cell>
          <cell r="AF327" t="str">
            <v>nypwestacn</v>
          </cell>
          <cell r="AG327" t="str">
            <v>P</v>
          </cell>
        </row>
        <row r="328">
          <cell r="A328" t="str">
            <v>1083638266</v>
          </cell>
          <cell r="B328" t="str">
            <v>02310483</v>
          </cell>
          <cell r="C328" t="str">
            <v>FLYNN, JOHN T</v>
          </cell>
          <cell r="D328" t="str">
            <v>E0069053</v>
          </cell>
          <cell r="E328" t="str">
            <v>FLYNN JOHN THOMAS MD</v>
          </cell>
          <cell r="G328" t="str">
            <v>Kathryn Spaziani</v>
          </cell>
          <cell r="H328" t="str">
            <v>(212) 305-1190</v>
          </cell>
          <cell r="J328" t="str">
            <v>kas9171@nyp.org</v>
          </cell>
          <cell r="L328" t="str">
            <v>Practitioner - Non-Primary Care Provider (PCP)</v>
          </cell>
          <cell r="M328" t="str">
            <v>No</v>
          </cell>
          <cell r="R328" t="str">
            <v>FLYNN JOHN</v>
          </cell>
          <cell r="W328" t="str">
            <v>FLYNN JOHN THOMAS MD</v>
          </cell>
          <cell r="X328" t="str">
            <v>HARKNESS EYE INST</v>
          </cell>
          <cell r="Y328" t="str">
            <v>NEW YORK</v>
          </cell>
          <cell r="Z328" t="str">
            <v>NY</v>
          </cell>
          <cell r="AA328" t="str">
            <v>10032-3724</v>
          </cell>
          <cell r="AB328" t="str">
            <v>PHYSICIAN</v>
          </cell>
          <cell r="AC328" t="str">
            <v>M</v>
          </cell>
          <cell r="AD328" t="str">
            <v>No</v>
          </cell>
          <cell r="AE328" t="str">
            <v>MMIS</v>
          </cell>
          <cell r="AF328" t="str">
            <v>nypwestcampus</v>
          </cell>
          <cell r="AG328" t="str">
            <v>P</v>
          </cell>
        </row>
        <row r="329">
          <cell r="A329" t="str">
            <v>1487888442</v>
          </cell>
          <cell r="B329" t="str">
            <v>03887152</v>
          </cell>
          <cell r="C329" t="str">
            <v>Al-Khalili Rend</v>
          </cell>
          <cell r="D329" t="str">
            <v>E0379852</v>
          </cell>
          <cell r="E329" t="str">
            <v>AL-KHALILI REND</v>
          </cell>
          <cell r="L329" t="str">
            <v>All Other:: Practitioner - Non-Primary Care Provider (PCP)</v>
          </cell>
          <cell r="M329" t="str">
            <v>No</v>
          </cell>
          <cell r="R329" t="str">
            <v>AL-KHALILI REND</v>
          </cell>
          <cell r="W329" t="str">
            <v>AL-KHALILI REND</v>
          </cell>
          <cell r="X329" t="str">
            <v>622 WEST 168TH ST</v>
          </cell>
          <cell r="Y329" t="str">
            <v>NEW YORK</v>
          </cell>
          <cell r="Z329" t="str">
            <v>NY</v>
          </cell>
          <cell r="AA329" t="str">
            <v>10032-3720</v>
          </cell>
          <cell r="AB329" t="str">
            <v>PHYSICIAN</v>
          </cell>
          <cell r="AC329" t="str">
            <v>M</v>
          </cell>
          <cell r="AD329" t="str">
            <v>No</v>
          </cell>
          <cell r="AE329" t="str">
            <v>MMIS</v>
          </cell>
          <cell r="AF329" t="str">
            <v>nypwestacn</v>
          </cell>
          <cell r="AG329" t="str">
            <v>P</v>
          </cell>
        </row>
        <row r="330">
          <cell r="A330" t="str">
            <v>1972539153</v>
          </cell>
          <cell r="B330" t="str">
            <v>01892819</v>
          </cell>
          <cell r="C330" t="str">
            <v>Desperito Elise</v>
          </cell>
          <cell r="D330" t="str">
            <v>E0110763</v>
          </cell>
          <cell r="E330" t="str">
            <v>DESPERITO ELISE MD</v>
          </cell>
          <cell r="L330" t="str">
            <v>All Other:: Practitioner - Non-Primary Care Provider (PCP)</v>
          </cell>
          <cell r="M330" t="str">
            <v>No</v>
          </cell>
          <cell r="R330" t="str">
            <v>DESPERITO ELISE MRS.</v>
          </cell>
          <cell r="W330" t="str">
            <v>DESPERITO ELISE MD</v>
          </cell>
          <cell r="X330" t="str">
            <v>MT SINAI RADIOL ASC</v>
          </cell>
          <cell r="Y330" t="str">
            <v>NEW YORK</v>
          </cell>
          <cell r="Z330" t="str">
            <v>NY</v>
          </cell>
          <cell r="AA330" t="str">
            <v>10029-6500</v>
          </cell>
          <cell r="AB330" t="str">
            <v>PHYSICIAN</v>
          </cell>
          <cell r="AC330" t="str">
            <v>M</v>
          </cell>
          <cell r="AD330" t="str">
            <v>No</v>
          </cell>
          <cell r="AE330" t="str">
            <v>MMIS</v>
          </cell>
          <cell r="AF330" t="str">
            <v>nypwestcampus</v>
          </cell>
          <cell r="AG330" t="str">
            <v>P</v>
          </cell>
        </row>
        <row r="331">
          <cell r="A331" t="str">
            <v>1538218706</v>
          </cell>
          <cell r="B331" t="str">
            <v>03377988</v>
          </cell>
          <cell r="C331" t="str">
            <v>Friedlander Lauren</v>
          </cell>
          <cell r="D331" t="str">
            <v>E0324835</v>
          </cell>
          <cell r="E331" t="str">
            <v>FRIEDLANDER LAUREN CANTER</v>
          </cell>
          <cell r="L331" t="str">
            <v>All Other:: Practitioner - Non-Primary Care Provider (PCP)</v>
          </cell>
          <cell r="M331" t="str">
            <v>No</v>
          </cell>
          <cell r="R331" t="str">
            <v>FRIEDLANDER LAUREN</v>
          </cell>
          <cell r="W331" t="str">
            <v>FRIEDLANDER LAUREN CANTER</v>
          </cell>
          <cell r="X331" t="str">
            <v>622 W 168TH ST</v>
          </cell>
          <cell r="Y331" t="str">
            <v>NEW YORK</v>
          </cell>
          <cell r="Z331" t="str">
            <v>NY</v>
          </cell>
          <cell r="AA331" t="str">
            <v>10032-3720</v>
          </cell>
          <cell r="AB331" t="str">
            <v>PHYSICIAN</v>
          </cell>
          <cell r="AC331" t="str">
            <v>M</v>
          </cell>
          <cell r="AD331" t="str">
            <v>No</v>
          </cell>
          <cell r="AE331" t="str">
            <v>MMIS</v>
          </cell>
          <cell r="AF331" t="str">
            <v>nypwestcampus</v>
          </cell>
          <cell r="AG331" t="str">
            <v>P</v>
          </cell>
        </row>
        <row r="332">
          <cell r="A332" t="str">
            <v>1114015484</v>
          </cell>
          <cell r="B332" t="str">
            <v>02677750</v>
          </cell>
          <cell r="C332" t="str">
            <v>DeLaMora, Patricia A.</v>
          </cell>
          <cell r="D332" t="str">
            <v>E0032400</v>
          </cell>
          <cell r="E332" t="str">
            <v>DELAMORA PATRICIA A MD</v>
          </cell>
          <cell r="G332" t="str">
            <v>Kathryn Spaziani</v>
          </cell>
          <cell r="H332" t="str">
            <v>(212) 305-1190</v>
          </cell>
          <cell r="J332" t="str">
            <v>kas9171@nyp.org</v>
          </cell>
          <cell r="L332" t="str">
            <v>Practitioner - Non-Primary Care Provider (PCP)</v>
          </cell>
          <cell r="M332" t="str">
            <v>No</v>
          </cell>
          <cell r="R332" t="str">
            <v>DELAMORA PATRICIA</v>
          </cell>
          <cell r="W332" t="str">
            <v>DELAMORA PATRICIA A MD</v>
          </cell>
          <cell r="X332" t="str">
            <v>525 E 68TH ST # M-6</v>
          </cell>
          <cell r="Y332" t="str">
            <v>NEW YORK</v>
          </cell>
          <cell r="Z332" t="str">
            <v>NY</v>
          </cell>
          <cell r="AA332" t="str">
            <v>10065-4870</v>
          </cell>
          <cell r="AB332" t="str">
            <v>PHYSICIAN</v>
          </cell>
          <cell r="AC332" t="str">
            <v>M</v>
          </cell>
          <cell r="AD332" t="str">
            <v>No</v>
          </cell>
          <cell r="AE332" t="str">
            <v>MMIS</v>
          </cell>
          <cell r="AF332" t="str">
            <v>nypeastacn</v>
          </cell>
          <cell r="AG332" t="str">
            <v>P</v>
          </cell>
        </row>
        <row r="333">
          <cell r="A333" t="str">
            <v>1932248705</v>
          </cell>
          <cell r="B333" t="str">
            <v>03211992</v>
          </cell>
          <cell r="C333" t="str">
            <v>RYNN, MOIRA A</v>
          </cell>
          <cell r="D333" t="str">
            <v>E0305790</v>
          </cell>
          <cell r="E333" t="str">
            <v>RYNN MOIRA ANN</v>
          </cell>
          <cell r="G333" t="str">
            <v>Kathryn Spaziani</v>
          </cell>
          <cell r="H333" t="str">
            <v>(212) 305-1190</v>
          </cell>
          <cell r="J333" t="str">
            <v>kas9171@nyp.org</v>
          </cell>
          <cell r="L333" t="str">
            <v>Practitioner - Non-Primary Care Provider (PCP)</v>
          </cell>
          <cell r="M333" t="str">
            <v>No</v>
          </cell>
          <cell r="R333" t="str">
            <v>RYNN MOIRA DR.</v>
          </cell>
          <cell r="W333" t="str">
            <v>RYNN MOIRA ANN</v>
          </cell>
          <cell r="X333" t="str">
            <v>3959 BROADWAY FL 6</v>
          </cell>
          <cell r="Y333" t="str">
            <v>NEW YORK</v>
          </cell>
          <cell r="Z333" t="str">
            <v>NY</v>
          </cell>
          <cell r="AA333" t="str">
            <v>10032-1559</v>
          </cell>
          <cell r="AB333" t="str">
            <v>PHYSICIAN</v>
          </cell>
          <cell r="AC333" t="str">
            <v>M</v>
          </cell>
          <cell r="AD333" t="str">
            <v>No</v>
          </cell>
          <cell r="AE333" t="str">
            <v>MMIS</v>
          </cell>
          <cell r="AF333" t="str">
            <v>nypwestcampus</v>
          </cell>
          <cell r="AG333" t="str">
            <v>P</v>
          </cell>
        </row>
        <row r="334">
          <cell r="A334" t="str">
            <v>1952332801</v>
          </cell>
          <cell r="B334" t="str">
            <v>02998658</v>
          </cell>
          <cell r="C334" t="str">
            <v>WCMC NYP Main</v>
          </cell>
          <cell r="D334" t="str">
            <v>E0274062</v>
          </cell>
          <cell r="E334" t="str">
            <v>NY HOSPITAL</v>
          </cell>
          <cell r="G334" t="str">
            <v>Kathryn Spaziani</v>
          </cell>
          <cell r="H334" t="str">
            <v>(212) 305-1190</v>
          </cell>
          <cell r="J334" t="str">
            <v>kas9171@nyp.org</v>
          </cell>
          <cell r="L334" t="str">
            <v>All Other:: Case Management / Health Home:: Clinic:: Hospital:: Mental Health:: Pharmacy:: Substance Abuse</v>
          </cell>
          <cell r="M334" t="str">
            <v>Yes</v>
          </cell>
          <cell r="R334" t="str">
            <v>THE NEW YORK AND PRESBYTERIAN HOSPITAL</v>
          </cell>
          <cell r="W334" t="str">
            <v>NEW YORK PRESBYTERIAN HOSPITAL</v>
          </cell>
          <cell r="X334" t="str">
            <v>525 E 68TH ST</v>
          </cell>
          <cell r="Y334" t="str">
            <v>NEW YORK</v>
          </cell>
          <cell r="Z334" t="str">
            <v>NY</v>
          </cell>
          <cell r="AA334" t="str">
            <v>10065-4870</v>
          </cell>
          <cell r="AB334" t="str">
            <v>HOSPITAL</v>
          </cell>
          <cell r="AC334" t="str">
            <v>M</v>
          </cell>
          <cell r="AD334" t="str">
            <v>No</v>
          </cell>
          <cell r="AE334" t="str">
            <v>MMIS</v>
          </cell>
          <cell r="AF334" t="str">
            <v>nypeastcampus</v>
          </cell>
          <cell r="AG334" t="str">
            <v>P</v>
          </cell>
        </row>
        <row r="335">
          <cell r="A335" t="str">
            <v>1013188416</v>
          </cell>
          <cell r="B335" t="str">
            <v>03024971</v>
          </cell>
          <cell r="C335" t="str">
            <v>CONYBEARE, RACHEL A</v>
          </cell>
          <cell r="D335" t="str">
            <v>E0284452</v>
          </cell>
          <cell r="E335" t="str">
            <v>RACHEL A CONYBEARG</v>
          </cell>
          <cell r="G335" t="str">
            <v>Kathryn Spaziani</v>
          </cell>
          <cell r="H335" t="str">
            <v>(212) 305-1190</v>
          </cell>
          <cell r="J335" t="str">
            <v>kas9171@nyp.org</v>
          </cell>
          <cell r="L335" t="str">
            <v>Practitioner - Primary Care Provider (PCP)</v>
          </cell>
          <cell r="M335" t="str">
            <v>No</v>
          </cell>
          <cell r="R335" t="str">
            <v>CONYBEARE RACHEL</v>
          </cell>
          <cell r="W335" t="str">
            <v>CONYBEARG RACHEL AMANDA</v>
          </cell>
          <cell r="X335" t="str">
            <v>161 FORT WASHINGTON AVE</v>
          </cell>
          <cell r="Y335" t="str">
            <v>NEW YORK</v>
          </cell>
          <cell r="Z335" t="str">
            <v>NY</v>
          </cell>
          <cell r="AA335" t="str">
            <v>10032-3729</v>
          </cell>
          <cell r="AB335" t="str">
            <v>PHYSICIAN</v>
          </cell>
          <cell r="AC335" t="str">
            <v>M</v>
          </cell>
          <cell r="AD335" t="str">
            <v>No</v>
          </cell>
          <cell r="AE335" t="str">
            <v>MMIS</v>
          </cell>
          <cell r="AF335" t="str">
            <v>nypwestacn</v>
          </cell>
          <cell r="AG335" t="str">
            <v>P</v>
          </cell>
        </row>
        <row r="336">
          <cell r="A336" t="str">
            <v>1386079424</v>
          </cell>
          <cell r="B336" t="str">
            <v>03737859</v>
          </cell>
          <cell r="C336" t="str">
            <v xml:space="preserve">DOMINGUEZ, CARLOS </v>
          </cell>
          <cell r="D336" t="str">
            <v>E0364437</v>
          </cell>
          <cell r="E336" t="str">
            <v>DOMINGUEZ CARLOS</v>
          </cell>
          <cell r="G336" t="str">
            <v>Kathryn Spaziani</v>
          </cell>
          <cell r="H336" t="str">
            <v>(212) 305-1190</v>
          </cell>
          <cell r="J336" t="str">
            <v>kas9171@nyp.org</v>
          </cell>
          <cell r="L336" t="str">
            <v>Practitioner - Primary Care Provider (PCP)</v>
          </cell>
          <cell r="M336" t="str">
            <v>No</v>
          </cell>
          <cell r="R336" t="str">
            <v>DOMINGUEZ CARLOS</v>
          </cell>
          <cell r="W336" t="str">
            <v>DOMINGUEZ CARLOS</v>
          </cell>
          <cell r="X336" t="str">
            <v>622 W 168TH ST FL 2</v>
          </cell>
          <cell r="Y336" t="str">
            <v>NEW YORK</v>
          </cell>
          <cell r="Z336" t="str">
            <v>NY</v>
          </cell>
          <cell r="AA336" t="str">
            <v>10032-3720</v>
          </cell>
          <cell r="AB336" t="str">
            <v>PHYSICIAN</v>
          </cell>
          <cell r="AC336" t="str">
            <v>M</v>
          </cell>
          <cell r="AD336" t="str">
            <v>No</v>
          </cell>
          <cell r="AE336" t="str">
            <v>MMIS</v>
          </cell>
          <cell r="AF336" t="str">
            <v>nypwestacn</v>
          </cell>
          <cell r="AG336" t="str">
            <v>P</v>
          </cell>
        </row>
        <row r="337">
          <cell r="A337" t="str">
            <v>1417240896</v>
          </cell>
          <cell r="B337" t="str">
            <v>03539159</v>
          </cell>
          <cell r="C337" t="str">
            <v>Weiss Yehudis</v>
          </cell>
          <cell r="D337" t="str">
            <v>E0343765</v>
          </cell>
          <cell r="E337" t="str">
            <v>WEISS YEHUDIS BELLE</v>
          </cell>
          <cell r="L337" t="str">
            <v>Practitioner - Non-Primary Care Provider (PCP)</v>
          </cell>
          <cell r="M337" t="str">
            <v>No</v>
          </cell>
          <cell r="R337" t="str">
            <v>WEISS YEHUDIS</v>
          </cell>
          <cell r="W337" t="str">
            <v>WEISS YEHUDIS BELLE</v>
          </cell>
          <cell r="X337" t="str">
            <v>5141 BROADWAY</v>
          </cell>
          <cell r="Y337" t="str">
            <v>NEW YORK</v>
          </cell>
          <cell r="Z337" t="str">
            <v>NY</v>
          </cell>
          <cell r="AA337" t="str">
            <v>10034-1159</v>
          </cell>
          <cell r="AB337" t="str">
            <v>PHYSICIAN</v>
          </cell>
          <cell r="AC337" t="str">
            <v>M</v>
          </cell>
          <cell r="AD337" t="str">
            <v>No</v>
          </cell>
          <cell r="AE337" t="str">
            <v>MMIS</v>
          </cell>
          <cell r="AF337" t="str">
            <v>nypwestcampus</v>
          </cell>
          <cell r="AG337" t="str">
            <v>P</v>
          </cell>
        </row>
        <row r="338">
          <cell r="A338" t="str">
            <v>1194846238</v>
          </cell>
          <cell r="B338" t="str">
            <v>00537453</v>
          </cell>
          <cell r="C338" t="str">
            <v>ANTHONY LECHICH</v>
          </cell>
          <cell r="D338" t="str">
            <v>E0245917</v>
          </cell>
          <cell r="E338" t="str">
            <v>LECHICH ANTHONY J          MD</v>
          </cell>
          <cell r="G338" t="str">
            <v>Eva Eng</v>
          </cell>
          <cell r="H338" t="str">
            <v>(212) 752-5001</v>
          </cell>
          <cell r="J338" t="str">
            <v>eeng@archcare.org</v>
          </cell>
          <cell r="L338" t="str">
            <v>Practitioner - Non-Primary Care Provider (PCP)</v>
          </cell>
          <cell r="M338" t="str">
            <v>No</v>
          </cell>
          <cell r="R338" t="str">
            <v>LECHICH ANTHONY</v>
          </cell>
          <cell r="W338" t="str">
            <v>LECHICH ANTHONY J          MD</v>
          </cell>
          <cell r="Y338" t="str">
            <v>NEW YORK</v>
          </cell>
          <cell r="Z338" t="str">
            <v>NY</v>
          </cell>
          <cell r="AA338" t="str">
            <v>10024-2298</v>
          </cell>
          <cell r="AB338" t="str">
            <v>PHYSICIAN</v>
          </cell>
          <cell r="AC338" t="str">
            <v>M</v>
          </cell>
          <cell r="AD338" t="str">
            <v>No</v>
          </cell>
          <cell r="AE338" t="str">
            <v>MMIS</v>
          </cell>
          <cell r="AF338" t="str">
            <v>nypwestacn</v>
          </cell>
          <cell r="AG338" t="str">
            <v>P</v>
          </cell>
        </row>
        <row r="339">
          <cell r="A339" t="str">
            <v>1477580165</v>
          </cell>
          <cell r="B339" t="str">
            <v>02574532</v>
          </cell>
          <cell r="C339" t="str">
            <v>ARTHUR GLICK</v>
          </cell>
          <cell r="D339" t="str">
            <v>E0042700</v>
          </cell>
          <cell r="E339" t="str">
            <v>GLICK ARTHUR A</v>
          </cell>
          <cell r="G339" t="str">
            <v>Eva Eng</v>
          </cell>
          <cell r="H339" t="str">
            <v>(212) 752-5002</v>
          </cell>
          <cell r="J339" t="str">
            <v>eeng@archcare.org</v>
          </cell>
          <cell r="L339" t="str">
            <v>All Other:: Mental Health:: Practitioner - Primary Care Provider (PCP)</v>
          </cell>
          <cell r="M339" t="str">
            <v>Yes</v>
          </cell>
          <cell r="R339" t="str">
            <v>GLICK ARTHUR MR.</v>
          </cell>
          <cell r="W339" t="str">
            <v>GLICK ARTHUR A</v>
          </cell>
          <cell r="X339" t="str">
            <v>4422 3RD AVE</v>
          </cell>
          <cell r="Y339" t="str">
            <v>BRONX</v>
          </cell>
          <cell r="Z339" t="str">
            <v>NY</v>
          </cell>
          <cell r="AA339" t="str">
            <v>10457-2545</v>
          </cell>
          <cell r="AB339" t="str">
            <v>PHYSICIAN</v>
          </cell>
          <cell r="AC339" t="str">
            <v>M</v>
          </cell>
          <cell r="AD339" t="str">
            <v>No</v>
          </cell>
          <cell r="AE339" t="str">
            <v>MMIS</v>
          </cell>
          <cell r="AF339" t="str">
            <v>nypwestacn</v>
          </cell>
          <cell r="AG339" t="str">
            <v>P</v>
          </cell>
        </row>
        <row r="340">
          <cell r="A340" t="str">
            <v>1467589572</v>
          </cell>
          <cell r="B340" t="str">
            <v>02863147</v>
          </cell>
          <cell r="C340" t="str">
            <v>Schwartz Joseph</v>
          </cell>
          <cell r="D340" t="str">
            <v>E0013884</v>
          </cell>
          <cell r="E340" t="str">
            <v>SCHWARTZ JOSEPH</v>
          </cell>
          <cell r="L340" t="str">
            <v>All Other:: Practitioner - Non-Primary Care Provider (PCP)</v>
          </cell>
          <cell r="M340" t="str">
            <v>No</v>
          </cell>
          <cell r="R340" t="str">
            <v>SCHWARTZ JOSEPH</v>
          </cell>
          <cell r="W340" t="str">
            <v>SCHWARTZ JOSEPH</v>
          </cell>
          <cell r="X340" t="str">
            <v>630 W 168TH ST STE P</v>
          </cell>
          <cell r="Y340" t="str">
            <v>NEW YORK</v>
          </cell>
          <cell r="Z340" t="str">
            <v>NY</v>
          </cell>
          <cell r="AA340" t="str">
            <v>10032-3725</v>
          </cell>
          <cell r="AB340" t="str">
            <v>PHYSICIAN</v>
          </cell>
          <cell r="AC340" t="str">
            <v>M</v>
          </cell>
          <cell r="AD340" t="str">
            <v>No</v>
          </cell>
          <cell r="AE340" t="str">
            <v>MMIS</v>
          </cell>
          <cell r="AF340" t="str">
            <v>nypwestcampus</v>
          </cell>
          <cell r="AG340" t="str">
            <v>P</v>
          </cell>
        </row>
        <row r="341">
          <cell r="A341" t="str">
            <v>1063546323</v>
          </cell>
          <cell r="B341" t="str">
            <v>01811774</v>
          </cell>
          <cell r="C341" t="str">
            <v>Shelanski Michael</v>
          </cell>
          <cell r="D341" t="str">
            <v>E0118860</v>
          </cell>
          <cell r="E341" t="str">
            <v>SHELANSKI MICHAEL L</v>
          </cell>
          <cell r="L341" t="str">
            <v>Uncategorized</v>
          </cell>
          <cell r="M341" t="str">
            <v>No</v>
          </cell>
          <cell r="R341" t="str">
            <v>SHELANSKI MICHAEL</v>
          </cell>
          <cell r="W341" t="str">
            <v>SHELANSKI MICHAEL L</v>
          </cell>
          <cell r="X341" t="str">
            <v>SHELANSKI MICHAEL L</v>
          </cell>
          <cell r="Y341" t="str">
            <v>NEW YORK</v>
          </cell>
          <cell r="Z341" t="str">
            <v>NY</v>
          </cell>
          <cell r="AA341" t="str">
            <v>10032-3720</v>
          </cell>
          <cell r="AB341" t="str">
            <v>PHYSICIAN</v>
          </cell>
          <cell r="AC341" t="str">
            <v>M</v>
          </cell>
          <cell r="AD341" t="str">
            <v>No</v>
          </cell>
          <cell r="AE341" t="str">
            <v>MMIS</v>
          </cell>
          <cell r="AF341" t="str">
            <v>nypwestcampus</v>
          </cell>
          <cell r="AG341" t="str">
            <v>P</v>
          </cell>
        </row>
        <row r="342">
          <cell r="A342" t="str">
            <v>1811024920</v>
          </cell>
          <cell r="B342" t="str">
            <v>01900494</v>
          </cell>
          <cell r="C342" t="str">
            <v xml:space="preserve">HABERMAN, SKYE </v>
          </cell>
          <cell r="D342" t="str">
            <v>E0109998</v>
          </cell>
          <cell r="E342" t="str">
            <v>HABERMAN SKYE  PHD</v>
          </cell>
          <cell r="G342" t="str">
            <v>Kathryn Spaziani</v>
          </cell>
          <cell r="H342" t="str">
            <v>(212) 305-1190</v>
          </cell>
          <cell r="J342" t="str">
            <v>kas9171@nyp.org</v>
          </cell>
          <cell r="L342" t="str">
            <v>Mental Health:: Practitioner - Non-Primary Care Provider (PCP)</v>
          </cell>
          <cell r="M342" t="str">
            <v>No</v>
          </cell>
          <cell r="R342" t="str">
            <v>HABERMAN SKYE DR.</v>
          </cell>
          <cell r="W342" t="str">
            <v>HABERMAN SKYE</v>
          </cell>
          <cell r="X342" t="str">
            <v>3959 BROADWAY 6TH FLOOR NORTH</v>
          </cell>
          <cell r="Y342" t="str">
            <v>NEW YORK</v>
          </cell>
          <cell r="Z342" t="str">
            <v>NY</v>
          </cell>
          <cell r="AA342" t="str">
            <v>10032-0000</v>
          </cell>
          <cell r="AB342" t="str">
            <v>CLINICAL PSYCHOLOGIST</v>
          </cell>
          <cell r="AC342" t="str">
            <v>M</v>
          </cell>
          <cell r="AD342" t="str">
            <v>No</v>
          </cell>
          <cell r="AE342" t="str">
            <v>MMIS</v>
          </cell>
          <cell r="AF342" t="str">
            <v>nypwestcampus</v>
          </cell>
          <cell r="AG342" t="str">
            <v>P</v>
          </cell>
        </row>
        <row r="343">
          <cell r="A343" t="str">
            <v>1598922023</v>
          </cell>
          <cell r="B343" t="str">
            <v>03488951</v>
          </cell>
          <cell r="C343" t="str">
            <v>KUMAR, REKHA B</v>
          </cell>
          <cell r="D343" t="str">
            <v>E0338361</v>
          </cell>
          <cell r="E343" t="str">
            <v>KUMAR REKHA BABU</v>
          </cell>
          <cell r="G343" t="str">
            <v>Kathryn Spaziani</v>
          </cell>
          <cell r="H343" t="str">
            <v>(212) 305-1190</v>
          </cell>
          <cell r="J343" t="str">
            <v>kas9171@nyp.org</v>
          </cell>
          <cell r="L343" t="str">
            <v>All Other:: Practitioner - Primary Care Provider (PCP)</v>
          </cell>
          <cell r="M343" t="str">
            <v>No</v>
          </cell>
          <cell r="R343" t="str">
            <v>KUMAR REKHA DR.</v>
          </cell>
          <cell r="W343" t="str">
            <v>KUMAR REKHA BABU</v>
          </cell>
          <cell r="X343" t="str">
            <v>525 EAST 68TH STREET F2008</v>
          </cell>
          <cell r="Y343" t="str">
            <v>NEW YORK</v>
          </cell>
          <cell r="Z343" t="str">
            <v>NY</v>
          </cell>
          <cell r="AA343" t="str">
            <v>10065-4870</v>
          </cell>
          <cell r="AB343" t="str">
            <v>PHYSICIAN</v>
          </cell>
          <cell r="AC343" t="str">
            <v>M</v>
          </cell>
          <cell r="AD343" t="str">
            <v>No</v>
          </cell>
          <cell r="AE343" t="str">
            <v>MMIS</v>
          </cell>
          <cell r="AF343" t="str">
            <v>nypeastcampus</v>
          </cell>
          <cell r="AG343" t="str">
            <v>P</v>
          </cell>
        </row>
        <row r="344">
          <cell r="A344" t="str">
            <v>1750692984</v>
          </cell>
          <cell r="B344" t="str">
            <v>03394112</v>
          </cell>
          <cell r="C344" t="str">
            <v>Kumar Shreyajit</v>
          </cell>
          <cell r="D344" t="str">
            <v>E0326946</v>
          </cell>
          <cell r="E344" t="str">
            <v>KUMAR SHREYAJIT</v>
          </cell>
          <cell r="L344" t="str">
            <v>All Other:: Practitioner - Non-Primary Care Provider (PCP)</v>
          </cell>
          <cell r="M344" t="str">
            <v>No</v>
          </cell>
          <cell r="R344" t="str">
            <v>KUMAR SHREYAJIT DR.</v>
          </cell>
          <cell r="W344" t="str">
            <v>KUMAR SHREYAJIT</v>
          </cell>
          <cell r="X344" t="str">
            <v>525 E 68TH ST</v>
          </cell>
          <cell r="Y344" t="str">
            <v>NEW YORK</v>
          </cell>
          <cell r="Z344" t="str">
            <v>NY</v>
          </cell>
          <cell r="AA344" t="str">
            <v>10065-4870</v>
          </cell>
          <cell r="AB344" t="str">
            <v>PHYSICIAN</v>
          </cell>
          <cell r="AC344" t="str">
            <v>M</v>
          </cell>
          <cell r="AD344" t="str">
            <v>No</v>
          </cell>
          <cell r="AE344" t="str">
            <v>MMIS</v>
          </cell>
          <cell r="AF344" t="str">
            <v>nypeastcampus</v>
          </cell>
          <cell r="AG344" t="str">
            <v>P</v>
          </cell>
        </row>
        <row r="345">
          <cell r="A345" t="str">
            <v>1104078153</v>
          </cell>
          <cell r="C345" t="str">
            <v>Kwon Jean</v>
          </cell>
          <cell r="G345" t="str">
            <v>Kathryn Spaziani</v>
          </cell>
          <cell r="H345" t="str">
            <v>(212) 305-1255</v>
          </cell>
          <cell r="J345" t="str">
            <v>kas9171@nyp.org</v>
          </cell>
          <cell r="K345" t="str">
            <v>Physician</v>
          </cell>
          <cell r="L345" t="str">
            <v>Uncategorized</v>
          </cell>
          <cell r="M345" t="str">
            <v>No</v>
          </cell>
          <cell r="R345" t="str">
            <v>KWON JEAN MS.</v>
          </cell>
          <cell r="S345" t="str">
            <v>525 E 68TH ST</v>
          </cell>
          <cell r="T345" t="str">
            <v>NEW YORK</v>
          </cell>
          <cell r="U345" t="str">
            <v>NY</v>
          </cell>
          <cell r="V345" t="str">
            <v>100654870</v>
          </cell>
          <cell r="AC345" t="str">
            <v>M</v>
          </cell>
          <cell r="AD345" t="str">
            <v>No</v>
          </cell>
          <cell r="AE345" t="str">
            <v>NPI only</v>
          </cell>
          <cell r="AF345" t="str">
            <v>nypeastcampus</v>
          </cell>
          <cell r="AG345" t="str">
            <v>P</v>
          </cell>
        </row>
        <row r="346">
          <cell r="A346" t="str">
            <v>1417071945</v>
          </cell>
          <cell r="B346" t="str">
            <v>01856179</v>
          </cell>
          <cell r="C346" t="str">
            <v>WEILL MEDICAL COLLEGE OF CORNELL</v>
          </cell>
          <cell r="D346" t="str">
            <v>E0114423</v>
          </cell>
          <cell r="E346" t="str">
            <v>CORNELL UNIV MED COLLEGE</v>
          </cell>
          <cell r="L346" t="str">
            <v>All Other</v>
          </cell>
          <cell r="M346" t="str">
            <v>No</v>
          </cell>
          <cell r="R346" t="str">
            <v>WEILL MEDICAL COLLEGE OF CORNELL</v>
          </cell>
          <cell r="W346" t="str">
            <v>WEILL MEDICAL COLLEGE OF CORNELL</v>
          </cell>
          <cell r="X346" t="str">
            <v>525 E 68TH ST</v>
          </cell>
          <cell r="Y346" t="str">
            <v>NEW YORK</v>
          </cell>
          <cell r="Z346" t="str">
            <v>NY</v>
          </cell>
          <cell r="AA346" t="str">
            <v>10065-4870</v>
          </cell>
          <cell r="AB346" t="str">
            <v>PHYSICIANS GROUP</v>
          </cell>
          <cell r="AC346" t="str">
            <v>M</v>
          </cell>
          <cell r="AD346" t="str">
            <v>No</v>
          </cell>
          <cell r="AE346" t="str">
            <v>MMIS</v>
          </cell>
          <cell r="AF346" t="str">
            <v>nypwestacn</v>
          </cell>
          <cell r="AG346" t="str">
            <v>P</v>
          </cell>
        </row>
        <row r="347">
          <cell r="A347" t="str">
            <v>1326205584</v>
          </cell>
          <cell r="B347" t="str">
            <v>03036500</v>
          </cell>
          <cell r="C347" t="str">
            <v>Tichter Aleksandr</v>
          </cell>
          <cell r="D347" t="str">
            <v>E0285696</v>
          </cell>
          <cell r="E347" t="str">
            <v>TICHTER ALEKSANDR MANFRED MD</v>
          </cell>
          <cell r="L347" t="str">
            <v>Practitioner - Non-Primary Care Provider (PCP)</v>
          </cell>
          <cell r="M347" t="str">
            <v>No</v>
          </cell>
          <cell r="R347" t="str">
            <v>TICHTER ALEKSANDR DR.</v>
          </cell>
          <cell r="W347" t="str">
            <v>TICHTER ALEKSANDR MANFRED MD</v>
          </cell>
          <cell r="X347" t="str">
            <v>622 W 168TH ST PH 1-137</v>
          </cell>
          <cell r="Y347" t="str">
            <v>NEW YORK</v>
          </cell>
          <cell r="Z347" t="str">
            <v>NY</v>
          </cell>
          <cell r="AA347" t="str">
            <v>10032-3720</v>
          </cell>
          <cell r="AB347" t="str">
            <v>PHYSICIAN</v>
          </cell>
          <cell r="AC347" t="str">
            <v>M</v>
          </cell>
          <cell r="AD347" t="str">
            <v>No</v>
          </cell>
          <cell r="AE347" t="str">
            <v>MMIS</v>
          </cell>
          <cell r="AF347" t="str">
            <v>nypwestcampus</v>
          </cell>
          <cell r="AG347" t="str">
            <v>P</v>
          </cell>
        </row>
        <row r="348">
          <cell r="A348" t="str">
            <v>1336444926</v>
          </cell>
          <cell r="C348" t="str">
            <v>Murphy Jessica</v>
          </cell>
          <cell r="G348" t="str">
            <v>Kathryn Spaziani</v>
          </cell>
          <cell r="H348" t="str">
            <v>(212) 305-1255</v>
          </cell>
          <cell r="J348" t="str">
            <v>kas9171@nyp.org</v>
          </cell>
          <cell r="K348" t="str">
            <v>Physician</v>
          </cell>
          <cell r="L348" t="str">
            <v>Practitioner - Non-Primary Care Provider (PCP)</v>
          </cell>
          <cell r="M348" t="str">
            <v>No</v>
          </cell>
          <cell r="R348" t="str">
            <v>MURPHY JESSICA</v>
          </cell>
          <cell r="S348" t="str">
            <v>170 WILLIAM ST, DEPT. OF ANESTHESIOLOGY</v>
          </cell>
          <cell r="T348" t="str">
            <v>NEW YORK</v>
          </cell>
          <cell r="U348" t="str">
            <v>NY</v>
          </cell>
          <cell r="V348" t="str">
            <v>100382612</v>
          </cell>
          <cell r="AC348" t="str">
            <v>M</v>
          </cell>
          <cell r="AD348" t="str">
            <v>No</v>
          </cell>
          <cell r="AE348" t="str">
            <v>NPI only</v>
          </cell>
          <cell r="AF348" t="str">
            <v>nypeastcampus</v>
          </cell>
          <cell r="AG348" t="str">
            <v>P</v>
          </cell>
        </row>
        <row r="349">
          <cell r="A349" t="str">
            <v>1568771277</v>
          </cell>
          <cell r="C349" t="str">
            <v>Maria Kargman, LCSW</v>
          </cell>
          <cell r="G349" t="str">
            <v>Dianna Dragatsi</v>
          </cell>
          <cell r="H349" t="str">
            <v>(212) 942-8516</v>
          </cell>
          <cell r="J349" t="str">
            <v>Dragats@nyspi.columbia.edu</v>
          </cell>
          <cell r="K349" t="str">
            <v>Other Practitioners</v>
          </cell>
          <cell r="L349" t="str">
            <v>Uncategorized</v>
          </cell>
          <cell r="M349" t="str">
            <v>No</v>
          </cell>
          <cell r="R349" t="str">
            <v>KARGMAN MARIA MS.</v>
          </cell>
          <cell r="S349" t="str">
            <v>26 SHERMAN AVE</v>
          </cell>
          <cell r="T349" t="str">
            <v>NEW YORK</v>
          </cell>
          <cell r="U349" t="str">
            <v>NY</v>
          </cell>
          <cell r="V349" t="str">
            <v>100401602</v>
          </cell>
          <cell r="AC349" t="str">
            <v>M</v>
          </cell>
          <cell r="AD349" t="str">
            <v>No</v>
          </cell>
          <cell r="AE349" t="str">
            <v>NPI only</v>
          </cell>
          <cell r="AF349" t="str">
            <v>nyspi</v>
          </cell>
          <cell r="AG349" t="str">
            <v>P</v>
          </cell>
        </row>
        <row r="350">
          <cell r="A350" t="str">
            <v>1609046390</v>
          </cell>
          <cell r="B350" t="str">
            <v>03434806</v>
          </cell>
          <cell r="C350" t="str">
            <v>Sherer Erin</v>
          </cell>
          <cell r="D350" t="str">
            <v>E0330721</v>
          </cell>
          <cell r="E350" t="str">
            <v>SHERER ERIN LEIGH</v>
          </cell>
          <cell r="L350" t="str">
            <v>Practitioner - Non-Primary Care Provider (PCP)</v>
          </cell>
          <cell r="M350" t="str">
            <v>No</v>
          </cell>
          <cell r="R350" t="str">
            <v>SHERER ERIN</v>
          </cell>
          <cell r="W350" t="str">
            <v>SHERER ERIN LEIGH</v>
          </cell>
          <cell r="X350" t="str">
            <v>622 W 168TH ST PH 1-137</v>
          </cell>
          <cell r="Y350" t="str">
            <v>NEW YORK</v>
          </cell>
          <cell r="Z350" t="str">
            <v>NY</v>
          </cell>
          <cell r="AA350" t="str">
            <v>10032-3720</v>
          </cell>
          <cell r="AB350" t="str">
            <v>PHYSICIAN</v>
          </cell>
          <cell r="AC350" t="str">
            <v>M</v>
          </cell>
          <cell r="AD350" t="str">
            <v>No</v>
          </cell>
          <cell r="AE350" t="str">
            <v>MMIS</v>
          </cell>
          <cell r="AF350" t="str">
            <v>nypwestcampus</v>
          </cell>
          <cell r="AG350" t="str">
            <v>P</v>
          </cell>
        </row>
        <row r="351">
          <cell r="A351" t="str">
            <v>1578577276</v>
          </cell>
          <cell r="B351" t="str">
            <v>01132943</v>
          </cell>
          <cell r="C351" t="str">
            <v>Silberman Mark</v>
          </cell>
          <cell r="D351" t="str">
            <v>E0186584</v>
          </cell>
          <cell r="E351" t="str">
            <v>SILBERMAN MARK S MD</v>
          </cell>
          <cell r="L351" t="str">
            <v>Practitioner - Non-Primary Care Provider (PCP)</v>
          </cell>
          <cell r="M351" t="str">
            <v>No</v>
          </cell>
          <cell r="R351" t="str">
            <v>SILBERMAN MARK DR.</v>
          </cell>
          <cell r="W351" t="str">
            <v>SILBERMAN MARK S MD</v>
          </cell>
          <cell r="Y351" t="str">
            <v>NEW YORK</v>
          </cell>
          <cell r="Z351" t="str">
            <v>NY</v>
          </cell>
          <cell r="AA351" t="str">
            <v>10032-3720</v>
          </cell>
          <cell r="AB351" t="str">
            <v>PHYSICIAN</v>
          </cell>
          <cell r="AC351" t="str">
            <v>M</v>
          </cell>
          <cell r="AD351" t="str">
            <v>No</v>
          </cell>
          <cell r="AE351" t="str">
            <v>MMIS</v>
          </cell>
          <cell r="AF351" t="str">
            <v>nypwestcampus</v>
          </cell>
          <cell r="AG351" t="str">
            <v>P</v>
          </cell>
        </row>
        <row r="352">
          <cell r="A352" t="str">
            <v>1689932824</v>
          </cell>
          <cell r="C352" t="str">
            <v>Schnakofsky Roberto</v>
          </cell>
          <cell r="G352" t="str">
            <v>Kathryn Spaziani</v>
          </cell>
          <cell r="H352" t="str">
            <v>(212) 305-1255</v>
          </cell>
          <cell r="J352" t="str">
            <v>kas9171@nyp.org</v>
          </cell>
          <cell r="K352" t="str">
            <v>Physician</v>
          </cell>
          <cell r="L352" t="str">
            <v>Uncategorized</v>
          </cell>
          <cell r="M352" t="str">
            <v>No</v>
          </cell>
          <cell r="R352" t="str">
            <v>SCHNAKOFSKY ROBERTO</v>
          </cell>
          <cell r="S352" t="str">
            <v>6200 SW 73RD ST, ANESTHESIA ASSOCIATES OF GREATER MIAMI</v>
          </cell>
          <cell r="T352" t="str">
            <v>SOUTH MIAMI</v>
          </cell>
          <cell r="U352" t="str">
            <v>FL</v>
          </cell>
          <cell r="V352" t="str">
            <v>331434679</v>
          </cell>
          <cell r="AC352" t="str">
            <v>M</v>
          </cell>
          <cell r="AD352" t="str">
            <v>No</v>
          </cell>
          <cell r="AE352" t="str">
            <v>NPI only</v>
          </cell>
          <cell r="AF352" t="str">
            <v>nypeastcampus</v>
          </cell>
          <cell r="AG352" t="str">
            <v>P</v>
          </cell>
        </row>
        <row r="353">
          <cell r="A353" t="str">
            <v>1497173868</v>
          </cell>
          <cell r="C353" t="str">
            <v>Sheth Amish</v>
          </cell>
          <cell r="G353" t="str">
            <v>Kathryn Spaziani</v>
          </cell>
          <cell r="H353" t="str">
            <v>(212) 305-1255</v>
          </cell>
          <cell r="J353" t="str">
            <v>kas9171@nyp.org</v>
          </cell>
          <cell r="K353" t="str">
            <v>Physician</v>
          </cell>
          <cell r="L353" t="str">
            <v>Uncategorized</v>
          </cell>
          <cell r="M353" t="str">
            <v>No</v>
          </cell>
          <cell r="R353" t="str">
            <v>SHETH AMISH</v>
          </cell>
          <cell r="S353" t="str">
            <v>630 1ST AVE APT 21K</v>
          </cell>
          <cell r="T353" t="str">
            <v>NEW YORK</v>
          </cell>
          <cell r="U353" t="str">
            <v>NY</v>
          </cell>
          <cell r="V353" t="str">
            <v>100163747</v>
          </cell>
          <cell r="AC353" t="str">
            <v>M</v>
          </cell>
          <cell r="AD353" t="str">
            <v>No</v>
          </cell>
          <cell r="AE353" t="str">
            <v>NPI only</v>
          </cell>
          <cell r="AF353" t="str">
            <v>nypeastcampus</v>
          </cell>
          <cell r="AG353" t="str">
            <v>P</v>
          </cell>
        </row>
        <row r="354">
          <cell r="A354" t="str">
            <v>1083024376</v>
          </cell>
          <cell r="C354" t="str">
            <v>Shih Grace</v>
          </cell>
          <cell r="G354" t="str">
            <v>Kathryn Spaziani</v>
          </cell>
          <cell r="H354" t="str">
            <v>(212) 305-1255</v>
          </cell>
          <cell r="J354" t="str">
            <v>kas9171@nyp.org</v>
          </cell>
          <cell r="K354" t="str">
            <v>Physician</v>
          </cell>
          <cell r="L354" t="str">
            <v>Uncategorized</v>
          </cell>
          <cell r="M354" t="str">
            <v>No</v>
          </cell>
          <cell r="R354" t="str">
            <v>SHIH GRACE</v>
          </cell>
          <cell r="S354" t="str">
            <v>6 TOM THUMB LN</v>
          </cell>
          <cell r="T354" t="str">
            <v>DANBURY</v>
          </cell>
          <cell r="U354" t="str">
            <v>CT</v>
          </cell>
          <cell r="V354" t="str">
            <v>068113733</v>
          </cell>
          <cell r="AC354" t="str">
            <v>M</v>
          </cell>
          <cell r="AD354" t="str">
            <v>No</v>
          </cell>
          <cell r="AE354" t="str">
            <v>NPI only</v>
          </cell>
          <cell r="AF354" t="str">
            <v>nypeastcampus</v>
          </cell>
          <cell r="AG354" t="str">
            <v>P</v>
          </cell>
        </row>
        <row r="355">
          <cell r="A355" t="str">
            <v>1427340769</v>
          </cell>
          <cell r="C355" t="str">
            <v>Shirak Michelle</v>
          </cell>
          <cell r="G355" t="str">
            <v>Kathryn Spaziani</v>
          </cell>
          <cell r="H355" t="str">
            <v>(212) 305-1255</v>
          </cell>
          <cell r="J355" t="str">
            <v>kas9171@nyp.org</v>
          </cell>
          <cell r="K355" t="str">
            <v>Physician</v>
          </cell>
          <cell r="L355" t="str">
            <v>Uncategorized</v>
          </cell>
          <cell r="M355" t="str">
            <v>No</v>
          </cell>
          <cell r="R355" t="str">
            <v>SHIRAK MICHELLE</v>
          </cell>
          <cell r="S355" t="str">
            <v>525 E 68TH ST, M312</v>
          </cell>
          <cell r="T355" t="str">
            <v>NEW YORK</v>
          </cell>
          <cell r="U355" t="str">
            <v>NY</v>
          </cell>
          <cell r="V355" t="str">
            <v>100654870</v>
          </cell>
          <cell r="AC355" t="str">
            <v>M</v>
          </cell>
          <cell r="AD355" t="str">
            <v>No</v>
          </cell>
          <cell r="AE355" t="str">
            <v>NPI only</v>
          </cell>
          <cell r="AF355" t="str">
            <v>nypwestcampus</v>
          </cell>
          <cell r="AG355" t="str">
            <v>P</v>
          </cell>
        </row>
        <row r="356">
          <cell r="A356" t="str">
            <v>1336431683</v>
          </cell>
          <cell r="C356" t="str">
            <v>So Mary</v>
          </cell>
          <cell r="G356" t="str">
            <v>Kathryn Spaziani</v>
          </cell>
          <cell r="H356" t="str">
            <v>(212) 305-1255</v>
          </cell>
          <cell r="J356" t="str">
            <v>kas9171@nyp.org</v>
          </cell>
          <cell r="K356" t="str">
            <v>Physician</v>
          </cell>
          <cell r="L356" t="str">
            <v>Uncategorized</v>
          </cell>
          <cell r="M356" t="str">
            <v>No</v>
          </cell>
          <cell r="R356" t="str">
            <v>SO MARY</v>
          </cell>
          <cell r="S356" t="str">
            <v>525 E 68TH ST, M312</v>
          </cell>
          <cell r="T356" t="str">
            <v>NEW YORK</v>
          </cell>
          <cell r="U356" t="str">
            <v>NY</v>
          </cell>
          <cell r="V356" t="str">
            <v>100654870</v>
          </cell>
          <cell r="AC356" t="str">
            <v>M</v>
          </cell>
          <cell r="AD356" t="str">
            <v>No</v>
          </cell>
          <cell r="AE356" t="str">
            <v>NPI only</v>
          </cell>
          <cell r="AF356" t="str">
            <v>nypeastcampus</v>
          </cell>
          <cell r="AG356" t="str">
            <v>P</v>
          </cell>
        </row>
        <row r="357">
          <cell r="A357" t="str">
            <v>1932442456</v>
          </cell>
          <cell r="C357" t="str">
            <v>Starker Elizabeth</v>
          </cell>
          <cell r="G357" t="str">
            <v>Kathryn Spaziani</v>
          </cell>
          <cell r="H357" t="str">
            <v>(212) 305-1255</v>
          </cell>
          <cell r="J357" t="str">
            <v>kas9171@nyp.org</v>
          </cell>
          <cell r="K357" t="str">
            <v>Physician</v>
          </cell>
          <cell r="L357" t="str">
            <v>Uncategorized</v>
          </cell>
          <cell r="M357" t="str">
            <v>No</v>
          </cell>
          <cell r="R357" t="str">
            <v>STARKER ELIZABETH DR.</v>
          </cell>
          <cell r="S357" t="str">
            <v>525 EAST 68TH ST</v>
          </cell>
          <cell r="T357" t="str">
            <v>NEW YORK</v>
          </cell>
          <cell r="U357" t="str">
            <v>NY</v>
          </cell>
          <cell r="V357" t="str">
            <v>10021</v>
          </cell>
          <cell r="AC357" t="str">
            <v>M</v>
          </cell>
          <cell r="AD357" t="str">
            <v>No</v>
          </cell>
          <cell r="AE357" t="str">
            <v>NPI only</v>
          </cell>
          <cell r="AF357" t="str">
            <v>nypeastcampus</v>
          </cell>
          <cell r="AG357" t="str">
            <v>P</v>
          </cell>
        </row>
        <row r="358">
          <cell r="A358" t="str">
            <v>1952693202</v>
          </cell>
          <cell r="B358" t="str">
            <v>04262162</v>
          </cell>
          <cell r="C358" t="str">
            <v>Turnbull Zachary</v>
          </cell>
          <cell r="D358" t="str">
            <v>E0418231</v>
          </cell>
          <cell r="E358" t="str">
            <v>TURNBULL ZACHARY ADAM</v>
          </cell>
          <cell r="G358" t="str">
            <v>Kathryn Spaziani</v>
          </cell>
          <cell r="H358" t="str">
            <v>(212) 305-1255</v>
          </cell>
          <cell r="J358" t="str">
            <v>kas9171@nyp.org</v>
          </cell>
          <cell r="L358" t="str">
            <v>All Other:: Practitioner - Non-Primary Care Provider (PCP)</v>
          </cell>
          <cell r="M358" t="str">
            <v>No</v>
          </cell>
          <cell r="R358" t="str">
            <v>TURNBULL ZACHARY</v>
          </cell>
          <cell r="W358" t="str">
            <v>TURNBULL ZACHARY ADAM</v>
          </cell>
          <cell r="X358" t="str">
            <v>525 E 68TH ST</v>
          </cell>
          <cell r="Y358" t="str">
            <v>NEW YORK</v>
          </cell>
          <cell r="Z358" t="str">
            <v>NY</v>
          </cell>
          <cell r="AA358" t="str">
            <v>10065-4870</v>
          </cell>
          <cell r="AB358" t="str">
            <v>PHYSICIAN</v>
          </cell>
          <cell r="AC358" t="str">
            <v>M</v>
          </cell>
          <cell r="AD358" t="str">
            <v>No</v>
          </cell>
          <cell r="AE358" t="str">
            <v>MMIS</v>
          </cell>
          <cell r="AF358" t="str">
            <v>nypeastcampus</v>
          </cell>
          <cell r="AG358" t="str">
            <v>P</v>
          </cell>
        </row>
        <row r="359">
          <cell r="A359" t="str">
            <v>1841463288</v>
          </cell>
          <cell r="B359" t="str">
            <v>03489425</v>
          </cell>
          <cell r="C359" t="str">
            <v>OHLY, NATALIE T</v>
          </cell>
          <cell r="D359" t="str">
            <v>E0338422</v>
          </cell>
          <cell r="E359" t="str">
            <v>OHLY NATALIE TANYA</v>
          </cell>
          <cell r="G359" t="str">
            <v>Kathryn Spaziani</v>
          </cell>
          <cell r="H359" t="str">
            <v>(212) 305-1190</v>
          </cell>
          <cell r="J359" t="str">
            <v>kas9171@nyp.org</v>
          </cell>
          <cell r="L359" t="str">
            <v>All Other:: Practitioner - Non-Primary Care Provider (PCP)</v>
          </cell>
          <cell r="M359" t="str">
            <v>No</v>
          </cell>
          <cell r="R359" t="str">
            <v>OHLY NATALIE DR.</v>
          </cell>
          <cell r="W359" t="str">
            <v>OHLY NATALIE TANYA</v>
          </cell>
          <cell r="X359" t="str">
            <v>622 W 168TH ST</v>
          </cell>
          <cell r="Y359" t="str">
            <v>NEW YORK</v>
          </cell>
          <cell r="Z359" t="str">
            <v>NY</v>
          </cell>
          <cell r="AA359" t="str">
            <v>10032-3720</v>
          </cell>
          <cell r="AB359" t="str">
            <v>PHYSICIAN</v>
          </cell>
          <cell r="AC359" t="str">
            <v>M</v>
          </cell>
          <cell r="AD359" t="str">
            <v>No</v>
          </cell>
          <cell r="AE359" t="str">
            <v>MMIS</v>
          </cell>
          <cell r="AF359" t="str">
            <v>nypwestacn</v>
          </cell>
          <cell r="AG359" t="str">
            <v>P</v>
          </cell>
        </row>
        <row r="360">
          <cell r="A360" t="str">
            <v>1588630958</v>
          </cell>
          <cell r="B360" t="str">
            <v>01396001</v>
          </cell>
          <cell r="C360" t="str">
            <v>Heerdt Paul</v>
          </cell>
          <cell r="D360" t="str">
            <v>E0160362</v>
          </cell>
          <cell r="E360" t="str">
            <v>HEERDT PAUL MARK MD</v>
          </cell>
          <cell r="L360" t="str">
            <v>All Other:: Practitioner - Non-Primary Care Provider (PCP)</v>
          </cell>
          <cell r="M360" t="str">
            <v>No</v>
          </cell>
          <cell r="R360" t="str">
            <v>HEERDT PAUL DR.</v>
          </cell>
          <cell r="W360" t="str">
            <v>HEERDT PAUL MARK MD</v>
          </cell>
          <cell r="X360" t="str">
            <v>NYH ANES DPT ST1052</v>
          </cell>
          <cell r="Y360" t="str">
            <v>NEW YORK</v>
          </cell>
          <cell r="Z360" t="str">
            <v>NY</v>
          </cell>
          <cell r="AA360" t="str">
            <v>10065-4870</v>
          </cell>
          <cell r="AB360" t="str">
            <v>PHYSICIAN</v>
          </cell>
          <cell r="AC360" t="str">
            <v>M</v>
          </cell>
          <cell r="AD360" t="str">
            <v>No</v>
          </cell>
          <cell r="AE360" t="str">
            <v>MMIS</v>
          </cell>
          <cell r="AF360" t="str">
            <v>nypeastcampus</v>
          </cell>
          <cell r="AG360" t="str">
            <v>P</v>
          </cell>
        </row>
        <row r="361">
          <cell r="A361" t="str">
            <v>1821185919</v>
          </cell>
          <cell r="B361" t="str">
            <v>01268982</v>
          </cell>
          <cell r="C361" t="str">
            <v>Hemmings Hugh</v>
          </cell>
          <cell r="D361" t="str">
            <v>E0173008</v>
          </cell>
          <cell r="E361" t="str">
            <v>HEMMINGS HUGH C JR  MD</v>
          </cell>
          <cell r="L361" t="str">
            <v>All Other:: Practitioner - Non-Primary Care Provider (PCP)</v>
          </cell>
          <cell r="M361" t="str">
            <v>No</v>
          </cell>
          <cell r="R361" t="str">
            <v>HEMMINGS HUGH</v>
          </cell>
          <cell r="W361" t="str">
            <v>HEMMINGS HUGH C JR  MD</v>
          </cell>
          <cell r="X361" t="str">
            <v>NY HOSP CORNELL MED</v>
          </cell>
          <cell r="Y361" t="str">
            <v>NEW YORK</v>
          </cell>
          <cell r="Z361" t="str">
            <v>NY</v>
          </cell>
          <cell r="AA361" t="str">
            <v>10065-4897</v>
          </cell>
          <cell r="AB361" t="str">
            <v>PHYSICIAN</v>
          </cell>
          <cell r="AC361" t="str">
            <v>M</v>
          </cell>
          <cell r="AD361" t="str">
            <v>No</v>
          </cell>
          <cell r="AE361" t="str">
            <v>MMIS</v>
          </cell>
          <cell r="AF361" t="str">
            <v>nypeastcampus</v>
          </cell>
          <cell r="AG361" t="str">
            <v>P</v>
          </cell>
        </row>
        <row r="362">
          <cell r="A362" t="str">
            <v>1013043579</v>
          </cell>
          <cell r="B362" t="str">
            <v>03366130</v>
          </cell>
          <cell r="C362" t="str">
            <v>Frisk Simin</v>
          </cell>
          <cell r="D362" t="str">
            <v>E0323300</v>
          </cell>
          <cell r="E362" t="str">
            <v>FRISK SIMIN</v>
          </cell>
          <cell r="L362" t="str">
            <v>All Other:: Practitioner - Non-Primary Care Provider (PCP)</v>
          </cell>
          <cell r="M362" t="str">
            <v>No</v>
          </cell>
          <cell r="R362" t="str">
            <v>FRISK SIMIN DR.</v>
          </cell>
          <cell r="W362" t="str">
            <v>FRISK SIMIN SOLTANI</v>
          </cell>
          <cell r="X362" t="str">
            <v>450 CLARKSON AVE</v>
          </cell>
          <cell r="Y362" t="str">
            <v>BROOKLYN</v>
          </cell>
          <cell r="Z362" t="str">
            <v>NY</v>
          </cell>
          <cell r="AA362" t="str">
            <v>11203-2012</v>
          </cell>
          <cell r="AB362" t="str">
            <v>PHYSICIAN</v>
          </cell>
          <cell r="AC362" t="str">
            <v>M</v>
          </cell>
          <cell r="AD362" t="str">
            <v>No</v>
          </cell>
          <cell r="AE362" t="str">
            <v>MMIS</v>
          </cell>
          <cell r="AF362" t="str">
            <v>nypeastcampus</v>
          </cell>
          <cell r="AG362" t="str">
            <v>P</v>
          </cell>
        </row>
        <row r="363">
          <cell r="A363" t="str">
            <v>1962415752</v>
          </cell>
          <cell r="B363" t="str">
            <v>02269643</v>
          </cell>
          <cell r="C363" t="str">
            <v>Ahmed Shakil</v>
          </cell>
          <cell r="D363" t="str">
            <v>E0073135</v>
          </cell>
          <cell r="E363" t="str">
            <v>AHMED SHAKIL MD</v>
          </cell>
          <cell r="L363" t="str">
            <v>All Other:: Practitioner - Non-Primary Care Provider (PCP)</v>
          </cell>
          <cell r="M363" t="str">
            <v>No</v>
          </cell>
          <cell r="R363" t="str">
            <v>AHMED SHAKIL</v>
          </cell>
          <cell r="W363" t="str">
            <v>AHMED SHAKIL MD</v>
          </cell>
          <cell r="X363" t="str">
            <v># M0026</v>
          </cell>
          <cell r="Y363" t="str">
            <v>NEW YORK</v>
          </cell>
          <cell r="Z363" t="str">
            <v>NY</v>
          </cell>
          <cell r="AA363" t="str">
            <v>10065-4870</v>
          </cell>
          <cell r="AB363" t="str">
            <v>PHYSICIAN</v>
          </cell>
          <cell r="AC363" t="str">
            <v>M</v>
          </cell>
          <cell r="AD363" t="str">
            <v>No</v>
          </cell>
          <cell r="AE363" t="str">
            <v>MMIS</v>
          </cell>
          <cell r="AF363" t="str">
            <v>nypeastcampus</v>
          </cell>
          <cell r="AG363" t="str">
            <v>P</v>
          </cell>
        </row>
        <row r="364">
          <cell r="A364" t="str">
            <v>1700197936</v>
          </cell>
          <cell r="B364" t="str">
            <v>03950772</v>
          </cell>
          <cell r="C364" t="str">
            <v>Akerman Michael</v>
          </cell>
          <cell r="D364" t="str">
            <v>E0386351</v>
          </cell>
          <cell r="E364" t="str">
            <v>AKERMAN MICHAEL AARON</v>
          </cell>
          <cell r="G364" t="str">
            <v>Kathryn Spaziani</v>
          </cell>
          <cell r="H364" t="str">
            <v>(212) 305-1255</v>
          </cell>
          <cell r="J364" t="str">
            <v>kas9171@nyp.org</v>
          </cell>
          <cell r="L364" t="str">
            <v>All Other:: Practitioner - Non-Primary Care Provider (PCP)</v>
          </cell>
          <cell r="M364" t="str">
            <v>No</v>
          </cell>
          <cell r="R364" t="str">
            <v>AKERMAN MICHAEL</v>
          </cell>
          <cell r="W364" t="str">
            <v>AKERMAN MICHAEL AARON</v>
          </cell>
          <cell r="X364" t="str">
            <v>525 E 68TH ST</v>
          </cell>
          <cell r="Y364" t="str">
            <v>NEW YORK</v>
          </cell>
          <cell r="Z364" t="str">
            <v>NY</v>
          </cell>
          <cell r="AA364" t="str">
            <v>10065-4870</v>
          </cell>
          <cell r="AB364" t="str">
            <v>PHYSICIAN</v>
          </cell>
          <cell r="AC364" t="str">
            <v>M</v>
          </cell>
          <cell r="AD364" t="str">
            <v>No</v>
          </cell>
          <cell r="AE364" t="str">
            <v>MMIS</v>
          </cell>
          <cell r="AF364" t="str">
            <v>nypeastcampus</v>
          </cell>
          <cell r="AG364" t="str">
            <v>P</v>
          </cell>
        </row>
        <row r="365">
          <cell r="A365" t="str">
            <v>1164584108</v>
          </cell>
          <cell r="C365" t="str">
            <v>Alegre-Gomez Regina</v>
          </cell>
          <cell r="G365" t="str">
            <v>Kathryn Spaziani</v>
          </cell>
          <cell r="H365" t="str">
            <v>(212) 305-1255</v>
          </cell>
          <cell r="J365" t="str">
            <v>kas9171@nyp.org</v>
          </cell>
          <cell r="K365" t="str">
            <v>Physician</v>
          </cell>
          <cell r="L365" t="str">
            <v>Uncategorized</v>
          </cell>
          <cell r="M365" t="str">
            <v>No</v>
          </cell>
          <cell r="R365" t="str">
            <v>ALEGRE-GOMEZ REGINA</v>
          </cell>
          <cell r="S365" t="str">
            <v>525 E 68TH ST</v>
          </cell>
          <cell r="T365" t="str">
            <v>NEW YORK</v>
          </cell>
          <cell r="U365" t="str">
            <v>NY</v>
          </cell>
          <cell r="V365" t="str">
            <v>100214870</v>
          </cell>
          <cell r="AC365" t="str">
            <v>M</v>
          </cell>
          <cell r="AD365" t="str">
            <v>No</v>
          </cell>
          <cell r="AE365" t="str">
            <v>NPI only</v>
          </cell>
          <cell r="AF365" t="str">
            <v>nypeastcampus</v>
          </cell>
          <cell r="AG365" t="str">
            <v>P</v>
          </cell>
        </row>
        <row r="366">
          <cell r="A366" t="str">
            <v>1689016867</v>
          </cell>
          <cell r="C366" t="str">
            <v>Baker Lauren</v>
          </cell>
          <cell r="G366" t="str">
            <v>Kathryn Spaziani</v>
          </cell>
          <cell r="H366" t="str">
            <v>(212) 305-1255</v>
          </cell>
          <cell r="J366" t="str">
            <v>kas9171@nyp.org</v>
          </cell>
          <cell r="K366" t="str">
            <v>Physician</v>
          </cell>
          <cell r="L366" t="str">
            <v>Uncategorized</v>
          </cell>
          <cell r="M366" t="str">
            <v>No</v>
          </cell>
          <cell r="R366" t="str">
            <v>FAGAN LAUREN</v>
          </cell>
          <cell r="S366" t="str">
            <v>525 E 68TH ST</v>
          </cell>
          <cell r="T366" t="str">
            <v>NEW YORK</v>
          </cell>
          <cell r="U366" t="str">
            <v>NY</v>
          </cell>
          <cell r="V366" t="str">
            <v>100654870</v>
          </cell>
          <cell r="AC366" t="str">
            <v>M</v>
          </cell>
          <cell r="AD366" t="str">
            <v>No</v>
          </cell>
          <cell r="AE366" t="str">
            <v>NPI only</v>
          </cell>
          <cell r="AF366" t="str">
            <v>nypeastcampus</v>
          </cell>
          <cell r="AG366" t="str">
            <v>P</v>
          </cell>
        </row>
        <row r="367">
          <cell r="A367" t="str">
            <v>1811907173</v>
          </cell>
          <cell r="B367" t="str">
            <v>01883045</v>
          </cell>
          <cell r="C367" t="str">
            <v>Abramovitz Sharon</v>
          </cell>
          <cell r="D367" t="str">
            <v>E0111740</v>
          </cell>
          <cell r="E367" t="str">
            <v>ABRAMOVITZ SHARON MD</v>
          </cell>
          <cell r="L367" t="str">
            <v>Practitioner - Non-Primary Care Provider (PCP)</v>
          </cell>
          <cell r="M367" t="str">
            <v>No</v>
          </cell>
          <cell r="R367" t="str">
            <v>ABRAMOVITZ SHARON DR.</v>
          </cell>
          <cell r="W367" t="str">
            <v>ABRAMOVITZ SHARON MD</v>
          </cell>
          <cell r="X367" t="str">
            <v>525 E 68TH ST</v>
          </cell>
          <cell r="Y367" t="str">
            <v>NEW YORK</v>
          </cell>
          <cell r="Z367" t="str">
            <v>NY</v>
          </cell>
          <cell r="AA367" t="str">
            <v>10065-4870</v>
          </cell>
          <cell r="AB367" t="str">
            <v>PHYSICIAN</v>
          </cell>
          <cell r="AC367" t="str">
            <v>M</v>
          </cell>
          <cell r="AD367" t="str">
            <v>No</v>
          </cell>
          <cell r="AE367" t="str">
            <v>MMIS</v>
          </cell>
          <cell r="AF367" t="str">
            <v>nypeastcampus</v>
          </cell>
          <cell r="AG367" t="str">
            <v>P</v>
          </cell>
        </row>
        <row r="368">
          <cell r="A368" t="str">
            <v>1053654533</v>
          </cell>
          <cell r="C368" t="str">
            <v>Pavelic Julia</v>
          </cell>
          <cell r="G368" t="str">
            <v>Kathryn Spaziani</v>
          </cell>
          <cell r="H368" t="str">
            <v>(212) 305-1255</v>
          </cell>
          <cell r="J368" t="str">
            <v>kas9171@nyp.org</v>
          </cell>
          <cell r="K368" t="str">
            <v>Physician</v>
          </cell>
          <cell r="L368" t="str">
            <v>Uncategorized</v>
          </cell>
          <cell r="M368" t="str">
            <v>No</v>
          </cell>
          <cell r="R368" t="str">
            <v>PAVELIC JULIA</v>
          </cell>
          <cell r="S368" t="str">
            <v>622 W 168TH ST, PH5-133 STEM, CUMC DEPT OF ANESTHESIOLOGY</v>
          </cell>
          <cell r="T368" t="str">
            <v>NEW YORK</v>
          </cell>
          <cell r="U368" t="str">
            <v>NY</v>
          </cell>
          <cell r="V368" t="str">
            <v>100323720</v>
          </cell>
          <cell r="AC368" t="str">
            <v>M</v>
          </cell>
          <cell r="AD368" t="str">
            <v>No</v>
          </cell>
          <cell r="AE368" t="str">
            <v>NPI only</v>
          </cell>
          <cell r="AF368" t="str">
            <v>nypwestcampus</v>
          </cell>
          <cell r="AG368" t="str">
            <v>P</v>
          </cell>
        </row>
        <row r="369">
          <cell r="A369" t="str">
            <v>1770825267</v>
          </cell>
          <cell r="C369" t="str">
            <v>Pavelic Martin</v>
          </cell>
          <cell r="G369" t="str">
            <v>Kathryn Spaziani</v>
          </cell>
          <cell r="H369" t="str">
            <v>(212) 305-1255</v>
          </cell>
          <cell r="J369" t="str">
            <v>kas9171@nyp.org</v>
          </cell>
          <cell r="K369" t="str">
            <v>Physician</v>
          </cell>
          <cell r="L369" t="str">
            <v>Uncategorized</v>
          </cell>
          <cell r="M369" t="str">
            <v>No</v>
          </cell>
          <cell r="R369" t="str">
            <v>PAVELIC MARTIN DR.</v>
          </cell>
          <cell r="S369" t="str">
            <v>209 HALLMARK HOUSE</v>
          </cell>
          <cell r="T369" t="str">
            <v>HERSHEY</v>
          </cell>
          <cell r="U369" t="str">
            <v>PA</v>
          </cell>
          <cell r="V369" t="str">
            <v>170332339</v>
          </cell>
          <cell r="AC369" t="str">
            <v>M</v>
          </cell>
          <cell r="AD369" t="str">
            <v>No</v>
          </cell>
          <cell r="AE369" t="str">
            <v>NPI only</v>
          </cell>
          <cell r="AF369" t="str">
            <v>nypwestcampus</v>
          </cell>
          <cell r="AG369" t="str">
            <v>P</v>
          </cell>
        </row>
        <row r="370">
          <cell r="A370" t="str">
            <v>1386930600</v>
          </cell>
          <cell r="C370" t="str">
            <v>Pekurovsky Alexander</v>
          </cell>
          <cell r="G370" t="str">
            <v>Kathryn Spaziani</v>
          </cell>
          <cell r="H370" t="str">
            <v>(212) 305-1255</v>
          </cell>
          <cell r="J370" t="str">
            <v>kas9171@nyp.org</v>
          </cell>
          <cell r="K370" t="str">
            <v>Physician</v>
          </cell>
          <cell r="L370" t="str">
            <v>Uncategorized</v>
          </cell>
          <cell r="M370" t="str">
            <v>No</v>
          </cell>
          <cell r="R370" t="str">
            <v>PEKUROVSKY ALEXANDER</v>
          </cell>
          <cell r="S370" t="str">
            <v>870 W 181ST ST, APT 24</v>
          </cell>
          <cell r="T370" t="str">
            <v>NEW YORK</v>
          </cell>
          <cell r="U370" t="str">
            <v>NY</v>
          </cell>
          <cell r="V370" t="str">
            <v>100334458</v>
          </cell>
          <cell r="AC370" t="str">
            <v>M</v>
          </cell>
          <cell r="AD370" t="str">
            <v>No</v>
          </cell>
          <cell r="AE370" t="str">
            <v>NPI only</v>
          </cell>
          <cell r="AF370" t="str">
            <v>nypeastacn</v>
          </cell>
          <cell r="AG370" t="str">
            <v>P</v>
          </cell>
        </row>
        <row r="371">
          <cell r="A371" t="str">
            <v>1770699563</v>
          </cell>
          <cell r="B371" t="str">
            <v>02116241</v>
          </cell>
          <cell r="C371" t="str">
            <v>Dodia Vishal</v>
          </cell>
          <cell r="D371" t="str">
            <v>E0088445</v>
          </cell>
          <cell r="E371" t="str">
            <v>DODIA VISHAL HARSHAD MD</v>
          </cell>
          <cell r="L371" t="str">
            <v>All Other:: Practitioner - Primary Care Provider (PCP)</v>
          </cell>
          <cell r="M371" t="str">
            <v>No</v>
          </cell>
          <cell r="R371" t="str">
            <v>DODIA VISHAL</v>
          </cell>
          <cell r="W371" t="str">
            <v>DODIA VISHAL HARSHAD</v>
          </cell>
          <cell r="X371" t="str">
            <v>4802 10TH AVE</v>
          </cell>
          <cell r="Y371" t="str">
            <v>BROOKLYN</v>
          </cell>
          <cell r="Z371" t="str">
            <v>NY</v>
          </cell>
          <cell r="AA371" t="str">
            <v>11219-2916</v>
          </cell>
          <cell r="AB371" t="str">
            <v>PHYSICIAN</v>
          </cell>
          <cell r="AC371" t="str">
            <v>M</v>
          </cell>
          <cell r="AD371" t="str">
            <v>No</v>
          </cell>
          <cell r="AE371" t="str">
            <v>MMIS</v>
          </cell>
          <cell r="AF371" t="str">
            <v>nypeastcampus</v>
          </cell>
          <cell r="AG371" t="str">
            <v>P</v>
          </cell>
        </row>
        <row r="372">
          <cell r="A372" t="str">
            <v>1720261563</v>
          </cell>
          <cell r="B372" t="str">
            <v>03344396</v>
          </cell>
          <cell r="C372" t="str">
            <v>OTTERBURN, DAVID</v>
          </cell>
          <cell r="D372" t="str">
            <v>E0320786</v>
          </cell>
          <cell r="E372" t="str">
            <v>OTTERBURN DAVID MARK MD</v>
          </cell>
          <cell r="G372" t="str">
            <v>Kathryn Spaziani</v>
          </cell>
          <cell r="H372" t="str">
            <v>(212) 305-1311</v>
          </cell>
          <cell r="J372" t="str">
            <v>kas9171@nyp.org</v>
          </cell>
          <cell r="L372" t="str">
            <v>Practitioner - Non-Primary Care Provider (PCP)</v>
          </cell>
          <cell r="M372" t="str">
            <v>No</v>
          </cell>
          <cell r="R372" t="str">
            <v>OTTERBURN DAVID DR.</v>
          </cell>
          <cell r="W372" t="str">
            <v>OTTERBURN DAVID MARK MD</v>
          </cell>
          <cell r="X372" t="str">
            <v>525 E 68TH ST # 115</v>
          </cell>
          <cell r="Y372" t="str">
            <v>NEW YORK</v>
          </cell>
          <cell r="Z372" t="str">
            <v>NY</v>
          </cell>
          <cell r="AA372" t="str">
            <v>10065-4870</v>
          </cell>
          <cell r="AB372" t="str">
            <v>PHYSICIAN</v>
          </cell>
          <cell r="AC372" t="str">
            <v>M</v>
          </cell>
          <cell r="AD372" t="str">
            <v>No</v>
          </cell>
          <cell r="AE372" t="str">
            <v>MMIS</v>
          </cell>
          <cell r="AF372" t="str">
            <v>nypwestcampus</v>
          </cell>
          <cell r="AG372" t="str">
            <v>P</v>
          </cell>
        </row>
        <row r="373">
          <cell r="A373" t="str">
            <v>1285609180</v>
          </cell>
          <cell r="C373" t="str">
            <v>Sepulveda Jorge</v>
          </cell>
          <cell r="G373" t="str">
            <v>Kathryn Spaziani</v>
          </cell>
          <cell r="H373" t="str">
            <v>(212) 305-1194</v>
          </cell>
          <cell r="J373" t="str">
            <v>kas9171@nyp.org</v>
          </cell>
          <cell r="K373" t="str">
            <v>Physician</v>
          </cell>
          <cell r="L373" t="str">
            <v>Uncategorized</v>
          </cell>
          <cell r="M373" t="str">
            <v>No</v>
          </cell>
          <cell r="R373" t="str">
            <v>SEPULVEDA JORGE DR.</v>
          </cell>
          <cell r="S373" t="str">
            <v>200 LOTHROP ST</v>
          </cell>
          <cell r="T373" t="str">
            <v>PITTSBURGH</v>
          </cell>
          <cell r="U373" t="str">
            <v>PA</v>
          </cell>
          <cell r="V373" t="str">
            <v>152132546</v>
          </cell>
          <cell r="AC373" t="str">
            <v>M</v>
          </cell>
          <cell r="AD373" t="str">
            <v>No</v>
          </cell>
          <cell r="AE373" t="str">
            <v>NPI only</v>
          </cell>
          <cell r="AF373" t="str">
            <v>nypwestcampus</v>
          </cell>
          <cell r="AG373" t="str">
            <v>P</v>
          </cell>
        </row>
        <row r="374">
          <cell r="A374" t="str">
            <v>1578615779</v>
          </cell>
          <cell r="B374" t="str">
            <v>01381213</v>
          </cell>
          <cell r="C374" t="str">
            <v>Dickstein Marc</v>
          </cell>
          <cell r="D374" t="str">
            <v>E0161837</v>
          </cell>
          <cell r="E374" t="str">
            <v>DICKSTEIN MARC L MD</v>
          </cell>
          <cell r="L374" t="str">
            <v>Practitioner - Non-Primary Care Provider (PCP)</v>
          </cell>
          <cell r="M374" t="str">
            <v>No</v>
          </cell>
          <cell r="R374" t="str">
            <v>DICKSTEIN MARC DR.</v>
          </cell>
          <cell r="W374" t="str">
            <v>DICKSTEIN MARC L MD</v>
          </cell>
          <cell r="X374" t="str">
            <v>ANESTH SERV CPMC</v>
          </cell>
          <cell r="Y374" t="str">
            <v>NEW YORK</v>
          </cell>
          <cell r="Z374" t="str">
            <v>NY</v>
          </cell>
          <cell r="AA374" t="str">
            <v>10032-3720</v>
          </cell>
          <cell r="AB374" t="str">
            <v>PHYSICIAN</v>
          </cell>
          <cell r="AC374" t="str">
            <v>M</v>
          </cell>
          <cell r="AD374" t="str">
            <v>No</v>
          </cell>
          <cell r="AE374" t="str">
            <v>MMIS</v>
          </cell>
          <cell r="AF374" t="str">
            <v>nypwestcampus</v>
          </cell>
          <cell r="AG374" t="str">
            <v>P</v>
          </cell>
        </row>
        <row r="375">
          <cell r="A375" t="str">
            <v>1154473932</v>
          </cell>
          <cell r="B375" t="str">
            <v>02671910</v>
          </cell>
          <cell r="C375" t="str">
            <v>Hastie Maya</v>
          </cell>
          <cell r="D375" t="str">
            <v>E0032984</v>
          </cell>
          <cell r="E375" t="str">
            <v>JALBOUT MAYA MD</v>
          </cell>
          <cell r="L375" t="str">
            <v>All Other:: Practitioner - Non-Primary Care Provider (PCP)</v>
          </cell>
          <cell r="M375" t="str">
            <v>No</v>
          </cell>
          <cell r="R375" t="str">
            <v>HASTIE MAYA</v>
          </cell>
          <cell r="W375" t="str">
            <v>HASTIE MAYA JALBOUT MD</v>
          </cell>
          <cell r="X375" t="str">
            <v>622 W 168TH ST</v>
          </cell>
          <cell r="Y375" t="str">
            <v>NEW YORK</v>
          </cell>
          <cell r="Z375" t="str">
            <v>NY</v>
          </cell>
          <cell r="AA375" t="str">
            <v>10032-3720</v>
          </cell>
          <cell r="AB375" t="str">
            <v>PHYSICIAN</v>
          </cell>
          <cell r="AC375" t="str">
            <v>M</v>
          </cell>
          <cell r="AD375" t="str">
            <v>No</v>
          </cell>
          <cell r="AE375" t="str">
            <v>MMIS</v>
          </cell>
          <cell r="AF375" t="str">
            <v>nypwestcampus</v>
          </cell>
          <cell r="AG375" t="str">
            <v>P</v>
          </cell>
        </row>
        <row r="376">
          <cell r="A376" t="str">
            <v>1710247564</v>
          </cell>
          <cell r="B376" t="str">
            <v>03484282</v>
          </cell>
          <cell r="C376" t="str">
            <v>Lauren Sanders</v>
          </cell>
          <cell r="D376" t="str">
            <v>E0337845</v>
          </cell>
          <cell r="E376" t="str">
            <v>SANDERS LAUREN JACQUELINE</v>
          </cell>
          <cell r="G376" t="str">
            <v>Corina Sharp</v>
          </cell>
          <cell r="H376" t="str">
            <v>(212) 545-2441</v>
          </cell>
          <cell r="J376" t="str">
            <v>csharp@chnnyc.org</v>
          </cell>
          <cell r="L376" t="str">
            <v>All Other:: Practitioner - Primary Care Provider (PCP)</v>
          </cell>
          <cell r="M376" t="str">
            <v>No</v>
          </cell>
          <cell r="R376" t="str">
            <v>SANDERS LAUREN</v>
          </cell>
          <cell r="W376" t="str">
            <v>SANDERS LAUREN JACQUELINE</v>
          </cell>
          <cell r="X376" t="str">
            <v>1065 SOUTHERN BLVD</v>
          </cell>
          <cell r="Y376" t="str">
            <v>BRONX</v>
          </cell>
          <cell r="Z376" t="str">
            <v>NY</v>
          </cell>
          <cell r="AA376" t="str">
            <v>10459-2417</v>
          </cell>
          <cell r="AB376" t="str">
            <v>PHYSICIAN</v>
          </cell>
          <cell r="AC376" t="str">
            <v>M</v>
          </cell>
          <cell r="AD376" t="str">
            <v>No</v>
          </cell>
          <cell r="AE376" t="str">
            <v>MMIS</v>
          </cell>
          <cell r="AF376" t="str">
            <v>chn</v>
          </cell>
          <cell r="AG376" t="str">
            <v>P</v>
          </cell>
        </row>
        <row r="377">
          <cell r="A377" t="str">
            <v>1972647410</v>
          </cell>
          <cell r="B377" t="str">
            <v>02924330</v>
          </cell>
          <cell r="C377" t="str">
            <v>Laurie Schwartz-Moser</v>
          </cell>
          <cell r="D377" t="str">
            <v>E0000475</v>
          </cell>
          <cell r="E377" t="str">
            <v>SCHWARTZ-MOSER LAURIE</v>
          </cell>
          <cell r="G377" t="str">
            <v>Corina Sharp</v>
          </cell>
          <cell r="H377" t="str">
            <v>(212) 545-2441</v>
          </cell>
          <cell r="J377" t="str">
            <v>csharp@chnnyc.org</v>
          </cell>
          <cell r="L377" t="str">
            <v>All Other:: Practitioner - Non-Primary Care Provider (PCP)</v>
          </cell>
          <cell r="M377" t="str">
            <v>Yes</v>
          </cell>
          <cell r="R377" t="str">
            <v>SCHWARTZ-MOSER LAURIE MS.</v>
          </cell>
          <cell r="W377" t="str">
            <v>SCHWARTZ-MOSER LAURIE</v>
          </cell>
          <cell r="X377" t="str">
            <v>18803 JAMAICA AVE</v>
          </cell>
          <cell r="Y377" t="str">
            <v>HOLLIS</v>
          </cell>
          <cell r="Z377" t="str">
            <v>NY</v>
          </cell>
          <cell r="AA377" t="str">
            <v>11423-2511</v>
          </cell>
          <cell r="AB377" t="str">
            <v>NURSE</v>
          </cell>
          <cell r="AC377" t="str">
            <v>M</v>
          </cell>
          <cell r="AD377" t="str">
            <v>No</v>
          </cell>
          <cell r="AE377" t="str">
            <v>MMIS</v>
          </cell>
          <cell r="AF377" t="str">
            <v>chn</v>
          </cell>
          <cell r="AG377" t="str">
            <v>P</v>
          </cell>
        </row>
        <row r="378">
          <cell r="A378" t="str">
            <v>1508075441</v>
          </cell>
          <cell r="B378" t="str">
            <v>02905273</v>
          </cell>
          <cell r="C378" t="str">
            <v>Ileana Serrano</v>
          </cell>
          <cell r="D378" t="str">
            <v>E0009680</v>
          </cell>
          <cell r="E378" t="str">
            <v>SERRANO ILEANA</v>
          </cell>
          <cell r="G378" t="str">
            <v>Corina Sharp</v>
          </cell>
          <cell r="H378" t="str">
            <v>(212) 545-2441</v>
          </cell>
          <cell r="J378" t="str">
            <v>csharp@chnnyc.org</v>
          </cell>
          <cell r="L378" t="str">
            <v>All Other:: Practitioner - Primary Care Provider (PCP)</v>
          </cell>
          <cell r="M378" t="str">
            <v>Yes</v>
          </cell>
          <cell r="R378" t="str">
            <v>SERRANO ILEANA DR.</v>
          </cell>
          <cell r="W378" t="str">
            <v>SERRANO ILEANA MARIE</v>
          </cell>
          <cell r="X378" t="str">
            <v>150 ESSEX ST</v>
          </cell>
          <cell r="Y378" t="str">
            <v>NEW YORK</v>
          </cell>
          <cell r="Z378" t="str">
            <v>NY</v>
          </cell>
          <cell r="AA378" t="str">
            <v>10002-2301</v>
          </cell>
          <cell r="AB378" t="str">
            <v>PHYSICIAN</v>
          </cell>
          <cell r="AC378" t="str">
            <v>M</v>
          </cell>
          <cell r="AD378" t="str">
            <v>No</v>
          </cell>
          <cell r="AE378" t="str">
            <v>MMIS</v>
          </cell>
          <cell r="AF378" t="str">
            <v>chn</v>
          </cell>
          <cell r="AG378" t="str">
            <v>P</v>
          </cell>
        </row>
        <row r="379">
          <cell r="A379" t="str">
            <v>1881775856</v>
          </cell>
          <cell r="B379" t="str">
            <v>02668055</v>
          </cell>
          <cell r="C379" t="str">
            <v>Paula Sinclair</v>
          </cell>
          <cell r="D379" t="str">
            <v>E0033369</v>
          </cell>
          <cell r="E379" t="str">
            <v>SINCLAIR PAULA ALMALINDA MD</v>
          </cell>
          <cell r="G379" t="str">
            <v>Corina Sharp</v>
          </cell>
          <cell r="H379" t="str">
            <v>(212) 545-2441</v>
          </cell>
          <cell r="J379" t="str">
            <v>csharp@chnnyc.org</v>
          </cell>
          <cell r="L379" t="str">
            <v>All Other:: Practitioner - Primary Care Provider (PCP)</v>
          </cell>
          <cell r="M379" t="str">
            <v>Yes</v>
          </cell>
          <cell r="R379" t="str">
            <v>SINCLAIR PAULA DR.</v>
          </cell>
          <cell r="W379" t="str">
            <v>SINCLAIR PAULA ALMALINDA MD</v>
          </cell>
          <cell r="X379" t="str">
            <v>1650 GRAND CONCOURSE</v>
          </cell>
          <cell r="Y379" t="str">
            <v>BRONX</v>
          </cell>
          <cell r="Z379" t="str">
            <v>NY</v>
          </cell>
          <cell r="AA379" t="str">
            <v>10457-7606</v>
          </cell>
          <cell r="AB379" t="str">
            <v>PHYSICIAN</v>
          </cell>
          <cell r="AC379" t="str">
            <v>M</v>
          </cell>
          <cell r="AD379" t="str">
            <v>No</v>
          </cell>
          <cell r="AE379" t="str">
            <v>MMIS</v>
          </cell>
          <cell r="AF379" t="str">
            <v>chn</v>
          </cell>
          <cell r="AG379" t="str">
            <v>P</v>
          </cell>
        </row>
        <row r="380">
          <cell r="A380" t="str">
            <v>1780609875</v>
          </cell>
          <cell r="B380" t="str">
            <v>03128778</v>
          </cell>
          <cell r="C380" t="str">
            <v>Evans Arthur</v>
          </cell>
          <cell r="D380" t="str">
            <v>E0296389</v>
          </cell>
          <cell r="E380" t="str">
            <v>EVANS ARTHUR THOMAS</v>
          </cell>
          <cell r="L380" t="str">
            <v>Practitioner - Non-Primary Care Provider (PCP)</v>
          </cell>
          <cell r="M380" t="str">
            <v>No</v>
          </cell>
          <cell r="R380" t="str">
            <v>EVANS ARTHUR</v>
          </cell>
          <cell r="W380" t="str">
            <v>EVANS ARTHUR THOMAS</v>
          </cell>
          <cell r="X380" t="str">
            <v>505 E 70TH ST # 130</v>
          </cell>
          <cell r="Y380" t="str">
            <v>NEW YORK</v>
          </cell>
          <cell r="Z380" t="str">
            <v>NY</v>
          </cell>
          <cell r="AA380" t="str">
            <v>10021-4872</v>
          </cell>
          <cell r="AB380" t="str">
            <v>PHYSICIAN</v>
          </cell>
          <cell r="AC380" t="str">
            <v>M</v>
          </cell>
          <cell r="AD380" t="str">
            <v>No</v>
          </cell>
          <cell r="AE380" t="str">
            <v>MMIS</v>
          </cell>
          <cell r="AF380" t="str">
            <v>nypeastcampus</v>
          </cell>
          <cell r="AG380" t="str">
            <v>P</v>
          </cell>
        </row>
        <row r="381">
          <cell r="A381" t="str">
            <v>1295758803</v>
          </cell>
          <cell r="B381" t="str">
            <v>00793384</v>
          </cell>
          <cell r="C381" t="str">
            <v>EVANS, LYDIA M</v>
          </cell>
          <cell r="D381" t="str">
            <v>E0220390</v>
          </cell>
          <cell r="E381" t="str">
            <v>EVANS LYDIA MARION</v>
          </cell>
          <cell r="G381" t="str">
            <v>Kathryn Spaziani</v>
          </cell>
          <cell r="H381" t="str">
            <v>(212) 305-1190</v>
          </cell>
          <cell r="J381" t="str">
            <v>kas9171@nyp.org</v>
          </cell>
          <cell r="L381" t="str">
            <v>Practitioner - Non-Primary Care Provider (PCP)</v>
          </cell>
          <cell r="M381" t="str">
            <v>No</v>
          </cell>
          <cell r="R381" t="str">
            <v>EVANS LYDIA</v>
          </cell>
          <cell r="W381" t="str">
            <v>EVANS LYDIA MARION</v>
          </cell>
          <cell r="X381" t="str">
            <v>BETH ISRAEL MED CTR</v>
          </cell>
          <cell r="Y381" t="str">
            <v>NEW YORK</v>
          </cell>
          <cell r="Z381" t="str">
            <v>NY</v>
          </cell>
          <cell r="AA381" t="str">
            <v>10003</v>
          </cell>
          <cell r="AB381" t="str">
            <v>PHYSICIAN</v>
          </cell>
          <cell r="AC381" t="str">
            <v>M</v>
          </cell>
          <cell r="AD381" t="str">
            <v>No</v>
          </cell>
          <cell r="AE381" t="str">
            <v>MMIS</v>
          </cell>
          <cell r="AF381" t="str">
            <v>nypwestacn</v>
          </cell>
          <cell r="AG381" t="str">
            <v>P</v>
          </cell>
        </row>
        <row r="382">
          <cell r="A382" t="str">
            <v>1639293061</v>
          </cell>
          <cell r="B382" t="str">
            <v>02706572</v>
          </cell>
          <cell r="C382" t="str">
            <v>SERACINI, ANGELA M</v>
          </cell>
          <cell r="D382" t="str">
            <v>E0029527</v>
          </cell>
          <cell r="E382" t="str">
            <v>SERACINI ANGELA MARIA</v>
          </cell>
          <cell r="G382" t="str">
            <v>Kathryn Spaziani</v>
          </cell>
          <cell r="H382" t="str">
            <v>(212) 305-1190</v>
          </cell>
          <cell r="J382" t="str">
            <v>kas9171@nyp.org</v>
          </cell>
          <cell r="L382" t="str">
            <v>Practitioner - Non-Primary Care Provider (PCP)</v>
          </cell>
          <cell r="M382" t="str">
            <v>No</v>
          </cell>
          <cell r="R382" t="str">
            <v>SERACINI ANGELA DR.</v>
          </cell>
          <cell r="W382" t="str">
            <v>SERACINI ANGELA MARIA</v>
          </cell>
          <cell r="X382" t="str">
            <v>3959 BROADWAY</v>
          </cell>
          <cell r="Y382" t="str">
            <v>NEW YORK</v>
          </cell>
          <cell r="Z382" t="str">
            <v>NY</v>
          </cell>
          <cell r="AA382" t="str">
            <v>10032-1559</v>
          </cell>
          <cell r="AB382" t="str">
            <v>CLINICAL PSYCHOLOGIST</v>
          </cell>
          <cell r="AC382" t="str">
            <v>M</v>
          </cell>
          <cell r="AD382" t="str">
            <v>No</v>
          </cell>
          <cell r="AE382" t="str">
            <v>MMIS</v>
          </cell>
          <cell r="AF382" t="str">
            <v>nypwestacn</v>
          </cell>
          <cell r="AG382" t="str">
            <v>P</v>
          </cell>
        </row>
        <row r="383">
          <cell r="A383" t="str">
            <v>1902030125</v>
          </cell>
          <cell r="C383" t="str">
            <v>Ward, Mary Josephine</v>
          </cell>
          <cell r="G383" t="str">
            <v>Kathryn Spaziani</v>
          </cell>
          <cell r="H383" t="str">
            <v>(212) 305-1190</v>
          </cell>
          <cell r="J383" t="str">
            <v>kas9171@nyp.org</v>
          </cell>
          <cell r="K383" t="str">
            <v>Physician</v>
          </cell>
          <cell r="L383" t="str">
            <v>Uncategorized</v>
          </cell>
          <cell r="M383" t="str">
            <v>No</v>
          </cell>
          <cell r="R383" t="str">
            <v>WARD MARY</v>
          </cell>
          <cell r="S383" t="str">
            <v>505 EAST 70 STREET</v>
          </cell>
          <cell r="T383" t="str">
            <v>NEW YORK</v>
          </cell>
          <cell r="U383" t="str">
            <v>NY</v>
          </cell>
          <cell r="V383" t="str">
            <v>100210034</v>
          </cell>
          <cell r="AC383" t="str">
            <v>M</v>
          </cell>
          <cell r="AD383" t="str">
            <v>No</v>
          </cell>
          <cell r="AE383" t="str">
            <v>NPI only</v>
          </cell>
          <cell r="AF383" t="str">
            <v>nypeastcampus</v>
          </cell>
          <cell r="AG383" t="str">
            <v>P</v>
          </cell>
        </row>
        <row r="384">
          <cell r="A384" t="str">
            <v>1992995609</v>
          </cell>
          <cell r="B384" t="str">
            <v>03488873</v>
          </cell>
          <cell r="C384" t="str">
            <v>Gadhia, Monika Mohanbhai</v>
          </cell>
          <cell r="D384" t="str">
            <v>E0338366</v>
          </cell>
          <cell r="E384" t="str">
            <v>GADHIA MONIKA MOHANBHAI</v>
          </cell>
          <cell r="G384" t="str">
            <v>Kathryn Spaziani</v>
          </cell>
          <cell r="H384" t="str">
            <v>(212) 305-1190</v>
          </cell>
          <cell r="J384" t="str">
            <v>kas9171@nyp.org</v>
          </cell>
          <cell r="L384" t="str">
            <v>Practitioner - Non-Primary Care Provider (PCP)</v>
          </cell>
          <cell r="M384" t="str">
            <v>No</v>
          </cell>
          <cell r="R384" t="str">
            <v>GADHIA MONIKA DR.</v>
          </cell>
          <cell r="W384" t="str">
            <v>GADHIA MONIKA MOHANBHAI</v>
          </cell>
          <cell r="X384" t="str">
            <v>525 E 68TH ST # 585</v>
          </cell>
          <cell r="Y384" t="str">
            <v>NEW YORK</v>
          </cell>
          <cell r="Z384" t="str">
            <v>NY</v>
          </cell>
          <cell r="AA384" t="str">
            <v>10065-4870</v>
          </cell>
          <cell r="AB384" t="str">
            <v>PHYSICIAN</v>
          </cell>
          <cell r="AC384" t="str">
            <v>M</v>
          </cell>
          <cell r="AD384" t="str">
            <v>No</v>
          </cell>
          <cell r="AE384" t="str">
            <v>MMIS</v>
          </cell>
          <cell r="AF384" t="str">
            <v>nypwestacn</v>
          </cell>
          <cell r="AG384" t="str">
            <v>P</v>
          </cell>
        </row>
        <row r="385">
          <cell r="A385" t="str">
            <v>1063662385</v>
          </cell>
          <cell r="B385" t="str">
            <v>01811238</v>
          </cell>
          <cell r="C385" t="str">
            <v>GREENFIELD, ALICE R</v>
          </cell>
          <cell r="D385" t="str">
            <v>E0118914</v>
          </cell>
          <cell r="E385" t="str">
            <v>GREENFIELD ALICA</v>
          </cell>
          <cell r="G385" t="str">
            <v>Kathryn Spaziani</v>
          </cell>
          <cell r="H385" t="str">
            <v>(212) 305-1190</v>
          </cell>
          <cell r="J385" t="str">
            <v>kas9171@nyp.org</v>
          </cell>
          <cell r="L385" t="str">
            <v>Practitioner - Non-Primary Care Provider (PCP)</v>
          </cell>
          <cell r="M385" t="str">
            <v>No</v>
          </cell>
          <cell r="R385" t="str">
            <v>GREENFIELD ALICE</v>
          </cell>
          <cell r="W385" t="str">
            <v>GREENFIELD ALICA R</v>
          </cell>
          <cell r="X385" t="str">
            <v>3959 BROADWAY</v>
          </cell>
          <cell r="Y385" t="str">
            <v>NEW YORK</v>
          </cell>
          <cell r="Z385" t="str">
            <v>NY</v>
          </cell>
          <cell r="AA385" t="str">
            <v>10032-1559</v>
          </cell>
          <cell r="AB385" t="str">
            <v>CLINICAL SOCIAL WORKER (CSW)</v>
          </cell>
          <cell r="AC385" t="str">
            <v>M</v>
          </cell>
          <cell r="AD385" t="str">
            <v>No</v>
          </cell>
          <cell r="AE385" t="str">
            <v>MMIS</v>
          </cell>
          <cell r="AF385" t="str">
            <v>nypwestacn</v>
          </cell>
          <cell r="AG385" t="str">
            <v>P</v>
          </cell>
        </row>
        <row r="386">
          <cell r="A386" t="str">
            <v>1013091040</v>
          </cell>
          <cell r="B386" t="str">
            <v>03110345</v>
          </cell>
          <cell r="C386" t="str">
            <v>PROSSER, JANE</v>
          </cell>
          <cell r="D386" t="str">
            <v>E0294207</v>
          </cell>
          <cell r="E386" t="str">
            <v>PROSSER JANE MARIE MD</v>
          </cell>
          <cell r="G386" t="str">
            <v>Kathryn Spaziani</v>
          </cell>
          <cell r="H386" t="str">
            <v>(212) 305-1318</v>
          </cell>
          <cell r="J386" t="str">
            <v>kas9171@nyp.org</v>
          </cell>
          <cell r="L386" t="str">
            <v>Practitioner - Non-Primary Care Provider (PCP)</v>
          </cell>
          <cell r="M386" t="str">
            <v>No</v>
          </cell>
          <cell r="R386" t="str">
            <v>PROSSER JANE</v>
          </cell>
          <cell r="W386" t="str">
            <v>PROSSER JANE MARIE MD</v>
          </cell>
          <cell r="X386" t="str">
            <v>525 E 68TH ST</v>
          </cell>
          <cell r="Y386" t="str">
            <v>NEW YORK</v>
          </cell>
          <cell r="Z386" t="str">
            <v>NY</v>
          </cell>
          <cell r="AA386" t="str">
            <v>10065-4870</v>
          </cell>
          <cell r="AB386" t="str">
            <v>PHYSICIAN</v>
          </cell>
          <cell r="AC386" t="str">
            <v>M</v>
          </cell>
          <cell r="AD386" t="str">
            <v>No</v>
          </cell>
          <cell r="AE386" t="str">
            <v>MMIS</v>
          </cell>
          <cell r="AF386" t="str">
            <v>nypeastcampus</v>
          </cell>
          <cell r="AG386" t="str">
            <v>P</v>
          </cell>
        </row>
        <row r="387">
          <cell r="A387" t="str">
            <v>1023242377</v>
          </cell>
          <cell r="B387" t="str">
            <v>03535595</v>
          </cell>
          <cell r="C387" t="str">
            <v>KURIAKOSE, JULIE S</v>
          </cell>
          <cell r="D387" t="str">
            <v>E0343391</v>
          </cell>
          <cell r="E387" t="str">
            <v>KURIAKOSE JULIE S</v>
          </cell>
          <cell r="G387" t="str">
            <v>Kathryn Spaziani</v>
          </cell>
          <cell r="H387" t="str">
            <v>(212) 305-1190</v>
          </cell>
          <cell r="J387" t="str">
            <v>kas9171@nyp.org</v>
          </cell>
          <cell r="L387" t="str">
            <v>Practitioner - Non-Primary Care Provider (PCP)</v>
          </cell>
          <cell r="M387" t="str">
            <v>No</v>
          </cell>
          <cell r="R387" t="str">
            <v>KURIAKOSE JULIE DR.</v>
          </cell>
          <cell r="W387" t="str">
            <v>KURIAKOSE JULIE S</v>
          </cell>
          <cell r="X387" t="str">
            <v>622 W 168TH ST 3RD F</v>
          </cell>
          <cell r="Y387" t="str">
            <v>NEW YORK</v>
          </cell>
          <cell r="Z387" t="str">
            <v>NY</v>
          </cell>
          <cell r="AA387" t="str">
            <v>10032-0000</v>
          </cell>
          <cell r="AB387" t="str">
            <v>PHYSICIAN</v>
          </cell>
          <cell r="AC387" t="str">
            <v>M</v>
          </cell>
          <cell r="AD387" t="str">
            <v>No</v>
          </cell>
          <cell r="AE387" t="str">
            <v>MMIS</v>
          </cell>
          <cell r="AF387" t="str">
            <v>nypwestcampus</v>
          </cell>
          <cell r="AG387" t="str">
            <v>P</v>
          </cell>
        </row>
        <row r="388">
          <cell r="A388" t="str">
            <v>1164418588</v>
          </cell>
          <cell r="B388" t="str">
            <v>02466535</v>
          </cell>
          <cell r="C388" t="str">
            <v>LALWANI, ANIL K</v>
          </cell>
          <cell r="D388" t="str">
            <v>E0053482</v>
          </cell>
          <cell r="E388" t="str">
            <v>LALWANI ANIL</v>
          </cell>
          <cell r="G388" t="str">
            <v>Kathryn Spaziani</v>
          </cell>
          <cell r="H388" t="str">
            <v>(212) 305-1190</v>
          </cell>
          <cell r="J388" t="str">
            <v>kas9171@nyp.org</v>
          </cell>
          <cell r="L388" t="str">
            <v>Practitioner - Non-Primary Care Provider (PCP)</v>
          </cell>
          <cell r="M388" t="str">
            <v>No</v>
          </cell>
          <cell r="R388" t="str">
            <v>LALWANI ANIL</v>
          </cell>
          <cell r="W388" t="str">
            <v>LALWANI ANIL</v>
          </cell>
          <cell r="X388" t="str">
            <v>LALWANI ANIL</v>
          </cell>
          <cell r="Y388" t="str">
            <v>NEW YORK</v>
          </cell>
          <cell r="Z388" t="str">
            <v>NY</v>
          </cell>
          <cell r="AA388" t="str">
            <v>10016</v>
          </cell>
          <cell r="AB388" t="str">
            <v>PHYSICIAN</v>
          </cell>
          <cell r="AC388" t="str">
            <v>M</v>
          </cell>
          <cell r="AD388" t="str">
            <v>No</v>
          </cell>
          <cell r="AE388" t="str">
            <v>MMIS</v>
          </cell>
          <cell r="AF388" t="str">
            <v>nypwestcampus</v>
          </cell>
          <cell r="AG388" t="str">
            <v>P</v>
          </cell>
        </row>
        <row r="389">
          <cell r="A389" t="str">
            <v>1164450318</v>
          </cell>
          <cell r="B389" t="str">
            <v>01081612</v>
          </cell>
          <cell r="C389" t="str">
            <v>BELL, KAREN L</v>
          </cell>
          <cell r="D389" t="str">
            <v>E0191710</v>
          </cell>
          <cell r="E389" t="str">
            <v>BELL KAREN L MD</v>
          </cell>
          <cell r="G389" t="str">
            <v>Kathryn Spaziani</v>
          </cell>
          <cell r="H389" t="str">
            <v>(212) 305-1190</v>
          </cell>
          <cell r="J389" t="str">
            <v>kas9171@nyp.org</v>
          </cell>
          <cell r="L389" t="str">
            <v>Practitioner - Non-Primary Care Provider (PCP)</v>
          </cell>
          <cell r="M389" t="str">
            <v>No</v>
          </cell>
          <cell r="R389" t="str">
            <v>BELL KAREN DR.</v>
          </cell>
          <cell r="W389" t="str">
            <v>BELL KAREN L MD</v>
          </cell>
          <cell r="X389" t="str">
            <v>710 W 168TH ST</v>
          </cell>
          <cell r="Y389" t="str">
            <v>NEW YORK</v>
          </cell>
          <cell r="Z389" t="str">
            <v>NY</v>
          </cell>
          <cell r="AA389" t="str">
            <v>10032-3726</v>
          </cell>
          <cell r="AB389" t="str">
            <v>PHYSICIAN</v>
          </cell>
          <cell r="AC389" t="str">
            <v>M</v>
          </cell>
          <cell r="AD389" t="str">
            <v>No</v>
          </cell>
          <cell r="AE389" t="str">
            <v>MMIS</v>
          </cell>
          <cell r="AF389" t="str">
            <v>nypwestacn</v>
          </cell>
          <cell r="AG389" t="str">
            <v>P</v>
          </cell>
        </row>
        <row r="390">
          <cell r="A390" t="str">
            <v>1164457552</v>
          </cell>
          <cell r="B390" t="str">
            <v>01828308</v>
          </cell>
          <cell r="C390" t="str">
            <v>FOSTER, JORDAN C</v>
          </cell>
          <cell r="D390" t="str">
            <v>E0117209</v>
          </cell>
          <cell r="E390" t="str">
            <v>FOSTER JORDAN</v>
          </cell>
          <cell r="G390" t="str">
            <v>Kathryn Spaziani</v>
          </cell>
          <cell r="H390" t="str">
            <v>(212) 305-1190</v>
          </cell>
          <cell r="J390" t="str">
            <v>kas9171@nyp.org</v>
          </cell>
          <cell r="L390" t="str">
            <v>All Other:: Practitioner - Non-Primary Care Provider (PCP)</v>
          </cell>
          <cell r="M390" t="str">
            <v>No</v>
          </cell>
          <cell r="R390" t="str">
            <v>FOSTER JORDAN</v>
          </cell>
          <cell r="W390" t="str">
            <v>FOSTER JORDAN</v>
          </cell>
          <cell r="X390" t="str">
            <v>ASSOC IN EMERG SVCS</v>
          </cell>
          <cell r="Y390" t="str">
            <v>NEW YORK</v>
          </cell>
          <cell r="Z390" t="str">
            <v>NY</v>
          </cell>
          <cell r="AA390" t="str">
            <v>10032-3720</v>
          </cell>
          <cell r="AB390" t="str">
            <v>PHYSICIAN</v>
          </cell>
          <cell r="AC390" t="str">
            <v>M</v>
          </cell>
          <cell r="AD390" t="str">
            <v>No</v>
          </cell>
          <cell r="AE390" t="str">
            <v>MMIS</v>
          </cell>
          <cell r="AF390" t="str">
            <v>nypwestcampus</v>
          </cell>
          <cell r="AG390" t="str">
            <v>P</v>
          </cell>
        </row>
        <row r="391">
          <cell r="A391" t="str">
            <v>1932241429</v>
          </cell>
          <cell r="B391" t="str">
            <v>02737644</v>
          </cell>
          <cell r="C391" t="str">
            <v>ARGUS COMMUNITY INC</v>
          </cell>
          <cell r="D391" t="str">
            <v>E0026423</v>
          </cell>
          <cell r="E391" t="str">
            <v>ARGUS COMMUNITY INC</v>
          </cell>
          <cell r="G391" t="str">
            <v>Daniel Lowy</v>
          </cell>
          <cell r="H391" t="str">
            <v>(718) 401-5650</v>
          </cell>
          <cell r="J391" t="str">
            <v>dlowy@arguscommunity.org</v>
          </cell>
          <cell r="L391" t="str">
            <v>All Other:: Substance Abuse</v>
          </cell>
          <cell r="M391" t="str">
            <v>Yes</v>
          </cell>
          <cell r="R391" t="str">
            <v>ARGUS COMMUNITY, INC.</v>
          </cell>
          <cell r="W391" t="str">
            <v>ARGUS COMMUNITY INC</v>
          </cell>
          <cell r="X391" t="str">
            <v>OAS CL 2FL</v>
          </cell>
          <cell r="Y391" t="str">
            <v>BRONX</v>
          </cell>
          <cell r="Z391" t="str">
            <v>NY</v>
          </cell>
          <cell r="AA391" t="str">
            <v>10456-7815</v>
          </cell>
          <cell r="AB391" t="str">
            <v>DIAGNOSTIC AND TREATMENT CENTER</v>
          </cell>
          <cell r="AC391" t="str">
            <v>M</v>
          </cell>
          <cell r="AD391" t="str">
            <v>No</v>
          </cell>
          <cell r="AE391" t="str">
            <v>MMIS</v>
          </cell>
          <cell r="AF391" t="str">
            <v>arguscommunity</v>
          </cell>
          <cell r="AG391" t="str">
            <v>P</v>
          </cell>
        </row>
        <row r="392">
          <cell r="A392" t="str">
            <v>1316114713</v>
          </cell>
          <cell r="B392" t="str">
            <v>03088891</v>
          </cell>
          <cell r="C392" t="str">
            <v>Kwame Akowuah, MD</v>
          </cell>
          <cell r="D392" t="str">
            <v>E0291748</v>
          </cell>
          <cell r="E392" t="str">
            <v>AKOWUAH KWAME</v>
          </cell>
          <cell r="G392" t="str">
            <v>Dianna Dragatsi</v>
          </cell>
          <cell r="H392" t="str">
            <v>(212) 942-8500</v>
          </cell>
          <cell r="J392" t="str">
            <v>Dragats@nyspi.columbia.edu</v>
          </cell>
          <cell r="L392" t="str">
            <v>Practitioner - Non-Primary Care Provider (PCP)</v>
          </cell>
          <cell r="M392" t="str">
            <v>No</v>
          </cell>
          <cell r="R392" t="str">
            <v>AKOWUAH KWAME DR.</v>
          </cell>
          <cell r="W392" t="str">
            <v>AKOWUAH KWAME</v>
          </cell>
          <cell r="X392" t="str">
            <v>513 W 166TH ST FL 4</v>
          </cell>
          <cell r="Y392" t="str">
            <v>NEW YORK</v>
          </cell>
          <cell r="Z392" t="str">
            <v>NY</v>
          </cell>
          <cell r="AA392" t="str">
            <v>10032-4207</v>
          </cell>
          <cell r="AB392" t="str">
            <v>PHYSICIAN</v>
          </cell>
          <cell r="AC392" t="str">
            <v>M</v>
          </cell>
          <cell r="AD392" t="str">
            <v>No</v>
          </cell>
          <cell r="AE392" t="str">
            <v>MMIS</v>
          </cell>
          <cell r="AF392" t="str">
            <v>nyspi</v>
          </cell>
          <cell r="AG392" t="str">
            <v>P</v>
          </cell>
        </row>
        <row r="393">
          <cell r="A393" t="str">
            <v>1699084038</v>
          </cell>
          <cell r="B393" t="str">
            <v>04012846</v>
          </cell>
          <cell r="C393" t="str">
            <v>Elizabeth Alonso, LCSW</v>
          </cell>
          <cell r="D393" t="str">
            <v>E0392746</v>
          </cell>
          <cell r="E393" t="str">
            <v>ALONSO ELIZABETH</v>
          </cell>
          <cell r="G393" t="str">
            <v>Dianna Dragatsi</v>
          </cell>
          <cell r="H393" t="str">
            <v>(212) 942-8501</v>
          </cell>
          <cell r="J393" t="str">
            <v>Dragats@nyspi.columbia.edu</v>
          </cell>
          <cell r="L393" t="str">
            <v>Uncategorized</v>
          </cell>
          <cell r="M393" t="str">
            <v>No</v>
          </cell>
          <cell r="R393" t="str">
            <v>ALONSO ELIZABETH MRS.</v>
          </cell>
          <cell r="W393" t="str">
            <v>ALONSO ELIZABETH</v>
          </cell>
          <cell r="X393" t="str">
            <v>513 W 166TH ST FL 4</v>
          </cell>
          <cell r="Y393" t="str">
            <v>NEW YORK</v>
          </cell>
          <cell r="Z393" t="str">
            <v>NY</v>
          </cell>
          <cell r="AA393" t="str">
            <v>10032-4207</v>
          </cell>
          <cell r="AB393" t="str">
            <v>CLINICAL SOCIAL WORKER (CSW)</v>
          </cell>
          <cell r="AC393" t="str">
            <v>M</v>
          </cell>
          <cell r="AD393" t="str">
            <v>No</v>
          </cell>
          <cell r="AE393" t="str">
            <v>MMIS</v>
          </cell>
          <cell r="AF393" t="str">
            <v>nyspi</v>
          </cell>
          <cell r="AG393" t="str">
            <v>P</v>
          </cell>
        </row>
        <row r="394">
          <cell r="A394" t="str">
            <v>1487741575</v>
          </cell>
          <cell r="B394" t="str">
            <v>01947768</v>
          </cell>
          <cell r="C394" t="str">
            <v>SEGAL, ALAN Z</v>
          </cell>
          <cell r="D394" t="str">
            <v>E0105278</v>
          </cell>
          <cell r="E394" t="str">
            <v>SEGAL ALAN ZACHARY MD</v>
          </cell>
          <cell r="G394" t="str">
            <v>Kathryn Spaziani</v>
          </cell>
          <cell r="H394" t="str">
            <v>(212) 305-1190</v>
          </cell>
          <cell r="J394" t="str">
            <v>kas9171@nyp.org</v>
          </cell>
          <cell r="L394" t="str">
            <v>All Other:: Practitioner - Non-Primary Care Provider (PCP)</v>
          </cell>
          <cell r="M394" t="str">
            <v>No</v>
          </cell>
          <cell r="R394" t="str">
            <v>SEGAL ALAN</v>
          </cell>
          <cell r="W394" t="str">
            <v>SEGAL ALAN ZACHARY MD</v>
          </cell>
          <cell r="Y394" t="str">
            <v>NEW YORK</v>
          </cell>
          <cell r="Z394" t="str">
            <v>NY</v>
          </cell>
          <cell r="AA394" t="str">
            <v>10065-4870</v>
          </cell>
          <cell r="AB394" t="str">
            <v>PHYSICIAN</v>
          </cell>
          <cell r="AC394" t="str">
            <v>M</v>
          </cell>
          <cell r="AD394" t="str">
            <v>No</v>
          </cell>
          <cell r="AE394" t="str">
            <v>MMIS</v>
          </cell>
          <cell r="AF394" t="str">
            <v>nypeastcampus</v>
          </cell>
          <cell r="AG394" t="str">
            <v>P</v>
          </cell>
        </row>
        <row r="395">
          <cell r="A395" t="str">
            <v>1427216175</v>
          </cell>
          <cell r="B395" t="str">
            <v>03292624</v>
          </cell>
          <cell r="C395" t="str">
            <v xml:space="preserve">CHANTASI, KENNY </v>
          </cell>
          <cell r="D395" t="str">
            <v>E0314859</v>
          </cell>
          <cell r="E395" t="str">
            <v>KENNY CHANTASI</v>
          </cell>
          <cell r="G395" t="str">
            <v>Kathryn Spaziani</v>
          </cell>
          <cell r="H395" t="str">
            <v>(212) 305-1190</v>
          </cell>
          <cell r="J395" t="str">
            <v>kas9171@nyp.org</v>
          </cell>
          <cell r="L395" t="str">
            <v>All Other:: Practitioner - Non-Primary Care Provider (PCP)</v>
          </cell>
          <cell r="M395" t="str">
            <v>No</v>
          </cell>
          <cell r="R395" t="str">
            <v>CHANTASI KENNY DR.</v>
          </cell>
          <cell r="W395" t="str">
            <v>CHANTASI KENNY DO</v>
          </cell>
          <cell r="X395" t="str">
            <v>180 FORT WASHINGTON AVE STE 199</v>
          </cell>
          <cell r="Y395" t="str">
            <v>NEW YORK</v>
          </cell>
          <cell r="Z395" t="str">
            <v>NY</v>
          </cell>
          <cell r="AA395" t="str">
            <v>10032-3722</v>
          </cell>
          <cell r="AB395" t="str">
            <v>PHYSICIAN</v>
          </cell>
          <cell r="AC395" t="str">
            <v>M</v>
          </cell>
          <cell r="AD395" t="str">
            <v>No</v>
          </cell>
          <cell r="AE395" t="str">
            <v>MMIS</v>
          </cell>
          <cell r="AF395" t="str">
            <v>nypwestacn</v>
          </cell>
          <cell r="AG395" t="str">
            <v>P</v>
          </cell>
        </row>
        <row r="396">
          <cell r="A396" t="str">
            <v>1790732352</v>
          </cell>
          <cell r="B396" t="str">
            <v>02365346</v>
          </cell>
          <cell r="C396" t="str">
            <v>TRUSTEES OF COLUMBIA UNIVERSITY</v>
          </cell>
          <cell r="D396" t="str">
            <v>E0063573</v>
          </cell>
          <cell r="E396" t="str">
            <v>TRUSTEES OF COLUMBIA UNIVERSITY</v>
          </cell>
          <cell r="L396" t="str">
            <v>All Other</v>
          </cell>
          <cell r="M396" t="str">
            <v>No</v>
          </cell>
          <cell r="R396" t="str">
            <v>TRUSTEES OF COLUMBIA UNIVERSITY IN THE CITY OF NEW YORK</v>
          </cell>
          <cell r="W396" t="str">
            <v>TRUSTEES OF COLUMBIA UNIVERSITY</v>
          </cell>
          <cell r="X396" t="str">
            <v>HARKNESS EYE INST</v>
          </cell>
          <cell r="Y396" t="str">
            <v>NEW YORK</v>
          </cell>
          <cell r="Z396" t="str">
            <v>NY</v>
          </cell>
          <cell r="AA396" t="str">
            <v>10032-3724</v>
          </cell>
          <cell r="AB396" t="str">
            <v>PHYSICIANS GROUP</v>
          </cell>
          <cell r="AC396" t="str">
            <v>M</v>
          </cell>
          <cell r="AD396" t="str">
            <v>No</v>
          </cell>
          <cell r="AE396" t="str">
            <v>MMIS</v>
          </cell>
          <cell r="AF396" t="str">
            <v>nypwestacn</v>
          </cell>
          <cell r="AG396" t="str">
            <v>P</v>
          </cell>
        </row>
        <row r="397">
          <cell r="A397" t="str">
            <v>1871815241</v>
          </cell>
          <cell r="B397" t="str">
            <v>03337973</v>
          </cell>
          <cell r="C397" t="str">
            <v xml:space="preserve">JOY, VALSAMMA </v>
          </cell>
          <cell r="D397" t="str">
            <v>E0320055</v>
          </cell>
          <cell r="E397" t="str">
            <v>JOY VALSAMMA V</v>
          </cell>
          <cell r="G397" t="str">
            <v>Kathryn Spaziani</v>
          </cell>
          <cell r="H397" t="str">
            <v>(212) 305-1190</v>
          </cell>
          <cell r="J397" t="str">
            <v>kas9171@nyp.org</v>
          </cell>
          <cell r="L397" t="str">
            <v>Practitioner - Non-Primary Care Provider (PCP)</v>
          </cell>
          <cell r="M397" t="str">
            <v>No</v>
          </cell>
          <cell r="R397" t="str">
            <v>JOY VALSAMMA MRS.</v>
          </cell>
          <cell r="W397" t="str">
            <v>JOY VALSAMMA V</v>
          </cell>
          <cell r="X397" t="str">
            <v>622 W 168TH ST</v>
          </cell>
          <cell r="Y397" t="str">
            <v>NEW YORK</v>
          </cell>
          <cell r="Z397" t="str">
            <v>NY</v>
          </cell>
          <cell r="AA397" t="str">
            <v>10032-3720</v>
          </cell>
          <cell r="AB397" t="str">
            <v>PHYSICIAN</v>
          </cell>
          <cell r="AC397" t="str">
            <v>M</v>
          </cell>
          <cell r="AD397" t="str">
            <v>No</v>
          </cell>
          <cell r="AE397" t="str">
            <v>MMIS</v>
          </cell>
          <cell r="AF397" t="str">
            <v>nypwestcampus</v>
          </cell>
          <cell r="AG397" t="str">
            <v>P</v>
          </cell>
        </row>
        <row r="398">
          <cell r="A398" t="str">
            <v>1356500599</v>
          </cell>
          <cell r="B398" t="str">
            <v>03361837</v>
          </cell>
          <cell r="C398" t="str">
            <v>Hillard, MacKenzi N.</v>
          </cell>
          <cell r="D398" t="str">
            <v>E0322870</v>
          </cell>
          <cell r="E398" t="str">
            <v>HILLARD MACKENZI</v>
          </cell>
          <cell r="G398" t="str">
            <v>Kathryn Spaziani</v>
          </cell>
          <cell r="H398" t="str">
            <v>(212) 305-1190</v>
          </cell>
          <cell r="J398" t="str">
            <v>kas9171@nyp.org</v>
          </cell>
          <cell r="L398" t="str">
            <v>All Other:: Practitioner - Primary Care Provider (PCP)</v>
          </cell>
          <cell r="M398" t="str">
            <v>Yes</v>
          </cell>
          <cell r="R398" t="str">
            <v>HILLARD MACKENZI</v>
          </cell>
          <cell r="W398" t="str">
            <v>HILLARD MACKENZI NICOLE</v>
          </cell>
          <cell r="X398" t="str">
            <v>525 E 68TH ST # M-610</v>
          </cell>
          <cell r="Y398" t="str">
            <v>NEW YORK</v>
          </cell>
          <cell r="Z398" t="str">
            <v>NY</v>
          </cell>
          <cell r="AA398" t="str">
            <v>10065-4870</v>
          </cell>
          <cell r="AB398" t="str">
            <v>PHYSICIAN</v>
          </cell>
          <cell r="AC398" t="str">
            <v>M</v>
          </cell>
          <cell r="AD398" t="str">
            <v>No</v>
          </cell>
          <cell r="AE398" t="str">
            <v>MMIS</v>
          </cell>
          <cell r="AF398" t="str">
            <v>nypeastacn</v>
          </cell>
          <cell r="AG398" t="str">
            <v>P</v>
          </cell>
        </row>
        <row r="399">
          <cell r="A399" t="str">
            <v>1962427427</v>
          </cell>
          <cell r="B399" t="str">
            <v>00855647</v>
          </cell>
          <cell r="C399" t="str">
            <v>HOWARD ADELGLASS</v>
          </cell>
          <cell r="D399" t="str">
            <v>E0214180</v>
          </cell>
          <cell r="E399" t="str">
            <v>ADELGLASS HOWARD R         MD</v>
          </cell>
          <cell r="G399" t="str">
            <v>Eva Eng</v>
          </cell>
          <cell r="H399" t="str">
            <v>(212) 752-5015</v>
          </cell>
          <cell r="J399" t="str">
            <v>eeng@archcare.org</v>
          </cell>
          <cell r="L399" t="str">
            <v>All Other:: Practitioner - Non-Primary Care Provider (PCP)</v>
          </cell>
          <cell r="M399" t="str">
            <v>No</v>
          </cell>
          <cell r="R399" t="str">
            <v>ADELGLASS HOWARD</v>
          </cell>
          <cell r="W399" t="str">
            <v>ADELGLASS HOWARD R         MD</v>
          </cell>
          <cell r="X399" t="str">
            <v>ST JOHN'S HOSP</v>
          </cell>
          <cell r="Y399" t="str">
            <v>ELMHURST</v>
          </cell>
          <cell r="Z399" t="str">
            <v>NY</v>
          </cell>
          <cell r="AA399" t="str">
            <v>11373-4941</v>
          </cell>
          <cell r="AB399" t="str">
            <v>PHYSICIAN</v>
          </cell>
          <cell r="AC399" t="str">
            <v>M</v>
          </cell>
          <cell r="AD399" t="str">
            <v>No</v>
          </cell>
          <cell r="AE399" t="str">
            <v>MMIS</v>
          </cell>
          <cell r="AF399" t="str">
            <v>nypwestacn</v>
          </cell>
          <cell r="AG399" t="str">
            <v>P</v>
          </cell>
        </row>
        <row r="400">
          <cell r="A400" t="str">
            <v>1003033184</v>
          </cell>
          <cell r="B400" t="str">
            <v>03228984</v>
          </cell>
          <cell r="C400" t="str">
            <v>McNairy Margaret</v>
          </cell>
          <cell r="D400" t="str">
            <v>E0307696</v>
          </cell>
          <cell r="E400" t="str">
            <v>MCNAIRY MARGARET LEIGHTON</v>
          </cell>
          <cell r="L400" t="str">
            <v>Practitioner - Non-Primary Care Provider (PCP)</v>
          </cell>
          <cell r="M400" t="str">
            <v>No</v>
          </cell>
          <cell r="R400" t="str">
            <v>MCNAIRY MARGARET</v>
          </cell>
          <cell r="W400" t="str">
            <v>MCNAIRY MARGARET LEIGHTON</v>
          </cell>
          <cell r="X400" t="str">
            <v>525 E 68TH ST</v>
          </cell>
          <cell r="Y400" t="str">
            <v>NEW YORK</v>
          </cell>
          <cell r="Z400" t="str">
            <v>NY</v>
          </cell>
          <cell r="AA400" t="str">
            <v>10065-4870</v>
          </cell>
          <cell r="AB400" t="str">
            <v>PHYSICIAN</v>
          </cell>
          <cell r="AC400" t="str">
            <v>M</v>
          </cell>
          <cell r="AD400" t="str">
            <v>No</v>
          </cell>
          <cell r="AE400" t="str">
            <v>MMIS</v>
          </cell>
          <cell r="AF400" t="str">
            <v>nypeastcampus</v>
          </cell>
          <cell r="AG400" t="str">
            <v>P</v>
          </cell>
        </row>
        <row r="401">
          <cell r="A401" t="str">
            <v>1790826733</v>
          </cell>
          <cell r="B401" t="str">
            <v>02513977</v>
          </cell>
          <cell r="C401" t="str">
            <v>Ogedegbe Anthony-Emmanue</v>
          </cell>
          <cell r="D401" t="str">
            <v>E0048744</v>
          </cell>
          <cell r="E401" t="str">
            <v>OGEDEGBE ANTHONY EMMANUE O MD</v>
          </cell>
          <cell r="L401" t="str">
            <v>All Other:: Practitioner - Non-Primary Care Provider (PCP)</v>
          </cell>
          <cell r="M401" t="str">
            <v>No</v>
          </cell>
          <cell r="R401" t="str">
            <v>OGEDEGBE ANTHONY-EMMANUEL DR.</v>
          </cell>
          <cell r="W401" t="str">
            <v>OGEDEGBE ANTHONY EMMANUEL O</v>
          </cell>
          <cell r="X401" t="str">
            <v>525 E 68TH ST</v>
          </cell>
          <cell r="Y401" t="str">
            <v>NEW YORK</v>
          </cell>
          <cell r="Z401" t="str">
            <v>NY</v>
          </cell>
          <cell r="AA401" t="str">
            <v>10065-4870</v>
          </cell>
          <cell r="AB401" t="str">
            <v>PHYSICIAN</v>
          </cell>
          <cell r="AC401" t="str">
            <v>M</v>
          </cell>
          <cell r="AD401" t="str">
            <v>No</v>
          </cell>
          <cell r="AE401" t="str">
            <v>MMIS</v>
          </cell>
          <cell r="AF401" t="str">
            <v>nypeastcampus</v>
          </cell>
          <cell r="AG401" t="str">
            <v>P</v>
          </cell>
        </row>
        <row r="402">
          <cell r="A402" t="str">
            <v>1154570984</v>
          </cell>
          <cell r="C402" t="str">
            <v>Jimenez Guillermo</v>
          </cell>
          <cell r="G402" t="str">
            <v>Kathryn Spaziani</v>
          </cell>
          <cell r="H402" t="str">
            <v>(212) 305-1255</v>
          </cell>
          <cell r="J402" t="str">
            <v>kas9171@nyp.org</v>
          </cell>
          <cell r="K402" t="str">
            <v>Physician</v>
          </cell>
          <cell r="L402" t="str">
            <v>Uncategorized</v>
          </cell>
          <cell r="M402" t="str">
            <v>No</v>
          </cell>
          <cell r="R402" t="str">
            <v>JIMENEZ GUILLERMO DR.</v>
          </cell>
          <cell r="S402" t="str">
            <v>630 W 168TH ST # MC28</v>
          </cell>
          <cell r="T402" t="str">
            <v>NEW YORK</v>
          </cell>
          <cell r="U402" t="str">
            <v>NY</v>
          </cell>
          <cell r="V402" t="str">
            <v>100323725</v>
          </cell>
          <cell r="AC402" t="str">
            <v>M</v>
          </cell>
          <cell r="AD402" t="str">
            <v>No</v>
          </cell>
          <cell r="AE402" t="str">
            <v>NPI only</v>
          </cell>
          <cell r="AF402" t="str">
            <v>nypwestcampus</v>
          </cell>
          <cell r="AG402" t="str">
            <v>P</v>
          </cell>
        </row>
        <row r="403">
          <cell r="A403" t="str">
            <v>1811275266</v>
          </cell>
          <cell r="C403" t="str">
            <v>Jin Brian</v>
          </cell>
          <cell r="G403" t="str">
            <v>Kathryn Spaziani</v>
          </cell>
          <cell r="H403" t="str">
            <v>(212) 305-1255</v>
          </cell>
          <cell r="J403" t="str">
            <v>kas9171@nyp.org</v>
          </cell>
          <cell r="K403" t="str">
            <v>Physician</v>
          </cell>
          <cell r="L403" t="str">
            <v>Uncategorized</v>
          </cell>
          <cell r="M403" t="str">
            <v>No</v>
          </cell>
          <cell r="R403" t="str">
            <v>JIN BRIAN</v>
          </cell>
          <cell r="S403" t="str">
            <v>1500 LANSDOWNE AVE</v>
          </cell>
          <cell r="T403" t="str">
            <v>DARBY</v>
          </cell>
          <cell r="U403" t="str">
            <v>PA</v>
          </cell>
          <cell r="V403" t="str">
            <v>190231200</v>
          </cell>
          <cell r="AC403" t="str">
            <v>M</v>
          </cell>
          <cell r="AD403" t="str">
            <v>No</v>
          </cell>
          <cell r="AE403" t="str">
            <v>NPI only</v>
          </cell>
          <cell r="AF403" t="str">
            <v>nypwestcampus</v>
          </cell>
          <cell r="AG403" t="str">
            <v>P</v>
          </cell>
        </row>
        <row r="404">
          <cell r="A404" t="str">
            <v>1912262551</v>
          </cell>
          <cell r="C404" t="str">
            <v>Kwak Ellie</v>
          </cell>
          <cell r="G404" t="str">
            <v>Kathryn Spaziani</v>
          </cell>
          <cell r="H404" t="str">
            <v>(212) 305-1255</v>
          </cell>
          <cell r="J404" t="str">
            <v>kas9171@nyp.org</v>
          </cell>
          <cell r="K404" t="str">
            <v>Physician</v>
          </cell>
          <cell r="L404" t="str">
            <v>Uncategorized</v>
          </cell>
          <cell r="M404" t="str">
            <v>No</v>
          </cell>
          <cell r="R404" t="str">
            <v>KWAK ELLIE</v>
          </cell>
          <cell r="S404" t="str">
            <v>2100 DORCHESTER AVE</v>
          </cell>
          <cell r="T404" t="str">
            <v>DORCHESTER</v>
          </cell>
          <cell r="U404" t="str">
            <v>MA</v>
          </cell>
          <cell r="V404" t="str">
            <v>021245615</v>
          </cell>
          <cell r="AC404" t="str">
            <v>M</v>
          </cell>
          <cell r="AD404" t="str">
            <v>No</v>
          </cell>
          <cell r="AE404" t="str">
            <v>NPI only</v>
          </cell>
          <cell r="AF404" t="str">
            <v>nypwestcampus</v>
          </cell>
          <cell r="AG404" t="str">
            <v>P</v>
          </cell>
        </row>
        <row r="405">
          <cell r="A405" t="str">
            <v>1538425103</v>
          </cell>
          <cell r="C405" t="str">
            <v>Lin Dana</v>
          </cell>
          <cell r="G405" t="str">
            <v>Kathryn Spaziani</v>
          </cell>
          <cell r="H405" t="str">
            <v>(212) 305-1255</v>
          </cell>
          <cell r="J405" t="str">
            <v>kas9171@nyp.org</v>
          </cell>
          <cell r="K405" t="str">
            <v>Physician</v>
          </cell>
          <cell r="L405" t="str">
            <v>Uncategorized</v>
          </cell>
          <cell r="M405" t="str">
            <v>No</v>
          </cell>
          <cell r="R405" t="str">
            <v>LIN DANA DR.</v>
          </cell>
          <cell r="S405" t="str">
            <v>2351 CLAY ST, SUITE 380</v>
          </cell>
          <cell r="T405" t="str">
            <v>SAN FRANCISCO</v>
          </cell>
          <cell r="U405" t="str">
            <v>CA</v>
          </cell>
          <cell r="V405" t="str">
            <v>941151931</v>
          </cell>
          <cell r="AC405" t="str">
            <v>M</v>
          </cell>
          <cell r="AD405" t="str">
            <v>No</v>
          </cell>
          <cell r="AE405" t="str">
            <v>NPI only</v>
          </cell>
          <cell r="AF405" t="str">
            <v>nypwestcampus</v>
          </cell>
          <cell r="AG405" t="str">
            <v>P</v>
          </cell>
        </row>
        <row r="406">
          <cell r="A406" t="str">
            <v>1356608558</v>
          </cell>
          <cell r="C406" t="str">
            <v>Luk Lyndon</v>
          </cell>
          <cell r="G406" t="str">
            <v>Kathryn Spaziani</v>
          </cell>
          <cell r="H406" t="str">
            <v>(212) 305-1255</v>
          </cell>
          <cell r="J406" t="str">
            <v>kas9171@nyp.org</v>
          </cell>
          <cell r="K406" t="str">
            <v>Physician</v>
          </cell>
          <cell r="L406" t="str">
            <v>Uncategorized</v>
          </cell>
          <cell r="M406" t="str">
            <v>No</v>
          </cell>
          <cell r="R406" t="str">
            <v>LUK LYNDON</v>
          </cell>
          <cell r="S406" t="str">
            <v>66 PROSPECT AVE</v>
          </cell>
          <cell r="T406" t="str">
            <v>EDISON</v>
          </cell>
          <cell r="U406" t="str">
            <v>NJ</v>
          </cell>
          <cell r="V406" t="str">
            <v>088173744</v>
          </cell>
          <cell r="AC406" t="str">
            <v>M</v>
          </cell>
          <cell r="AD406" t="str">
            <v>No</v>
          </cell>
          <cell r="AE406" t="str">
            <v>NPI only</v>
          </cell>
          <cell r="AF406" t="str">
            <v>nypwestcampus</v>
          </cell>
          <cell r="AG406" t="str">
            <v>P</v>
          </cell>
        </row>
        <row r="407">
          <cell r="A407" t="str">
            <v>1427341551</v>
          </cell>
          <cell r="B407" t="str">
            <v>04529228</v>
          </cell>
          <cell r="C407" t="str">
            <v>Ahmed Firas</v>
          </cell>
          <cell r="D407" t="str">
            <v>E0445691</v>
          </cell>
          <cell r="E407" t="str">
            <v>AHMED FIRAS SALEM</v>
          </cell>
          <cell r="G407" t="str">
            <v>Kathryn Spaziani</v>
          </cell>
          <cell r="H407" t="str">
            <v>(212) 305-1255</v>
          </cell>
          <cell r="J407" t="str">
            <v>kas9171@nyp.org</v>
          </cell>
          <cell r="L407" t="str">
            <v>Uncategorized</v>
          </cell>
          <cell r="M407" t="str">
            <v>No</v>
          </cell>
          <cell r="R407" t="str">
            <v>AHMED FIRAS</v>
          </cell>
          <cell r="W407" t="str">
            <v>AHMED FIRAS SALEM</v>
          </cell>
          <cell r="AB407" t="str">
            <v>PHYSICIAN</v>
          </cell>
          <cell r="AC407" t="str">
            <v>M</v>
          </cell>
          <cell r="AD407" t="str">
            <v>No</v>
          </cell>
          <cell r="AE407" t="str">
            <v>MMIS</v>
          </cell>
          <cell r="AF407" t="str">
            <v>nypwestacn</v>
          </cell>
          <cell r="AG407" t="str">
            <v>P</v>
          </cell>
        </row>
        <row r="408">
          <cell r="A408" t="str">
            <v>1093909483</v>
          </cell>
          <cell r="B408" t="str">
            <v>03202664</v>
          </cell>
          <cell r="C408" t="str">
            <v>Foster Jonathan</v>
          </cell>
          <cell r="D408" t="str">
            <v>E0304752</v>
          </cell>
          <cell r="E408" t="str">
            <v>FOSTER JONATHA</v>
          </cell>
          <cell r="L408" t="str">
            <v>All Other:: Practitioner - Non-Primary Care Provider (PCP)</v>
          </cell>
          <cell r="M408" t="str">
            <v>No</v>
          </cell>
          <cell r="R408" t="str">
            <v>FOSTER JONATHAN DR.</v>
          </cell>
          <cell r="W408" t="str">
            <v>FOSTER JONATHAN</v>
          </cell>
          <cell r="X408" t="str">
            <v>244 WESTCHESTER AVE</v>
          </cell>
          <cell r="Y408" t="str">
            <v>WHITE PLAINS</v>
          </cell>
          <cell r="Z408" t="str">
            <v>NY</v>
          </cell>
          <cell r="AA408" t="str">
            <v>10604-2907</v>
          </cell>
          <cell r="AB408" t="str">
            <v>PHYSICIAN</v>
          </cell>
          <cell r="AC408" t="str">
            <v>M</v>
          </cell>
          <cell r="AD408" t="str">
            <v>No</v>
          </cell>
          <cell r="AE408" t="str">
            <v>MMIS</v>
          </cell>
          <cell r="AF408" t="str">
            <v>nypwestcampus</v>
          </cell>
          <cell r="AG408" t="str">
            <v>P</v>
          </cell>
        </row>
        <row r="409">
          <cell r="A409" t="str">
            <v>1548449465</v>
          </cell>
          <cell r="B409" t="str">
            <v>03572929</v>
          </cell>
          <cell r="C409" t="str">
            <v>Francescone Mark</v>
          </cell>
          <cell r="D409" t="str">
            <v>E0347363</v>
          </cell>
          <cell r="E409" t="str">
            <v>FRANCESCONE MARK ALBERT</v>
          </cell>
          <cell r="L409" t="str">
            <v>All Other:: Practitioner - Non-Primary Care Provider (PCP)</v>
          </cell>
          <cell r="M409" t="str">
            <v>No</v>
          </cell>
          <cell r="R409" t="str">
            <v>FRANCESCONE MARK DR.</v>
          </cell>
          <cell r="W409" t="str">
            <v>FRANCESCONE MARK ALBERT</v>
          </cell>
          <cell r="X409" t="str">
            <v>622 W 168TH ST</v>
          </cell>
          <cell r="Y409" t="str">
            <v>NEW YORK</v>
          </cell>
          <cell r="Z409" t="str">
            <v>NY</v>
          </cell>
          <cell r="AA409" t="str">
            <v>10032-3720</v>
          </cell>
          <cell r="AB409" t="str">
            <v>PHYSICIAN</v>
          </cell>
          <cell r="AC409" t="str">
            <v>M</v>
          </cell>
          <cell r="AD409" t="str">
            <v>No</v>
          </cell>
          <cell r="AE409" t="str">
            <v>MMIS</v>
          </cell>
          <cell r="AF409" t="str">
            <v>nypwestcampus</v>
          </cell>
          <cell r="AG409" t="str">
            <v>P</v>
          </cell>
        </row>
        <row r="410">
          <cell r="A410" t="str">
            <v>1740430891</v>
          </cell>
          <cell r="B410" t="str">
            <v>03508830</v>
          </cell>
          <cell r="C410" t="str">
            <v>CRYSTAL, MATTHEW</v>
          </cell>
          <cell r="D410" t="str">
            <v>E0340515</v>
          </cell>
          <cell r="E410" t="str">
            <v>CRYSTAL MATTHEW ALLAN</v>
          </cell>
          <cell r="G410" t="str">
            <v>Kathryn Spaziani</v>
          </cell>
          <cell r="H410" t="str">
            <v>(212) 305-1219</v>
          </cell>
          <cell r="J410" t="str">
            <v>kas9171@nyp.org</v>
          </cell>
          <cell r="L410" t="str">
            <v>All Other:: Practitioner - Non-Primary Care Provider (PCP)</v>
          </cell>
          <cell r="M410" t="str">
            <v>No</v>
          </cell>
          <cell r="R410" t="str">
            <v>CRYSTAL MATTHEW</v>
          </cell>
          <cell r="W410" t="str">
            <v>CRYSTAL MATTHEW ALLAN</v>
          </cell>
          <cell r="X410" t="str">
            <v>3959 BROADWAY</v>
          </cell>
          <cell r="Y410" t="str">
            <v>NEW YORK</v>
          </cell>
          <cell r="Z410" t="str">
            <v>NY</v>
          </cell>
          <cell r="AA410" t="str">
            <v>10032-1559</v>
          </cell>
          <cell r="AB410" t="str">
            <v>PHYSICIAN</v>
          </cell>
          <cell r="AC410" t="str">
            <v>M</v>
          </cell>
          <cell r="AD410" t="str">
            <v>No</v>
          </cell>
          <cell r="AE410" t="str">
            <v>MMIS</v>
          </cell>
          <cell r="AF410" t="str">
            <v>nypwestcampus</v>
          </cell>
          <cell r="AG410" t="str">
            <v>P</v>
          </cell>
        </row>
        <row r="411">
          <cell r="A411" t="str">
            <v>1235394644</v>
          </cell>
          <cell r="B411" t="str">
            <v>03687670</v>
          </cell>
          <cell r="C411" t="str">
            <v>CULAS, RENU</v>
          </cell>
          <cell r="D411" t="str">
            <v>E0359259</v>
          </cell>
          <cell r="E411" t="str">
            <v>CULAS RENU</v>
          </cell>
          <cell r="G411" t="str">
            <v>Kathryn Spaziani</v>
          </cell>
          <cell r="H411" t="str">
            <v>(212) 305-1220</v>
          </cell>
          <cell r="J411" t="str">
            <v>kas9171@nyp.org</v>
          </cell>
          <cell r="L411" t="str">
            <v>Mental Health:: Practitioner - Non-Primary Care Provider (PCP)</v>
          </cell>
          <cell r="M411" t="str">
            <v>No</v>
          </cell>
          <cell r="R411" t="str">
            <v>CULAS RENU DR.</v>
          </cell>
          <cell r="W411" t="str">
            <v>CULAS RENU</v>
          </cell>
          <cell r="X411" t="str">
            <v>5141 BROADWAY</v>
          </cell>
          <cell r="Y411" t="str">
            <v>NEW YORK</v>
          </cell>
          <cell r="Z411" t="str">
            <v>NY</v>
          </cell>
          <cell r="AA411" t="str">
            <v>10034-1159</v>
          </cell>
          <cell r="AB411" t="str">
            <v>PHYSICIAN</v>
          </cell>
          <cell r="AC411" t="str">
            <v>M</v>
          </cell>
          <cell r="AD411" t="str">
            <v>No</v>
          </cell>
          <cell r="AE411" t="str">
            <v>MMIS</v>
          </cell>
          <cell r="AF411" t="str">
            <v>nypwestcampus</v>
          </cell>
          <cell r="AG411" t="str">
            <v>P</v>
          </cell>
        </row>
        <row r="412">
          <cell r="A412" t="str">
            <v>1225289523</v>
          </cell>
          <cell r="B412" t="str">
            <v>03079063</v>
          </cell>
          <cell r="C412" t="str">
            <v>Griffin Kelly</v>
          </cell>
          <cell r="D412" t="str">
            <v>E0290546</v>
          </cell>
          <cell r="E412" t="str">
            <v>GRIFFIN KELLY MARIE MD</v>
          </cell>
          <cell r="L412" t="str">
            <v>Practitioner - Non-Primary Care Provider (PCP)</v>
          </cell>
          <cell r="M412" t="str">
            <v>No</v>
          </cell>
          <cell r="R412" t="str">
            <v>GRIFFIN KELLY DR.</v>
          </cell>
          <cell r="W412" t="str">
            <v>GRIFFIN KELLY MARIE MD</v>
          </cell>
          <cell r="X412" t="str">
            <v>505 E 70TH ST</v>
          </cell>
          <cell r="Y412" t="str">
            <v>NEW YORK</v>
          </cell>
          <cell r="Z412" t="str">
            <v>NY</v>
          </cell>
          <cell r="AA412" t="str">
            <v>10021-4872</v>
          </cell>
          <cell r="AB412" t="str">
            <v>PHYSICIAN</v>
          </cell>
          <cell r="AC412" t="str">
            <v>M</v>
          </cell>
          <cell r="AD412" t="str">
            <v>No</v>
          </cell>
          <cell r="AE412" t="str">
            <v>MMIS</v>
          </cell>
          <cell r="AF412" t="str">
            <v>nypeastcampus</v>
          </cell>
          <cell r="AG412" t="str">
            <v>P</v>
          </cell>
        </row>
        <row r="413">
          <cell r="A413" t="str">
            <v>1700821832</v>
          </cell>
          <cell r="B413" t="str">
            <v>03067907</v>
          </cell>
          <cell r="C413" t="str">
            <v>Debra Berg</v>
          </cell>
          <cell r="D413" t="str">
            <v>E0289275</v>
          </cell>
          <cell r="E413" t="str">
            <v>BERG DEBRA</v>
          </cell>
          <cell r="G413" t="str">
            <v>Eva Eng</v>
          </cell>
          <cell r="H413" t="str">
            <v>(212) 752-5016</v>
          </cell>
          <cell r="J413" t="str">
            <v>eeng@archcare.org</v>
          </cell>
          <cell r="L413" t="str">
            <v>All Other:: Practitioner - Non-Primary Care Provider (PCP)</v>
          </cell>
          <cell r="M413" t="str">
            <v>No</v>
          </cell>
          <cell r="R413" t="str">
            <v>BERG DEBRA DR.</v>
          </cell>
          <cell r="W413" t="str">
            <v>BERG DEBRA</v>
          </cell>
          <cell r="X413" t="str">
            <v>900 INTERVALE AVE</v>
          </cell>
          <cell r="Y413" t="str">
            <v>BRONX</v>
          </cell>
          <cell r="Z413" t="str">
            <v>NY</v>
          </cell>
          <cell r="AA413" t="str">
            <v>10459-4240</v>
          </cell>
          <cell r="AB413" t="str">
            <v>PHYSICIAN</v>
          </cell>
          <cell r="AC413" t="str">
            <v>M</v>
          </cell>
          <cell r="AD413" t="str">
            <v>No</v>
          </cell>
          <cell r="AE413" t="str">
            <v>MMIS</v>
          </cell>
          <cell r="AF413" t="str">
            <v>nypwestacn</v>
          </cell>
          <cell r="AG413" t="str">
            <v>P</v>
          </cell>
        </row>
        <row r="414">
          <cell r="A414" t="str">
            <v>1396787933</v>
          </cell>
          <cell r="C414" t="str">
            <v>Campenot Eric</v>
          </cell>
          <cell r="G414" t="str">
            <v>Kathryn Spaziani</v>
          </cell>
          <cell r="H414" t="str">
            <v>(212) 305-1255</v>
          </cell>
          <cell r="J414" t="str">
            <v>kas9171@nyp.org</v>
          </cell>
          <cell r="K414" t="str">
            <v>Physician</v>
          </cell>
          <cell r="L414" t="str">
            <v>Uncategorized</v>
          </cell>
          <cell r="M414" t="str">
            <v>No</v>
          </cell>
          <cell r="R414" t="str">
            <v>CAMPENOT ERIC</v>
          </cell>
          <cell r="S414" t="str">
            <v>34800 BOB WILSON DR, NMCSD</v>
          </cell>
          <cell r="T414" t="str">
            <v>SAN DIEGO</v>
          </cell>
          <cell r="U414" t="str">
            <v>CA</v>
          </cell>
          <cell r="V414" t="str">
            <v>921341098</v>
          </cell>
          <cell r="AC414" t="str">
            <v>M</v>
          </cell>
          <cell r="AD414" t="str">
            <v>No</v>
          </cell>
          <cell r="AE414" t="str">
            <v>NPI only</v>
          </cell>
          <cell r="AF414" t="str">
            <v>nypwestcampus</v>
          </cell>
          <cell r="AG414" t="str">
            <v>P</v>
          </cell>
        </row>
        <row r="415">
          <cell r="A415" t="str">
            <v>1922386838</v>
          </cell>
          <cell r="C415" t="str">
            <v>Fazlollahi Ladan</v>
          </cell>
          <cell r="G415" t="str">
            <v>Kathryn Spaziani</v>
          </cell>
          <cell r="H415" t="str">
            <v>(212) 305-1255</v>
          </cell>
          <cell r="J415" t="str">
            <v>kas9171@nyp.org</v>
          </cell>
          <cell r="K415" t="str">
            <v>Physician</v>
          </cell>
          <cell r="L415" t="str">
            <v>Uncategorized</v>
          </cell>
          <cell r="M415" t="str">
            <v>No</v>
          </cell>
          <cell r="R415" t="str">
            <v>FAZLOLLAHI LADAN DR.</v>
          </cell>
          <cell r="S415" t="str">
            <v>660 S EUCLID AVE</v>
          </cell>
          <cell r="T415" t="str">
            <v>SAINT LOUIS</v>
          </cell>
          <cell r="U415" t="str">
            <v>MO</v>
          </cell>
          <cell r="V415" t="str">
            <v>631101010</v>
          </cell>
          <cell r="AC415" t="str">
            <v>M</v>
          </cell>
          <cell r="AD415" t="str">
            <v>No</v>
          </cell>
          <cell r="AE415" t="str">
            <v>NPI only</v>
          </cell>
          <cell r="AF415" t="str">
            <v>nypwestcampus</v>
          </cell>
          <cell r="AG415" t="str">
            <v>P</v>
          </cell>
        </row>
        <row r="416">
          <cell r="A416" t="str">
            <v>1295767358</v>
          </cell>
          <cell r="B416" t="str">
            <v>02677003</v>
          </cell>
          <cell r="C416" t="str">
            <v>Shih George</v>
          </cell>
          <cell r="D416" t="str">
            <v>E0032475</v>
          </cell>
          <cell r="E416" t="str">
            <v>SHIH GEORGE MD</v>
          </cell>
          <cell r="L416" t="str">
            <v>All Other:: Practitioner - Non-Primary Care Provider (PCP)</v>
          </cell>
          <cell r="M416" t="str">
            <v>No</v>
          </cell>
          <cell r="R416" t="str">
            <v>SHIH GEORGE</v>
          </cell>
          <cell r="W416" t="str">
            <v>SHIH GEORGE MD</v>
          </cell>
          <cell r="X416" t="str">
            <v>622 W 168TH ST</v>
          </cell>
          <cell r="Y416" t="str">
            <v>NEW YORK</v>
          </cell>
          <cell r="Z416" t="str">
            <v>NY</v>
          </cell>
          <cell r="AA416" t="str">
            <v>10032-3720</v>
          </cell>
          <cell r="AB416" t="str">
            <v>PHYSICIAN</v>
          </cell>
          <cell r="AC416" t="str">
            <v>M</v>
          </cell>
          <cell r="AD416" t="str">
            <v>No</v>
          </cell>
          <cell r="AE416" t="str">
            <v>MMIS</v>
          </cell>
          <cell r="AF416" t="str">
            <v>nypeastcampus</v>
          </cell>
          <cell r="AG416" t="str">
            <v>P</v>
          </cell>
        </row>
        <row r="417">
          <cell r="A417" t="str">
            <v>1093921751</v>
          </cell>
          <cell r="B417" t="str">
            <v>02970987</v>
          </cell>
          <cell r="C417" t="str">
            <v>Shohet Hilary</v>
          </cell>
          <cell r="D417" t="str">
            <v>E0005484</v>
          </cell>
          <cell r="E417" t="str">
            <v>HILLARY HOCHBERG</v>
          </cell>
          <cell r="L417" t="str">
            <v>All Other:: Practitioner - Non-Primary Care Provider (PCP)</v>
          </cell>
          <cell r="M417" t="str">
            <v>No</v>
          </cell>
          <cell r="R417" t="str">
            <v>SHOHET HILARY DR.</v>
          </cell>
          <cell r="W417" t="str">
            <v>SHOHET HILARY HOCHBERG</v>
          </cell>
          <cell r="X417" t="str">
            <v>525 E 68TH ST</v>
          </cell>
          <cell r="Y417" t="str">
            <v>NEW YORK</v>
          </cell>
          <cell r="Z417" t="str">
            <v>NY</v>
          </cell>
          <cell r="AA417" t="str">
            <v>10065-4870</v>
          </cell>
          <cell r="AB417" t="str">
            <v>PHYSICIAN</v>
          </cell>
          <cell r="AC417" t="str">
            <v>M</v>
          </cell>
          <cell r="AD417" t="str">
            <v>No</v>
          </cell>
          <cell r="AE417" t="str">
            <v>MMIS</v>
          </cell>
          <cell r="AF417" t="str">
            <v>nypeastcampus</v>
          </cell>
          <cell r="AG417" t="str">
            <v>P</v>
          </cell>
        </row>
        <row r="418">
          <cell r="A418" t="str">
            <v>1760448559</v>
          </cell>
          <cell r="B418" t="str">
            <v>02570969</v>
          </cell>
          <cell r="C418" t="str">
            <v>Thakur Ravi</v>
          </cell>
          <cell r="D418" t="str">
            <v>E0043057</v>
          </cell>
          <cell r="E418" t="str">
            <v>THAKUR RAVI K MD</v>
          </cell>
          <cell r="L418" t="str">
            <v>All Other:: Practitioner - Non-Primary Care Provider (PCP)</v>
          </cell>
          <cell r="M418" t="str">
            <v>No</v>
          </cell>
          <cell r="R418" t="str">
            <v>THAKUR RAVI DR.</v>
          </cell>
          <cell r="W418" t="str">
            <v>THAKUR RAVI K</v>
          </cell>
          <cell r="X418" t="str">
            <v>525 E 68TH ST</v>
          </cell>
          <cell r="Y418" t="str">
            <v>NEW YORK</v>
          </cell>
          <cell r="Z418" t="str">
            <v>NY</v>
          </cell>
          <cell r="AA418" t="str">
            <v>10065-4870</v>
          </cell>
          <cell r="AB418" t="str">
            <v>PHYSICIAN</v>
          </cell>
          <cell r="AC418" t="str">
            <v>M</v>
          </cell>
          <cell r="AD418" t="str">
            <v>No</v>
          </cell>
          <cell r="AE418" t="str">
            <v>MMIS</v>
          </cell>
          <cell r="AF418" t="str">
            <v>nypeastcampus</v>
          </cell>
          <cell r="AG418" t="str">
            <v>P</v>
          </cell>
        </row>
        <row r="419">
          <cell r="A419" t="str">
            <v>1871692210</v>
          </cell>
          <cell r="B419" t="str">
            <v>02204644</v>
          </cell>
          <cell r="C419" t="str">
            <v>WEILL MEDICAL COLLEGE OF CORNELL UNIVERSITY</v>
          </cell>
          <cell r="D419" t="str">
            <v>E0079620</v>
          </cell>
          <cell r="E419" t="str">
            <v>CORNELL UNIV MED COLL PSYCH</v>
          </cell>
          <cell r="L419" t="str">
            <v>All Other:: Mental Health</v>
          </cell>
          <cell r="M419" t="str">
            <v>No</v>
          </cell>
          <cell r="R419" t="str">
            <v>WEILL MEDICAL COLLEGE OF CORNELL UNIVERSITY</v>
          </cell>
          <cell r="W419" t="str">
            <v>WEILL MEDICAL COLLEGE OF CORNELL</v>
          </cell>
          <cell r="X419" t="str">
            <v>525 E 68TH ST</v>
          </cell>
          <cell r="Y419" t="str">
            <v>NEW YORK</v>
          </cell>
          <cell r="Z419" t="str">
            <v>NY</v>
          </cell>
          <cell r="AA419" t="str">
            <v>10065-4870</v>
          </cell>
          <cell r="AB419" t="str">
            <v>MULTI-TYPE GROUP</v>
          </cell>
          <cell r="AC419" t="str">
            <v>M</v>
          </cell>
          <cell r="AD419" t="str">
            <v>No</v>
          </cell>
          <cell r="AE419" t="str">
            <v>MMIS</v>
          </cell>
          <cell r="AF419" t="str">
            <v>nypwestacn</v>
          </cell>
          <cell r="AG419" t="str">
            <v>P</v>
          </cell>
        </row>
        <row r="420">
          <cell r="A420" t="str">
            <v>1407019896</v>
          </cell>
          <cell r="B420" t="str">
            <v>03540154</v>
          </cell>
          <cell r="C420" t="str">
            <v>YEAGER, LAUREN B</v>
          </cell>
          <cell r="D420" t="str">
            <v>E0343852</v>
          </cell>
          <cell r="E420" t="str">
            <v>YEAGER LAUREN BETH</v>
          </cell>
          <cell r="G420" t="str">
            <v>Kathryn Spaziani</v>
          </cell>
          <cell r="H420" t="str">
            <v>(212) 305-1190</v>
          </cell>
          <cell r="J420" t="str">
            <v>kas9171@nyp.org</v>
          </cell>
          <cell r="L420" t="str">
            <v>Practitioner - Non-Primary Care Provider (PCP)</v>
          </cell>
          <cell r="M420" t="str">
            <v>No</v>
          </cell>
          <cell r="R420" t="str">
            <v>YEAGER LAUREN DR.</v>
          </cell>
          <cell r="W420" t="str">
            <v>YEAGER LAUREN BETH</v>
          </cell>
          <cell r="X420" t="str">
            <v>635 W 165TH ST</v>
          </cell>
          <cell r="Y420" t="str">
            <v>NEW YORK</v>
          </cell>
          <cell r="Z420" t="str">
            <v>NY</v>
          </cell>
          <cell r="AA420" t="str">
            <v>10032-3724</v>
          </cell>
          <cell r="AB420" t="str">
            <v>PHYSICIAN</v>
          </cell>
          <cell r="AC420" t="str">
            <v>M</v>
          </cell>
          <cell r="AD420" t="str">
            <v>No</v>
          </cell>
          <cell r="AE420" t="str">
            <v>MMIS</v>
          </cell>
          <cell r="AF420" t="str">
            <v>nypwestcampus</v>
          </cell>
          <cell r="AG420" t="str">
            <v>P</v>
          </cell>
        </row>
        <row r="421">
          <cell r="A421" t="str">
            <v>1194749291</v>
          </cell>
          <cell r="B421" t="str">
            <v>02828031</v>
          </cell>
          <cell r="C421" t="str">
            <v>TOBACK, ARNOLD C</v>
          </cell>
          <cell r="D421" t="str">
            <v>E0017392</v>
          </cell>
          <cell r="E421" t="str">
            <v>TOBACK ARNOLD</v>
          </cell>
          <cell r="G421" t="str">
            <v>Kathryn Spaziani</v>
          </cell>
          <cell r="H421" t="str">
            <v>(212) 305-1190</v>
          </cell>
          <cell r="J421" t="str">
            <v>kas9171@nyp.org</v>
          </cell>
          <cell r="L421" t="str">
            <v>Practitioner - Non-Primary Care Provider (PCP)</v>
          </cell>
          <cell r="M421" t="str">
            <v>No</v>
          </cell>
          <cell r="R421" t="str">
            <v>TOBACK ARNOLD DR.</v>
          </cell>
          <cell r="W421" t="str">
            <v>TOBACK ARNOLD</v>
          </cell>
          <cell r="X421" t="str">
            <v>161 FORT WASHINGTON AVE</v>
          </cell>
          <cell r="Y421" t="str">
            <v>NEW YORK</v>
          </cell>
          <cell r="Z421" t="str">
            <v>NY</v>
          </cell>
          <cell r="AA421" t="str">
            <v>10032-3729</v>
          </cell>
          <cell r="AB421" t="str">
            <v>PHYSICIAN</v>
          </cell>
          <cell r="AC421" t="str">
            <v>M</v>
          </cell>
          <cell r="AD421" t="str">
            <v>No</v>
          </cell>
          <cell r="AE421" t="str">
            <v>MMIS</v>
          </cell>
          <cell r="AF421" t="str">
            <v>nypwestcampus</v>
          </cell>
          <cell r="AG421" t="str">
            <v>P</v>
          </cell>
        </row>
        <row r="422">
          <cell r="A422" t="str">
            <v>1417024563</v>
          </cell>
          <cell r="B422" t="str">
            <v>01021407</v>
          </cell>
          <cell r="C422" t="str">
            <v>NICKERSON, KATHERINE G</v>
          </cell>
          <cell r="D422" t="str">
            <v>E0197722</v>
          </cell>
          <cell r="E422" t="str">
            <v>NICKERSON KATHERINE G  MD</v>
          </cell>
          <cell r="G422" t="str">
            <v>Kathryn Spaziani</v>
          </cell>
          <cell r="H422" t="str">
            <v>(212) 305-1190</v>
          </cell>
          <cell r="J422" t="str">
            <v>kas9171@nyp.org</v>
          </cell>
          <cell r="L422" t="str">
            <v>Practitioner - Non-Primary Care Provider (PCP)</v>
          </cell>
          <cell r="M422" t="str">
            <v>No</v>
          </cell>
          <cell r="R422" t="str">
            <v>NICKERSON KATHERINE DR.</v>
          </cell>
          <cell r="W422" t="str">
            <v>NICKERSON KATHERINE G MD</v>
          </cell>
          <cell r="X422" t="str">
            <v>622 W 168TH ST</v>
          </cell>
          <cell r="Y422" t="str">
            <v>NEW YORK</v>
          </cell>
          <cell r="Z422" t="str">
            <v>NY</v>
          </cell>
          <cell r="AA422" t="str">
            <v>10032-3720</v>
          </cell>
          <cell r="AB422" t="str">
            <v>PHYSICIAN</v>
          </cell>
          <cell r="AC422" t="str">
            <v>M</v>
          </cell>
          <cell r="AD422" t="str">
            <v>No</v>
          </cell>
          <cell r="AE422" t="str">
            <v>MMIS</v>
          </cell>
          <cell r="AF422" t="str">
            <v>nypwestcampus</v>
          </cell>
          <cell r="AG422" t="str">
            <v>P</v>
          </cell>
        </row>
        <row r="423">
          <cell r="A423" t="str">
            <v>1346379914</v>
          </cell>
          <cell r="B423" t="str">
            <v>03068751</v>
          </cell>
          <cell r="C423" t="str">
            <v xml:space="preserve">ALBANO, ANNE MARIE </v>
          </cell>
          <cell r="D423" t="str">
            <v>E0289360</v>
          </cell>
          <cell r="E423" t="str">
            <v>ALBANO ANNE</v>
          </cell>
          <cell r="G423" t="str">
            <v>Kathryn Spaziani</v>
          </cell>
          <cell r="H423" t="str">
            <v>(212) 305-1190</v>
          </cell>
          <cell r="J423" t="str">
            <v>kas9171@nyp.org</v>
          </cell>
          <cell r="L423" t="str">
            <v>Practitioner - Non-Primary Care Provider (PCP)</v>
          </cell>
          <cell r="M423" t="str">
            <v>No</v>
          </cell>
          <cell r="R423" t="str">
            <v>ALBANO ANNE DR.</v>
          </cell>
          <cell r="W423" t="str">
            <v>ALBANO ANNE</v>
          </cell>
          <cell r="X423" t="str">
            <v>630 WEST 168TH STREE</v>
          </cell>
          <cell r="Y423" t="str">
            <v>NEW YORK</v>
          </cell>
          <cell r="Z423" t="str">
            <v>NY</v>
          </cell>
          <cell r="AA423" t="str">
            <v>10032</v>
          </cell>
          <cell r="AB423" t="str">
            <v>CLINICAL PSYCHOLOGIST</v>
          </cell>
          <cell r="AC423" t="str">
            <v>M</v>
          </cell>
          <cell r="AD423" t="str">
            <v>No</v>
          </cell>
          <cell r="AE423" t="str">
            <v>MMIS</v>
          </cell>
          <cell r="AF423" t="str">
            <v>nypwestacn</v>
          </cell>
          <cell r="AG423" t="str">
            <v>P</v>
          </cell>
        </row>
        <row r="424">
          <cell r="A424" t="str">
            <v>1114223773</v>
          </cell>
          <cell r="B424" t="str">
            <v>03950676</v>
          </cell>
          <cell r="C424" t="str">
            <v>Han, Peggy K.</v>
          </cell>
          <cell r="D424" t="str">
            <v>E0386341</v>
          </cell>
          <cell r="E424" t="str">
            <v>HAN PEGGY</v>
          </cell>
          <cell r="G424" t="str">
            <v>Kathryn Spaziani</v>
          </cell>
          <cell r="H424" t="str">
            <v>(212) 305-1190</v>
          </cell>
          <cell r="J424" t="str">
            <v>kas9171@nyp.org</v>
          </cell>
          <cell r="L424" t="str">
            <v>Practitioner - Non-Primary Care Provider (PCP)</v>
          </cell>
          <cell r="M424" t="str">
            <v>No</v>
          </cell>
          <cell r="R424" t="str">
            <v>HAN PEGGY DR.</v>
          </cell>
          <cell r="W424" t="str">
            <v>HAN PEGGY</v>
          </cell>
          <cell r="X424" t="str">
            <v>525 E 68TH ST</v>
          </cell>
          <cell r="Y424" t="str">
            <v>NEW YORK</v>
          </cell>
          <cell r="Z424" t="str">
            <v>NY</v>
          </cell>
          <cell r="AA424" t="str">
            <v>10065-4870</v>
          </cell>
          <cell r="AB424" t="str">
            <v>PHYSICIAN</v>
          </cell>
          <cell r="AC424" t="str">
            <v>M</v>
          </cell>
          <cell r="AD424" t="str">
            <v>No</v>
          </cell>
          <cell r="AE424" t="str">
            <v>MMIS</v>
          </cell>
          <cell r="AF424" t="str">
            <v>nypeastcampus</v>
          </cell>
          <cell r="AG424" t="str">
            <v>P</v>
          </cell>
        </row>
        <row r="425">
          <cell r="A425" t="str">
            <v>1124056932</v>
          </cell>
          <cell r="B425" t="str">
            <v>03579682</v>
          </cell>
          <cell r="C425" t="str">
            <v>ISAACSON, RICHARD S</v>
          </cell>
          <cell r="D425" t="str">
            <v>E0348062</v>
          </cell>
          <cell r="E425" t="str">
            <v>ISAACSON RICHARD SCOTT</v>
          </cell>
          <cell r="G425" t="str">
            <v>Kathryn Spaziani</v>
          </cell>
          <cell r="H425" t="str">
            <v>(212) 305-1190</v>
          </cell>
          <cell r="J425" t="str">
            <v>kas9171@nyp.org</v>
          </cell>
          <cell r="L425" t="str">
            <v>All Other:: Practitioner - Non-Primary Care Provider (PCP)</v>
          </cell>
          <cell r="M425" t="str">
            <v>No</v>
          </cell>
          <cell r="R425" t="str">
            <v>ISAACSON RICHARD DR.</v>
          </cell>
          <cell r="W425" t="str">
            <v>ISAACSON RICHARD SCOTT</v>
          </cell>
          <cell r="X425" t="str">
            <v>428 E 72ND ST</v>
          </cell>
          <cell r="Y425" t="str">
            <v>NEW YORK</v>
          </cell>
          <cell r="Z425" t="str">
            <v>NY</v>
          </cell>
          <cell r="AA425" t="str">
            <v>10021-4635</v>
          </cell>
          <cell r="AB425" t="str">
            <v>PHYSICIAN</v>
          </cell>
          <cell r="AC425" t="str">
            <v>M</v>
          </cell>
          <cell r="AD425" t="str">
            <v>No</v>
          </cell>
          <cell r="AE425" t="str">
            <v>MMIS</v>
          </cell>
          <cell r="AF425" t="str">
            <v>nypeastacn</v>
          </cell>
          <cell r="AG425" t="str">
            <v>P</v>
          </cell>
        </row>
        <row r="426">
          <cell r="A426" t="str">
            <v>1124062641</v>
          </cell>
          <cell r="B426" t="str">
            <v>02759108</v>
          </cell>
          <cell r="C426" t="str">
            <v>BERMAN, ROBERT M</v>
          </cell>
          <cell r="D426" t="str">
            <v>E0024281</v>
          </cell>
          <cell r="E426" t="str">
            <v>BERMAN ROBERT M  MD</v>
          </cell>
          <cell r="G426" t="str">
            <v>Kathryn Spaziani</v>
          </cell>
          <cell r="H426" t="str">
            <v>(212) 305-1190</v>
          </cell>
          <cell r="J426" t="str">
            <v>kas9171@nyp.org</v>
          </cell>
          <cell r="L426" t="str">
            <v>Mental Health:: Practitioner - Non-Primary Care Provider (PCP)</v>
          </cell>
          <cell r="M426" t="str">
            <v>No</v>
          </cell>
          <cell r="R426" t="str">
            <v>BERMAN ROBERT DR.</v>
          </cell>
          <cell r="W426" t="str">
            <v>BERMAN ROBERT MOSS</v>
          </cell>
          <cell r="X426" t="str">
            <v>177 FORT WASHINGTON AVE</v>
          </cell>
          <cell r="Y426" t="str">
            <v>NEW YORK</v>
          </cell>
          <cell r="Z426" t="str">
            <v>NY</v>
          </cell>
          <cell r="AA426" t="str">
            <v>10032-3733</v>
          </cell>
          <cell r="AB426" t="str">
            <v>PHYSICIAN</v>
          </cell>
          <cell r="AC426" t="str">
            <v>M</v>
          </cell>
          <cell r="AD426" t="str">
            <v>No</v>
          </cell>
          <cell r="AE426" t="str">
            <v>MMIS</v>
          </cell>
          <cell r="AF426" t="str">
            <v>nypwestacn</v>
          </cell>
          <cell r="AG426" t="str">
            <v>P</v>
          </cell>
        </row>
        <row r="427">
          <cell r="A427" t="str">
            <v>1063509131</v>
          </cell>
          <cell r="B427" t="str">
            <v>01205325</v>
          </cell>
          <cell r="C427" t="str">
            <v>RAMAN, BHARATHI 0</v>
          </cell>
          <cell r="D427" t="str">
            <v>E0179358</v>
          </cell>
          <cell r="E427" t="str">
            <v>RAMAN BHARATHI MD</v>
          </cell>
          <cell r="G427" t="str">
            <v>Kathryn Spaziani</v>
          </cell>
          <cell r="H427" t="str">
            <v>(212) 305-1190</v>
          </cell>
          <cell r="J427" t="str">
            <v>kas9171@nyp.org</v>
          </cell>
          <cell r="L427" t="str">
            <v>Practitioner - Primary Care Provider (PCP)</v>
          </cell>
          <cell r="M427" t="str">
            <v>No</v>
          </cell>
          <cell r="R427" t="str">
            <v>RAMAN BHARATHI</v>
          </cell>
          <cell r="W427" t="str">
            <v>RAMAN BHARATHI MD</v>
          </cell>
          <cell r="X427" t="str">
            <v>415 E 93RD ST</v>
          </cell>
          <cell r="Y427" t="str">
            <v>NEW YORK</v>
          </cell>
          <cell r="Z427" t="str">
            <v>NY</v>
          </cell>
          <cell r="AA427" t="str">
            <v>10128-6904</v>
          </cell>
          <cell r="AB427" t="str">
            <v>PHYSICIAN</v>
          </cell>
          <cell r="AC427" t="str">
            <v>M</v>
          </cell>
          <cell r="AD427" t="str">
            <v>No</v>
          </cell>
          <cell r="AE427" t="str">
            <v>MMIS</v>
          </cell>
          <cell r="AF427" t="str">
            <v>nypeastcampus</v>
          </cell>
          <cell r="AG427" t="str">
            <v>P</v>
          </cell>
        </row>
        <row r="428">
          <cell r="A428" t="str">
            <v>1508804238</v>
          </cell>
          <cell r="B428" t="str">
            <v>02638631</v>
          </cell>
          <cell r="C428" t="str">
            <v>GEYER, ADAM S</v>
          </cell>
          <cell r="D428" t="str">
            <v>E0036300</v>
          </cell>
          <cell r="E428" t="str">
            <v>GEYER ADAM SHAKER</v>
          </cell>
          <cell r="G428" t="str">
            <v>Kathryn Spaziani</v>
          </cell>
          <cell r="H428" t="str">
            <v>(212) 305-1190</v>
          </cell>
          <cell r="J428" t="str">
            <v>kas9171@nyp.org</v>
          </cell>
          <cell r="L428" t="str">
            <v>All Other:: Practitioner - Non-Primary Care Provider (PCP)</v>
          </cell>
          <cell r="M428" t="str">
            <v>No</v>
          </cell>
          <cell r="R428" t="str">
            <v>GEYER ADAM DR.</v>
          </cell>
          <cell r="W428" t="str">
            <v>GEYER ADAM SHAKER</v>
          </cell>
          <cell r="X428" t="str">
            <v>5901 PALISADE AVE</v>
          </cell>
          <cell r="Y428" t="str">
            <v>BRONX</v>
          </cell>
          <cell r="Z428" t="str">
            <v>NY</v>
          </cell>
          <cell r="AA428" t="str">
            <v>10471-1205</v>
          </cell>
          <cell r="AB428" t="str">
            <v>PHYSICIAN</v>
          </cell>
          <cell r="AC428" t="str">
            <v>M</v>
          </cell>
          <cell r="AD428" t="str">
            <v>No</v>
          </cell>
          <cell r="AE428" t="str">
            <v>MMIS</v>
          </cell>
          <cell r="AF428" t="str">
            <v>nypwestacn</v>
          </cell>
          <cell r="AG428" t="str">
            <v>P</v>
          </cell>
        </row>
        <row r="429">
          <cell r="A429" t="str">
            <v>1619928272</v>
          </cell>
          <cell r="B429" t="str">
            <v>01850595</v>
          </cell>
          <cell r="C429" t="str">
            <v>MILBURN, PETER B</v>
          </cell>
          <cell r="D429" t="str">
            <v>E0114981</v>
          </cell>
          <cell r="E429" t="str">
            <v>MILBURN PETER</v>
          </cell>
          <cell r="G429" t="str">
            <v>Kathryn Spaziani</v>
          </cell>
          <cell r="H429" t="str">
            <v>(212) 305-1190</v>
          </cell>
          <cell r="J429" t="str">
            <v>kas9171@nyp.org</v>
          </cell>
          <cell r="L429" t="str">
            <v>All Other:: Practitioner - Non-Primary Care Provider (PCP)</v>
          </cell>
          <cell r="M429" t="str">
            <v>No</v>
          </cell>
          <cell r="R429" t="str">
            <v>MILBURN PETER DR.</v>
          </cell>
          <cell r="W429" t="str">
            <v>MILBURN PETER</v>
          </cell>
          <cell r="X429" t="str">
            <v>MILBURN PETER</v>
          </cell>
          <cell r="Y429" t="str">
            <v>BROOKLYN</v>
          </cell>
          <cell r="Z429" t="str">
            <v>NY</v>
          </cell>
          <cell r="AA429" t="str">
            <v>11209-3957</v>
          </cell>
          <cell r="AB429" t="str">
            <v>PHYSICIAN</v>
          </cell>
          <cell r="AC429" t="str">
            <v>M</v>
          </cell>
          <cell r="AD429" t="str">
            <v>No</v>
          </cell>
          <cell r="AE429" t="str">
            <v>MMIS</v>
          </cell>
          <cell r="AF429" t="str">
            <v>nypwestcampus</v>
          </cell>
          <cell r="AG429" t="str">
            <v>P</v>
          </cell>
        </row>
        <row r="430">
          <cell r="A430" t="str">
            <v>1922257773</v>
          </cell>
          <cell r="B430" t="str">
            <v>03349584</v>
          </cell>
          <cell r="C430" t="str">
            <v>PAJVANI, UTPAL B</v>
          </cell>
          <cell r="D430" t="str">
            <v>E0321394</v>
          </cell>
          <cell r="E430" t="str">
            <v>PAJVANI UTPAL B</v>
          </cell>
          <cell r="G430" t="str">
            <v>Kathryn Spaziani</v>
          </cell>
          <cell r="H430" t="str">
            <v>(212) 305-1190</v>
          </cell>
          <cell r="J430" t="str">
            <v>kas9171@nyp.org</v>
          </cell>
          <cell r="L430" t="str">
            <v>All Other:: Practitioner - Primary Care Provider (PCP)</v>
          </cell>
          <cell r="M430" t="str">
            <v>No</v>
          </cell>
          <cell r="R430" t="str">
            <v>PAJVANI UTPAL DR.</v>
          </cell>
          <cell r="W430" t="str">
            <v>PAJVANI UTPAL BHAGIRATH</v>
          </cell>
          <cell r="X430" t="str">
            <v>1150 SAINT NICHOLAS AVE FL 2</v>
          </cell>
          <cell r="Y430" t="str">
            <v>NEW YORK</v>
          </cell>
          <cell r="Z430" t="str">
            <v>NY</v>
          </cell>
          <cell r="AA430" t="str">
            <v>10032-3822</v>
          </cell>
          <cell r="AB430" t="str">
            <v>PHYSICIAN</v>
          </cell>
          <cell r="AC430" t="str">
            <v>M</v>
          </cell>
          <cell r="AD430" t="str">
            <v>No</v>
          </cell>
          <cell r="AE430" t="str">
            <v>MMIS</v>
          </cell>
          <cell r="AF430" t="str">
            <v>nypwestcampus</v>
          </cell>
          <cell r="AG430" t="str">
            <v>P</v>
          </cell>
        </row>
        <row r="431">
          <cell r="A431" t="str">
            <v>1922279520</v>
          </cell>
          <cell r="B431" t="str">
            <v>03489383</v>
          </cell>
          <cell r="C431" t="str">
            <v>CHANG, BERNARD P</v>
          </cell>
          <cell r="D431" t="str">
            <v>E0338433</v>
          </cell>
          <cell r="E431" t="str">
            <v>CHANG BERNARD P</v>
          </cell>
          <cell r="G431" t="str">
            <v>Kathryn Spaziani</v>
          </cell>
          <cell r="H431" t="str">
            <v>(212) 305-1190</v>
          </cell>
          <cell r="J431" t="str">
            <v>kas9171@nyp.org</v>
          </cell>
          <cell r="L431" t="str">
            <v>Practitioner - Non-Primary Care Provider (PCP)</v>
          </cell>
          <cell r="M431" t="str">
            <v>No</v>
          </cell>
          <cell r="R431" t="str">
            <v>CHANG BERNARD DR.</v>
          </cell>
          <cell r="W431" t="str">
            <v>CHANG BERNARD P</v>
          </cell>
          <cell r="X431" t="str">
            <v>622 W 168TH ST</v>
          </cell>
          <cell r="Y431" t="str">
            <v>NEW YORK</v>
          </cell>
          <cell r="Z431" t="str">
            <v>NY</v>
          </cell>
          <cell r="AA431" t="str">
            <v>10032-3720</v>
          </cell>
          <cell r="AB431" t="str">
            <v>PHYSICIAN</v>
          </cell>
          <cell r="AC431" t="str">
            <v>M</v>
          </cell>
          <cell r="AD431" t="str">
            <v>No</v>
          </cell>
          <cell r="AE431" t="str">
            <v>MMIS</v>
          </cell>
          <cell r="AF431" t="str">
            <v>nypwestacn</v>
          </cell>
          <cell r="AG431" t="str">
            <v>P</v>
          </cell>
        </row>
        <row r="432">
          <cell r="A432" t="str">
            <v>1518041045</v>
          </cell>
          <cell r="B432" t="str">
            <v>02905324</v>
          </cell>
          <cell r="C432" t="str">
            <v>NIDIRY, MARY ANNE J</v>
          </cell>
          <cell r="D432" t="str">
            <v>E0009675</v>
          </cell>
          <cell r="E432" t="str">
            <v>NIDIRY MARY MD</v>
          </cell>
          <cell r="G432" t="str">
            <v>Kathryn Spaziani</v>
          </cell>
          <cell r="H432" t="str">
            <v>(212) 305-1190</v>
          </cell>
          <cell r="J432" t="str">
            <v>kas9171@nyp.org</v>
          </cell>
          <cell r="L432" t="str">
            <v>Practitioner - Primary Care Provider (PCP)</v>
          </cell>
          <cell r="M432" t="str">
            <v>Yes</v>
          </cell>
          <cell r="R432" t="str">
            <v>NIDIRY MARY ANNE DR.</v>
          </cell>
          <cell r="W432" t="str">
            <v>NIDIRY MARY MD</v>
          </cell>
          <cell r="X432" t="str">
            <v>622 W 168TH ST</v>
          </cell>
          <cell r="Y432" t="str">
            <v>NEW YORK</v>
          </cell>
          <cell r="Z432" t="str">
            <v>NY</v>
          </cell>
          <cell r="AA432" t="str">
            <v>10032-3720</v>
          </cell>
          <cell r="AB432" t="str">
            <v>PHYSICIAN</v>
          </cell>
          <cell r="AC432" t="str">
            <v>M</v>
          </cell>
          <cell r="AD432" t="str">
            <v>No</v>
          </cell>
          <cell r="AE432" t="str">
            <v>MMIS</v>
          </cell>
          <cell r="AF432" t="str">
            <v>nypwestcampus</v>
          </cell>
          <cell r="AG432" t="str">
            <v>P</v>
          </cell>
        </row>
        <row r="433">
          <cell r="A433" t="str">
            <v>1295838076</v>
          </cell>
          <cell r="B433" t="str">
            <v>03492477</v>
          </cell>
          <cell r="C433" t="str">
            <v>JURCIC, JOSEPH</v>
          </cell>
          <cell r="D433" t="str">
            <v>E0338759</v>
          </cell>
          <cell r="E433" t="str">
            <v>JURCIC JOSEPH GERARD</v>
          </cell>
          <cell r="G433" t="str">
            <v>Kathryn Spaziani</v>
          </cell>
          <cell r="H433" t="str">
            <v>(212) 305-1266</v>
          </cell>
          <cell r="J433" t="str">
            <v>kas9171@nyp.org</v>
          </cell>
          <cell r="L433" t="str">
            <v>Practitioner - Non-Primary Care Provider (PCP)</v>
          </cell>
          <cell r="M433" t="str">
            <v>No</v>
          </cell>
          <cell r="R433" t="str">
            <v>JURCIC JOSEPH</v>
          </cell>
          <cell r="W433" t="str">
            <v>JURCIC JOSEPH GERARD</v>
          </cell>
          <cell r="X433" t="str">
            <v>161 FORT WASHINGTON AVE</v>
          </cell>
          <cell r="Y433" t="str">
            <v>NEW YORK</v>
          </cell>
          <cell r="Z433" t="str">
            <v>NY</v>
          </cell>
          <cell r="AA433" t="str">
            <v>10032-3729</v>
          </cell>
          <cell r="AB433" t="str">
            <v>PHYSICIAN</v>
          </cell>
          <cell r="AC433" t="str">
            <v>M</v>
          </cell>
          <cell r="AD433" t="str">
            <v>No</v>
          </cell>
          <cell r="AE433" t="str">
            <v>MMIS</v>
          </cell>
          <cell r="AF433" t="str">
            <v>nypwestcampus</v>
          </cell>
          <cell r="AG433" t="str">
            <v>P</v>
          </cell>
        </row>
        <row r="434">
          <cell r="A434" t="str">
            <v>1497828479</v>
          </cell>
          <cell r="B434" t="str">
            <v>01259329</v>
          </cell>
          <cell r="C434" t="str">
            <v xml:space="preserve">DWYER, EDWARD </v>
          </cell>
          <cell r="D434" t="str">
            <v>E0173974</v>
          </cell>
          <cell r="E434" t="str">
            <v>DWYER EDWARD MD</v>
          </cell>
          <cell r="G434" t="str">
            <v>Kathryn Spaziani</v>
          </cell>
          <cell r="H434" t="str">
            <v>(212) 305-1190</v>
          </cell>
          <cell r="J434" t="str">
            <v>kas9171@nyp.org</v>
          </cell>
          <cell r="L434" t="str">
            <v>All Other:: Practitioner - Primary Care Provider (PCP)</v>
          </cell>
          <cell r="M434" t="str">
            <v>No</v>
          </cell>
          <cell r="R434" t="str">
            <v>DWYER EDWARD DR.</v>
          </cell>
          <cell r="W434" t="str">
            <v>DWYER EDWARD MD</v>
          </cell>
          <cell r="X434" t="str">
            <v>ST BARNABAS HOSPITAL</v>
          </cell>
          <cell r="Y434" t="str">
            <v>BRONX</v>
          </cell>
          <cell r="Z434" t="str">
            <v>NY</v>
          </cell>
          <cell r="AA434" t="str">
            <v>10457</v>
          </cell>
          <cell r="AB434" t="str">
            <v>PHYSICIAN</v>
          </cell>
          <cell r="AC434" t="str">
            <v>M</v>
          </cell>
          <cell r="AD434" t="str">
            <v>No</v>
          </cell>
          <cell r="AE434" t="str">
            <v>MMIS</v>
          </cell>
          <cell r="AF434" t="str">
            <v>nypwestcampus</v>
          </cell>
          <cell r="AG434" t="str">
            <v>P</v>
          </cell>
        </row>
        <row r="435">
          <cell r="A435" t="str">
            <v>1497891394</v>
          </cell>
          <cell r="B435" t="str">
            <v>03464555</v>
          </cell>
          <cell r="C435" t="str">
            <v>BALDWIN, MATTHEW R</v>
          </cell>
          <cell r="D435" t="str">
            <v>E0335628</v>
          </cell>
          <cell r="E435" t="str">
            <v>BALDWIN MATTHEW R</v>
          </cell>
          <cell r="G435" t="str">
            <v>Kathryn Spaziani</v>
          </cell>
          <cell r="H435" t="str">
            <v>(212) 305-1190</v>
          </cell>
          <cell r="J435" t="str">
            <v>kas9171@nyp.org</v>
          </cell>
          <cell r="L435" t="str">
            <v>Practitioner - Non-Primary Care Provider (PCP)</v>
          </cell>
          <cell r="M435" t="str">
            <v>No</v>
          </cell>
          <cell r="R435" t="str">
            <v>BALDWIN MATTHEW DR.</v>
          </cell>
          <cell r="W435" t="str">
            <v>BALDWIN MATTHEW ROBERT</v>
          </cell>
          <cell r="X435" t="str">
            <v>622 W 168TH ST</v>
          </cell>
          <cell r="Y435" t="str">
            <v>NEW YORK</v>
          </cell>
          <cell r="Z435" t="str">
            <v>NY</v>
          </cell>
          <cell r="AA435" t="str">
            <v>10032-3720</v>
          </cell>
          <cell r="AB435" t="str">
            <v>PHYSICIAN</v>
          </cell>
          <cell r="AC435" t="str">
            <v>M</v>
          </cell>
          <cell r="AD435" t="str">
            <v>No</v>
          </cell>
          <cell r="AE435" t="str">
            <v>MMIS</v>
          </cell>
          <cell r="AF435" t="str">
            <v>nypwestacn</v>
          </cell>
          <cell r="AG435" t="str">
            <v>P</v>
          </cell>
        </row>
        <row r="436">
          <cell r="A436" t="str">
            <v>1447380365</v>
          </cell>
          <cell r="B436" t="str">
            <v>01809521</v>
          </cell>
          <cell r="C436" t="str">
            <v xml:space="preserve">LEIFER, DANA </v>
          </cell>
          <cell r="D436" t="str">
            <v>E0119085</v>
          </cell>
          <cell r="E436" t="str">
            <v>LEIFER DANA MD</v>
          </cell>
          <cell r="G436" t="str">
            <v>Kathryn Spaziani</v>
          </cell>
          <cell r="H436" t="str">
            <v>(212) 305-1190</v>
          </cell>
          <cell r="J436" t="str">
            <v>kas9171@nyp.org</v>
          </cell>
          <cell r="L436" t="str">
            <v>All Other:: Practitioner - Non-Primary Care Provider (PCP)</v>
          </cell>
          <cell r="M436" t="str">
            <v>No</v>
          </cell>
          <cell r="R436" t="str">
            <v>LEIFER DANA DR.</v>
          </cell>
          <cell r="W436" t="str">
            <v>LEIFER DANA MD</v>
          </cell>
          <cell r="X436" t="str">
            <v>525 E 68TH ST</v>
          </cell>
          <cell r="Y436" t="str">
            <v>NEW YORK</v>
          </cell>
          <cell r="Z436" t="str">
            <v>NY</v>
          </cell>
          <cell r="AA436" t="str">
            <v>10065-4870</v>
          </cell>
          <cell r="AB436" t="str">
            <v>PHYSICIAN</v>
          </cell>
          <cell r="AC436" t="str">
            <v>M</v>
          </cell>
          <cell r="AD436" t="str">
            <v>No</v>
          </cell>
          <cell r="AE436" t="str">
            <v>MMIS</v>
          </cell>
          <cell r="AF436" t="str">
            <v>nypeastcampus</v>
          </cell>
          <cell r="AG436" t="str">
            <v>P</v>
          </cell>
        </row>
        <row r="437">
          <cell r="A437" t="str">
            <v>1275548703</v>
          </cell>
          <cell r="B437" t="str">
            <v>00525815</v>
          </cell>
          <cell r="C437" t="str">
            <v>Pavlov Helene</v>
          </cell>
          <cell r="D437" t="str">
            <v>E0247078</v>
          </cell>
          <cell r="E437" t="str">
            <v>PAVLOV HELENE              MD</v>
          </cell>
          <cell r="L437" t="str">
            <v>All Other:: Practitioner - Non-Primary Care Provider (PCP)</v>
          </cell>
          <cell r="M437" t="str">
            <v>No</v>
          </cell>
          <cell r="R437" t="str">
            <v>PAVLOV HELENE</v>
          </cell>
          <cell r="W437" t="str">
            <v>PAVLOV HELENE              MD</v>
          </cell>
          <cell r="X437" t="str">
            <v>535 E 70TH ST</v>
          </cell>
          <cell r="Y437" t="str">
            <v>NEW YORK</v>
          </cell>
          <cell r="Z437" t="str">
            <v>NY</v>
          </cell>
          <cell r="AA437" t="str">
            <v>10021-4823</v>
          </cell>
          <cell r="AB437" t="str">
            <v>PHYSICIAN</v>
          </cell>
          <cell r="AC437" t="str">
            <v>M</v>
          </cell>
          <cell r="AD437" t="str">
            <v>No</v>
          </cell>
          <cell r="AE437" t="str">
            <v>MMIS</v>
          </cell>
          <cell r="AF437" t="str">
            <v>nypeastcampus</v>
          </cell>
          <cell r="AG437" t="str">
            <v>P</v>
          </cell>
        </row>
        <row r="438">
          <cell r="A438" t="str">
            <v>1629237235</v>
          </cell>
          <cell r="B438" t="str">
            <v>03493592</v>
          </cell>
          <cell r="C438" t="str">
            <v>EISS, BRIAN M</v>
          </cell>
          <cell r="D438" t="str">
            <v>E0338879</v>
          </cell>
          <cell r="E438" t="str">
            <v>EISS BRIAN MATTHEW</v>
          </cell>
          <cell r="G438" t="str">
            <v>Kathryn Spaziani</v>
          </cell>
          <cell r="H438" t="str">
            <v>(212) 305-1190</v>
          </cell>
          <cell r="J438" t="str">
            <v>kas9171@nyp.org</v>
          </cell>
          <cell r="L438" t="str">
            <v>All Other:: Practitioner - Primary Care Provider (PCP)</v>
          </cell>
          <cell r="M438" t="str">
            <v>No</v>
          </cell>
          <cell r="R438" t="str">
            <v>EISS BRIAN</v>
          </cell>
          <cell r="W438" t="str">
            <v>EISS BRIAN MATTHEW</v>
          </cell>
          <cell r="X438" t="str">
            <v>525 E 68TH ST</v>
          </cell>
          <cell r="Y438" t="str">
            <v>NEW YORK</v>
          </cell>
          <cell r="Z438" t="str">
            <v>NY</v>
          </cell>
          <cell r="AA438" t="str">
            <v>10065-4870</v>
          </cell>
          <cell r="AB438" t="str">
            <v>PHYSICIAN</v>
          </cell>
          <cell r="AC438" t="str">
            <v>M</v>
          </cell>
          <cell r="AD438" t="str">
            <v>No</v>
          </cell>
          <cell r="AE438" t="str">
            <v>MMIS</v>
          </cell>
          <cell r="AF438" t="str">
            <v>nypeastacn</v>
          </cell>
          <cell r="AG438" t="str">
            <v>P</v>
          </cell>
        </row>
        <row r="439">
          <cell r="A439" t="str">
            <v>1639375645</v>
          </cell>
          <cell r="B439" t="str">
            <v>02903473</v>
          </cell>
          <cell r="C439" t="str">
            <v>ACINAPURA, LAUREN A</v>
          </cell>
          <cell r="D439" t="str">
            <v>E0009860</v>
          </cell>
          <cell r="E439" t="str">
            <v>ACINAPURA LAUREN  MD</v>
          </cell>
          <cell r="G439" t="str">
            <v>Kathryn Spaziani</v>
          </cell>
          <cell r="H439" t="str">
            <v>(212) 305-1190</v>
          </cell>
          <cell r="J439" t="str">
            <v>kas9171@nyp.org</v>
          </cell>
          <cell r="L439" t="str">
            <v>All Other:: Practitioner - Primary Care Provider (PCP)</v>
          </cell>
          <cell r="M439" t="str">
            <v>No</v>
          </cell>
          <cell r="R439" t="str">
            <v>ACINAPURA LAUREN</v>
          </cell>
          <cell r="W439" t="str">
            <v>ACINAPURA LAUREN ELIZABETH MD</v>
          </cell>
          <cell r="X439" t="str">
            <v>1470 MADISON AVE</v>
          </cell>
          <cell r="Y439" t="str">
            <v>NEW YORK</v>
          </cell>
          <cell r="Z439" t="str">
            <v>NY</v>
          </cell>
          <cell r="AA439" t="str">
            <v>10029-6542</v>
          </cell>
          <cell r="AB439" t="str">
            <v>PHYSICIAN</v>
          </cell>
          <cell r="AC439" t="str">
            <v>M</v>
          </cell>
          <cell r="AD439" t="str">
            <v>No</v>
          </cell>
          <cell r="AE439" t="str">
            <v>MMIS</v>
          </cell>
          <cell r="AF439" t="str">
            <v>nypeastacn</v>
          </cell>
          <cell r="AG439" t="str">
            <v>P</v>
          </cell>
        </row>
        <row r="440">
          <cell r="A440" t="str">
            <v>1649316670</v>
          </cell>
          <cell r="B440" t="str">
            <v>02383851</v>
          </cell>
          <cell r="C440" t="str">
            <v>SMITH, DUANE M</v>
          </cell>
          <cell r="D440" t="str">
            <v>E0061735</v>
          </cell>
          <cell r="E440" t="str">
            <v>SMITH DUANE M</v>
          </cell>
          <cell r="G440" t="str">
            <v>Kathryn Spaziani</v>
          </cell>
          <cell r="H440" t="str">
            <v>(212) 305-1190</v>
          </cell>
          <cell r="J440" t="str">
            <v>kas9171@nyp.org</v>
          </cell>
          <cell r="L440" t="str">
            <v>All Other:: Practitioner - Primary Care Provider (PCP)</v>
          </cell>
          <cell r="M440" t="str">
            <v>No</v>
          </cell>
          <cell r="R440" t="str">
            <v>SMITH DUANE DR.</v>
          </cell>
          <cell r="W440" t="str">
            <v>SMITH DUANE MICHAEL</v>
          </cell>
          <cell r="X440" t="str">
            <v>53 W 23RD ST FL 6</v>
          </cell>
          <cell r="Y440" t="str">
            <v>NEW YORK</v>
          </cell>
          <cell r="Z440" t="str">
            <v>NY</v>
          </cell>
          <cell r="AA440" t="str">
            <v>10010-4237</v>
          </cell>
          <cell r="AB440" t="str">
            <v>PHYSICIAN</v>
          </cell>
          <cell r="AC440" t="str">
            <v>M</v>
          </cell>
          <cell r="AD440" t="str">
            <v>No</v>
          </cell>
          <cell r="AE440" t="str">
            <v>MMIS</v>
          </cell>
          <cell r="AF440" t="str">
            <v>nypeastcampus</v>
          </cell>
          <cell r="AG440" t="str">
            <v>P</v>
          </cell>
        </row>
        <row r="441">
          <cell r="A441" t="str">
            <v>1083057061</v>
          </cell>
          <cell r="C441" t="str">
            <v>Mancuso Jessica</v>
          </cell>
          <cell r="G441" t="str">
            <v>Kathryn Spaziani</v>
          </cell>
          <cell r="H441" t="str">
            <v>(212) 305-1255</v>
          </cell>
          <cell r="J441" t="str">
            <v>kas9171@nyp.org</v>
          </cell>
          <cell r="K441" t="str">
            <v>Physician</v>
          </cell>
          <cell r="L441" t="str">
            <v>Uncategorized</v>
          </cell>
          <cell r="M441" t="str">
            <v>No</v>
          </cell>
          <cell r="R441" t="str">
            <v>MANCUSO JESSICA DR.</v>
          </cell>
          <cell r="S441" t="str">
            <v>5 PERRYRIDGE RD</v>
          </cell>
          <cell r="T441" t="str">
            <v>GREENWICH</v>
          </cell>
          <cell r="U441" t="str">
            <v>CT</v>
          </cell>
          <cell r="V441" t="str">
            <v>068304608</v>
          </cell>
          <cell r="AC441" t="str">
            <v>M</v>
          </cell>
          <cell r="AD441" t="str">
            <v>No</v>
          </cell>
          <cell r="AE441" t="str">
            <v>NPI only</v>
          </cell>
          <cell r="AF441" t="str">
            <v>nypeastcampus</v>
          </cell>
          <cell r="AG441" t="str">
            <v>P</v>
          </cell>
        </row>
        <row r="442">
          <cell r="A442" t="str">
            <v>1578527313</v>
          </cell>
          <cell r="B442" t="str">
            <v>02209983</v>
          </cell>
          <cell r="C442" t="str">
            <v>Flores Eva</v>
          </cell>
          <cell r="D442" t="str">
            <v>E0079087</v>
          </cell>
          <cell r="E442" t="str">
            <v>FLORES EVA KARINA MD</v>
          </cell>
          <cell r="L442" t="str">
            <v>Practitioner - Primary Care Provider (PCP)</v>
          </cell>
          <cell r="M442" t="str">
            <v>No</v>
          </cell>
          <cell r="R442" t="str">
            <v>FLORES EVA DR.</v>
          </cell>
          <cell r="W442" t="str">
            <v>FLORES EVA KARINA</v>
          </cell>
          <cell r="X442" t="str">
            <v>170 WILLIAM ST</v>
          </cell>
          <cell r="Y442" t="str">
            <v>NEW YORK</v>
          </cell>
          <cell r="Z442" t="str">
            <v>NY</v>
          </cell>
          <cell r="AA442" t="str">
            <v>10038-2612</v>
          </cell>
          <cell r="AB442" t="str">
            <v>PHYSICIAN</v>
          </cell>
          <cell r="AC442" t="str">
            <v>M</v>
          </cell>
          <cell r="AD442" t="str">
            <v>No</v>
          </cell>
          <cell r="AE442" t="str">
            <v>MMIS</v>
          </cell>
          <cell r="AF442" t="str">
            <v>nypeastcampus</v>
          </cell>
          <cell r="AG442" t="str">
            <v>P</v>
          </cell>
        </row>
        <row r="443">
          <cell r="A443" t="str">
            <v>1598921728</v>
          </cell>
          <cell r="B443" t="str">
            <v>03189526</v>
          </cell>
          <cell r="C443" t="str">
            <v>Akanksha Manchanda-Gera</v>
          </cell>
          <cell r="D443" t="str">
            <v>E0303277</v>
          </cell>
          <cell r="E443" t="str">
            <v>MANCHANDA-GERA AKANKSHA</v>
          </cell>
          <cell r="L443" t="str">
            <v>All Other:: Practitioner - Non-Primary Care Provider (PCP)</v>
          </cell>
          <cell r="M443" t="str">
            <v>Yes</v>
          </cell>
          <cell r="R443" t="str">
            <v>GERA AKANKSHA DR.</v>
          </cell>
          <cell r="W443" t="str">
            <v>MANCHANDA-GERA AKANKSHA</v>
          </cell>
          <cell r="X443" t="str">
            <v>9704 SUTPHIN BLVD</v>
          </cell>
          <cell r="Y443" t="str">
            <v>JAMAICA</v>
          </cell>
          <cell r="Z443" t="str">
            <v>NY</v>
          </cell>
          <cell r="AA443" t="str">
            <v>11435-4721</v>
          </cell>
          <cell r="AB443" t="str">
            <v>DENTIST</v>
          </cell>
          <cell r="AC443" t="str">
            <v>M</v>
          </cell>
          <cell r="AD443" t="str">
            <v>No</v>
          </cell>
          <cell r="AE443" t="str">
            <v>MMIS</v>
          </cell>
          <cell r="AF443" t="str">
            <v>nypeastacn</v>
          </cell>
          <cell r="AG443" t="str">
            <v>P</v>
          </cell>
        </row>
        <row r="444">
          <cell r="A444" t="str">
            <v>1992900088</v>
          </cell>
          <cell r="B444" t="str">
            <v>03522754</v>
          </cell>
          <cell r="C444" t="str">
            <v>Aurora Canlas</v>
          </cell>
          <cell r="D444" t="str">
            <v>E0342013</v>
          </cell>
          <cell r="E444" t="str">
            <v>CANLAS AURORA JULIANA</v>
          </cell>
          <cell r="L444" t="str">
            <v>All Other:: Practitioner - Primary Care Provider (PCP)</v>
          </cell>
          <cell r="M444" t="str">
            <v>Yes</v>
          </cell>
          <cell r="R444" t="str">
            <v>POP AURORA DR.</v>
          </cell>
          <cell r="W444" t="str">
            <v>CANLAS AURORA JULIANA</v>
          </cell>
          <cell r="X444" t="str">
            <v>81 W 115TH ST</v>
          </cell>
          <cell r="Y444" t="str">
            <v>NEW YORK</v>
          </cell>
          <cell r="Z444" t="str">
            <v>NY</v>
          </cell>
          <cell r="AA444" t="str">
            <v>10026-3138</v>
          </cell>
          <cell r="AB444" t="str">
            <v>PHYSICIAN</v>
          </cell>
          <cell r="AC444" t="str">
            <v>M</v>
          </cell>
          <cell r="AD444" t="str">
            <v>No</v>
          </cell>
          <cell r="AE444" t="str">
            <v>MMIS</v>
          </cell>
          <cell r="AF444" t="str">
            <v>nypwestacn</v>
          </cell>
          <cell r="AG444" t="str">
            <v>P</v>
          </cell>
        </row>
        <row r="445">
          <cell r="A445" t="str">
            <v>1205188992</v>
          </cell>
          <cell r="C445" t="str">
            <v>Parsons Molly</v>
          </cell>
          <cell r="G445" t="str">
            <v>Kathryn Spaziani</v>
          </cell>
          <cell r="H445" t="str">
            <v>(212) 305-1255</v>
          </cell>
          <cell r="J445" t="str">
            <v>kas9171@nyp.org</v>
          </cell>
          <cell r="K445" t="str">
            <v>Physician</v>
          </cell>
          <cell r="L445" t="str">
            <v>Uncategorized</v>
          </cell>
          <cell r="M445" t="str">
            <v>No</v>
          </cell>
          <cell r="R445" t="str">
            <v>PARSONS MOLLY DR.</v>
          </cell>
          <cell r="S445" t="str">
            <v>625 1ST ST</v>
          </cell>
          <cell r="T445" t="str">
            <v>WESTFIELD</v>
          </cell>
          <cell r="U445" t="str">
            <v>NJ</v>
          </cell>
          <cell r="V445" t="str">
            <v>070904101</v>
          </cell>
          <cell r="AC445" t="str">
            <v>M</v>
          </cell>
          <cell r="AD445" t="str">
            <v>No</v>
          </cell>
          <cell r="AE445" t="str">
            <v>NPI only</v>
          </cell>
          <cell r="AF445" t="str">
            <v>nypeastcampus</v>
          </cell>
          <cell r="AG445" t="str">
            <v>P</v>
          </cell>
        </row>
        <row r="446">
          <cell r="A446" t="str">
            <v>1467888271</v>
          </cell>
          <cell r="B446" t="str">
            <v>03729279</v>
          </cell>
          <cell r="C446" t="str">
            <v>JOHN, ELIZABETH J</v>
          </cell>
          <cell r="D446" t="str">
            <v>E0363518</v>
          </cell>
          <cell r="E446" t="str">
            <v>JOHN ELIZABETH J</v>
          </cell>
          <cell r="G446" t="str">
            <v>Kathryn Spaziani</v>
          </cell>
          <cell r="H446" t="str">
            <v>(212) 305-1190</v>
          </cell>
          <cell r="J446" t="str">
            <v>kas9171@nyp.org</v>
          </cell>
          <cell r="L446" t="str">
            <v>Practitioner - Non-Primary Care Provider (PCP)</v>
          </cell>
          <cell r="M446" t="str">
            <v>No</v>
          </cell>
          <cell r="R446" t="str">
            <v>JOHN ELIZABETH MRS.</v>
          </cell>
          <cell r="W446" t="str">
            <v>JOHN ELIZABETH J</v>
          </cell>
          <cell r="X446" t="str">
            <v>VANDERBILT CLINIC 622 WEST 168TH STREET</v>
          </cell>
          <cell r="Y446" t="str">
            <v>NEW YORK</v>
          </cell>
          <cell r="Z446" t="str">
            <v>NY</v>
          </cell>
          <cell r="AA446" t="str">
            <v>10032-0000</v>
          </cell>
          <cell r="AB446" t="str">
            <v>PHYSICIAN</v>
          </cell>
          <cell r="AC446" t="str">
            <v>M</v>
          </cell>
          <cell r="AD446" t="str">
            <v>No</v>
          </cell>
          <cell r="AE446" t="str">
            <v>MMIS</v>
          </cell>
          <cell r="AF446" t="str">
            <v>nypwestacn</v>
          </cell>
          <cell r="AG446" t="str">
            <v>P</v>
          </cell>
        </row>
        <row r="447">
          <cell r="A447" t="str">
            <v>1477536654</v>
          </cell>
          <cell r="B447" t="str">
            <v>02156572</v>
          </cell>
          <cell r="C447" t="str">
            <v>RUBINSTEIN, RAN Y</v>
          </cell>
          <cell r="D447" t="str">
            <v>E0084418</v>
          </cell>
          <cell r="E447" t="str">
            <v>RUBINSTEIN RAN Y MD</v>
          </cell>
          <cell r="G447" t="str">
            <v>Kathryn Spaziani</v>
          </cell>
          <cell r="H447" t="str">
            <v>(212) 305-1190</v>
          </cell>
          <cell r="J447" t="str">
            <v>kas9171@nyp.org</v>
          </cell>
          <cell r="L447" t="str">
            <v>Practitioner - Non-Primary Care Provider (PCP)</v>
          </cell>
          <cell r="M447" t="str">
            <v>No</v>
          </cell>
          <cell r="R447" t="str">
            <v>RUBINSTEIN RAN</v>
          </cell>
          <cell r="W447" t="str">
            <v>RUBINSTEIN RAN Y MD</v>
          </cell>
          <cell r="X447" t="str">
            <v>HUDSON VALLEY ENT PC</v>
          </cell>
          <cell r="Y447" t="str">
            <v>MIDDLETOWN</v>
          </cell>
          <cell r="Z447" t="str">
            <v>NY</v>
          </cell>
          <cell r="AA447" t="str">
            <v>10940-2644</v>
          </cell>
          <cell r="AB447" t="str">
            <v>PHYSICIAN</v>
          </cell>
          <cell r="AC447" t="str">
            <v>M</v>
          </cell>
          <cell r="AD447" t="str">
            <v>No</v>
          </cell>
          <cell r="AE447" t="str">
            <v>MMIS</v>
          </cell>
          <cell r="AF447" t="str">
            <v>nypwestcampus</v>
          </cell>
          <cell r="AG447" t="str">
            <v>P</v>
          </cell>
        </row>
        <row r="448">
          <cell r="A448" t="str">
            <v>1477570356</v>
          </cell>
          <cell r="B448" t="str">
            <v>02128536</v>
          </cell>
          <cell r="C448" t="str">
            <v>Engel, Murray</v>
          </cell>
          <cell r="D448" t="str">
            <v>E0087217</v>
          </cell>
          <cell r="E448" t="str">
            <v>ENGEL MURRAY  MD</v>
          </cell>
          <cell r="G448" t="str">
            <v>Kathryn Spaziani</v>
          </cell>
          <cell r="H448" t="str">
            <v>(212) 305-1190</v>
          </cell>
          <cell r="J448" t="str">
            <v>kas9171@nyp.org</v>
          </cell>
          <cell r="L448" t="str">
            <v>Practitioner - Non-Primary Care Provider (PCP)</v>
          </cell>
          <cell r="M448" t="str">
            <v>No</v>
          </cell>
          <cell r="R448" t="str">
            <v>ENGEL MURRAY</v>
          </cell>
          <cell r="W448" t="str">
            <v>ENGEL MURRAY  MD</v>
          </cell>
          <cell r="X448" t="str">
            <v>1 PARK ST</v>
          </cell>
          <cell r="Y448" t="str">
            <v>NEW HAVEN</v>
          </cell>
          <cell r="Z448" t="str">
            <v>CT</v>
          </cell>
          <cell r="AA448" t="str">
            <v>06519</v>
          </cell>
          <cell r="AB448" t="str">
            <v>PHYSICIAN</v>
          </cell>
          <cell r="AC448" t="str">
            <v>M</v>
          </cell>
          <cell r="AD448" t="str">
            <v>No</v>
          </cell>
          <cell r="AE448" t="str">
            <v>MMIS</v>
          </cell>
          <cell r="AF448" t="str">
            <v>nypeastacn</v>
          </cell>
          <cell r="AG448" t="str">
            <v>P</v>
          </cell>
        </row>
        <row r="449">
          <cell r="A449" t="str">
            <v>1922179936</v>
          </cell>
          <cell r="B449" t="str">
            <v>02439792</v>
          </cell>
          <cell r="C449" t="str">
            <v>Zhu, Sha</v>
          </cell>
          <cell r="D449" t="str">
            <v>E0056152</v>
          </cell>
          <cell r="E449" t="str">
            <v>ZHU SHA MD</v>
          </cell>
          <cell r="G449" t="str">
            <v>Betty Cheng</v>
          </cell>
          <cell r="H449" t="str">
            <v>(212) 379-6988</v>
          </cell>
          <cell r="I449">
            <v>2604</v>
          </cell>
          <cell r="J449" t="str">
            <v>bcheng@cbwchc.org</v>
          </cell>
          <cell r="L449" t="str">
            <v>All Other:: Practitioner - Primary Care Provider (PCP)</v>
          </cell>
          <cell r="M449" t="str">
            <v>Yes</v>
          </cell>
          <cell r="R449" t="str">
            <v>ZHU SHA</v>
          </cell>
          <cell r="W449" t="str">
            <v>ZHU SHA</v>
          </cell>
          <cell r="X449" t="str">
            <v>161 RIVERSIDE DR</v>
          </cell>
          <cell r="Y449" t="str">
            <v>BINGHAMTON</v>
          </cell>
          <cell r="Z449" t="str">
            <v>NY</v>
          </cell>
          <cell r="AA449" t="str">
            <v>13905-4178</v>
          </cell>
          <cell r="AB449" t="str">
            <v>PHYSICIAN</v>
          </cell>
          <cell r="AC449" t="str">
            <v>M</v>
          </cell>
          <cell r="AD449" t="str">
            <v>No</v>
          </cell>
          <cell r="AE449" t="str">
            <v>MMIS</v>
          </cell>
          <cell r="AF449" t="str">
            <v>cbwchc</v>
          </cell>
          <cell r="AG449" t="str">
            <v>P</v>
          </cell>
        </row>
        <row r="450">
          <cell r="A450" t="str">
            <v>1730372160</v>
          </cell>
          <cell r="B450" t="str">
            <v>03391444</v>
          </cell>
          <cell r="C450" t="str">
            <v>CONNOLLY, EILEEN</v>
          </cell>
          <cell r="D450" t="str">
            <v>E0326670</v>
          </cell>
          <cell r="E450" t="str">
            <v>CONNOLLY EILEEN P</v>
          </cell>
          <cell r="G450" t="str">
            <v>Kathryn Spaziani</v>
          </cell>
          <cell r="H450" t="str">
            <v>(212) 305-1216</v>
          </cell>
          <cell r="J450" t="str">
            <v>kas9171@nyp.org</v>
          </cell>
          <cell r="L450" t="str">
            <v>All Other:: Practitioner - Non-Primary Care Provider (PCP)</v>
          </cell>
          <cell r="M450" t="str">
            <v>No</v>
          </cell>
          <cell r="R450" t="str">
            <v>CONNOLLY EILEEN DR.</v>
          </cell>
          <cell r="W450" t="str">
            <v>CONNOLLY EILEEN P</v>
          </cell>
          <cell r="X450" t="str">
            <v>622 W 168TH ST</v>
          </cell>
          <cell r="Y450" t="str">
            <v>NEW YORK</v>
          </cell>
          <cell r="Z450" t="str">
            <v>NY</v>
          </cell>
          <cell r="AA450" t="str">
            <v>10032-3720</v>
          </cell>
          <cell r="AB450" t="str">
            <v>PHYSICIAN</v>
          </cell>
          <cell r="AC450" t="str">
            <v>M</v>
          </cell>
          <cell r="AD450" t="str">
            <v>No</v>
          </cell>
          <cell r="AE450" t="str">
            <v>MMIS</v>
          </cell>
          <cell r="AF450" t="str">
            <v>nypwestcampus</v>
          </cell>
          <cell r="AG450" t="str">
            <v>P</v>
          </cell>
        </row>
        <row r="451">
          <cell r="A451" t="str">
            <v>1447279211</v>
          </cell>
          <cell r="B451" t="str">
            <v>02919588</v>
          </cell>
          <cell r="C451" t="str">
            <v>CORDA, ROZELLE</v>
          </cell>
          <cell r="D451" t="str">
            <v>E0000153</v>
          </cell>
          <cell r="E451" t="str">
            <v>CORDA ROZELLE</v>
          </cell>
          <cell r="G451" t="str">
            <v>Kathryn Spaziani</v>
          </cell>
          <cell r="H451" t="str">
            <v>(212) 305-1217</v>
          </cell>
          <cell r="J451" t="str">
            <v>kas9171@nyp.org</v>
          </cell>
          <cell r="L451" t="str">
            <v>All Other:: Practitioner - Non-Primary Care Provider (PCP)</v>
          </cell>
          <cell r="M451" t="str">
            <v>No</v>
          </cell>
          <cell r="R451" t="str">
            <v>CORDA ROZELLE MRS.</v>
          </cell>
          <cell r="W451" t="str">
            <v>CORDA ROZELLE</v>
          </cell>
          <cell r="X451" t="str">
            <v>3959 BROADWAY</v>
          </cell>
          <cell r="Y451" t="str">
            <v>NEW YORK</v>
          </cell>
          <cell r="Z451" t="str">
            <v>NY</v>
          </cell>
          <cell r="AA451" t="str">
            <v>10032-1559</v>
          </cell>
          <cell r="AB451" t="str">
            <v>PHYSICIAN</v>
          </cell>
          <cell r="AC451" t="str">
            <v>M</v>
          </cell>
          <cell r="AD451" t="str">
            <v>No</v>
          </cell>
          <cell r="AE451" t="str">
            <v>MMIS</v>
          </cell>
          <cell r="AF451" t="str">
            <v>nypwestcampus</v>
          </cell>
          <cell r="AG451" t="str">
            <v>P</v>
          </cell>
        </row>
        <row r="452">
          <cell r="A452" t="str">
            <v>1154657112</v>
          </cell>
          <cell r="B452" t="str">
            <v>03808179</v>
          </cell>
          <cell r="C452" t="str">
            <v>COTLIAR, ARTHUR</v>
          </cell>
          <cell r="D452" t="str">
            <v>E0371646</v>
          </cell>
          <cell r="E452" t="str">
            <v>ARTHUR M COTLIAR MD PLLC</v>
          </cell>
          <cell r="G452" t="str">
            <v>Kathryn Spaziani</v>
          </cell>
          <cell r="H452" t="str">
            <v>(212) 305-1218</v>
          </cell>
          <cell r="J452" t="str">
            <v>kas9171@nyp.org</v>
          </cell>
          <cell r="L452" t="str">
            <v>All Other</v>
          </cell>
          <cell r="M452" t="str">
            <v>No</v>
          </cell>
          <cell r="R452" t="str">
            <v>ARTHUR M. COTLIAR, MD PLLC</v>
          </cell>
          <cell r="W452" t="str">
            <v>ARTHUR M COTLIAR MD PLLC</v>
          </cell>
          <cell r="X452" t="str">
            <v>635 W 165TH ST 104</v>
          </cell>
          <cell r="Y452" t="str">
            <v>NEW YORK</v>
          </cell>
          <cell r="Z452" t="str">
            <v>NY</v>
          </cell>
          <cell r="AA452" t="str">
            <v>10032-3724</v>
          </cell>
          <cell r="AB452" t="str">
            <v>MULTI-TYPE GROUP</v>
          </cell>
          <cell r="AC452" t="str">
            <v>M</v>
          </cell>
          <cell r="AD452" t="str">
            <v>No</v>
          </cell>
          <cell r="AE452" t="str">
            <v>MMIS</v>
          </cell>
          <cell r="AF452" t="str">
            <v>nypwestacn</v>
          </cell>
          <cell r="AG452" t="str">
            <v>P</v>
          </cell>
        </row>
        <row r="453">
          <cell r="A453" t="str">
            <v>1427464007</v>
          </cell>
          <cell r="B453" t="str">
            <v>03916112</v>
          </cell>
          <cell r="C453" t="str">
            <v>Lauren Smaldone</v>
          </cell>
          <cell r="D453" t="str">
            <v>E0382779</v>
          </cell>
          <cell r="E453" t="str">
            <v>SMALDONE LAUREN</v>
          </cell>
          <cell r="G453" t="str">
            <v>Corina Sharp</v>
          </cell>
          <cell r="H453" t="str">
            <v>(212) 545-2441</v>
          </cell>
          <cell r="J453" t="str">
            <v>csharp@chnnyc.org</v>
          </cell>
          <cell r="L453" t="str">
            <v>All Other:: Practitioner - Non-Primary Care Provider (PCP)</v>
          </cell>
          <cell r="M453" t="str">
            <v>No</v>
          </cell>
          <cell r="R453" t="str">
            <v>SMALDONE LAUREN MS.</v>
          </cell>
          <cell r="W453" t="str">
            <v>SMALDONE LAUREN A</v>
          </cell>
          <cell r="X453" t="str">
            <v>81 W 115TH ST</v>
          </cell>
          <cell r="Y453" t="str">
            <v>NEW YORK</v>
          </cell>
          <cell r="Z453" t="str">
            <v>NY</v>
          </cell>
          <cell r="AA453" t="str">
            <v>10026-3138</v>
          </cell>
          <cell r="AB453" t="str">
            <v>PHYSICIAN</v>
          </cell>
          <cell r="AC453" t="str">
            <v>M</v>
          </cell>
          <cell r="AD453" t="str">
            <v>No</v>
          </cell>
          <cell r="AE453" t="str">
            <v>MMIS</v>
          </cell>
          <cell r="AF453" t="str">
            <v>chn</v>
          </cell>
          <cell r="AG453" t="str">
            <v>P</v>
          </cell>
        </row>
        <row r="454">
          <cell r="A454" t="str">
            <v>1376898775</v>
          </cell>
          <cell r="B454" t="str">
            <v>03484879</v>
          </cell>
          <cell r="C454" t="str">
            <v>Karen Staple</v>
          </cell>
          <cell r="D454" t="str">
            <v>E0337904</v>
          </cell>
          <cell r="E454" t="str">
            <v>STAPLES KAREN</v>
          </cell>
          <cell r="G454" t="str">
            <v>Corina Sharp</v>
          </cell>
          <cell r="H454" t="str">
            <v>(212) 545-2441</v>
          </cell>
          <cell r="J454" t="str">
            <v>csharp@chnnyc.org</v>
          </cell>
          <cell r="L454" t="str">
            <v>All Other:: Practitioner - Primary Care Provider (PCP)</v>
          </cell>
          <cell r="M454" t="str">
            <v>Yes</v>
          </cell>
          <cell r="R454" t="str">
            <v>STAPLE KAREN MRS.</v>
          </cell>
          <cell r="W454" t="str">
            <v>STAPLE KAREN</v>
          </cell>
          <cell r="X454" t="str">
            <v>9704 SUTPHIN BLVD</v>
          </cell>
          <cell r="Y454" t="str">
            <v>JAMAICA</v>
          </cell>
          <cell r="Z454" t="str">
            <v>NY</v>
          </cell>
          <cell r="AA454" t="str">
            <v>11435-4721</v>
          </cell>
          <cell r="AB454" t="str">
            <v>PHYSICIAN</v>
          </cell>
          <cell r="AC454" t="str">
            <v>M</v>
          </cell>
          <cell r="AD454" t="str">
            <v>No</v>
          </cell>
          <cell r="AE454" t="str">
            <v>MMIS</v>
          </cell>
          <cell r="AF454" t="str">
            <v>chn</v>
          </cell>
          <cell r="AG454" t="str">
            <v>P</v>
          </cell>
        </row>
        <row r="455">
          <cell r="A455" t="str">
            <v>1336431758</v>
          </cell>
          <cell r="C455" t="str">
            <v>Fort Alexander</v>
          </cell>
          <cell r="G455" t="str">
            <v>Kathryn Spaziani</v>
          </cell>
          <cell r="H455" t="str">
            <v>(212) 305-1255</v>
          </cell>
          <cell r="J455" t="str">
            <v>kas9171@nyp.org</v>
          </cell>
          <cell r="K455" t="str">
            <v>Physician</v>
          </cell>
          <cell r="L455" t="str">
            <v>Uncategorized</v>
          </cell>
          <cell r="M455" t="str">
            <v>No</v>
          </cell>
          <cell r="R455" t="str">
            <v>FORT ALEXANDER</v>
          </cell>
          <cell r="S455" t="str">
            <v>1611 NW 12TH AVE, C-300</v>
          </cell>
          <cell r="T455" t="str">
            <v>MIAMI</v>
          </cell>
          <cell r="U455" t="str">
            <v>FL</v>
          </cell>
          <cell r="V455" t="str">
            <v>331361005</v>
          </cell>
          <cell r="AC455" t="str">
            <v>M</v>
          </cell>
          <cell r="AD455" t="str">
            <v>No</v>
          </cell>
          <cell r="AE455" t="str">
            <v>NPI only</v>
          </cell>
          <cell r="AF455" t="str">
            <v>nypwestacn</v>
          </cell>
          <cell r="AG455" t="str">
            <v>P</v>
          </cell>
        </row>
        <row r="456">
          <cell r="A456" t="str">
            <v>1922181510</v>
          </cell>
          <cell r="B456" t="str">
            <v>01376907</v>
          </cell>
          <cell r="C456" t="str">
            <v>Janet Pomerantz</v>
          </cell>
          <cell r="D456" t="str">
            <v>E0162268</v>
          </cell>
          <cell r="E456" t="str">
            <v>POMERANTZ JANET ROBERTA MD</v>
          </cell>
          <cell r="G456" t="str">
            <v>Eva Eng</v>
          </cell>
          <cell r="H456" t="str">
            <v>(212) 752-4997</v>
          </cell>
          <cell r="J456" t="str">
            <v>eeng@archcare.org</v>
          </cell>
          <cell r="L456" t="str">
            <v>Mental Health:: Practitioner - Non-Primary Care Provider (PCP)</v>
          </cell>
          <cell r="M456" t="str">
            <v>No</v>
          </cell>
          <cell r="R456" t="str">
            <v>POMERANTZ JANET</v>
          </cell>
          <cell r="W456" t="str">
            <v>POMERANTZ JANET ROBERTA</v>
          </cell>
          <cell r="X456" t="str">
            <v>380 WASHINGTON AVE</v>
          </cell>
          <cell r="Y456" t="str">
            <v>ROOSEVELT</v>
          </cell>
          <cell r="Z456" t="str">
            <v>NY</v>
          </cell>
          <cell r="AA456" t="str">
            <v>11575-1845</v>
          </cell>
          <cell r="AB456" t="str">
            <v>PHYSICIAN</v>
          </cell>
          <cell r="AC456" t="str">
            <v>M</v>
          </cell>
          <cell r="AD456" t="str">
            <v>No</v>
          </cell>
          <cell r="AE456" t="str">
            <v>MMIS</v>
          </cell>
          <cell r="AF456" t="str">
            <v>nypeastacn</v>
          </cell>
          <cell r="AG456" t="str">
            <v>P</v>
          </cell>
        </row>
        <row r="457">
          <cell r="A457" t="str">
            <v>1821156936</v>
          </cell>
          <cell r="B457" t="str">
            <v>00730694</v>
          </cell>
          <cell r="C457" t="str">
            <v xml:space="preserve">Thippa Ramaraju </v>
          </cell>
          <cell r="D457" t="str">
            <v>E0226639</v>
          </cell>
          <cell r="E457" t="str">
            <v>RAMARAJU THIPPA R          MD</v>
          </cell>
          <cell r="G457" t="str">
            <v>Eva Eng</v>
          </cell>
          <cell r="H457" t="str">
            <v>(212) 752-4998</v>
          </cell>
          <cell r="J457" t="str">
            <v>eeng@archcare.org</v>
          </cell>
          <cell r="L457" t="str">
            <v>Practitioner - Primary Care Provider (PCP)</v>
          </cell>
          <cell r="M457" t="str">
            <v>No</v>
          </cell>
          <cell r="R457" t="str">
            <v>RAMARAJU THIPPA DR.</v>
          </cell>
          <cell r="W457" t="str">
            <v>RAMARAJU THIPPA R          MD</v>
          </cell>
          <cell r="X457" t="str">
            <v>233 W 72ND ST</v>
          </cell>
          <cell r="Y457" t="str">
            <v>NEW YORK</v>
          </cell>
          <cell r="Z457" t="str">
            <v>NY</v>
          </cell>
          <cell r="AA457" t="str">
            <v>10023-2788</v>
          </cell>
          <cell r="AB457" t="str">
            <v>PHYSICIAN</v>
          </cell>
          <cell r="AC457" t="str">
            <v>M</v>
          </cell>
          <cell r="AD457" t="str">
            <v>No</v>
          </cell>
          <cell r="AE457" t="str">
            <v>MMIS</v>
          </cell>
          <cell r="AF457" t="str">
            <v>nypwestacn</v>
          </cell>
          <cell r="AG457" t="str">
            <v>P</v>
          </cell>
        </row>
        <row r="458">
          <cell r="A458" t="str">
            <v>1952560369</v>
          </cell>
          <cell r="B458" t="str">
            <v>03572850</v>
          </cell>
          <cell r="C458" t="str">
            <v>Wong Tony</v>
          </cell>
          <cell r="D458" t="str">
            <v>E0347351</v>
          </cell>
          <cell r="E458" t="str">
            <v>WONG TONY TAN</v>
          </cell>
          <cell r="L458" t="str">
            <v>All Other:: Practitioner - Non-Primary Care Provider (PCP)</v>
          </cell>
          <cell r="M458" t="str">
            <v>No</v>
          </cell>
          <cell r="R458" t="str">
            <v>WONG TONY DR.</v>
          </cell>
          <cell r="W458" t="str">
            <v>WONG TONY TAN</v>
          </cell>
          <cell r="X458" t="str">
            <v>622 W 168TH ST</v>
          </cell>
          <cell r="Y458" t="str">
            <v>NEW YORK</v>
          </cell>
          <cell r="Z458" t="str">
            <v>NY</v>
          </cell>
          <cell r="AA458" t="str">
            <v>10032-3720</v>
          </cell>
          <cell r="AB458" t="str">
            <v>PHYSICIAN</v>
          </cell>
          <cell r="AC458" t="str">
            <v>M</v>
          </cell>
          <cell r="AD458" t="str">
            <v>No</v>
          </cell>
          <cell r="AE458" t="str">
            <v>MMIS</v>
          </cell>
          <cell r="AF458" t="str">
            <v>nypwestcampus</v>
          </cell>
          <cell r="AG458" t="str">
            <v>P</v>
          </cell>
        </row>
        <row r="459">
          <cell r="A459" t="str">
            <v>1760641161</v>
          </cell>
          <cell r="B459" t="str">
            <v>03256535</v>
          </cell>
          <cell r="C459" t="str">
            <v>Mehta Neel</v>
          </cell>
          <cell r="D459" t="str">
            <v>E0310814</v>
          </cell>
          <cell r="E459" t="str">
            <v>MEHTA NEEL DEVENDRA</v>
          </cell>
          <cell r="L459" t="str">
            <v>All Other:: Practitioner - Non-Primary Care Provider (PCP)</v>
          </cell>
          <cell r="M459" t="str">
            <v>No</v>
          </cell>
          <cell r="R459" t="str">
            <v>MEHTA NEEL DR.</v>
          </cell>
          <cell r="W459" t="str">
            <v>MEHTA NEEL DEVENDRA</v>
          </cell>
          <cell r="X459" t="str">
            <v>525 E 68TH ST</v>
          </cell>
          <cell r="Y459" t="str">
            <v>NEW YORK</v>
          </cell>
          <cell r="Z459" t="str">
            <v>NY</v>
          </cell>
          <cell r="AA459" t="str">
            <v>10065-4870</v>
          </cell>
          <cell r="AB459" t="str">
            <v>PHYSICIAN</v>
          </cell>
          <cell r="AC459" t="str">
            <v>M</v>
          </cell>
          <cell r="AD459" t="str">
            <v>No</v>
          </cell>
          <cell r="AE459" t="str">
            <v>MMIS</v>
          </cell>
          <cell r="AF459" t="str">
            <v>nypeastcampus</v>
          </cell>
          <cell r="AG459" t="str">
            <v>P</v>
          </cell>
        </row>
        <row r="460">
          <cell r="A460" t="str">
            <v>1598012007</v>
          </cell>
          <cell r="C460" t="str">
            <v>Miguez Billy</v>
          </cell>
          <cell r="G460" t="str">
            <v>Kathryn Spaziani</v>
          </cell>
          <cell r="H460" t="str">
            <v>(212) 305-1255</v>
          </cell>
          <cell r="J460" t="str">
            <v>kas9171@nyp.org</v>
          </cell>
          <cell r="K460" t="str">
            <v>Physician</v>
          </cell>
          <cell r="L460" t="str">
            <v>Uncategorized</v>
          </cell>
          <cell r="M460" t="str">
            <v>No</v>
          </cell>
          <cell r="R460" t="str">
            <v>MIGUEZ BILLY</v>
          </cell>
          <cell r="S460" t="str">
            <v>420 W 25TH ST APT 5C</v>
          </cell>
          <cell r="T460" t="str">
            <v>NEW YORK</v>
          </cell>
          <cell r="U460" t="str">
            <v>NY</v>
          </cell>
          <cell r="V460" t="str">
            <v>100016551</v>
          </cell>
          <cell r="AC460" t="str">
            <v>M</v>
          </cell>
          <cell r="AD460" t="str">
            <v>No</v>
          </cell>
          <cell r="AE460" t="str">
            <v>NPI only</v>
          </cell>
          <cell r="AF460" t="str">
            <v>nypeastcampus</v>
          </cell>
          <cell r="AG460" t="str">
            <v>P</v>
          </cell>
        </row>
        <row r="461">
          <cell r="A461" t="str">
            <v>1720424906</v>
          </cell>
          <cell r="C461" t="str">
            <v>Minnick Kristyn</v>
          </cell>
          <cell r="G461" t="str">
            <v>Kathryn Spaziani</v>
          </cell>
          <cell r="H461" t="str">
            <v>(212) 305-1255</v>
          </cell>
          <cell r="J461" t="str">
            <v>kas9171@nyp.org</v>
          </cell>
          <cell r="K461" t="str">
            <v>Physician</v>
          </cell>
          <cell r="L461" t="str">
            <v>Uncategorized</v>
          </cell>
          <cell r="M461" t="str">
            <v>No</v>
          </cell>
          <cell r="R461" t="str">
            <v>MINNICK KRISTYN MS.</v>
          </cell>
          <cell r="S461" t="str">
            <v>525 E 68TH ST</v>
          </cell>
          <cell r="T461" t="str">
            <v>NEW YORK</v>
          </cell>
          <cell r="U461" t="str">
            <v>NY</v>
          </cell>
          <cell r="V461" t="str">
            <v>100654870</v>
          </cell>
          <cell r="AC461" t="str">
            <v>M</v>
          </cell>
          <cell r="AD461" t="str">
            <v>No</v>
          </cell>
          <cell r="AE461" t="str">
            <v>NPI only</v>
          </cell>
          <cell r="AF461" t="str">
            <v>nypeastcampus</v>
          </cell>
          <cell r="AG461" t="str">
            <v>P</v>
          </cell>
        </row>
        <row r="462">
          <cell r="A462" t="str">
            <v>1407140288</v>
          </cell>
          <cell r="C462" t="str">
            <v>Misir Aruna</v>
          </cell>
          <cell r="G462" t="str">
            <v>Kathryn Spaziani</v>
          </cell>
          <cell r="H462" t="str">
            <v>(212) 305-1255</v>
          </cell>
          <cell r="J462" t="str">
            <v>kas9171@nyp.org</v>
          </cell>
          <cell r="K462" t="str">
            <v>Physician</v>
          </cell>
          <cell r="L462" t="str">
            <v>Practitioner - Non-Primary Care Provider (PCP)</v>
          </cell>
          <cell r="M462" t="str">
            <v>No</v>
          </cell>
          <cell r="R462" t="str">
            <v>MISIR DEEPA MS.</v>
          </cell>
          <cell r="S462" t="str">
            <v>525 E 68TH ST, ANESTHESIA DEPARTMENT M-324</v>
          </cell>
          <cell r="T462" t="str">
            <v>NEW YORK</v>
          </cell>
          <cell r="U462" t="str">
            <v>NY</v>
          </cell>
          <cell r="V462" t="str">
            <v>100654870</v>
          </cell>
          <cell r="AC462" t="str">
            <v>M</v>
          </cell>
          <cell r="AD462" t="str">
            <v>No</v>
          </cell>
          <cell r="AE462" t="str">
            <v>NPI only</v>
          </cell>
          <cell r="AF462" t="str">
            <v>nypeastcampus</v>
          </cell>
          <cell r="AG462" t="str">
            <v>P</v>
          </cell>
        </row>
        <row r="463">
          <cell r="A463" t="str">
            <v>1215193685</v>
          </cell>
          <cell r="C463" t="str">
            <v>Mohamed Therese</v>
          </cell>
          <cell r="G463" t="str">
            <v>Kathryn Spaziani</v>
          </cell>
          <cell r="H463" t="str">
            <v>(212) 305-1255</v>
          </cell>
          <cell r="J463" t="str">
            <v>kas9171@nyp.org</v>
          </cell>
          <cell r="K463" t="str">
            <v>Physician</v>
          </cell>
          <cell r="L463" t="str">
            <v>Uncategorized</v>
          </cell>
          <cell r="M463" t="str">
            <v>No</v>
          </cell>
          <cell r="R463" t="str">
            <v>MOHAMED THERESE MS.</v>
          </cell>
          <cell r="S463" t="str">
            <v>525 E 68TH ST</v>
          </cell>
          <cell r="T463" t="str">
            <v>NEW YORK</v>
          </cell>
          <cell r="U463" t="str">
            <v>NY</v>
          </cell>
          <cell r="V463" t="str">
            <v>100654870</v>
          </cell>
          <cell r="AC463" t="str">
            <v>M</v>
          </cell>
          <cell r="AD463" t="str">
            <v>No</v>
          </cell>
          <cell r="AE463" t="str">
            <v>NPI only</v>
          </cell>
          <cell r="AF463" t="str">
            <v>nypeastcampus</v>
          </cell>
          <cell r="AG463" t="str">
            <v>P</v>
          </cell>
        </row>
        <row r="464">
          <cell r="A464" t="str">
            <v>1720282056</v>
          </cell>
          <cell r="C464" t="str">
            <v>Murphy Denise</v>
          </cell>
          <cell r="G464" t="str">
            <v>Kathryn Spaziani</v>
          </cell>
          <cell r="H464" t="str">
            <v>(212) 305-1255</v>
          </cell>
          <cell r="J464" t="str">
            <v>kas9171@nyp.org</v>
          </cell>
          <cell r="K464" t="str">
            <v>Physician</v>
          </cell>
          <cell r="L464" t="str">
            <v>Practitioner - Non-Primary Care Provider (PCP)</v>
          </cell>
          <cell r="M464" t="str">
            <v>No</v>
          </cell>
          <cell r="R464" t="str">
            <v>MURPHY DENISE</v>
          </cell>
          <cell r="S464" t="str">
            <v>525 E 68TH ST</v>
          </cell>
          <cell r="T464" t="str">
            <v>NEW YORK</v>
          </cell>
          <cell r="U464" t="str">
            <v>NY</v>
          </cell>
          <cell r="V464" t="str">
            <v>100214870</v>
          </cell>
          <cell r="AC464" t="str">
            <v>M</v>
          </cell>
          <cell r="AD464" t="str">
            <v>No</v>
          </cell>
          <cell r="AE464" t="str">
            <v>NPI only</v>
          </cell>
          <cell r="AF464" t="str">
            <v>nypeastcampus</v>
          </cell>
          <cell r="AG464" t="str">
            <v>P</v>
          </cell>
        </row>
        <row r="465">
          <cell r="A465" t="str">
            <v>1407983786</v>
          </cell>
          <cell r="B465" t="str">
            <v>01919548</v>
          </cell>
          <cell r="C465" t="str">
            <v>Marboe Charles</v>
          </cell>
          <cell r="D465" t="str">
            <v>E0108095</v>
          </cell>
          <cell r="E465" t="str">
            <v>MARBOE CHARLES</v>
          </cell>
          <cell r="L465" t="str">
            <v>All Other:: Practitioner - Non-Primary Care Provider (PCP)</v>
          </cell>
          <cell r="M465" t="str">
            <v>No</v>
          </cell>
          <cell r="R465" t="str">
            <v>MARBOE CHARLES</v>
          </cell>
          <cell r="W465" t="str">
            <v>MARBOE CHARLES</v>
          </cell>
          <cell r="X465" t="str">
            <v>MARBOE CHARLES</v>
          </cell>
          <cell r="Y465" t="str">
            <v>NEW YORK</v>
          </cell>
          <cell r="Z465" t="str">
            <v>NY</v>
          </cell>
          <cell r="AA465" t="str">
            <v>10032-3720</v>
          </cell>
          <cell r="AB465" t="str">
            <v>PHYSICIAN</v>
          </cell>
          <cell r="AC465" t="str">
            <v>M</v>
          </cell>
          <cell r="AD465" t="str">
            <v>No</v>
          </cell>
          <cell r="AE465" t="str">
            <v>MMIS</v>
          </cell>
          <cell r="AF465" t="str">
            <v>nypwestcampus</v>
          </cell>
          <cell r="AG465" t="str">
            <v>P</v>
          </cell>
        </row>
        <row r="466">
          <cell r="A466" t="str">
            <v>1457488736</v>
          </cell>
          <cell r="B466" t="str">
            <v>02862857</v>
          </cell>
          <cell r="C466" t="str">
            <v>Markowitz Glen</v>
          </cell>
          <cell r="D466" t="str">
            <v>E0013913</v>
          </cell>
          <cell r="E466" t="str">
            <v>MARKOWITZ GLEN</v>
          </cell>
          <cell r="L466" t="str">
            <v>All Other:: Practitioner - Non-Primary Care Provider (PCP)</v>
          </cell>
          <cell r="M466" t="str">
            <v>No</v>
          </cell>
          <cell r="R466" t="str">
            <v>MARKOWITZ GLEN</v>
          </cell>
          <cell r="W466" t="str">
            <v>MARKOWITZ GLEN</v>
          </cell>
          <cell r="X466" t="str">
            <v>630 W 168TH ST STE P</v>
          </cell>
          <cell r="Y466" t="str">
            <v>NEW YORK</v>
          </cell>
          <cell r="Z466" t="str">
            <v>NY</v>
          </cell>
          <cell r="AA466" t="str">
            <v>10032-3725</v>
          </cell>
          <cell r="AB466" t="str">
            <v>PHYSICIAN</v>
          </cell>
          <cell r="AC466" t="str">
            <v>M</v>
          </cell>
          <cell r="AD466" t="str">
            <v>No</v>
          </cell>
          <cell r="AE466" t="str">
            <v>MMIS</v>
          </cell>
          <cell r="AF466" t="str">
            <v>nypwestcampus</v>
          </cell>
          <cell r="AG466" t="str">
            <v>P</v>
          </cell>
        </row>
        <row r="467">
          <cell r="A467" t="str">
            <v>1922135227</v>
          </cell>
          <cell r="B467" t="str">
            <v>01885249</v>
          </cell>
          <cell r="C467" t="str">
            <v>O'Toole Kathleen</v>
          </cell>
          <cell r="D467" t="str">
            <v>E0111520</v>
          </cell>
          <cell r="E467" t="str">
            <v>O'TOOLE KATHLEEN</v>
          </cell>
          <cell r="L467" t="str">
            <v>All Other:: Practitioner - Non-Primary Care Provider (PCP)</v>
          </cell>
          <cell r="M467" t="str">
            <v>No</v>
          </cell>
          <cell r="R467" t="str">
            <v>O'TOOLE KATHLEEN</v>
          </cell>
          <cell r="W467" t="str">
            <v>O'TOOLE KATHLEEN</v>
          </cell>
          <cell r="X467" t="str">
            <v>O'TOOLE KATHLEEN</v>
          </cell>
          <cell r="Y467" t="str">
            <v>NEW YORK</v>
          </cell>
          <cell r="Z467" t="str">
            <v>NY</v>
          </cell>
          <cell r="AA467" t="str">
            <v>10032-3720</v>
          </cell>
          <cell r="AB467" t="str">
            <v>PHYSICIAN</v>
          </cell>
          <cell r="AC467" t="str">
            <v>M</v>
          </cell>
          <cell r="AD467" t="str">
            <v>No</v>
          </cell>
          <cell r="AE467" t="str">
            <v>MMIS</v>
          </cell>
          <cell r="AF467" t="str">
            <v>nypwestcampus</v>
          </cell>
          <cell r="AG467" t="str">
            <v>P</v>
          </cell>
        </row>
        <row r="468">
          <cell r="A468" t="str">
            <v>1336405380</v>
          </cell>
          <cell r="C468" t="str">
            <v>Cosgrove Susan</v>
          </cell>
          <cell r="G468" t="str">
            <v>Kathryn Spaziani</v>
          </cell>
          <cell r="H468" t="str">
            <v>(212) 305-1255</v>
          </cell>
          <cell r="J468" t="str">
            <v>kas9171@nyp.org</v>
          </cell>
          <cell r="K468" t="str">
            <v>Physician</v>
          </cell>
          <cell r="L468" t="str">
            <v>Uncategorized</v>
          </cell>
          <cell r="M468" t="str">
            <v>No</v>
          </cell>
          <cell r="R468" t="str">
            <v>COSGROVE SUSAN</v>
          </cell>
          <cell r="S468" t="str">
            <v>177 FORT WASHINGTON AVNUE</v>
          </cell>
          <cell r="T468" t="str">
            <v>NEW YORK</v>
          </cell>
          <cell r="U468" t="str">
            <v>NY</v>
          </cell>
          <cell r="V468" t="str">
            <v>100323733</v>
          </cell>
          <cell r="AC468" t="str">
            <v>M</v>
          </cell>
          <cell r="AD468" t="str">
            <v>No</v>
          </cell>
          <cell r="AE468" t="str">
            <v>NPI only</v>
          </cell>
          <cell r="AF468" t="str">
            <v>nypwestcampus</v>
          </cell>
          <cell r="AG468" t="str">
            <v>P</v>
          </cell>
        </row>
        <row r="469">
          <cell r="A469" t="str">
            <v>1932493103</v>
          </cell>
          <cell r="B469" t="str">
            <v>04492848</v>
          </cell>
          <cell r="C469" t="str">
            <v>Cui Jing</v>
          </cell>
          <cell r="D469" t="str">
            <v>E0441940</v>
          </cell>
          <cell r="E469" t="str">
            <v>CUI JING</v>
          </cell>
          <cell r="G469" t="str">
            <v>Kathryn Spaziani</v>
          </cell>
          <cell r="H469" t="str">
            <v>(212) 305-1255</v>
          </cell>
          <cell r="J469" t="str">
            <v>kas9171@nyp.org</v>
          </cell>
          <cell r="L469" t="str">
            <v>Uncategorized</v>
          </cell>
          <cell r="M469" t="str">
            <v>No</v>
          </cell>
          <cell r="R469" t="str">
            <v>CUI JING</v>
          </cell>
          <cell r="W469" t="str">
            <v>CUI JING</v>
          </cell>
          <cell r="AB469" t="str">
            <v>PHYSICIAN</v>
          </cell>
          <cell r="AC469" t="str">
            <v>M</v>
          </cell>
          <cell r="AD469" t="str">
            <v>No</v>
          </cell>
          <cell r="AE469" t="str">
            <v>MMIS</v>
          </cell>
          <cell r="AF469" t="str">
            <v>nypwestcampus</v>
          </cell>
          <cell r="AG469" t="str">
            <v>P</v>
          </cell>
        </row>
        <row r="470">
          <cell r="A470" t="str">
            <v>1821416686</v>
          </cell>
          <cell r="C470" t="str">
            <v>Dani Avace</v>
          </cell>
          <cell r="G470" t="str">
            <v>Kathryn Spaziani</v>
          </cell>
          <cell r="H470" t="str">
            <v>(212) 305-1255</v>
          </cell>
          <cell r="J470" t="str">
            <v>kas9171@nyp.org</v>
          </cell>
          <cell r="K470" t="str">
            <v>Physician</v>
          </cell>
          <cell r="L470" t="str">
            <v>Uncategorized</v>
          </cell>
          <cell r="M470" t="str">
            <v>No</v>
          </cell>
          <cell r="R470" t="str">
            <v>DANI AVACE DR.</v>
          </cell>
          <cell r="S470" t="str">
            <v>622 W 168TH ST PH 5-133</v>
          </cell>
          <cell r="T470" t="str">
            <v>NEW YORK</v>
          </cell>
          <cell r="U470" t="str">
            <v>NY</v>
          </cell>
          <cell r="V470" t="str">
            <v>100323720</v>
          </cell>
          <cell r="AC470" t="str">
            <v>M</v>
          </cell>
          <cell r="AD470" t="str">
            <v>No</v>
          </cell>
          <cell r="AE470" t="str">
            <v>NPI only</v>
          </cell>
          <cell r="AF470" t="str">
            <v>nypwestcampus</v>
          </cell>
          <cell r="AG470" t="str">
            <v>P</v>
          </cell>
        </row>
        <row r="471">
          <cell r="A471" t="str">
            <v>1982022018</v>
          </cell>
          <cell r="C471" t="str">
            <v>Dave Meneka</v>
          </cell>
          <cell r="G471" t="str">
            <v>Kathryn Spaziani</v>
          </cell>
          <cell r="H471" t="str">
            <v>(212) 305-1255</v>
          </cell>
          <cell r="J471" t="str">
            <v>kas9171@nyp.org</v>
          </cell>
          <cell r="K471" t="str">
            <v>Physician</v>
          </cell>
          <cell r="L471" t="str">
            <v>Uncategorized</v>
          </cell>
          <cell r="M471" t="str">
            <v>No</v>
          </cell>
          <cell r="R471" t="str">
            <v>DAVE MENEKA</v>
          </cell>
          <cell r="S471" t="str">
            <v>622 W 168TH ST, PH5-133</v>
          </cell>
          <cell r="T471" t="str">
            <v>NEW YORK</v>
          </cell>
          <cell r="U471" t="str">
            <v>NY</v>
          </cell>
          <cell r="V471" t="str">
            <v>100323720</v>
          </cell>
          <cell r="AC471" t="str">
            <v>M</v>
          </cell>
          <cell r="AD471" t="str">
            <v>No</v>
          </cell>
          <cell r="AE471" t="str">
            <v>NPI only</v>
          </cell>
          <cell r="AF471" t="str">
            <v>nypwestcampus</v>
          </cell>
          <cell r="AG471" t="str">
            <v>P</v>
          </cell>
        </row>
        <row r="472">
          <cell r="A472" t="str">
            <v>1811288830</v>
          </cell>
          <cell r="C472" t="str">
            <v>Desai Shivang</v>
          </cell>
          <cell r="G472" t="str">
            <v>Kathryn Spaziani</v>
          </cell>
          <cell r="H472" t="str">
            <v>(212) 305-1255</v>
          </cell>
          <cell r="J472" t="str">
            <v>kas9171@nyp.org</v>
          </cell>
          <cell r="K472" t="str">
            <v>Physician</v>
          </cell>
          <cell r="L472" t="str">
            <v>Uncategorized</v>
          </cell>
          <cell r="M472" t="str">
            <v>No</v>
          </cell>
          <cell r="R472" t="str">
            <v>DESAI SHIVANG</v>
          </cell>
          <cell r="S472" t="str">
            <v>1923 HOLLYS WAY</v>
          </cell>
          <cell r="T472" t="str">
            <v>SUGAR LAND</v>
          </cell>
          <cell r="U472" t="str">
            <v>TX</v>
          </cell>
          <cell r="V472" t="str">
            <v>774795575</v>
          </cell>
          <cell r="AC472" t="str">
            <v>M</v>
          </cell>
          <cell r="AD472" t="str">
            <v>No</v>
          </cell>
          <cell r="AE472" t="str">
            <v>NPI only</v>
          </cell>
          <cell r="AF472" t="str">
            <v>nypwestacn</v>
          </cell>
          <cell r="AG472" t="str">
            <v>P</v>
          </cell>
        </row>
        <row r="473">
          <cell r="A473" t="str">
            <v>1962818161</v>
          </cell>
          <cell r="C473" t="str">
            <v>Burtch Kristen</v>
          </cell>
          <cell r="G473" t="str">
            <v>Kathryn Spaziani</v>
          </cell>
          <cell r="H473" t="str">
            <v>(212) 305-1255</v>
          </cell>
          <cell r="J473" t="str">
            <v>kas9171@nyp.org</v>
          </cell>
          <cell r="K473" t="str">
            <v>Physician</v>
          </cell>
          <cell r="L473" t="str">
            <v>Uncategorized</v>
          </cell>
          <cell r="M473" t="str">
            <v>No</v>
          </cell>
          <cell r="R473" t="str">
            <v>BURTCH KRISTEN</v>
          </cell>
          <cell r="S473" t="str">
            <v>177 FORT WASHINGTON AVE</v>
          </cell>
          <cell r="T473" t="str">
            <v>NEW YORK</v>
          </cell>
          <cell r="U473" t="str">
            <v>NY</v>
          </cell>
          <cell r="V473" t="str">
            <v>100323733</v>
          </cell>
          <cell r="AC473" t="str">
            <v>M</v>
          </cell>
          <cell r="AD473" t="str">
            <v>No</v>
          </cell>
          <cell r="AE473" t="str">
            <v>NPI only</v>
          </cell>
          <cell r="AF473" t="str">
            <v>nypwestcampus</v>
          </cell>
          <cell r="AG473" t="str">
            <v>P</v>
          </cell>
        </row>
        <row r="474">
          <cell r="A474" t="str">
            <v>1912249574</v>
          </cell>
          <cell r="C474" t="str">
            <v>Fu Peter</v>
          </cell>
          <cell r="G474" t="str">
            <v>Kathryn Spaziani</v>
          </cell>
          <cell r="H474" t="str">
            <v>(212) 305-1255</v>
          </cell>
          <cell r="J474" t="str">
            <v>kas9171@nyp.org</v>
          </cell>
          <cell r="K474" t="str">
            <v>Physician</v>
          </cell>
          <cell r="L474" t="str">
            <v>Uncategorized</v>
          </cell>
          <cell r="M474" t="str">
            <v>No</v>
          </cell>
          <cell r="R474" t="str">
            <v>FU PETER DR.</v>
          </cell>
          <cell r="S474" t="str">
            <v>622 W 168TH ST, PH5-133 STERN</v>
          </cell>
          <cell r="T474" t="str">
            <v>NEW YORK</v>
          </cell>
          <cell r="U474" t="str">
            <v>NY</v>
          </cell>
          <cell r="V474" t="str">
            <v>100323720</v>
          </cell>
          <cell r="AC474" t="str">
            <v>M</v>
          </cell>
          <cell r="AD474" t="str">
            <v>No</v>
          </cell>
          <cell r="AE474" t="str">
            <v>NPI only</v>
          </cell>
          <cell r="AF474" t="str">
            <v>nypwestcampus</v>
          </cell>
          <cell r="AG474" t="str">
            <v>P</v>
          </cell>
        </row>
        <row r="475">
          <cell r="A475" t="str">
            <v>1972921542</v>
          </cell>
          <cell r="C475" t="str">
            <v>Gasior Aimee</v>
          </cell>
          <cell r="G475" t="str">
            <v>Kathryn Spaziani</v>
          </cell>
          <cell r="H475" t="str">
            <v>(212) 305-1255</v>
          </cell>
          <cell r="J475" t="str">
            <v>kas9171@nyp.org</v>
          </cell>
          <cell r="K475" t="str">
            <v>Physician</v>
          </cell>
          <cell r="L475" t="str">
            <v>Uncategorized</v>
          </cell>
          <cell r="M475" t="str">
            <v>No</v>
          </cell>
          <cell r="R475" t="str">
            <v>GASIOR AIMEE DR.</v>
          </cell>
          <cell r="S475" t="str">
            <v>622 W 168TH ST, PH5-133</v>
          </cell>
          <cell r="T475" t="str">
            <v>NEW YORK</v>
          </cell>
          <cell r="U475" t="str">
            <v>NY</v>
          </cell>
          <cell r="V475" t="str">
            <v>100323720</v>
          </cell>
          <cell r="AC475" t="str">
            <v>M</v>
          </cell>
          <cell r="AD475" t="str">
            <v>No</v>
          </cell>
          <cell r="AE475" t="str">
            <v>NPI only</v>
          </cell>
          <cell r="AF475" t="str">
            <v>nypwestcampus</v>
          </cell>
          <cell r="AG475" t="str">
            <v>P</v>
          </cell>
        </row>
        <row r="476">
          <cell r="A476" t="str">
            <v>1063778520</v>
          </cell>
          <cell r="C476" t="str">
            <v>Gelber Katherine</v>
          </cell>
          <cell r="G476" t="str">
            <v>Kathryn Spaziani</v>
          </cell>
          <cell r="H476" t="str">
            <v>(212) 305-1255</v>
          </cell>
          <cell r="J476" t="str">
            <v>kas9171@nyp.org</v>
          </cell>
          <cell r="K476" t="str">
            <v>Physician</v>
          </cell>
          <cell r="L476" t="str">
            <v>Uncategorized</v>
          </cell>
          <cell r="M476" t="str">
            <v>No</v>
          </cell>
          <cell r="R476" t="str">
            <v>GELBER KATHERINE</v>
          </cell>
          <cell r="S476" t="str">
            <v>4389 AUKAI AVE</v>
          </cell>
          <cell r="T476" t="str">
            <v>HONOLULU</v>
          </cell>
          <cell r="U476" t="str">
            <v>HI</v>
          </cell>
          <cell r="V476" t="str">
            <v>968164801</v>
          </cell>
          <cell r="AC476" t="str">
            <v>M</v>
          </cell>
          <cell r="AD476" t="str">
            <v>No</v>
          </cell>
          <cell r="AE476" t="str">
            <v>NPI only</v>
          </cell>
          <cell r="AF476" t="str">
            <v>nypwestcampus</v>
          </cell>
          <cell r="AG476" t="str">
            <v>P</v>
          </cell>
        </row>
        <row r="477">
          <cell r="A477" t="str">
            <v>1275809220</v>
          </cell>
          <cell r="B477" t="str">
            <v>04604404</v>
          </cell>
          <cell r="C477" t="str">
            <v>Gerber Adam</v>
          </cell>
          <cell r="D477" t="str">
            <v>E0453385</v>
          </cell>
          <cell r="E477" t="str">
            <v>GERBER ADAM M</v>
          </cell>
          <cell r="G477" t="str">
            <v>Kathryn Spaziani</v>
          </cell>
          <cell r="H477" t="str">
            <v>(212) 305-1255</v>
          </cell>
          <cell r="J477" t="str">
            <v>kas9171@nyp.org</v>
          </cell>
          <cell r="L477" t="str">
            <v>Uncategorized</v>
          </cell>
          <cell r="M477" t="str">
            <v>No</v>
          </cell>
          <cell r="R477" t="str">
            <v>GERBER ADAM DR.</v>
          </cell>
          <cell r="W477" t="str">
            <v>GERBER ADAM M</v>
          </cell>
          <cell r="AB477" t="str">
            <v>PHYSICIAN</v>
          </cell>
          <cell r="AC477" t="str">
            <v>M</v>
          </cell>
          <cell r="AD477" t="str">
            <v>No</v>
          </cell>
          <cell r="AE477" t="str">
            <v>MMIS</v>
          </cell>
          <cell r="AF477" t="str">
            <v>nypwestcampus</v>
          </cell>
          <cell r="AG477" t="str">
            <v>P</v>
          </cell>
        </row>
        <row r="478">
          <cell r="A478" t="str">
            <v>1194880641</v>
          </cell>
          <cell r="B478" t="str">
            <v>00174305</v>
          </cell>
          <cell r="C478" t="str">
            <v>FEINSTEIN, ROBERT P</v>
          </cell>
          <cell r="D478" t="str">
            <v>E0277470</v>
          </cell>
          <cell r="E478" t="str">
            <v>FEINSTEIN ROBERT P MD PC</v>
          </cell>
          <cell r="G478" t="str">
            <v>Kathryn Spaziani</v>
          </cell>
          <cell r="H478" t="str">
            <v>(212) 305-1190</v>
          </cell>
          <cell r="J478" t="str">
            <v>kas9171@nyp.org</v>
          </cell>
          <cell r="L478" t="str">
            <v>Practitioner - Non-Primary Care Provider (PCP)</v>
          </cell>
          <cell r="M478" t="str">
            <v>No</v>
          </cell>
          <cell r="R478" t="str">
            <v>FEINSTEIN ROBERT DR.</v>
          </cell>
          <cell r="W478" t="str">
            <v>FEINSTEIN ROBERT P MD PC</v>
          </cell>
          <cell r="X478" t="str">
            <v>SUN HARBOR MANOR ECF</v>
          </cell>
          <cell r="Y478" t="str">
            <v>ROSLYN HEIGHTS</v>
          </cell>
          <cell r="Z478" t="str">
            <v>NY</v>
          </cell>
          <cell r="AA478" t="str">
            <v>11577-1065</v>
          </cell>
          <cell r="AB478" t="str">
            <v>PHYSICIAN</v>
          </cell>
          <cell r="AC478" t="str">
            <v>M</v>
          </cell>
          <cell r="AD478" t="str">
            <v>No</v>
          </cell>
          <cell r="AE478" t="str">
            <v>MMIS</v>
          </cell>
          <cell r="AF478" t="str">
            <v>nypwestacn</v>
          </cell>
          <cell r="AG478" t="str">
            <v>P</v>
          </cell>
        </row>
        <row r="479">
          <cell r="A479" t="str">
            <v>1194886614</v>
          </cell>
          <cell r="B479" t="str">
            <v>00297049</v>
          </cell>
          <cell r="C479" t="str">
            <v>WEISSMAN, HAROLD H</v>
          </cell>
          <cell r="D479" t="str">
            <v>E0269378</v>
          </cell>
          <cell r="E479" t="str">
            <v>WEISSMAN HAROLD            MD</v>
          </cell>
          <cell r="G479" t="str">
            <v>Kathryn Spaziani</v>
          </cell>
          <cell r="H479" t="str">
            <v>(212) 305-1190</v>
          </cell>
          <cell r="J479" t="str">
            <v>kas9171@nyp.org</v>
          </cell>
          <cell r="L479" t="str">
            <v>All Other:: Practitioner - Non-Primary Care Provider (PCP)</v>
          </cell>
          <cell r="M479" t="str">
            <v>No</v>
          </cell>
          <cell r="R479" t="str">
            <v>WEISSMAN HAROLD DR.</v>
          </cell>
          <cell r="W479" t="str">
            <v>WEISSMAN HAROLD H</v>
          </cell>
          <cell r="X479" t="str">
            <v>12A N AIRMONT RD</v>
          </cell>
          <cell r="Y479" t="str">
            <v>SUFFERN</v>
          </cell>
          <cell r="Z479" t="str">
            <v>NY</v>
          </cell>
          <cell r="AA479" t="str">
            <v>10901-5152</v>
          </cell>
          <cell r="AB479" t="str">
            <v>PHYSICIAN</v>
          </cell>
          <cell r="AC479" t="str">
            <v>M</v>
          </cell>
          <cell r="AD479" t="str">
            <v>No</v>
          </cell>
          <cell r="AE479" t="str">
            <v>MMIS</v>
          </cell>
          <cell r="AF479" t="str">
            <v>nypwestcampus</v>
          </cell>
          <cell r="AG479" t="str">
            <v>P</v>
          </cell>
        </row>
        <row r="480">
          <cell r="A480" t="str">
            <v>1194893669</v>
          </cell>
          <cell r="B480" t="str">
            <v>00960701</v>
          </cell>
          <cell r="C480" t="str">
            <v xml:space="preserve">SILVERBERG, SHONNI </v>
          </cell>
          <cell r="D480" t="str">
            <v>E0203693</v>
          </cell>
          <cell r="E480" t="str">
            <v>SILVERBERG SHONNI JOY      MD</v>
          </cell>
          <cell r="G480" t="str">
            <v>Kathryn Spaziani</v>
          </cell>
          <cell r="H480" t="str">
            <v>(212) 305-1190</v>
          </cell>
          <cell r="J480" t="str">
            <v>kas9171@nyp.org</v>
          </cell>
          <cell r="L480" t="str">
            <v>Practitioner - Non-Primary Care Provider (PCP)</v>
          </cell>
          <cell r="M480" t="str">
            <v>No</v>
          </cell>
          <cell r="R480" t="str">
            <v>SILVERBERG SHONNI DR.</v>
          </cell>
          <cell r="W480" t="str">
            <v>SILVERBERG SHONNI JOY      MD</v>
          </cell>
          <cell r="Y480" t="str">
            <v>NEW YORK</v>
          </cell>
          <cell r="Z480" t="str">
            <v>NY</v>
          </cell>
          <cell r="AA480" t="str">
            <v>10032-3720</v>
          </cell>
          <cell r="AB480" t="str">
            <v>PHYSICIAN</v>
          </cell>
          <cell r="AC480" t="str">
            <v>M</v>
          </cell>
          <cell r="AD480" t="str">
            <v>No</v>
          </cell>
          <cell r="AE480" t="str">
            <v>MMIS</v>
          </cell>
          <cell r="AF480" t="str">
            <v>nypwestcampus</v>
          </cell>
          <cell r="AG480" t="str">
            <v>P</v>
          </cell>
        </row>
        <row r="481">
          <cell r="A481" t="str">
            <v>1033300231</v>
          </cell>
          <cell r="B481" t="str">
            <v>03151622</v>
          </cell>
          <cell r="C481" t="str">
            <v>SIROTIN, NICOLE</v>
          </cell>
          <cell r="D481" t="str">
            <v>E0298913</v>
          </cell>
          <cell r="E481" t="str">
            <v>SIROTIN NICOLE</v>
          </cell>
          <cell r="G481" t="str">
            <v>Kathryn Spaziani</v>
          </cell>
          <cell r="H481" t="str">
            <v>(212) 305-1335</v>
          </cell>
          <cell r="J481" t="str">
            <v>kas9171@nyp.org</v>
          </cell>
          <cell r="L481" t="str">
            <v>All Other:: Practitioner - Primary Care Provider (PCP)</v>
          </cell>
          <cell r="M481" t="str">
            <v>Yes</v>
          </cell>
          <cell r="R481" t="str">
            <v>SIROTIN NICOLE DR.</v>
          </cell>
          <cell r="W481" t="str">
            <v>SIROTIN NICOLE ASHLEY</v>
          </cell>
          <cell r="X481" t="str">
            <v>111 EAST 210TH ST</v>
          </cell>
          <cell r="Y481" t="str">
            <v>BRONX</v>
          </cell>
          <cell r="Z481" t="str">
            <v>NY</v>
          </cell>
          <cell r="AA481" t="str">
            <v>10467-2401</v>
          </cell>
          <cell r="AB481" t="str">
            <v>PHYSICIAN</v>
          </cell>
          <cell r="AC481" t="str">
            <v>M</v>
          </cell>
          <cell r="AD481" t="str">
            <v>No</v>
          </cell>
          <cell r="AE481" t="str">
            <v>MMIS</v>
          </cell>
          <cell r="AF481" t="str">
            <v>nypwestacn</v>
          </cell>
          <cell r="AG481" t="str">
            <v>P</v>
          </cell>
        </row>
        <row r="482">
          <cell r="A482" t="str">
            <v>1013133909</v>
          </cell>
          <cell r="B482" t="str">
            <v>03657316</v>
          </cell>
          <cell r="C482" t="str">
            <v>Jeanmarie Bradford, MD</v>
          </cell>
          <cell r="D482" t="str">
            <v>E0356090</v>
          </cell>
          <cell r="E482" t="str">
            <v>ALVES-BRADFORD JEAN-MARIE E</v>
          </cell>
          <cell r="G482" t="str">
            <v>Dianna Dragatsi</v>
          </cell>
          <cell r="H482" t="str">
            <v>(212) 942-8504</v>
          </cell>
          <cell r="J482" t="str">
            <v>Dragats@nyspi.columbia.edu</v>
          </cell>
          <cell r="L482" t="str">
            <v>Practitioner - Non-Primary Care Provider (PCP)</v>
          </cell>
          <cell r="M482" t="str">
            <v>No</v>
          </cell>
          <cell r="R482" t="str">
            <v>ALVES-BRADFORD JEAN-MARIE DR.</v>
          </cell>
          <cell r="W482" t="str">
            <v>ALVES-BRADFORD JEAN-MARIE E</v>
          </cell>
          <cell r="X482" t="str">
            <v>513 W 166TH ST FL 4</v>
          </cell>
          <cell r="Y482" t="str">
            <v>NEW YORK</v>
          </cell>
          <cell r="Z482" t="str">
            <v>NY</v>
          </cell>
          <cell r="AA482" t="str">
            <v>10032-4207</v>
          </cell>
          <cell r="AB482" t="str">
            <v>PHYSICIAN</v>
          </cell>
          <cell r="AC482" t="str">
            <v>M</v>
          </cell>
          <cell r="AD482" t="str">
            <v>No</v>
          </cell>
          <cell r="AE482" t="str">
            <v>MMIS</v>
          </cell>
          <cell r="AF482" t="str">
            <v>nyspi</v>
          </cell>
          <cell r="AG482" t="str">
            <v>P</v>
          </cell>
        </row>
        <row r="483">
          <cell r="A483" t="str">
            <v>1093944183</v>
          </cell>
          <cell r="B483" t="str">
            <v>03223489</v>
          </cell>
          <cell r="C483" t="str">
            <v>JOSEPH, KOCHURANI S</v>
          </cell>
          <cell r="D483" t="str">
            <v>E0307050</v>
          </cell>
          <cell r="E483" t="str">
            <v>JOSEPH KOCHURANI</v>
          </cell>
          <cell r="G483" t="str">
            <v>Kathryn Spaziani</v>
          </cell>
          <cell r="H483" t="str">
            <v>(212) 305-1190</v>
          </cell>
          <cell r="J483" t="str">
            <v>kas9171@nyp.org</v>
          </cell>
          <cell r="L483" t="str">
            <v>All Other:: Practitioner - Primary Care Provider (PCP)</v>
          </cell>
          <cell r="M483" t="str">
            <v>Yes</v>
          </cell>
          <cell r="R483" t="str">
            <v>JOSEPH KOCHURANI MRS.</v>
          </cell>
          <cell r="W483" t="str">
            <v>JOSEPH KOCHURANI S</v>
          </cell>
          <cell r="X483" t="str">
            <v>622 W 168TH ST FL 2</v>
          </cell>
          <cell r="Y483" t="str">
            <v>NEW YORK</v>
          </cell>
          <cell r="Z483" t="str">
            <v>NY</v>
          </cell>
          <cell r="AA483" t="str">
            <v>10032-3720</v>
          </cell>
          <cell r="AB483" t="str">
            <v>PHYSICIAN</v>
          </cell>
          <cell r="AC483" t="str">
            <v>M</v>
          </cell>
          <cell r="AD483" t="str">
            <v>No</v>
          </cell>
          <cell r="AE483" t="str">
            <v>MMIS</v>
          </cell>
          <cell r="AF483" t="str">
            <v>nypwestacn</v>
          </cell>
          <cell r="AG483" t="str">
            <v>P</v>
          </cell>
        </row>
        <row r="484">
          <cell r="A484" t="str">
            <v>1497028419</v>
          </cell>
          <cell r="B484" t="str">
            <v>03433589</v>
          </cell>
          <cell r="C484" t="str">
            <v>SPINELLI, JENNA E</v>
          </cell>
          <cell r="D484" t="str">
            <v>E0331866</v>
          </cell>
          <cell r="E484" t="str">
            <v>SPINELLI JENNA ELIZABETH</v>
          </cell>
          <cell r="G484" t="str">
            <v>Kathryn Spaziani</v>
          </cell>
          <cell r="H484" t="str">
            <v>(212) 305-1190</v>
          </cell>
          <cell r="J484" t="str">
            <v>kas9171@nyp.org</v>
          </cell>
          <cell r="L484" t="str">
            <v>All Other:: Practitioner - Primary Care Provider (PCP)</v>
          </cell>
          <cell r="M484" t="str">
            <v>No</v>
          </cell>
          <cell r="R484" t="str">
            <v>SPINELLI JENNA</v>
          </cell>
          <cell r="W484" t="str">
            <v>SPINELLI JENNA ELIZABETH</v>
          </cell>
          <cell r="X484" t="str">
            <v>505 E 70TH ST</v>
          </cell>
          <cell r="Y484" t="str">
            <v>NEW YORK</v>
          </cell>
          <cell r="Z484" t="str">
            <v>NY</v>
          </cell>
          <cell r="AA484" t="str">
            <v>10021-4872</v>
          </cell>
          <cell r="AB484" t="str">
            <v>PHYSICIAN</v>
          </cell>
          <cell r="AC484" t="str">
            <v>M</v>
          </cell>
          <cell r="AD484" t="str">
            <v>No</v>
          </cell>
          <cell r="AE484" t="str">
            <v>MMIS</v>
          </cell>
          <cell r="AF484" t="str">
            <v>nypeastcampus</v>
          </cell>
          <cell r="AG484" t="str">
            <v>P</v>
          </cell>
        </row>
        <row r="485">
          <cell r="A485" t="str">
            <v>1114160223</v>
          </cell>
          <cell r="B485" t="str">
            <v>03923755</v>
          </cell>
          <cell r="C485" t="str">
            <v xml:space="preserve">SPALDING, COLLETTE </v>
          </cell>
          <cell r="D485" t="str">
            <v>E0383543</v>
          </cell>
          <cell r="E485" t="str">
            <v>SPALDING COLLETTE</v>
          </cell>
          <cell r="G485" t="str">
            <v>Kathryn Spaziani</v>
          </cell>
          <cell r="H485" t="str">
            <v>(212) 305-1190</v>
          </cell>
          <cell r="J485" t="str">
            <v>kas9171@nyp.org</v>
          </cell>
          <cell r="L485" t="str">
            <v>Practitioner - Non-Primary Care Provider (PCP)</v>
          </cell>
          <cell r="M485" t="str">
            <v>No</v>
          </cell>
          <cell r="R485" t="str">
            <v>SPALDING COLLETTE</v>
          </cell>
          <cell r="W485" t="str">
            <v>SPALDING COLLETTE</v>
          </cell>
          <cell r="X485" t="str">
            <v>3959 BROADWAY</v>
          </cell>
          <cell r="Y485" t="str">
            <v>NEW YORK</v>
          </cell>
          <cell r="Z485" t="str">
            <v>NY</v>
          </cell>
          <cell r="AA485" t="str">
            <v>10032-1559</v>
          </cell>
          <cell r="AB485" t="str">
            <v>PHYSICIAN</v>
          </cell>
          <cell r="AC485" t="str">
            <v>M</v>
          </cell>
          <cell r="AD485" t="str">
            <v>No</v>
          </cell>
          <cell r="AE485" t="str">
            <v>MMIS</v>
          </cell>
          <cell r="AF485" t="str">
            <v>nypwestcampus</v>
          </cell>
          <cell r="AG485" t="str">
            <v>P</v>
          </cell>
        </row>
        <row r="486">
          <cell r="A486" t="str">
            <v>1609164078</v>
          </cell>
          <cell r="B486" t="str">
            <v>03624944</v>
          </cell>
          <cell r="C486" t="str">
            <v>Serra, Theresa</v>
          </cell>
          <cell r="D486" t="str">
            <v>E0352752</v>
          </cell>
          <cell r="E486" t="str">
            <v>SERRA THERESA MARIE</v>
          </cell>
          <cell r="G486" t="str">
            <v>Kathryn Spaziani</v>
          </cell>
          <cell r="H486" t="str">
            <v>(212) 305-1190</v>
          </cell>
          <cell r="J486" t="str">
            <v>kas9171@nyp.org</v>
          </cell>
          <cell r="L486" t="str">
            <v>Practitioner - Non-Primary Care Provider (PCP)</v>
          </cell>
          <cell r="M486" t="str">
            <v>No</v>
          </cell>
          <cell r="R486" t="str">
            <v>SERRA THERESA DR.</v>
          </cell>
          <cell r="W486" t="str">
            <v>SERRA THERESA MARIE</v>
          </cell>
          <cell r="X486" t="str">
            <v>3415 BAINSBRIDGE AVENUE</v>
          </cell>
          <cell r="Y486" t="str">
            <v>BRONX</v>
          </cell>
          <cell r="Z486" t="str">
            <v>NY</v>
          </cell>
          <cell r="AA486" t="str">
            <v>10467-0000</v>
          </cell>
          <cell r="AB486" t="str">
            <v>PHYSICIAN</v>
          </cell>
          <cell r="AC486" t="str">
            <v>M</v>
          </cell>
          <cell r="AD486" t="str">
            <v>No</v>
          </cell>
          <cell r="AE486" t="str">
            <v>MMIS</v>
          </cell>
          <cell r="AF486" t="str">
            <v>nypeastacn</v>
          </cell>
          <cell r="AG486" t="str">
            <v>P</v>
          </cell>
        </row>
        <row r="487">
          <cell r="A487" t="str">
            <v>1801123013</v>
          </cell>
          <cell r="B487" t="str">
            <v>03347486</v>
          </cell>
          <cell r="C487" t="str">
            <v xml:space="preserve">HOFFMAN, LIORA </v>
          </cell>
          <cell r="D487" t="str">
            <v>E0321125</v>
          </cell>
          <cell r="E487" t="str">
            <v>HOFFMAN LIORA</v>
          </cell>
          <cell r="G487" t="str">
            <v>Kathryn Spaziani</v>
          </cell>
          <cell r="H487" t="str">
            <v>(212) 305-1190</v>
          </cell>
          <cell r="J487" t="str">
            <v>kas9171@nyp.org</v>
          </cell>
          <cell r="L487" t="str">
            <v>Practitioner - Non-Primary Care Provider (PCP)</v>
          </cell>
          <cell r="M487" t="str">
            <v>No</v>
          </cell>
          <cell r="R487" t="str">
            <v>HOFFMAN LIORA DR.</v>
          </cell>
          <cell r="W487" t="str">
            <v>HOFFMAN LIORA</v>
          </cell>
          <cell r="X487" t="str">
            <v>3959 BROADWAY FL 6 # N</v>
          </cell>
          <cell r="Y487" t="str">
            <v>NEW YORK</v>
          </cell>
          <cell r="Z487" t="str">
            <v>NY</v>
          </cell>
          <cell r="AA487" t="str">
            <v>10032-1559</v>
          </cell>
          <cell r="AB487" t="str">
            <v>CLINICAL PSYCHOLOGIST</v>
          </cell>
          <cell r="AC487" t="str">
            <v>M</v>
          </cell>
          <cell r="AD487" t="str">
            <v>No</v>
          </cell>
          <cell r="AE487" t="str">
            <v>MMIS</v>
          </cell>
          <cell r="AF487" t="str">
            <v>nypwestacn</v>
          </cell>
          <cell r="AG487" t="str">
            <v>P</v>
          </cell>
        </row>
        <row r="488">
          <cell r="A488" t="str">
            <v>1801813621</v>
          </cell>
          <cell r="B488" t="str">
            <v>02023132</v>
          </cell>
          <cell r="C488" t="str">
            <v>LEVIT, EYAL K</v>
          </cell>
          <cell r="D488" t="str">
            <v>E0097749</v>
          </cell>
          <cell r="E488" t="str">
            <v>LEVIT EYAL KONSTANTIN MD</v>
          </cell>
          <cell r="G488" t="str">
            <v>Kathryn Spaziani</v>
          </cell>
          <cell r="H488" t="str">
            <v>(212) 305-1190</v>
          </cell>
          <cell r="J488" t="str">
            <v>kas9171@nyp.org</v>
          </cell>
          <cell r="L488" t="str">
            <v>All Other:: Practitioner - Non-Primary Care Provider (PCP)</v>
          </cell>
          <cell r="M488" t="str">
            <v>Yes</v>
          </cell>
          <cell r="R488" t="str">
            <v>LEVIT EYAL</v>
          </cell>
          <cell r="W488" t="str">
            <v>LEVIT EYAL KONSTANTIN MD</v>
          </cell>
          <cell r="AB488" t="str">
            <v>PHYSICIAN</v>
          </cell>
          <cell r="AC488" t="str">
            <v>M</v>
          </cell>
          <cell r="AD488" t="str">
            <v>No</v>
          </cell>
          <cell r="AE488" t="str">
            <v>MMIS</v>
          </cell>
          <cell r="AF488" t="str">
            <v>nypwestcampus</v>
          </cell>
          <cell r="AG488" t="str">
            <v>P</v>
          </cell>
        </row>
        <row r="489">
          <cell r="A489" t="str">
            <v>1801822622</v>
          </cell>
          <cell r="B489" t="str">
            <v>02768876</v>
          </cell>
          <cell r="C489" t="str">
            <v>VERNA, ELIZABETH C</v>
          </cell>
          <cell r="D489" t="str">
            <v>E0023305</v>
          </cell>
          <cell r="E489" t="str">
            <v>VERNA ELIZABETH C. MD</v>
          </cell>
          <cell r="G489" t="str">
            <v>Kathryn Spaziani</v>
          </cell>
          <cell r="H489" t="str">
            <v>(212) 305-1190</v>
          </cell>
          <cell r="J489" t="str">
            <v>kas9171@nyp.org</v>
          </cell>
          <cell r="L489" t="str">
            <v>All Other:: Practitioner - Non-Primary Care Provider (PCP)</v>
          </cell>
          <cell r="M489" t="str">
            <v>No</v>
          </cell>
          <cell r="R489" t="str">
            <v>VERNA ELIZABETH DR.</v>
          </cell>
          <cell r="W489" t="str">
            <v>VERNA ELIZABETH C. MD</v>
          </cell>
          <cell r="X489" t="str">
            <v>622 W 168TH ST PH 14-C</v>
          </cell>
          <cell r="Y489" t="str">
            <v>NEW YORK</v>
          </cell>
          <cell r="Z489" t="str">
            <v>NY</v>
          </cell>
          <cell r="AA489" t="str">
            <v>10032-3720</v>
          </cell>
          <cell r="AB489" t="str">
            <v>PHYSICIAN</v>
          </cell>
          <cell r="AC489" t="str">
            <v>M</v>
          </cell>
          <cell r="AD489" t="str">
            <v>No</v>
          </cell>
          <cell r="AE489" t="str">
            <v>MMIS</v>
          </cell>
          <cell r="AF489" t="str">
            <v>nypwestcampus</v>
          </cell>
          <cell r="AG489" t="str">
            <v>P</v>
          </cell>
        </row>
        <row r="490">
          <cell r="A490" t="str">
            <v>1215055231</v>
          </cell>
          <cell r="B490" t="str">
            <v>02021034</v>
          </cell>
          <cell r="C490" t="str">
            <v>Tiscornia-Wasserman Patricia</v>
          </cell>
          <cell r="D490" t="str">
            <v>E0097959</v>
          </cell>
          <cell r="E490" t="str">
            <v>TISCORNIA-WASSERMAN PATRICIA</v>
          </cell>
          <cell r="G490" t="str">
            <v>Kathryn Spaziani</v>
          </cell>
          <cell r="H490" t="str">
            <v>(212) 305-1197</v>
          </cell>
          <cell r="J490" t="str">
            <v>kas9171@nyp.org</v>
          </cell>
          <cell r="L490" t="str">
            <v>All Other:: Practitioner - Non-Primary Care Provider (PCP)</v>
          </cell>
          <cell r="M490" t="str">
            <v>No</v>
          </cell>
          <cell r="R490" t="str">
            <v>TISCORNIA-WASSERMAN PATRICIA DR.</v>
          </cell>
          <cell r="W490" t="str">
            <v>TISCORNIA WASSERMAN PATRICIA G MD</v>
          </cell>
          <cell r="X490" t="str">
            <v>27005 76TH AVE</v>
          </cell>
          <cell r="Y490" t="str">
            <v>NEW HYDE PARK</v>
          </cell>
          <cell r="Z490" t="str">
            <v>NY</v>
          </cell>
          <cell r="AA490" t="str">
            <v>11040-1402</v>
          </cell>
          <cell r="AB490" t="str">
            <v>PHYSICIAN</v>
          </cell>
          <cell r="AC490" t="str">
            <v>M</v>
          </cell>
          <cell r="AD490" t="str">
            <v>No</v>
          </cell>
          <cell r="AE490" t="str">
            <v>MMIS</v>
          </cell>
          <cell r="AF490" t="str">
            <v>nypwestcampus</v>
          </cell>
          <cell r="AG490" t="str">
            <v>P</v>
          </cell>
        </row>
        <row r="491">
          <cell r="A491" t="str">
            <v>1952430498</v>
          </cell>
          <cell r="B491" t="str">
            <v>02862797</v>
          </cell>
          <cell r="C491" t="str">
            <v>Faust Phyllis</v>
          </cell>
          <cell r="D491" t="str">
            <v>E0013919</v>
          </cell>
          <cell r="E491" t="str">
            <v>FAUST PHYLLIS</v>
          </cell>
          <cell r="L491" t="str">
            <v>All Other:: Practitioner - Non-Primary Care Provider (PCP)</v>
          </cell>
          <cell r="M491" t="str">
            <v>No</v>
          </cell>
          <cell r="R491" t="str">
            <v>FAUST PHYLLIS</v>
          </cell>
          <cell r="W491" t="str">
            <v>FAUST PHYLLIS</v>
          </cell>
          <cell r="X491" t="str">
            <v>630 W 168TH ST STE P</v>
          </cell>
          <cell r="Y491" t="str">
            <v>NEW YORK</v>
          </cell>
          <cell r="Z491" t="str">
            <v>NY</v>
          </cell>
          <cell r="AA491" t="str">
            <v>10032-3725</v>
          </cell>
          <cell r="AB491" t="str">
            <v>PHYSICIAN</v>
          </cell>
          <cell r="AC491" t="str">
            <v>M</v>
          </cell>
          <cell r="AD491" t="str">
            <v>No</v>
          </cell>
          <cell r="AE491" t="str">
            <v>MMIS</v>
          </cell>
          <cell r="AF491" t="str">
            <v>nypwestcampus</v>
          </cell>
          <cell r="AG491" t="str">
            <v>P</v>
          </cell>
        </row>
        <row r="492">
          <cell r="A492" t="str">
            <v>1811024169</v>
          </cell>
          <cell r="B492" t="str">
            <v>01811187</v>
          </cell>
          <cell r="C492" t="str">
            <v>Goldman James</v>
          </cell>
          <cell r="D492" t="str">
            <v>E0118919</v>
          </cell>
          <cell r="E492" t="str">
            <v>GOLDMAN JAMES E</v>
          </cell>
          <cell r="L492" t="str">
            <v>All Other:: Practitioner - Non-Primary Care Provider (PCP)</v>
          </cell>
          <cell r="M492" t="str">
            <v>No</v>
          </cell>
          <cell r="R492" t="str">
            <v>GOLDMAN JAMES</v>
          </cell>
          <cell r="W492" t="str">
            <v>GOLDMAN JAMES E</v>
          </cell>
          <cell r="X492" t="str">
            <v>GOLDMAN JAMES E</v>
          </cell>
          <cell r="Y492" t="str">
            <v>NEW YORK</v>
          </cell>
          <cell r="Z492" t="str">
            <v>NY</v>
          </cell>
          <cell r="AA492" t="str">
            <v>10032-3720</v>
          </cell>
          <cell r="AB492" t="str">
            <v>PHYSICIAN</v>
          </cell>
          <cell r="AC492" t="str">
            <v>M</v>
          </cell>
          <cell r="AD492" t="str">
            <v>No</v>
          </cell>
          <cell r="AE492" t="str">
            <v>MMIS</v>
          </cell>
          <cell r="AF492" t="str">
            <v>nypwestcampus</v>
          </cell>
          <cell r="AG492" t="str">
            <v>P</v>
          </cell>
        </row>
        <row r="493">
          <cell r="A493" t="str">
            <v>1851581219</v>
          </cell>
          <cell r="B493" t="str">
            <v>02967182</v>
          </cell>
          <cell r="C493" t="str">
            <v>ATKESON, AMY D</v>
          </cell>
          <cell r="D493" t="str">
            <v>E0005084</v>
          </cell>
          <cell r="E493" t="str">
            <v>AMY DUDENHOEFER ATKESON</v>
          </cell>
          <cell r="G493" t="str">
            <v>Kathryn Spaziani</v>
          </cell>
          <cell r="H493" t="str">
            <v>(212) 305-1190</v>
          </cell>
          <cell r="J493" t="str">
            <v>kas9171@nyp.org</v>
          </cell>
          <cell r="L493" t="str">
            <v>Practitioner - Non-Primary Care Provider (PCP)</v>
          </cell>
          <cell r="M493" t="str">
            <v>Yes</v>
          </cell>
          <cell r="R493" t="str">
            <v>ATKESON AMY DR.</v>
          </cell>
          <cell r="W493" t="str">
            <v>ATKESON AMY DUDENHOEFER MD</v>
          </cell>
          <cell r="X493" t="str">
            <v>622 W 168TH ST</v>
          </cell>
          <cell r="Y493" t="str">
            <v>NEW YORK</v>
          </cell>
          <cell r="Z493" t="str">
            <v>NY</v>
          </cell>
          <cell r="AA493" t="str">
            <v>10032-3720</v>
          </cell>
          <cell r="AB493" t="str">
            <v>PHYSICIAN</v>
          </cell>
          <cell r="AC493" t="str">
            <v>M</v>
          </cell>
          <cell r="AD493" t="str">
            <v>No</v>
          </cell>
          <cell r="AE493" t="str">
            <v>MMIS</v>
          </cell>
          <cell r="AF493" t="str">
            <v>nypwestacn</v>
          </cell>
          <cell r="AG493" t="str">
            <v>P</v>
          </cell>
        </row>
        <row r="494">
          <cell r="A494" t="str">
            <v>1861464679</v>
          </cell>
          <cell r="B494" t="str">
            <v>02310290</v>
          </cell>
          <cell r="C494" t="str">
            <v xml:space="preserve">MELMAN, DOUGLAS </v>
          </cell>
          <cell r="D494" t="str">
            <v>E0069072</v>
          </cell>
          <cell r="E494" t="str">
            <v>MELMAN DOUGLAS J MD</v>
          </cell>
          <cell r="G494" t="str">
            <v>Kathryn Spaziani</v>
          </cell>
          <cell r="H494" t="str">
            <v>(212) 305-1190</v>
          </cell>
          <cell r="J494" t="str">
            <v>kas9171@nyp.org</v>
          </cell>
          <cell r="L494" t="str">
            <v>Practitioner - Non-Primary Care Provider (PCP)</v>
          </cell>
          <cell r="M494" t="str">
            <v>No</v>
          </cell>
          <cell r="R494" t="str">
            <v>MELMAN DOUGLAS</v>
          </cell>
          <cell r="W494" t="str">
            <v>MELMAN DOUGLAS J MD</v>
          </cell>
          <cell r="X494" t="str">
            <v>1901 1ST AVE</v>
          </cell>
          <cell r="Y494" t="str">
            <v>NEW YORK</v>
          </cell>
          <cell r="Z494" t="str">
            <v>NY</v>
          </cell>
          <cell r="AA494" t="str">
            <v>10029-7404</v>
          </cell>
          <cell r="AB494" t="str">
            <v>PHYSICIAN</v>
          </cell>
          <cell r="AC494" t="str">
            <v>M</v>
          </cell>
          <cell r="AD494" t="str">
            <v>No</v>
          </cell>
          <cell r="AE494" t="str">
            <v>MMIS</v>
          </cell>
          <cell r="AF494" t="str">
            <v>nypwestcampus</v>
          </cell>
          <cell r="AG494" t="str">
            <v>P</v>
          </cell>
        </row>
        <row r="495">
          <cell r="A495" t="str">
            <v>1851710586</v>
          </cell>
          <cell r="C495" t="str">
            <v>Ginsberg Nicole</v>
          </cell>
          <cell r="G495" t="str">
            <v>Kathryn Spaziani</v>
          </cell>
          <cell r="H495" t="str">
            <v>(212) 305-1255</v>
          </cell>
          <cell r="J495" t="str">
            <v>kas9171@nyp.org</v>
          </cell>
          <cell r="K495" t="str">
            <v>Physician</v>
          </cell>
          <cell r="L495" t="str">
            <v>Uncategorized</v>
          </cell>
          <cell r="M495" t="str">
            <v>No</v>
          </cell>
          <cell r="R495" t="str">
            <v>GINSBERG NICOLE</v>
          </cell>
          <cell r="S495" t="str">
            <v>525 E 68TH ST, BOX 124</v>
          </cell>
          <cell r="T495" t="str">
            <v>NEW YORK</v>
          </cell>
          <cell r="U495" t="str">
            <v>NY</v>
          </cell>
          <cell r="V495" t="str">
            <v>100654870</v>
          </cell>
          <cell r="AC495" t="str">
            <v>M</v>
          </cell>
          <cell r="AD495" t="str">
            <v>No</v>
          </cell>
          <cell r="AE495" t="str">
            <v>NPI only</v>
          </cell>
          <cell r="AF495" t="str">
            <v>nypeastcampus</v>
          </cell>
          <cell r="AG495" t="str">
            <v>P</v>
          </cell>
        </row>
        <row r="496">
          <cell r="A496" t="str">
            <v>1295027837</v>
          </cell>
          <cell r="C496" t="str">
            <v>Grivoyannis Anastasia</v>
          </cell>
          <cell r="G496" t="str">
            <v>Kathryn Spaziani</v>
          </cell>
          <cell r="H496" t="str">
            <v>(212) 305-1255</v>
          </cell>
          <cell r="J496" t="str">
            <v>kas9171@nyp.org</v>
          </cell>
          <cell r="K496" t="str">
            <v>Physician</v>
          </cell>
          <cell r="L496" t="str">
            <v>Uncategorized</v>
          </cell>
          <cell r="M496" t="str">
            <v>No</v>
          </cell>
          <cell r="R496" t="str">
            <v>GRIVOYANNIS ANASTASIA DR.</v>
          </cell>
          <cell r="S496" t="str">
            <v>325 9TH AVE # MS 359, UW EMERGENCY MEDICINE RESIDENCY</v>
          </cell>
          <cell r="T496" t="str">
            <v>SEATTLE</v>
          </cell>
          <cell r="U496" t="str">
            <v>WA</v>
          </cell>
          <cell r="V496" t="str">
            <v>981042420</v>
          </cell>
          <cell r="AC496" t="str">
            <v>M</v>
          </cell>
          <cell r="AD496" t="str">
            <v>No</v>
          </cell>
          <cell r="AE496" t="str">
            <v>NPI only</v>
          </cell>
          <cell r="AF496" t="str">
            <v>nypeastcampus</v>
          </cell>
          <cell r="AG496" t="str">
            <v>P</v>
          </cell>
        </row>
        <row r="497">
          <cell r="A497" t="str">
            <v>1659534097</v>
          </cell>
          <cell r="B497" t="str">
            <v>03375142</v>
          </cell>
          <cell r="C497" t="str">
            <v>FEUER, NAOMI T</v>
          </cell>
          <cell r="D497" t="str">
            <v>E0324444</v>
          </cell>
          <cell r="E497" t="str">
            <v>FEUER NAOMI</v>
          </cell>
          <cell r="G497" t="str">
            <v>Kathryn Spaziani</v>
          </cell>
          <cell r="H497" t="str">
            <v>(212) 305-1190</v>
          </cell>
          <cell r="J497" t="str">
            <v>kas9171@nyp.org</v>
          </cell>
          <cell r="L497" t="str">
            <v>All Other:: Practitioner - Non-Primary Care Provider (PCP)</v>
          </cell>
          <cell r="M497" t="str">
            <v>No</v>
          </cell>
          <cell r="R497" t="str">
            <v>FEUER NAOMI</v>
          </cell>
          <cell r="W497" t="str">
            <v>FEUER NAOMI</v>
          </cell>
          <cell r="X497" t="str">
            <v>525 E 68TH ST</v>
          </cell>
          <cell r="Y497" t="str">
            <v>NEW YORK</v>
          </cell>
          <cell r="Z497" t="str">
            <v>NY</v>
          </cell>
          <cell r="AA497" t="str">
            <v>10065-4870</v>
          </cell>
          <cell r="AB497" t="str">
            <v>PHYSICIAN</v>
          </cell>
          <cell r="AC497" t="str">
            <v>M</v>
          </cell>
          <cell r="AD497" t="str">
            <v>No</v>
          </cell>
          <cell r="AE497" t="str">
            <v>MMIS</v>
          </cell>
          <cell r="AF497" t="str">
            <v>nypeastacn</v>
          </cell>
          <cell r="AG497" t="str">
            <v>P</v>
          </cell>
        </row>
        <row r="498">
          <cell r="A498" t="str">
            <v>1598063729</v>
          </cell>
          <cell r="B498" t="str">
            <v>03333979</v>
          </cell>
          <cell r="C498" t="str">
            <v>SANTOS, RYAN M</v>
          </cell>
          <cell r="D498" t="str">
            <v>E0319628</v>
          </cell>
          <cell r="E498" t="str">
            <v>SANTOS RYAN JEROME</v>
          </cell>
          <cell r="G498" t="str">
            <v>Kathryn Spaziani</v>
          </cell>
          <cell r="H498" t="str">
            <v>(212) 305-1190</v>
          </cell>
          <cell r="J498" t="str">
            <v>kas9171@nyp.org</v>
          </cell>
          <cell r="L498" t="str">
            <v>Practitioner - Primary Care Provider (PCP)</v>
          </cell>
          <cell r="M498" t="str">
            <v>No</v>
          </cell>
          <cell r="R498" t="str">
            <v>SANTOS RYAN</v>
          </cell>
          <cell r="W498" t="str">
            <v>SANTOS RYAN JEROME</v>
          </cell>
          <cell r="X498" t="str">
            <v>505 E 70TH ST</v>
          </cell>
          <cell r="Y498" t="str">
            <v>NEW YORK</v>
          </cell>
          <cell r="Z498" t="str">
            <v>NY</v>
          </cell>
          <cell r="AA498" t="str">
            <v>10021-4872</v>
          </cell>
          <cell r="AB498" t="str">
            <v>PHYSICIAN</v>
          </cell>
          <cell r="AC498" t="str">
            <v>M</v>
          </cell>
          <cell r="AD498" t="str">
            <v>No</v>
          </cell>
          <cell r="AE498" t="str">
            <v>MMIS</v>
          </cell>
          <cell r="AF498" t="str">
            <v>nypeastcampus</v>
          </cell>
          <cell r="AG498" t="str">
            <v>P</v>
          </cell>
        </row>
        <row r="499">
          <cell r="A499" t="str">
            <v>1821258823</v>
          </cell>
          <cell r="B499" t="str">
            <v>03468531</v>
          </cell>
          <cell r="C499" t="str">
            <v>SACCO, DANA L</v>
          </cell>
          <cell r="D499" t="str">
            <v>E0336102</v>
          </cell>
          <cell r="E499" t="str">
            <v>SACCO DANA L</v>
          </cell>
          <cell r="G499" t="str">
            <v>Kathryn Spaziani</v>
          </cell>
          <cell r="H499" t="str">
            <v>(212) 305-1190</v>
          </cell>
          <cell r="J499" t="str">
            <v>kas9171@nyp.org</v>
          </cell>
          <cell r="L499" t="str">
            <v>Practitioner - Non-Primary Care Provider (PCP)</v>
          </cell>
          <cell r="M499" t="str">
            <v>No</v>
          </cell>
          <cell r="R499" t="str">
            <v>SACCO DANA</v>
          </cell>
          <cell r="W499" t="str">
            <v>SACCO DANA L</v>
          </cell>
          <cell r="X499" t="str">
            <v>622 W 168TH ST</v>
          </cell>
          <cell r="Y499" t="str">
            <v>NEW YORK</v>
          </cell>
          <cell r="Z499" t="str">
            <v>NY</v>
          </cell>
          <cell r="AA499" t="str">
            <v>10032-3720</v>
          </cell>
          <cell r="AB499" t="str">
            <v>PHYSICIAN</v>
          </cell>
          <cell r="AC499" t="str">
            <v>M</v>
          </cell>
          <cell r="AD499" t="str">
            <v>No</v>
          </cell>
          <cell r="AE499" t="str">
            <v>MMIS</v>
          </cell>
          <cell r="AF499" t="str">
            <v>nypwestcampus</v>
          </cell>
          <cell r="AG499" t="str">
            <v>P</v>
          </cell>
        </row>
        <row r="500">
          <cell r="A500" t="str">
            <v>1831131358</v>
          </cell>
          <cell r="B500" t="str">
            <v>00429983</v>
          </cell>
          <cell r="C500" t="str">
            <v>KLYDE, BARRY J</v>
          </cell>
          <cell r="D500" t="str">
            <v>E0256274</v>
          </cell>
          <cell r="E500" t="str">
            <v>KLYDE BARRY J              MD</v>
          </cell>
          <cell r="G500" t="str">
            <v>Kathryn Spaziani</v>
          </cell>
          <cell r="H500" t="str">
            <v>(212) 305-1190</v>
          </cell>
          <cell r="J500" t="str">
            <v>kas9171@nyp.org</v>
          </cell>
          <cell r="L500" t="str">
            <v>Practitioner - Non-Primary Care Provider (PCP)</v>
          </cell>
          <cell r="M500" t="str">
            <v>No</v>
          </cell>
          <cell r="R500" t="str">
            <v>KLYDE BARRY</v>
          </cell>
          <cell r="W500" t="str">
            <v>KLYDE BARRY J              MD</v>
          </cell>
          <cell r="X500" t="str">
            <v>520 E 72ND ST</v>
          </cell>
          <cell r="Y500" t="str">
            <v>NEW YORK</v>
          </cell>
          <cell r="Z500" t="str">
            <v>NY</v>
          </cell>
          <cell r="AA500" t="str">
            <v>10021-4849</v>
          </cell>
          <cell r="AB500" t="str">
            <v>PHYSICIAN</v>
          </cell>
          <cell r="AC500" t="str">
            <v>M</v>
          </cell>
          <cell r="AD500" t="str">
            <v>No</v>
          </cell>
          <cell r="AE500" t="str">
            <v>MMIS</v>
          </cell>
          <cell r="AF500" t="str">
            <v>nypeastacn</v>
          </cell>
          <cell r="AG500" t="str">
            <v>P</v>
          </cell>
        </row>
        <row r="501">
          <cell r="A501" t="str">
            <v>1831135276</v>
          </cell>
          <cell r="B501" t="str">
            <v>02756614</v>
          </cell>
          <cell r="C501" t="str">
            <v>Yohay, Kaleb H.</v>
          </cell>
          <cell r="D501" t="str">
            <v>E0024530</v>
          </cell>
          <cell r="E501" t="str">
            <v>YOHAY KALEB H MD</v>
          </cell>
          <cell r="G501" t="str">
            <v>Kathryn Spaziani</v>
          </cell>
          <cell r="H501" t="str">
            <v>(212) 305-1190</v>
          </cell>
          <cell r="J501" t="str">
            <v>kas9171@nyp.org</v>
          </cell>
          <cell r="L501" t="str">
            <v>All Other:: Practitioner - Non-Primary Care Provider (PCP)</v>
          </cell>
          <cell r="M501" t="str">
            <v>No</v>
          </cell>
          <cell r="R501" t="str">
            <v>YOHAY KALEB</v>
          </cell>
          <cell r="W501" t="str">
            <v>YOHAY KALEB H MD</v>
          </cell>
          <cell r="X501" t="str">
            <v>525 E 68TH ST</v>
          </cell>
          <cell r="Y501" t="str">
            <v>NEW YORK</v>
          </cell>
          <cell r="Z501" t="str">
            <v>NY</v>
          </cell>
          <cell r="AA501" t="str">
            <v>10065-4870</v>
          </cell>
          <cell r="AB501" t="str">
            <v>PHYSICIAN</v>
          </cell>
          <cell r="AC501" t="str">
            <v>M</v>
          </cell>
          <cell r="AD501" t="str">
            <v>No</v>
          </cell>
          <cell r="AE501" t="str">
            <v>MMIS</v>
          </cell>
          <cell r="AF501" t="str">
            <v>nypwestacn</v>
          </cell>
          <cell r="AG501" t="str">
            <v>P</v>
          </cell>
        </row>
        <row r="502">
          <cell r="A502" t="str">
            <v>1831170976</v>
          </cell>
          <cell r="B502" t="str">
            <v>02374918</v>
          </cell>
          <cell r="C502" t="str">
            <v>Abraham, Seena</v>
          </cell>
          <cell r="D502" t="str">
            <v>E0062619</v>
          </cell>
          <cell r="E502" t="str">
            <v>ABRAHAM SEENA SHIBU</v>
          </cell>
          <cell r="G502" t="str">
            <v>Kathryn Spaziani</v>
          </cell>
          <cell r="H502" t="str">
            <v>(212) 305-1190</v>
          </cell>
          <cell r="J502" t="str">
            <v>kas9171@nyp.org</v>
          </cell>
          <cell r="L502" t="str">
            <v>All Other:: Practitioner - Non-Primary Care Provider (PCP)</v>
          </cell>
          <cell r="M502" t="str">
            <v>No</v>
          </cell>
          <cell r="R502" t="str">
            <v>ABRAHAM SEENA DR.</v>
          </cell>
          <cell r="W502" t="str">
            <v>ABRAHAM SEENA SHIBU MD</v>
          </cell>
          <cell r="X502" t="str">
            <v>525 E 68TH ST RM F-695B</v>
          </cell>
          <cell r="Y502" t="str">
            <v>NEW YORK</v>
          </cell>
          <cell r="Z502" t="str">
            <v>NY</v>
          </cell>
          <cell r="AA502" t="str">
            <v>10065-4870</v>
          </cell>
          <cell r="AB502" t="str">
            <v>PHYSICIAN</v>
          </cell>
          <cell r="AC502" t="str">
            <v>M</v>
          </cell>
          <cell r="AD502" t="str">
            <v>No</v>
          </cell>
          <cell r="AE502" t="str">
            <v>MMIS</v>
          </cell>
          <cell r="AF502" t="str">
            <v>nypeastcampus</v>
          </cell>
          <cell r="AG502" t="str">
            <v>P</v>
          </cell>
        </row>
        <row r="503">
          <cell r="A503" t="str">
            <v>1477720126</v>
          </cell>
          <cell r="B503" t="str">
            <v>03784787</v>
          </cell>
          <cell r="C503" t="str">
            <v xml:space="preserve">MACGREGOR, JENNIFER </v>
          </cell>
          <cell r="D503" t="str">
            <v>E0369279</v>
          </cell>
          <cell r="E503" t="str">
            <v>MACGREGOR JENNIFER</v>
          </cell>
          <cell r="G503" t="str">
            <v>Kathryn Spaziani</v>
          </cell>
          <cell r="H503" t="str">
            <v>(212) 305-1190</v>
          </cell>
          <cell r="J503" t="str">
            <v>kas9171@nyp.org</v>
          </cell>
          <cell r="L503" t="str">
            <v>Uncategorized</v>
          </cell>
          <cell r="M503" t="str">
            <v>No</v>
          </cell>
          <cell r="R503" t="str">
            <v>MACGREGOR JENNIFER</v>
          </cell>
          <cell r="W503" t="str">
            <v>MACGREGOR JENNIFER</v>
          </cell>
          <cell r="X503" t="str">
            <v>161 FT WASHINGTN AVE</v>
          </cell>
          <cell r="Y503" t="str">
            <v>NEW YORK</v>
          </cell>
          <cell r="Z503" t="str">
            <v>NY</v>
          </cell>
          <cell r="AA503" t="str">
            <v>10032-3729</v>
          </cell>
          <cell r="AB503" t="str">
            <v>PHYSICIAN</v>
          </cell>
          <cell r="AC503" t="str">
            <v>M</v>
          </cell>
          <cell r="AD503" t="str">
            <v>No</v>
          </cell>
          <cell r="AE503" t="str">
            <v>MMIS</v>
          </cell>
          <cell r="AF503" t="str">
            <v>nypwestcampus</v>
          </cell>
          <cell r="AG503" t="str">
            <v>P</v>
          </cell>
        </row>
        <row r="504">
          <cell r="A504" t="str">
            <v>1053545566</v>
          </cell>
          <cell r="B504" t="str">
            <v>03919266</v>
          </cell>
          <cell r="C504" t="str">
            <v>ZERRATE, MARIA C</v>
          </cell>
          <cell r="D504" t="str">
            <v>E0383094</v>
          </cell>
          <cell r="E504" t="str">
            <v>ZERRATE MARIANNA</v>
          </cell>
          <cell r="G504" t="str">
            <v>Kathryn Spaziani</v>
          </cell>
          <cell r="H504" t="str">
            <v>(212) 305-1190</v>
          </cell>
          <cell r="J504" t="str">
            <v>kas9171@nyp.org</v>
          </cell>
          <cell r="L504" t="str">
            <v>Mental Health:: Practitioner - Non-Primary Care Provider (PCP)</v>
          </cell>
          <cell r="M504" t="str">
            <v>No</v>
          </cell>
          <cell r="R504" t="str">
            <v>ZERRATE MARIA</v>
          </cell>
          <cell r="W504" t="str">
            <v>ZERRATE MARIA CAROLINA</v>
          </cell>
          <cell r="X504" t="str">
            <v>3959 BROADWAY # B6N</v>
          </cell>
          <cell r="Y504" t="str">
            <v>NEW YORK</v>
          </cell>
          <cell r="Z504" t="str">
            <v>NY</v>
          </cell>
          <cell r="AA504" t="str">
            <v>10032-1559</v>
          </cell>
          <cell r="AB504" t="str">
            <v>PHYSICIAN</v>
          </cell>
          <cell r="AC504" t="str">
            <v>M</v>
          </cell>
          <cell r="AD504" t="str">
            <v>No</v>
          </cell>
          <cell r="AE504" t="str">
            <v>MMIS</v>
          </cell>
          <cell r="AF504" t="str">
            <v>nypwestcampus</v>
          </cell>
          <cell r="AG504" t="str">
            <v>P</v>
          </cell>
        </row>
        <row r="505">
          <cell r="A505" t="str">
            <v>1376855197</v>
          </cell>
          <cell r="C505" t="str">
            <v>Miller Zoe</v>
          </cell>
          <cell r="G505" t="str">
            <v>Kathryn Spaziani</v>
          </cell>
          <cell r="H505" t="str">
            <v>(212) 305-1255</v>
          </cell>
          <cell r="J505" t="str">
            <v>kas9171@nyp.org</v>
          </cell>
          <cell r="K505" t="str">
            <v>Physician</v>
          </cell>
          <cell r="L505" t="str">
            <v>Uncategorized</v>
          </cell>
          <cell r="M505" t="str">
            <v>No</v>
          </cell>
          <cell r="R505" t="str">
            <v>MILLER ZOE</v>
          </cell>
          <cell r="S505" t="str">
            <v>30 SHELBURNE RD, STAMFORD HOSPITAL-DEPT. OF MEDICINE</v>
          </cell>
          <cell r="T505" t="str">
            <v>STAMFORD</v>
          </cell>
          <cell r="U505" t="str">
            <v>CT</v>
          </cell>
          <cell r="V505" t="str">
            <v>069023628</v>
          </cell>
          <cell r="AC505" t="str">
            <v>M</v>
          </cell>
          <cell r="AD505" t="str">
            <v>No</v>
          </cell>
          <cell r="AE505" t="str">
            <v>NPI only</v>
          </cell>
          <cell r="AF505" t="str">
            <v>nypeastcampus</v>
          </cell>
          <cell r="AG505" t="str">
            <v>P</v>
          </cell>
        </row>
        <row r="506">
          <cell r="A506" t="str">
            <v>1992940860</v>
          </cell>
          <cell r="B506" t="str">
            <v>03866671</v>
          </cell>
          <cell r="C506" t="str">
            <v>KIMEL, ALEXANDRU F</v>
          </cell>
          <cell r="D506" t="str">
            <v>E0377676</v>
          </cell>
          <cell r="E506" t="str">
            <v>KIMEL ALEXANDRU FILIP</v>
          </cell>
          <cell r="G506" t="str">
            <v>Kathryn Spaziani</v>
          </cell>
          <cell r="H506" t="str">
            <v>(212) 305-1190</v>
          </cell>
          <cell r="J506" t="str">
            <v>kas9171@nyp.org</v>
          </cell>
          <cell r="L506" t="str">
            <v>Practitioner - Non-Primary Care Provider (PCP)</v>
          </cell>
          <cell r="M506" t="str">
            <v>No</v>
          </cell>
          <cell r="R506" t="str">
            <v>KIMEL ALEXANDRU</v>
          </cell>
          <cell r="W506" t="str">
            <v>KIMEL ALEXANDRU FILIP</v>
          </cell>
          <cell r="X506" t="str">
            <v>630 W 168TH ST # 4</v>
          </cell>
          <cell r="Y506" t="str">
            <v>NEW YORK</v>
          </cell>
          <cell r="Z506" t="str">
            <v>NY</v>
          </cell>
          <cell r="AA506" t="str">
            <v>10032-3725</v>
          </cell>
          <cell r="AB506" t="str">
            <v>PHYSICIAN</v>
          </cell>
          <cell r="AC506" t="str">
            <v>M</v>
          </cell>
          <cell r="AD506" t="str">
            <v>No</v>
          </cell>
          <cell r="AE506" t="str">
            <v>MMIS</v>
          </cell>
          <cell r="AF506" t="str">
            <v>nypwestcampus</v>
          </cell>
          <cell r="AG506" t="str">
            <v>P</v>
          </cell>
        </row>
        <row r="507">
          <cell r="A507" t="str">
            <v>1164413332</v>
          </cell>
          <cell r="B507" t="str">
            <v>03061516</v>
          </cell>
          <cell r="C507" t="str">
            <v>PONEROS, JOHN M</v>
          </cell>
          <cell r="D507" t="str">
            <v>E0288078</v>
          </cell>
          <cell r="E507" t="str">
            <v>JOHN M PONEROS MD</v>
          </cell>
          <cell r="G507" t="str">
            <v>Kathryn Spaziani</v>
          </cell>
          <cell r="H507" t="str">
            <v>(212) 305-1190</v>
          </cell>
          <cell r="J507" t="str">
            <v>kas9171@nyp.org</v>
          </cell>
          <cell r="L507" t="str">
            <v>All Other:: Practitioner - Non-Primary Care Provider (PCP)</v>
          </cell>
          <cell r="M507" t="str">
            <v>No</v>
          </cell>
          <cell r="R507" t="str">
            <v>PONEROS JOHN</v>
          </cell>
          <cell r="W507" t="str">
            <v>PONEROS JOHN M MD</v>
          </cell>
          <cell r="X507" t="str">
            <v>161 FORT WASHINGTON AVE</v>
          </cell>
          <cell r="Y507" t="str">
            <v>NEW YORK</v>
          </cell>
          <cell r="Z507" t="str">
            <v>NY</v>
          </cell>
          <cell r="AA507" t="str">
            <v>10032-3729</v>
          </cell>
          <cell r="AB507" t="str">
            <v>PHYSICIAN</v>
          </cell>
          <cell r="AC507" t="str">
            <v>M</v>
          </cell>
          <cell r="AD507" t="str">
            <v>No</v>
          </cell>
          <cell r="AE507" t="str">
            <v>MMIS</v>
          </cell>
          <cell r="AF507" t="str">
            <v>nypwestcampus</v>
          </cell>
          <cell r="AG507" t="str">
            <v>P</v>
          </cell>
        </row>
        <row r="508">
          <cell r="A508" t="str">
            <v>1831100882</v>
          </cell>
          <cell r="B508" t="str">
            <v>01829652</v>
          </cell>
          <cell r="C508" t="str">
            <v>WEILL MEDICAL COLLEGE OF CORNELL</v>
          </cell>
          <cell r="D508" t="str">
            <v>E0117075</v>
          </cell>
          <cell r="E508" t="str">
            <v>CORNELL UNIVERSITY MED CLGE</v>
          </cell>
          <cell r="L508" t="str">
            <v>Mental Health</v>
          </cell>
          <cell r="M508" t="str">
            <v>No</v>
          </cell>
          <cell r="R508" t="str">
            <v>WEILL MEDICAL COLLEGE OF CORNELL</v>
          </cell>
          <cell r="W508" t="str">
            <v>WEILL MEDICAL COLLEGE OF CORNELL</v>
          </cell>
          <cell r="X508" t="str">
            <v>BAKER 14</v>
          </cell>
          <cell r="Y508" t="str">
            <v>NEW YORK</v>
          </cell>
          <cell r="Z508" t="str">
            <v>NY</v>
          </cell>
          <cell r="AA508" t="str">
            <v>10065-4870</v>
          </cell>
          <cell r="AB508" t="str">
            <v>PHYSICIANS GROUP</v>
          </cell>
          <cell r="AC508" t="str">
            <v>M</v>
          </cell>
          <cell r="AD508" t="str">
            <v>No</v>
          </cell>
          <cell r="AE508" t="str">
            <v>MMIS</v>
          </cell>
          <cell r="AF508" t="str">
            <v>nypwestacn</v>
          </cell>
          <cell r="AG508" t="str">
            <v>P</v>
          </cell>
        </row>
        <row r="509">
          <cell r="A509" t="str">
            <v>1275554289</v>
          </cell>
          <cell r="B509" t="str">
            <v>02168550</v>
          </cell>
          <cell r="C509" t="str">
            <v xml:space="preserve">MCGAHEE, WENDY  </v>
          </cell>
          <cell r="D509" t="str">
            <v>E0083222</v>
          </cell>
          <cell r="E509" t="str">
            <v>MCGAHEE WENDY MD</v>
          </cell>
          <cell r="G509" t="str">
            <v>Kathryn Spaziani</v>
          </cell>
          <cell r="H509" t="str">
            <v>(212) 305-1190</v>
          </cell>
          <cell r="J509" t="str">
            <v>kas9171@nyp.org</v>
          </cell>
          <cell r="L509" t="str">
            <v>Mental Health:: Practitioner - Primary Care Provider (PCP)</v>
          </cell>
          <cell r="M509" t="str">
            <v>Yes</v>
          </cell>
          <cell r="R509" t="str">
            <v>MCGAHEE WENDY</v>
          </cell>
          <cell r="W509" t="str">
            <v>MCGAHEE WENDY MD</v>
          </cell>
          <cell r="X509" t="str">
            <v>411 E 114TH ST</v>
          </cell>
          <cell r="Y509" t="str">
            <v>NEW YORK</v>
          </cell>
          <cell r="Z509" t="str">
            <v>NY</v>
          </cell>
          <cell r="AA509" t="str">
            <v>10029-2314</v>
          </cell>
          <cell r="AB509" t="str">
            <v>PHYSICIAN</v>
          </cell>
          <cell r="AC509" t="str">
            <v>M</v>
          </cell>
          <cell r="AD509" t="str">
            <v>No</v>
          </cell>
          <cell r="AE509" t="str">
            <v>MMIS</v>
          </cell>
          <cell r="AF509" t="str">
            <v>nypwestcampus</v>
          </cell>
          <cell r="AG509" t="str">
            <v>P</v>
          </cell>
        </row>
        <row r="510">
          <cell r="A510" t="str">
            <v>1699835363</v>
          </cell>
          <cell r="B510" t="str">
            <v>00341075</v>
          </cell>
          <cell r="C510" t="str">
            <v>BERK, PAUL D</v>
          </cell>
          <cell r="D510" t="str">
            <v>E0265043</v>
          </cell>
          <cell r="E510" t="str">
            <v>BERK PAUL D                MD</v>
          </cell>
          <cell r="G510" t="str">
            <v>Kathryn Spaziani</v>
          </cell>
          <cell r="H510" t="str">
            <v>(212) 305-1190</v>
          </cell>
          <cell r="J510" t="str">
            <v>kas9171@nyp.org</v>
          </cell>
          <cell r="L510" t="str">
            <v>Practitioner - Non-Primary Care Provider (PCP)</v>
          </cell>
          <cell r="M510" t="str">
            <v>No</v>
          </cell>
          <cell r="R510" t="str">
            <v>BERK PAUL DR.</v>
          </cell>
          <cell r="W510" t="str">
            <v>BERK PAUL D                MD</v>
          </cell>
          <cell r="X510" t="str">
            <v>MT SINAI HOSP</v>
          </cell>
          <cell r="Y510" t="str">
            <v>NEW YORK</v>
          </cell>
          <cell r="Z510" t="str">
            <v>NY</v>
          </cell>
          <cell r="AA510" t="str">
            <v>10029-6500</v>
          </cell>
          <cell r="AB510" t="str">
            <v>PHYSICIAN</v>
          </cell>
          <cell r="AC510" t="str">
            <v>M</v>
          </cell>
          <cell r="AD510" t="str">
            <v>No</v>
          </cell>
          <cell r="AE510" t="str">
            <v>MMIS</v>
          </cell>
          <cell r="AF510" t="str">
            <v>nypwestacn</v>
          </cell>
          <cell r="AG510" t="str">
            <v>P</v>
          </cell>
        </row>
        <row r="511">
          <cell r="A511" t="str">
            <v>1023130101</v>
          </cell>
          <cell r="B511" t="str">
            <v>03101306</v>
          </cell>
          <cell r="C511" t="str">
            <v>RAO, MAYA K</v>
          </cell>
          <cell r="D511" t="str">
            <v>E0293179</v>
          </cell>
          <cell r="E511" t="str">
            <v>RAO MAYA K MD</v>
          </cell>
          <cell r="G511" t="str">
            <v>Kathryn Spaziani</v>
          </cell>
          <cell r="H511" t="str">
            <v>(212) 305-1190</v>
          </cell>
          <cell r="J511" t="str">
            <v>kas9171@nyp.org</v>
          </cell>
          <cell r="L511" t="str">
            <v>All Other:: Practitioner - Non-Primary Care Provider (PCP)</v>
          </cell>
          <cell r="M511" t="str">
            <v>Yes</v>
          </cell>
          <cell r="R511" t="str">
            <v>RAO MAYA DR.</v>
          </cell>
          <cell r="W511" t="str">
            <v>RAO MAYA K MD</v>
          </cell>
          <cell r="X511" t="str">
            <v>622 W 168TH ST</v>
          </cell>
          <cell r="Y511" t="str">
            <v>NEW YORK</v>
          </cell>
          <cell r="Z511" t="str">
            <v>NY</v>
          </cell>
          <cell r="AA511" t="str">
            <v>10032-3720</v>
          </cell>
          <cell r="AB511" t="str">
            <v>PHYSICIAN</v>
          </cell>
          <cell r="AC511" t="str">
            <v>M</v>
          </cell>
          <cell r="AD511" t="str">
            <v>No</v>
          </cell>
          <cell r="AE511" t="str">
            <v>MMIS</v>
          </cell>
          <cell r="AF511" t="str">
            <v>nypwestcampus</v>
          </cell>
          <cell r="AG511" t="str">
            <v>P</v>
          </cell>
        </row>
        <row r="512">
          <cell r="A512" t="str">
            <v>1730232331</v>
          </cell>
          <cell r="B512" t="str">
            <v>03696260</v>
          </cell>
          <cell r="C512" t="str">
            <v>MEYER-BAHLBURG, HEINO F.L.</v>
          </cell>
          <cell r="D512" t="str">
            <v>E0360076</v>
          </cell>
          <cell r="E512" t="str">
            <v>MEYER-BAHLBURG HEINO F L</v>
          </cell>
          <cell r="G512" t="str">
            <v>Kathryn Spaziani</v>
          </cell>
          <cell r="H512" t="str">
            <v>(212) 305-1190</v>
          </cell>
          <cell r="J512" t="str">
            <v>kas9171@nyp.org</v>
          </cell>
          <cell r="L512" t="str">
            <v>Practitioner - Non-Primary Care Provider (PCP)</v>
          </cell>
          <cell r="M512" t="str">
            <v>No</v>
          </cell>
          <cell r="R512" t="str">
            <v>MEYER-BAHLBURG HEINO DR.</v>
          </cell>
          <cell r="W512" t="str">
            <v>MEYER-BAHLBURG HEINO F L</v>
          </cell>
          <cell r="X512" t="str">
            <v>3959 BROADWAY</v>
          </cell>
          <cell r="Y512" t="str">
            <v>NEW YORK</v>
          </cell>
          <cell r="Z512" t="str">
            <v>NY</v>
          </cell>
          <cell r="AA512" t="str">
            <v>10032-1559</v>
          </cell>
          <cell r="AB512" t="str">
            <v>CLINICAL PSYCHOLOGIST</v>
          </cell>
          <cell r="AC512" t="str">
            <v>M</v>
          </cell>
          <cell r="AD512" t="str">
            <v>No</v>
          </cell>
          <cell r="AE512" t="str">
            <v>MMIS</v>
          </cell>
          <cell r="AF512" t="str">
            <v>nypwestcampus</v>
          </cell>
          <cell r="AG512" t="str">
            <v>P</v>
          </cell>
        </row>
        <row r="513">
          <cell r="A513" t="str">
            <v>1396776191</v>
          </cell>
          <cell r="B513" t="str">
            <v>03268137</v>
          </cell>
          <cell r="C513" t="str">
            <v>GOSSEY, JOHN T</v>
          </cell>
          <cell r="D513" t="str">
            <v>E0312089</v>
          </cell>
          <cell r="E513" t="str">
            <v>GOSSEY JOHN TRAVIS</v>
          </cell>
          <cell r="G513" t="str">
            <v>Kathryn Spaziani</v>
          </cell>
          <cell r="H513" t="str">
            <v>(212) 305-1190</v>
          </cell>
          <cell r="J513" t="str">
            <v>kas9171@nyp.org</v>
          </cell>
          <cell r="L513" t="str">
            <v>All Other:: Practitioner - Primary Care Provider (PCP)</v>
          </cell>
          <cell r="M513" t="str">
            <v>No</v>
          </cell>
          <cell r="R513" t="str">
            <v>GOSSEY JOHN</v>
          </cell>
          <cell r="W513" t="str">
            <v>GOSSEY JOHN TRAVIS</v>
          </cell>
          <cell r="X513" t="str">
            <v>505 E 70TH ST</v>
          </cell>
          <cell r="Y513" t="str">
            <v>NEW YORK</v>
          </cell>
          <cell r="Z513" t="str">
            <v>NY</v>
          </cell>
          <cell r="AA513" t="str">
            <v>10021-4872</v>
          </cell>
          <cell r="AB513" t="str">
            <v>PHYSICIAN</v>
          </cell>
          <cell r="AC513" t="str">
            <v>M</v>
          </cell>
          <cell r="AD513" t="str">
            <v>No</v>
          </cell>
          <cell r="AE513" t="str">
            <v>MMIS</v>
          </cell>
          <cell r="AF513" t="str">
            <v>nypeastacn</v>
          </cell>
          <cell r="AG513" t="str">
            <v>P</v>
          </cell>
        </row>
        <row r="514">
          <cell r="A514" t="str">
            <v>1811180359</v>
          </cell>
          <cell r="B514" t="str">
            <v>03375202</v>
          </cell>
          <cell r="C514" t="str">
            <v>WATTACHERIL, JULIA J</v>
          </cell>
          <cell r="D514" t="str">
            <v>E0324450</v>
          </cell>
          <cell r="E514" t="str">
            <v>WATTACHERIL JULIA</v>
          </cell>
          <cell r="G514" t="str">
            <v>Kathryn Spaziani</v>
          </cell>
          <cell r="H514" t="str">
            <v>(212) 305-1190</v>
          </cell>
          <cell r="J514" t="str">
            <v>kas9171@nyp.org</v>
          </cell>
          <cell r="L514" t="str">
            <v>All Other:: Practitioner - Non-Primary Care Provider (PCP)</v>
          </cell>
          <cell r="M514" t="str">
            <v>No</v>
          </cell>
          <cell r="R514" t="str">
            <v>WATTACHERIL JULIA DR.</v>
          </cell>
          <cell r="W514" t="str">
            <v>WATTACHERIL JULIA</v>
          </cell>
          <cell r="X514" t="str">
            <v>622 W 168TH ST PH 14-C</v>
          </cell>
          <cell r="Y514" t="str">
            <v>NEW YORK</v>
          </cell>
          <cell r="Z514" t="str">
            <v>NY</v>
          </cell>
          <cell r="AA514" t="str">
            <v>10032-3720</v>
          </cell>
          <cell r="AB514" t="str">
            <v>PHYSICIAN</v>
          </cell>
          <cell r="AC514" t="str">
            <v>M</v>
          </cell>
          <cell r="AD514" t="str">
            <v>No</v>
          </cell>
          <cell r="AE514" t="str">
            <v>MMIS</v>
          </cell>
          <cell r="AF514" t="str">
            <v>nypwestcampus</v>
          </cell>
          <cell r="AG514" t="str">
            <v>P</v>
          </cell>
        </row>
        <row r="515">
          <cell r="A515" t="str">
            <v>1821006636</v>
          </cell>
          <cell r="B515" t="str">
            <v>02424775</v>
          </cell>
          <cell r="C515" t="str">
            <v>FRYER, ROBERT H</v>
          </cell>
          <cell r="D515" t="str">
            <v>E0057653</v>
          </cell>
          <cell r="E515" t="str">
            <v>FRYER ROBERT HUGH MD</v>
          </cell>
          <cell r="G515" t="str">
            <v>Kathryn Spaziani</v>
          </cell>
          <cell r="H515" t="str">
            <v>(212) 305-1190</v>
          </cell>
          <cell r="J515" t="str">
            <v>kas9171@nyp.org</v>
          </cell>
          <cell r="L515" t="str">
            <v>Practitioner - Non-Primary Care Provider (PCP)</v>
          </cell>
          <cell r="M515" t="str">
            <v>No</v>
          </cell>
          <cell r="R515" t="str">
            <v>FRYER ROBERT DR.</v>
          </cell>
          <cell r="W515" t="str">
            <v>FRYER ROBERT HUGH</v>
          </cell>
          <cell r="X515" t="str">
            <v>180 FORT WASHINGTON AVE</v>
          </cell>
          <cell r="Y515" t="str">
            <v>NEW YORK</v>
          </cell>
          <cell r="Z515" t="str">
            <v>NY</v>
          </cell>
          <cell r="AA515" t="str">
            <v>10032-3735</v>
          </cell>
          <cell r="AB515" t="str">
            <v>PHYSICIAN</v>
          </cell>
          <cell r="AC515" t="str">
            <v>M</v>
          </cell>
          <cell r="AD515" t="str">
            <v>No</v>
          </cell>
          <cell r="AE515" t="str">
            <v>MMIS</v>
          </cell>
          <cell r="AF515" t="str">
            <v>nypwestacn</v>
          </cell>
          <cell r="AG515" t="str">
            <v>P</v>
          </cell>
        </row>
        <row r="516">
          <cell r="A516" t="str">
            <v>1821017229</v>
          </cell>
          <cell r="B516" t="str">
            <v>01848186</v>
          </cell>
          <cell r="C516" t="str">
            <v>BOCKMAN, RICHARD S</v>
          </cell>
          <cell r="D516" t="str">
            <v>E0115222</v>
          </cell>
          <cell r="E516" t="str">
            <v>BOCKMAN RICHARD</v>
          </cell>
          <cell r="G516" t="str">
            <v>Kathryn Spaziani</v>
          </cell>
          <cell r="H516" t="str">
            <v>(212) 305-1190</v>
          </cell>
          <cell r="J516" t="str">
            <v>kas9171@nyp.org</v>
          </cell>
          <cell r="L516" t="str">
            <v>Practitioner - Non-Primary Care Provider (PCP)</v>
          </cell>
          <cell r="M516" t="str">
            <v>No</v>
          </cell>
          <cell r="R516" t="str">
            <v>BOCKMAN RICHARD</v>
          </cell>
          <cell r="W516" t="str">
            <v>BOCKMAN RICHARD STEVEN</v>
          </cell>
          <cell r="X516" t="str">
            <v>535 E 70TH ST</v>
          </cell>
          <cell r="Y516" t="str">
            <v>NEW YORK</v>
          </cell>
          <cell r="Z516" t="str">
            <v>NY</v>
          </cell>
          <cell r="AA516" t="str">
            <v>10021-4823</v>
          </cell>
          <cell r="AB516" t="str">
            <v>PHYSICIAN</v>
          </cell>
          <cell r="AC516" t="str">
            <v>M</v>
          </cell>
          <cell r="AD516" t="str">
            <v>No</v>
          </cell>
          <cell r="AE516" t="str">
            <v>MMIS</v>
          </cell>
          <cell r="AF516" t="str">
            <v>nypeastacn</v>
          </cell>
          <cell r="AG516" t="str">
            <v>P</v>
          </cell>
        </row>
        <row r="517">
          <cell r="A517" t="str">
            <v>1083837157</v>
          </cell>
          <cell r="B517" t="str">
            <v>00310985</v>
          </cell>
          <cell r="C517" t="str">
            <v>Saint Marys Hospital for Children</v>
          </cell>
          <cell r="D517" t="str">
            <v>E0268002</v>
          </cell>
          <cell r="E517" t="str">
            <v>ST MARYS HOSPITAL FOR CHILDRE</v>
          </cell>
          <cell r="G517" t="str">
            <v>Edwin F. Simpser, MD</v>
          </cell>
          <cell r="H517" t="str">
            <v>(718) 281-8777</v>
          </cell>
          <cell r="J517" t="str">
            <v>esimpser@stmaryskids.org</v>
          </cell>
          <cell r="L517" t="str">
            <v>All Other:: Nursing Home</v>
          </cell>
          <cell r="M517" t="str">
            <v>Yes</v>
          </cell>
          <cell r="R517" t="str">
            <v>ST MARY'S HOSPITAL FOR CHILDREN</v>
          </cell>
          <cell r="W517" t="str">
            <v>ST MARYS HOSPITAL FOR CHILDRE</v>
          </cell>
          <cell r="X517" t="str">
            <v>2901 216TH ST</v>
          </cell>
          <cell r="Y517" t="str">
            <v>BAYSIDE</v>
          </cell>
          <cell r="Z517" t="str">
            <v>NY</v>
          </cell>
          <cell r="AA517" t="str">
            <v>11360-2810</v>
          </cell>
          <cell r="AB517" t="str">
            <v>LONG TERM CARE FACILITY</v>
          </cell>
          <cell r="AC517" t="str">
            <v>M</v>
          </cell>
          <cell r="AD517" t="str">
            <v>No</v>
          </cell>
          <cell r="AE517" t="str">
            <v>MMIS</v>
          </cell>
          <cell r="AF517" t="str">
            <v>nypeastacn</v>
          </cell>
          <cell r="AG517" t="str">
            <v>P</v>
          </cell>
        </row>
        <row r="518">
          <cell r="A518" t="str">
            <v>1205903002</v>
          </cell>
          <cell r="B518" t="str">
            <v>00689221</v>
          </cell>
          <cell r="C518" t="str">
            <v xml:space="preserve">FAHN, STANLEY </v>
          </cell>
          <cell r="D518" t="str">
            <v>E0230779</v>
          </cell>
          <cell r="E518" t="str">
            <v>FAHN STANLEY               MD</v>
          </cell>
          <cell r="G518" t="str">
            <v>Kathryn Spaziani</v>
          </cell>
          <cell r="H518" t="str">
            <v>(212) 305-1190</v>
          </cell>
          <cell r="J518" t="str">
            <v>kas9171@nyp.org</v>
          </cell>
          <cell r="L518" t="str">
            <v>Practitioner - Non-Primary Care Provider (PCP)</v>
          </cell>
          <cell r="M518" t="str">
            <v>No</v>
          </cell>
          <cell r="R518" t="str">
            <v>FAHN STANLEY DR.</v>
          </cell>
          <cell r="W518" t="str">
            <v>FAHN STANLEY               MD</v>
          </cell>
          <cell r="X518" t="str">
            <v>NEUROLOGICAL INSTIT</v>
          </cell>
          <cell r="Y518" t="str">
            <v>NEW YORK</v>
          </cell>
          <cell r="Z518" t="str">
            <v>NY</v>
          </cell>
          <cell r="AA518" t="str">
            <v>10032-3726</v>
          </cell>
          <cell r="AB518" t="str">
            <v>PHYSICIAN</v>
          </cell>
          <cell r="AC518" t="str">
            <v>M</v>
          </cell>
          <cell r="AD518" t="str">
            <v>No</v>
          </cell>
          <cell r="AE518" t="str">
            <v>MMIS</v>
          </cell>
          <cell r="AF518" t="str">
            <v>nypwestacn</v>
          </cell>
          <cell r="AG518" t="str">
            <v>P</v>
          </cell>
        </row>
        <row r="519">
          <cell r="A519" t="str">
            <v>1366889636</v>
          </cell>
          <cell r="B519" t="str">
            <v>03693721</v>
          </cell>
          <cell r="C519" t="str">
            <v>Laura Clarke, MD</v>
          </cell>
          <cell r="D519" t="str">
            <v>E0354624</v>
          </cell>
          <cell r="E519" t="str">
            <v>CLARKE LAURA A</v>
          </cell>
          <cell r="G519" t="str">
            <v>Dianna Dragatsi</v>
          </cell>
          <cell r="H519" t="str">
            <v>(212) 942-8539</v>
          </cell>
          <cell r="J519" t="str">
            <v>Dragats@nyspi.columbia.edu</v>
          </cell>
          <cell r="L519" t="str">
            <v>Practitioner - Non-Primary Care Provider (PCP)</v>
          </cell>
          <cell r="M519" t="str">
            <v>No</v>
          </cell>
          <cell r="R519" t="str">
            <v>CLARKE LAURA DR.</v>
          </cell>
          <cell r="W519" t="str">
            <v>CLARKE LAURA A</v>
          </cell>
          <cell r="X519" t="str">
            <v>513 W 166TH ST FL 4</v>
          </cell>
          <cell r="Y519" t="str">
            <v>NEW YORK</v>
          </cell>
          <cell r="Z519" t="str">
            <v>NY</v>
          </cell>
          <cell r="AA519" t="str">
            <v>10032-4207</v>
          </cell>
          <cell r="AB519" t="str">
            <v>PHYSICIAN</v>
          </cell>
          <cell r="AC519" t="str">
            <v>M</v>
          </cell>
          <cell r="AD519" t="str">
            <v>No</v>
          </cell>
          <cell r="AE519" t="str">
            <v>MMIS</v>
          </cell>
          <cell r="AF519" t="str">
            <v>nyspi</v>
          </cell>
          <cell r="AG519" t="str">
            <v>P</v>
          </cell>
        </row>
        <row r="520">
          <cell r="A520" t="str">
            <v>1588968432</v>
          </cell>
          <cell r="B520" t="str">
            <v>03813605</v>
          </cell>
          <cell r="C520" t="str">
            <v>Amanda Gangoo, MD</v>
          </cell>
          <cell r="D520" t="str">
            <v>E0372177</v>
          </cell>
          <cell r="E520" t="str">
            <v>GANGOO AMANDA K</v>
          </cell>
          <cell r="G520" t="str">
            <v>Dianna Dragatsi</v>
          </cell>
          <cell r="H520" t="str">
            <v>(212) 942-8540</v>
          </cell>
          <cell r="J520" t="str">
            <v>Dragats@nyspi.columbia.edu</v>
          </cell>
          <cell r="L520" t="str">
            <v>Practitioner - Non-Primary Care Provider (PCP)</v>
          </cell>
          <cell r="M520" t="str">
            <v>No</v>
          </cell>
          <cell r="R520" t="str">
            <v>GANGOO AMANDA DR.</v>
          </cell>
          <cell r="W520" t="str">
            <v>GANGOO AMANDA K</v>
          </cell>
          <cell r="X520" t="str">
            <v>344 W 36TH ST</v>
          </cell>
          <cell r="Y520" t="str">
            <v>NEW YORK</v>
          </cell>
          <cell r="Z520" t="str">
            <v>NY</v>
          </cell>
          <cell r="AA520" t="str">
            <v>10018-7598</v>
          </cell>
          <cell r="AB520" t="str">
            <v>PHYSICIAN</v>
          </cell>
          <cell r="AC520" t="str">
            <v>M</v>
          </cell>
          <cell r="AD520" t="str">
            <v>No</v>
          </cell>
          <cell r="AE520" t="str">
            <v>MMIS</v>
          </cell>
          <cell r="AF520" t="str">
            <v>nyspi</v>
          </cell>
          <cell r="AG520" t="str">
            <v>P</v>
          </cell>
        </row>
        <row r="521">
          <cell r="A521" t="str">
            <v>1184745069</v>
          </cell>
          <cell r="B521" t="str">
            <v>01854104</v>
          </cell>
          <cell r="C521" t="str">
            <v>Eva Josephine Harbury, MD</v>
          </cell>
          <cell r="D521" t="str">
            <v>E0114630</v>
          </cell>
          <cell r="E521" t="str">
            <v>HARBURY EVA-JOSEPHINE B MD</v>
          </cell>
          <cell r="G521" t="str">
            <v>Dianna Dragatsi</v>
          </cell>
          <cell r="H521" t="str">
            <v>(212) 942-8541</v>
          </cell>
          <cell r="J521" t="str">
            <v>Dragats@nyspi.columbia.edu</v>
          </cell>
          <cell r="L521" t="str">
            <v>Practitioner - Non-Primary Care Provider (PCP)</v>
          </cell>
          <cell r="M521" t="str">
            <v>No</v>
          </cell>
          <cell r="R521" t="str">
            <v>HARBURY EVA JOSEPHINE DR.</v>
          </cell>
          <cell r="W521" t="str">
            <v>HARBURY EVA-JOSEPHINE B MD</v>
          </cell>
          <cell r="X521" t="str">
            <v>1500 WATER PL   PSYCHIATRY DEPT</v>
          </cell>
          <cell r="Y521" t="str">
            <v>BRONX</v>
          </cell>
          <cell r="Z521" t="str">
            <v>NY</v>
          </cell>
          <cell r="AA521" t="str">
            <v>10461-0000</v>
          </cell>
          <cell r="AB521" t="str">
            <v>PHYSICIAN</v>
          </cell>
          <cell r="AC521" t="str">
            <v>M</v>
          </cell>
          <cell r="AD521" t="str">
            <v>No</v>
          </cell>
          <cell r="AE521" t="str">
            <v>MMIS</v>
          </cell>
          <cell r="AF521" t="str">
            <v>nyspi</v>
          </cell>
          <cell r="AG521" t="str">
            <v>P</v>
          </cell>
        </row>
        <row r="522">
          <cell r="A522" t="str">
            <v>1790888063</v>
          </cell>
          <cell r="B522" t="str">
            <v>01362078</v>
          </cell>
          <cell r="C522" t="str">
            <v>BERMON, NANCY A</v>
          </cell>
          <cell r="D522" t="str">
            <v>E0163743</v>
          </cell>
          <cell r="E522" t="str">
            <v>BERMON NANCY ANN MD</v>
          </cell>
          <cell r="G522" t="str">
            <v>Kathryn Spaziani</v>
          </cell>
          <cell r="H522" t="str">
            <v>(212) 305-1190</v>
          </cell>
          <cell r="J522" t="str">
            <v>kas9171@nyp.org</v>
          </cell>
          <cell r="L522" t="str">
            <v>Practitioner - Primary Care Provider (PCP)</v>
          </cell>
          <cell r="M522" t="str">
            <v>Yes</v>
          </cell>
          <cell r="R522" t="str">
            <v>BERMON NANCY DR.</v>
          </cell>
          <cell r="W522" t="str">
            <v>BERMON NANCY ANN MD</v>
          </cell>
          <cell r="X522" t="str">
            <v>MT SINAI ELM FAC PRA</v>
          </cell>
          <cell r="Y522" t="str">
            <v>ELMHURST</v>
          </cell>
          <cell r="Z522" t="str">
            <v>NY</v>
          </cell>
          <cell r="AA522" t="str">
            <v>11373-1329</v>
          </cell>
          <cell r="AB522" t="str">
            <v>PHYSICIAN</v>
          </cell>
          <cell r="AC522" t="str">
            <v>M</v>
          </cell>
          <cell r="AD522" t="str">
            <v>No</v>
          </cell>
          <cell r="AE522" t="str">
            <v>MMIS</v>
          </cell>
          <cell r="AF522" t="str">
            <v>nypwestacn</v>
          </cell>
          <cell r="AG522" t="str">
            <v>P</v>
          </cell>
        </row>
        <row r="523">
          <cell r="A523" t="str">
            <v>1205815792</v>
          </cell>
          <cell r="B523" t="str">
            <v>01369057</v>
          </cell>
          <cell r="C523" t="str">
            <v>MEYER, DODI D</v>
          </cell>
          <cell r="D523" t="str">
            <v>E0163047</v>
          </cell>
          <cell r="E523" t="str">
            <v>MEYER DODI D  MD</v>
          </cell>
          <cell r="G523" t="str">
            <v>Kathryn Spaziani</v>
          </cell>
          <cell r="H523" t="str">
            <v>(212) 305-1190</v>
          </cell>
          <cell r="J523" t="str">
            <v>kas9171@nyp.org</v>
          </cell>
          <cell r="L523" t="str">
            <v>All Other:: Practitioner - Primary Care Provider (PCP)</v>
          </cell>
          <cell r="M523" t="str">
            <v>Yes</v>
          </cell>
          <cell r="R523" t="str">
            <v>MEYER DODI DR.</v>
          </cell>
          <cell r="W523" t="str">
            <v>MEYER DODI D  MD</v>
          </cell>
          <cell r="X523" t="str">
            <v># BHN-112</v>
          </cell>
          <cell r="Y523" t="str">
            <v>NEW YORK</v>
          </cell>
          <cell r="Z523" t="str">
            <v>NY</v>
          </cell>
          <cell r="AA523" t="str">
            <v>10032-3725</v>
          </cell>
          <cell r="AB523" t="str">
            <v>PHYSICIAN</v>
          </cell>
          <cell r="AC523" t="str">
            <v>M</v>
          </cell>
          <cell r="AD523" t="str">
            <v>No</v>
          </cell>
          <cell r="AE523" t="str">
            <v>MMIS</v>
          </cell>
          <cell r="AF523" t="str">
            <v>nypwestcampus</v>
          </cell>
          <cell r="AG523" t="str">
            <v>P</v>
          </cell>
        </row>
        <row r="524">
          <cell r="A524" t="str">
            <v>1467646281</v>
          </cell>
          <cell r="C524" t="str">
            <v>Gods Love We Deliver, Inc</v>
          </cell>
          <cell r="G524" t="str">
            <v>Alissa Wassung, Director of Policy and Planning</v>
          </cell>
          <cell r="H524" t="str">
            <v>(212) 294-8171</v>
          </cell>
          <cell r="J524" t="str">
            <v>awassung@glwd.org</v>
          </cell>
          <cell r="K524" t="str">
            <v>All Other</v>
          </cell>
          <cell r="L524" t="str">
            <v>Uncategorized</v>
          </cell>
          <cell r="M524" t="str">
            <v>No</v>
          </cell>
          <cell r="R524" t="str">
            <v>GOD'S LOVE WE DELIVER, INC.</v>
          </cell>
          <cell r="S524" t="str">
            <v>166 AVENUE OF THE AMERICAS</v>
          </cell>
          <cell r="T524" t="str">
            <v>NEW YORK</v>
          </cell>
          <cell r="U524" t="str">
            <v>NY</v>
          </cell>
          <cell r="V524" t="str">
            <v>100131207</v>
          </cell>
          <cell r="AC524" t="str">
            <v>M</v>
          </cell>
          <cell r="AD524" t="str">
            <v>No</v>
          </cell>
          <cell r="AE524" t="str">
            <v>NPI only</v>
          </cell>
          <cell r="AF524" t="str">
            <v>nypwestacn</v>
          </cell>
          <cell r="AG524" t="str">
            <v>P</v>
          </cell>
        </row>
        <row r="525">
          <cell r="A525" t="str">
            <v>1831207513</v>
          </cell>
          <cell r="B525" t="str">
            <v>03007370</v>
          </cell>
          <cell r="C525" t="str">
            <v>Village center for Care Adult Day Health Center</v>
          </cell>
          <cell r="D525" t="str">
            <v>E0181259</v>
          </cell>
          <cell r="E525" t="str">
            <v>VILLAGE CENTER FOR CARE AADC</v>
          </cell>
          <cell r="G525" t="str">
            <v>Allison Silvers, Chief Strategy Officer</v>
          </cell>
          <cell r="H525" t="str">
            <v>(212) 337-9225</v>
          </cell>
          <cell r="J525" t="str">
            <v>allisons@villagecare.org</v>
          </cell>
          <cell r="L525" t="str">
            <v>All Other</v>
          </cell>
          <cell r="M525" t="str">
            <v>Yes</v>
          </cell>
          <cell r="R525" t="str">
            <v>VILLAGE CARE ADHCP</v>
          </cell>
          <cell r="W525" t="str">
            <v>VILLAGECARE REHAB &amp; NRS CTR ADHCP</v>
          </cell>
          <cell r="X525" t="str">
            <v>121A W 20TH ST</v>
          </cell>
          <cell r="Y525" t="str">
            <v>NEW YORK</v>
          </cell>
          <cell r="Z525" t="str">
            <v>NY</v>
          </cell>
          <cell r="AA525" t="str">
            <v>10011-3601</v>
          </cell>
          <cell r="AB525" t="str">
            <v>LONG TERM CARE FACILITY</v>
          </cell>
          <cell r="AC525" t="str">
            <v>M</v>
          </cell>
          <cell r="AD525" t="str">
            <v>No</v>
          </cell>
          <cell r="AE525" t="str">
            <v>MMIS</v>
          </cell>
          <cell r="AF525" t="str">
            <v>nypwestacn</v>
          </cell>
          <cell r="AG525" t="str">
            <v>P</v>
          </cell>
        </row>
        <row r="526">
          <cell r="A526" t="str">
            <v>1699709725</v>
          </cell>
          <cell r="B526" t="str">
            <v>03335724</v>
          </cell>
          <cell r="C526" t="str">
            <v>IP, JAMES E</v>
          </cell>
          <cell r="D526" t="str">
            <v>E0319800</v>
          </cell>
          <cell r="E526" t="str">
            <v>IP JAMES EDMUND</v>
          </cell>
          <cell r="G526" t="str">
            <v>Kathryn Spaziani</v>
          </cell>
          <cell r="H526" t="str">
            <v>(212) 305-1190</v>
          </cell>
          <cell r="J526" t="str">
            <v>kas9171@nyp.org</v>
          </cell>
          <cell r="L526" t="str">
            <v>All Other:: Practitioner - Primary Care Provider (PCP)</v>
          </cell>
          <cell r="M526" t="str">
            <v>No</v>
          </cell>
          <cell r="R526" t="str">
            <v>IP JAMES</v>
          </cell>
          <cell r="W526" t="str">
            <v>IP JAMES EDMUND</v>
          </cell>
          <cell r="X526" t="str">
            <v>525 E 68TH ST STARR-4</v>
          </cell>
          <cell r="Y526" t="str">
            <v>NEW YORK</v>
          </cell>
          <cell r="Z526" t="str">
            <v>NY</v>
          </cell>
          <cell r="AA526" t="str">
            <v>10065-4870</v>
          </cell>
          <cell r="AB526" t="str">
            <v>PHYSICIAN</v>
          </cell>
          <cell r="AC526" t="str">
            <v>M</v>
          </cell>
          <cell r="AD526" t="str">
            <v>No</v>
          </cell>
          <cell r="AE526" t="str">
            <v>MMIS</v>
          </cell>
          <cell r="AF526" t="str">
            <v>nypeastacn</v>
          </cell>
          <cell r="AG526" t="str">
            <v>P</v>
          </cell>
        </row>
        <row r="527">
          <cell r="A527" t="str">
            <v>1699715730</v>
          </cell>
          <cell r="B527" t="str">
            <v>03174756</v>
          </cell>
          <cell r="C527" t="str">
            <v>COHEN, MICHELE R</v>
          </cell>
          <cell r="D527" t="str">
            <v>E0301575</v>
          </cell>
          <cell r="E527" t="str">
            <v>COHEN MICHELE R</v>
          </cell>
          <cell r="G527" t="str">
            <v>Kathryn Spaziani</v>
          </cell>
          <cell r="H527" t="str">
            <v>(212) 305-1190</v>
          </cell>
          <cell r="J527" t="str">
            <v>kas9171@nyp.org</v>
          </cell>
          <cell r="L527" t="str">
            <v>Practitioner - Non-Primary Care Provider (PCP)</v>
          </cell>
          <cell r="M527" t="str">
            <v>No</v>
          </cell>
          <cell r="R527" t="str">
            <v>COHEN MICHELE MS.</v>
          </cell>
          <cell r="W527" t="str">
            <v>COHEN MICHELE R</v>
          </cell>
          <cell r="X527" t="str">
            <v>3959 BROADWAY</v>
          </cell>
          <cell r="Y527" t="str">
            <v>NEW YORK</v>
          </cell>
          <cell r="Z527" t="str">
            <v>NY</v>
          </cell>
          <cell r="AA527" t="str">
            <v>10032-1559</v>
          </cell>
          <cell r="AB527" t="str">
            <v>CLINICAL SOCIAL WORKER (CSW)</v>
          </cell>
          <cell r="AC527" t="str">
            <v>M</v>
          </cell>
          <cell r="AD527" t="str">
            <v>No</v>
          </cell>
          <cell r="AE527" t="str">
            <v>MMIS</v>
          </cell>
          <cell r="AF527" t="str">
            <v>nypwestacn</v>
          </cell>
          <cell r="AG527" t="str">
            <v>P</v>
          </cell>
        </row>
        <row r="528">
          <cell r="A528" t="str">
            <v>1316189699</v>
          </cell>
          <cell r="B528" t="str">
            <v>03108050</v>
          </cell>
          <cell r="C528" t="str">
            <v>ALEXANDER, KIM V</v>
          </cell>
          <cell r="D528" t="str">
            <v>E0293998</v>
          </cell>
          <cell r="E528" t="str">
            <v>ALEXANDER KIM</v>
          </cell>
          <cell r="G528" t="str">
            <v>Kathryn Spaziani</v>
          </cell>
          <cell r="H528" t="str">
            <v>(212) 305-1190</v>
          </cell>
          <cell r="J528" t="str">
            <v>kas9171@nyp.org</v>
          </cell>
          <cell r="L528" t="str">
            <v>Uncategorized</v>
          </cell>
          <cell r="M528" t="str">
            <v>No</v>
          </cell>
          <cell r="R528" t="str">
            <v>ALEXANDER KIM MR.</v>
          </cell>
          <cell r="W528" t="str">
            <v>ALEXANDER KIM V</v>
          </cell>
          <cell r="X528" t="str">
            <v>503 E 70TH ST</v>
          </cell>
          <cell r="Y528" t="str">
            <v>NEW YORK</v>
          </cell>
          <cell r="Z528" t="str">
            <v>NY</v>
          </cell>
          <cell r="AA528" t="str">
            <v>10021-4872</v>
          </cell>
          <cell r="AB528" t="str">
            <v>CLINICAL SOCIAL WORKER (CSW)</v>
          </cell>
          <cell r="AC528" t="str">
            <v>M</v>
          </cell>
          <cell r="AD528" t="str">
            <v>No</v>
          </cell>
          <cell r="AE528" t="str">
            <v>MMIS</v>
          </cell>
          <cell r="AF528" t="str">
            <v>nypeastacn</v>
          </cell>
          <cell r="AG528" t="str">
            <v>P</v>
          </cell>
        </row>
        <row r="529">
          <cell r="A529" t="str">
            <v>1417910498</v>
          </cell>
          <cell r="B529" t="str">
            <v>01551968</v>
          </cell>
          <cell r="C529" t="str">
            <v>TSAI, SHIU-LIN</v>
          </cell>
          <cell r="D529" t="str">
            <v>E0144801</v>
          </cell>
          <cell r="E529" t="str">
            <v>TSAI SHIU-LIN MD</v>
          </cell>
          <cell r="G529" t="str">
            <v>Kathryn Spaziani</v>
          </cell>
          <cell r="H529" t="str">
            <v>(212) 305-1346</v>
          </cell>
          <cell r="J529" t="str">
            <v>kas9171@nyp.org</v>
          </cell>
          <cell r="L529" t="str">
            <v>Practitioner - Non-Primary Care Provider (PCP)</v>
          </cell>
          <cell r="M529" t="str">
            <v>No</v>
          </cell>
          <cell r="R529" t="str">
            <v>TSAI SHIU-LIN DR.</v>
          </cell>
          <cell r="W529" t="str">
            <v>TSAI SHIU-LIN MD</v>
          </cell>
          <cell r="X529" t="str">
            <v>COLUMBIA PRES PH-137</v>
          </cell>
          <cell r="Y529" t="str">
            <v>NEW YORK</v>
          </cell>
          <cell r="Z529" t="str">
            <v>NY</v>
          </cell>
          <cell r="AA529" t="str">
            <v>10032-3720</v>
          </cell>
          <cell r="AB529" t="str">
            <v>PHYSICIAN</v>
          </cell>
          <cell r="AC529" t="str">
            <v>M</v>
          </cell>
          <cell r="AD529" t="str">
            <v>No</v>
          </cell>
          <cell r="AE529" t="str">
            <v>MMIS</v>
          </cell>
          <cell r="AF529" t="str">
            <v>nypwestcampus</v>
          </cell>
          <cell r="AG529" t="str">
            <v>P</v>
          </cell>
        </row>
        <row r="530">
          <cell r="A530" t="str">
            <v>1235542689</v>
          </cell>
          <cell r="C530" t="str">
            <v>Sheena Pradham</v>
          </cell>
          <cell r="G530" t="str">
            <v>Kathryn Spaziani</v>
          </cell>
          <cell r="H530" t="str">
            <v>(212) 305-1255</v>
          </cell>
          <cell r="J530" t="str">
            <v>kas9171@nyp.org</v>
          </cell>
          <cell r="K530" t="str">
            <v>Physician</v>
          </cell>
          <cell r="L530" t="str">
            <v>Practitioner - Non-Primary Care Provider (PCP)</v>
          </cell>
          <cell r="M530" t="str">
            <v>No</v>
          </cell>
          <cell r="R530" t="str">
            <v>PRADHAN SHEENA</v>
          </cell>
          <cell r="S530" t="str">
            <v>4215 3RD AVE, 2ND FLOOR</v>
          </cell>
          <cell r="T530" t="str">
            <v>BRONX</v>
          </cell>
          <cell r="U530" t="str">
            <v>NY</v>
          </cell>
          <cell r="V530" t="str">
            <v>104574501</v>
          </cell>
          <cell r="AC530" t="str">
            <v>M</v>
          </cell>
          <cell r="AD530" t="str">
            <v>No</v>
          </cell>
          <cell r="AE530" t="str">
            <v>NPI only</v>
          </cell>
          <cell r="AF530" t="str">
            <v>nypeastacn</v>
          </cell>
          <cell r="AG530" t="str">
            <v>P</v>
          </cell>
        </row>
        <row r="531">
          <cell r="A531" t="str">
            <v>1386905909</v>
          </cell>
          <cell r="B531" t="str">
            <v>03473998</v>
          </cell>
          <cell r="C531" t="str">
            <v>Busse Jennifer</v>
          </cell>
          <cell r="D531" t="str">
            <v>E0336680</v>
          </cell>
          <cell r="E531" t="str">
            <v>BUSSE JENNIFER ALISON</v>
          </cell>
          <cell r="L531" t="str">
            <v>Practitioner - Non-Primary Care Provider (PCP)</v>
          </cell>
          <cell r="M531" t="str">
            <v>No</v>
          </cell>
          <cell r="R531" t="str">
            <v>BUSSE JENNIFER</v>
          </cell>
          <cell r="W531" t="str">
            <v>BUSSE JENNIFER ALISON</v>
          </cell>
          <cell r="X531" t="str">
            <v>1650 GRAND CONCOURSE</v>
          </cell>
          <cell r="Y531" t="str">
            <v>BRONX</v>
          </cell>
          <cell r="Z531" t="str">
            <v>NY</v>
          </cell>
          <cell r="AA531" t="str">
            <v>10457-7606</v>
          </cell>
          <cell r="AB531" t="str">
            <v>PHYSICIAN</v>
          </cell>
          <cell r="AC531" t="str">
            <v>M</v>
          </cell>
          <cell r="AD531" t="str">
            <v>No</v>
          </cell>
          <cell r="AE531" t="str">
            <v>MMIS</v>
          </cell>
          <cell r="AF531" t="str">
            <v>nypwestcampus</v>
          </cell>
          <cell r="AG531" t="str">
            <v>P</v>
          </cell>
        </row>
        <row r="532">
          <cell r="A532" t="str">
            <v>1992867618</v>
          </cell>
          <cell r="B532" t="str">
            <v>03625183</v>
          </cell>
          <cell r="C532" t="str">
            <v>ARVIZU OLVERA, JOSE</v>
          </cell>
          <cell r="D532" t="str">
            <v>E0352776</v>
          </cell>
          <cell r="E532" t="str">
            <v>ARVIZU JOSE</v>
          </cell>
          <cell r="G532" t="str">
            <v>Kathryn Spaziani</v>
          </cell>
          <cell r="H532" t="str">
            <v>(212) 305-1195</v>
          </cell>
          <cell r="J532" t="str">
            <v>kas9171@nyp.org</v>
          </cell>
          <cell r="L532" t="str">
            <v>Mental Health:: Practitioner - Non-Primary Care Provider (PCP)</v>
          </cell>
          <cell r="M532" t="str">
            <v>No</v>
          </cell>
          <cell r="R532" t="str">
            <v>ARVIZU OLVERA JOSE</v>
          </cell>
          <cell r="W532" t="str">
            <v>ARVIZU JOSE</v>
          </cell>
          <cell r="X532" t="str">
            <v>5141 BROADWAY</v>
          </cell>
          <cell r="Y532" t="str">
            <v>NEW YORK</v>
          </cell>
          <cell r="Z532" t="str">
            <v>NY</v>
          </cell>
          <cell r="AA532" t="str">
            <v>10034-1159</v>
          </cell>
          <cell r="AB532" t="str">
            <v>PHYSICIAN</v>
          </cell>
          <cell r="AC532" t="str">
            <v>M</v>
          </cell>
          <cell r="AD532" t="str">
            <v>No</v>
          </cell>
          <cell r="AE532" t="str">
            <v>MMIS</v>
          </cell>
          <cell r="AF532" t="str">
            <v>nypwestacn</v>
          </cell>
          <cell r="AG532" t="str">
            <v>P</v>
          </cell>
        </row>
        <row r="533">
          <cell r="A533" t="str">
            <v>1881891661</v>
          </cell>
          <cell r="B533" t="str">
            <v>03366983</v>
          </cell>
          <cell r="C533" t="str">
            <v>ASFAW, TIRSIT</v>
          </cell>
          <cell r="D533" t="str">
            <v>E0323385</v>
          </cell>
          <cell r="E533" t="str">
            <v>ASFAW TIRSIT SHIFERAW</v>
          </cell>
          <cell r="G533" t="str">
            <v>Kathryn Spaziani</v>
          </cell>
          <cell r="H533" t="str">
            <v>(212) 305-1196</v>
          </cell>
          <cell r="J533" t="str">
            <v>kas9171@nyp.org</v>
          </cell>
          <cell r="L533" t="str">
            <v>All Other:: Practitioner - Non-Primary Care Provider (PCP)</v>
          </cell>
          <cell r="M533" t="str">
            <v>No</v>
          </cell>
          <cell r="R533" t="str">
            <v>ASFAW TIRSIT DR.</v>
          </cell>
          <cell r="W533" t="str">
            <v>ASFAW TIRSIT SHIFERAW</v>
          </cell>
          <cell r="X533" t="str">
            <v>525 E 68TH ST # J-130 # 122</v>
          </cell>
          <cell r="Y533" t="str">
            <v>NEW YORK</v>
          </cell>
          <cell r="Z533" t="str">
            <v>NY</v>
          </cell>
          <cell r="AA533" t="str">
            <v>10065-4870</v>
          </cell>
          <cell r="AB533" t="str">
            <v>PHYSICIAN</v>
          </cell>
          <cell r="AC533" t="str">
            <v>M</v>
          </cell>
          <cell r="AD533" t="str">
            <v>No</v>
          </cell>
          <cell r="AE533" t="str">
            <v>MMIS</v>
          </cell>
          <cell r="AF533" t="str">
            <v>nypeastacn</v>
          </cell>
          <cell r="AG533" t="str">
            <v>P</v>
          </cell>
        </row>
        <row r="534">
          <cell r="A534" t="str">
            <v>1265676324</v>
          </cell>
          <cell r="B534" t="str">
            <v>03466048</v>
          </cell>
          <cell r="C534" t="str">
            <v>AVASARE, RUPALI</v>
          </cell>
          <cell r="D534" t="str">
            <v>E0335792</v>
          </cell>
          <cell r="E534" t="str">
            <v>AVASARE RUPALI SURENDRA</v>
          </cell>
          <cell r="G534" t="str">
            <v>Kathryn Spaziani</v>
          </cell>
          <cell r="H534" t="str">
            <v>(212) 305-1197</v>
          </cell>
          <cell r="J534" t="str">
            <v>kas9171@nyp.org</v>
          </cell>
          <cell r="L534" t="str">
            <v>Practitioner - Non-Primary Care Provider (PCP)</v>
          </cell>
          <cell r="M534" t="str">
            <v>No</v>
          </cell>
          <cell r="R534" t="str">
            <v>AVASARE RUPALI DR.</v>
          </cell>
          <cell r="W534" t="str">
            <v>AVASARE RUPALI SURENDRA</v>
          </cell>
          <cell r="X534" t="str">
            <v>622 W 168TH ST BOX 4</v>
          </cell>
          <cell r="Y534" t="str">
            <v>NEW YORK</v>
          </cell>
          <cell r="Z534" t="str">
            <v>NY</v>
          </cell>
          <cell r="AA534" t="str">
            <v>10032-3720</v>
          </cell>
          <cell r="AB534" t="str">
            <v>PHYSICIAN</v>
          </cell>
          <cell r="AC534" t="str">
            <v>M</v>
          </cell>
          <cell r="AD534" t="str">
            <v>No</v>
          </cell>
          <cell r="AE534" t="str">
            <v>MMIS</v>
          </cell>
          <cell r="AF534" t="str">
            <v>nypwestcampus</v>
          </cell>
          <cell r="AG534" t="str">
            <v>P</v>
          </cell>
        </row>
        <row r="535">
          <cell r="A535" t="str">
            <v>1902082654</v>
          </cell>
          <cell r="B535" t="str">
            <v>03797284</v>
          </cell>
          <cell r="C535" t="str">
            <v>BAINTON, NICOLE</v>
          </cell>
          <cell r="D535" t="str">
            <v>E0370481</v>
          </cell>
          <cell r="E535" t="str">
            <v>BAINTON NICOLE M</v>
          </cell>
          <cell r="G535" t="str">
            <v>Kathryn Spaziani</v>
          </cell>
          <cell r="H535" t="str">
            <v>(212) 305-1198</v>
          </cell>
          <cell r="J535" t="str">
            <v>kas9171@nyp.org</v>
          </cell>
          <cell r="L535" t="str">
            <v>Practitioner - Non-Primary Care Provider (PCP)</v>
          </cell>
          <cell r="M535" t="str">
            <v>No</v>
          </cell>
          <cell r="R535" t="str">
            <v>BAINTON NICOLE</v>
          </cell>
          <cell r="W535" t="str">
            <v>BAINTON NICOLE M</v>
          </cell>
          <cell r="X535" t="str">
            <v>3959 BROADWAY</v>
          </cell>
          <cell r="Y535" t="str">
            <v>NEW YORK</v>
          </cell>
          <cell r="Z535" t="str">
            <v>NY</v>
          </cell>
          <cell r="AA535" t="str">
            <v>10032-1559</v>
          </cell>
          <cell r="AB535" t="str">
            <v>PHYSICIAN</v>
          </cell>
          <cell r="AC535" t="str">
            <v>M</v>
          </cell>
          <cell r="AD535" t="str">
            <v>No</v>
          </cell>
          <cell r="AE535" t="str">
            <v>MMIS</v>
          </cell>
          <cell r="AF535" t="str">
            <v>nypwestcampus</v>
          </cell>
          <cell r="AG535" t="str">
            <v>P</v>
          </cell>
        </row>
        <row r="536">
          <cell r="A536" t="str">
            <v>1699730143</v>
          </cell>
          <cell r="B536" t="str">
            <v>03299676</v>
          </cell>
          <cell r="C536" t="str">
            <v>BATHON, JOAN</v>
          </cell>
          <cell r="D536" t="str">
            <v>E0315654</v>
          </cell>
          <cell r="E536" t="str">
            <v>BATHON JOAN MARIE</v>
          </cell>
          <cell r="G536" t="str">
            <v>Kathryn Spaziani</v>
          </cell>
          <cell r="H536" t="str">
            <v>(212) 305-1199</v>
          </cell>
          <cell r="J536" t="str">
            <v>kas9171@nyp.org</v>
          </cell>
          <cell r="L536" t="str">
            <v>Practitioner - Non-Primary Care Provider (PCP)</v>
          </cell>
          <cell r="M536" t="str">
            <v>No</v>
          </cell>
          <cell r="R536" t="str">
            <v>BATHON JOAN DR.</v>
          </cell>
          <cell r="W536" t="str">
            <v>BATHON JOAN MARIE</v>
          </cell>
          <cell r="X536" t="str">
            <v>622 W 168TH ST</v>
          </cell>
          <cell r="Y536" t="str">
            <v>NEW YORK</v>
          </cell>
          <cell r="Z536" t="str">
            <v>NY</v>
          </cell>
          <cell r="AA536" t="str">
            <v>10032-3720</v>
          </cell>
          <cell r="AB536" t="str">
            <v>PHYSICIAN</v>
          </cell>
          <cell r="AC536" t="str">
            <v>M</v>
          </cell>
          <cell r="AD536" t="str">
            <v>No</v>
          </cell>
          <cell r="AE536" t="str">
            <v>MMIS</v>
          </cell>
          <cell r="AF536" t="str">
            <v>nypwestcampus</v>
          </cell>
          <cell r="AG536" t="str">
            <v>P</v>
          </cell>
        </row>
        <row r="537">
          <cell r="A537" t="str">
            <v>1710900212</v>
          </cell>
          <cell r="B537" t="str">
            <v>03824224</v>
          </cell>
          <cell r="C537" t="str">
            <v>BERMAN, JOSHUA</v>
          </cell>
          <cell r="D537" t="str">
            <v>E0373302</v>
          </cell>
          <cell r="E537" t="str">
            <v>BERMAN JOSHUA AARON</v>
          </cell>
          <cell r="G537" t="str">
            <v>Kathryn Spaziani</v>
          </cell>
          <cell r="H537" t="str">
            <v>(212) 305-1201</v>
          </cell>
          <cell r="J537" t="str">
            <v>kas9171@nyp.org</v>
          </cell>
          <cell r="L537" t="str">
            <v>Mental Health:: Practitioner - Non-Primary Care Provider (PCP)</v>
          </cell>
          <cell r="M537" t="str">
            <v>No</v>
          </cell>
          <cell r="R537" t="str">
            <v>BERMAN JOSHUA</v>
          </cell>
          <cell r="W537" t="str">
            <v>BERMAN JOSHUA AARON</v>
          </cell>
          <cell r="X537" t="str">
            <v>177 FORT WASHINGTON AVE</v>
          </cell>
          <cell r="Y537" t="str">
            <v>NEW YORK</v>
          </cell>
          <cell r="Z537" t="str">
            <v>NY</v>
          </cell>
          <cell r="AA537" t="str">
            <v>10032-3733</v>
          </cell>
          <cell r="AB537" t="str">
            <v>PHYSICIAN</v>
          </cell>
          <cell r="AC537" t="str">
            <v>M</v>
          </cell>
          <cell r="AD537" t="str">
            <v>No</v>
          </cell>
          <cell r="AE537" t="str">
            <v>MMIS</v>
          </cell>
          <cell r="AF537" t="str">
            <v>nypwestcampus</v>
          </cell>
          <cell r="AG537" t="str">
            <v>P</v>
          </cell>
        </row>
        <row r="538">
          <cell r="A538" t="str">
            <v>1801070180</v>
          </cell>
          <cell r="B538" t="str">
            <v>02322181</v>
          </cell>
          <cell r="C538" t="str">
            <v>BIRMINGHAM, MARY</v>
          </cell>
          <cell r="D538" t="str">
            <v>E0067885</v>
          </cell>
          <cell r="E538" t="str">
            <v>BIRMINGHAM MARY CATHERINE MD</v>
          </cell>
          <cell r="G538" t="str">
            <v>Kathryn Spaziani</v>
          </cell>
          <cell r="H538" t="str">
            <v>(212) 305-1202</v>
          </cell>
          <cell r="J538" t="str">
            <v>kas9171@nyp.org</v>
          </cell>
          <cell r="L538" t="str">
            <v>Practitioner - Non-Primary Care Provider (PCP)</v>
          </cell>
          <cell r="M538" t="str">
            <v>No</v>
          </cell>
          <cell r="R538" t="str">
            <v>BIRMINGHAM MARY</v>
          </cell>
          <cell r="W538" t="str">
            <v>BIRMINGHAM MARY CATHERINE MD</v>
          </cell>
          <cell r="X538" t="str">
            <v>1400 PELHAM PKWY S</v>
          </cell>
          <cell r="Y538" t="str">
            <v>BRONX</v>
          </cell>
          <cell r="Z538" t="str">
            <v>NY</v>
          </cell>
          <cell r="AA538" t="str">
            <v>10461-1138</v>
          </cell>
          <cell r="AB538" t="str">
            <v>PHYSICIAN</v>
          </cell>
          <cell r="AC538" t="str">
            <v>M</v>
          </cell>
          <cell r="AD538" t="str">
            <v>No</v>
          </cell>
          <cell r="AE538" t="str">
            <v>MMIS</v>
          </cell>
          <cell r="AF538" t="str">
            <v>nypeastcampus</v>
          </cell>
          <cell r="AG538" t="str">
            <v>P</v>
          </cell>
        </row>
        <row r="539">
          <cell r="A539" t="str">
            <v>1659388494</v>
          </cell>
          <cell r="B539" t="str">
            <v>03192629</v>
          </cell>
          <cell r="C539" t="str">
            <v>BLINDERMAN, CRAIG</v>
          </cell>
          <cell r="D539" t="str">
            <v>E0303597</v>
          </cell>
          <cell r="E539" t="str">
            <v>BLINDERMAN CRAIG DAVID MD</v>
          </cell>
          <cell r="G539" t="str">
            <v>Kathryn Spaziani</v>
          </cell>
          <cell r="H539" t="str">
            <v>(212) 305-1203</v>
          </cell>
          <cell r="J539" t="str">
            <v>kas9171@nyp.org</v>
          </cell>
          <cell r="L539" t="str">
            <v>Practitioner - Non-Primary Care Provider (PCP)</v>
          </cell>
          <cell r="M539" t="str">
            <v>No</v>
          </cell>
          <cell r="R539" t="str">
            <v>BLINDERMAN CRAIG</v>
          </cell>
          <cell r="W539" t="str">
            <v>BLINDERMAN CRAIG DAVID MD</v>
          </cell>
          <cell r="X539" t="str">
            <v>622 W 168TH ST</v>
          </cell>
          <cell r="Y539" t="str">
            <v>NEW YORK</v>
          </cell>
          <cell r="Z539" t="str">
            <v>NY</v>
          </cell>
          <cell r="AA539" t="str">
            <v>10032-3720</v>
          </cell>
          <cell r="AB539" t="str">
            <v>PHYSICIAN</v>
          </cell>
          <cell r="AC539" t="str">
            <v>M</v>
          </cell>
          <cell r="AD539" t="str">
            <v>No</v>
          </cell>
          <cell r="AE539" t="str">
            <v>MMIS</v>
          </cell>
          <cell r="AF539" t="str">
            <v>nypwestcampus</v>
          </cell>
          <cell r="AG539" t="str">
            <v>P</v>
          </cell>
        </row>
        <row r="540">
          <cell r="A540" t="str">
            <v>1063474849</v>
          </cell>
          <cell r="B540" t="str">
            <v>01625350</v>
          </cell>
          <cell r="C540" t="str">
            <v>BOLOGA, ROXANA</v>
          </cell>
          <cell r="D540" t="str">
            <v>E0137477</v>
          </cell>
          <cell r="E540" t="str">
            <v>BOLOGA ROXANA MAGDALENA MD</v>
          </cell>
          <cell r="G540" t="str">
            <v>Kathryn Spaziani</v>
          </cell>
          <cell r="H540" t="str">
            <v>(212) 305-1204</v>
          </cell>
          <cell r="J540" t="str">
            <v>kas9171@nyp.org</v>
          </cell>
          <cell r="L540" t="str">
            <v>All Other:: Practitioner - Non-Primary Care Provider (PCP)</v>
          </cell>
          <cell r="M540" t="str">
            <v>No</v>
          </cell>
          <cell r="R540" t="str">
            <v>BOLOGA ROXANA DR.</v>
          </cell>
          <cell r="W540" t="str">
            <v>BOLOGA ROXANA MAGDALENA MD</v>
          </cell>
          <cell r="X540" t="str">
            <v>ROGOSIN INSTITUTE</v>
          </cell>
          <cell r="Y540" t="str">
            <v>NEW YORK</v>
          </cell>
          <cell r="Z540" t="str">
            <v>NY</v>
          </cell>
          <cell r="AA540" t="str">
            <v>10021-9809</v>
          </cell>
          <cell r="AB540" t="str">
            <v>PHYSICIAN</v>
          </cell>
          <cell r="AC540" t="str">
            <v>M</v>
          </cell>
          <cell r="AD540" t="str">
            <v>No</v>
          </cell>
          <cell r="AE540" t="str">
            <v>MMIS</v>
          </cell>
          <cell r="AF540" t="str">
            <v>nypeastcampus</v>
          </cell>
          <cell r="AG540" t="str">
            <v>P</v>
          </cell>
        </row>
        <row r="541">
          <cell r="A541" t="str">
            <v>1063783181</v>
          </cell>
          <cell r="B541" t="str">
            <v>03474637</v>
          </cell>
          <cell r="C541" t="str">
            <v>Dubey Elizabeth</v>
          </cell>
          <cell r="D541" t="str">
            <v>E0336757</v>
          </cell>
          <cell r="E541" t="str">
            <v>DUBEY ELIZABETH A</v>
          </cell>
          <cell r="L541" t="str">
            <v>Practitioner - Non-Primary Care Provider (PCP)</v>
          </cell>
          <cell r="M541" t="str">
            <v>No</v>
          </cell>
          <cell r="R541" t="str">
            <v>DUBEY ELIZABETH DR.</v>
          </cell>
          <cell r="W541" t="str">
            <v>DUBEY ELIZABETH A</v>
          </cell>
          <cell r="X541" t="str">
            <v>622 W 168TH ST PH 1-137</v>
          </cell>
          <cell r="Y541" t="str">
            <v>NEW YORK</v>
          </cell>
          <cell r="Z541" t="str">
            <v>NY</v>
          </cell>
          <cell r="AA541" t="str">
            <v>10032-3720</v>
          </cell>
          <cell r="AB541" t="str">
            <v>PHYSICIAN</v>
          </cell>
          <cell r="AC541" t="str">
            <v>M</v>
          </cell>
          <cell r="AD541" t="str">
            <v>No</v>
          </cell>
          <cell r="AE541" t="str">
            <v>MMIS</v>
          </cell>
          <cell r="AF541" t="str">
            <v>nypwestacn</v>
          </cell>
          <cell r="AG541" t="str">
            <v>P</v>
          </cell>
        </row>
        <row r="542">
          <cell r="A542" t="str">
            <v>1770727166</v>
          </cell>
          <cell r="B542" t="str">
            <v>03152105</v>
          </cell>
          <cell r="C542" t="str">
            <v>Farrell Sandra</v>
          </cell>
          <cell r="D542" t="str">
            <v>E0298961</v>
          </cell>
          <cell r="E542" t="str">
            <v>FARRELL SANDRA</v>
          </cell>
          <cell r="L542" t="str">
            <v>Practitioner - Non-Primary Care Provider (PCP)</v>
          </cell>
          <cell r="M542" t="str">
            <v>No</v>
          </cell>
          <cell r="R542" t="str">
            <v>FARRELL SANDRA MRS.</v>
          </cell>
          <cell r="W542" t="str">
            <v>FARRELL SANDRA N</v>
          </cell>
          <cell r="X542" t="str">
            <v>3400 BAINBRIDGE AVE</v>
          </cell>
          <cell r="Y542" t="str">
            <v>BRONX</v>
          </cell>
          <cell r="Z542" t="str">
            <v>NY</v>
          </cell>
          <cell r="AA542" t="str">
            <v>10467-2404</v>
          </cell>
          <cell r="AB542" t="str">
            <v>PHYSICIAN</v>
          </cell>
          <cell r="AC542" t="str">
            <v>M</v>
          </cell>
          <cell r="AD542" t="str">
            <v>No</v>
          </cell>
          <cell r="AE542" t="str">
            <v>MMIS</v>
          </cell>
          <cell r="AF542" t="str">
            <v>nypwestcampus</v>
          </cell>
          <cell r="AG542" t="str">
            <v>P</v>
          </cell>
        </row>
        <row r="543">
          <cell r="A543" t="str">
            <v>1033374145</v>
          </cell>
          <cell r="C543" t="str">
            <v>Czyz Carolyn</v>
          </cell>
          <cell r="G543" t="str">
            <v>Kathryn Spaziani</v>
          </cell>
          <cell r="H543" t="str">
            <v>(212) 305-1255</v>
          </cell>
          <cell r="J543" t="str">
            <v>kas9171@nyp.org</v>
          </cell>
          <cell r="K543" t="str">
            <v>Physician</v>
          </cell>
          <cell r="L543" t="str">
            <v>Uncategorized</v>
          </cell>
          <cell r="M543" t="str">
            <v>No</v>
          </cell>
          <cell r="R543" t="str">
            <v>CZYZ CAROLYN MS.</v>
          </cell>
          <cell r="S543" t="str">
            <v>525 E 68TH ST</v>
          </cell>
          <cell r="T543" t="str">
            <v>NEW YORK</v>
          </cell>
          <cell r="U543" t="str">
            <v>NY</v>
          </cell>
          <cell r="V543" t="str">
            <v>100654870</v>
          </cell>
          <cell r="AC543" t="str">
            <v>M</v>
          </cell>
          <cell r="AD543" t="str">
            <v>No</v>
          </cell>
          <cell r="AE543" t="str">
            <v>NPI only</v>
          </cell>
          <cell r="AF543" t="str">
            <v>nypeastcampus</v>
          </cell>
          <cell r="AG543" t="str">
            <v>P</v>
          </cell>
        </row>
        <row r="544">
          <cell r="A544" t="str">
            <v>1912010711</v>
          </cell>
          <cell r="B544" t="str">
            <v>02549806</v>
          </cell>
          <cell r="C544" t="str">
            <v>Darwich Alaeldin</v>
          </cell>
          <cell r="D544" t="str">
            <v>E0045167</v>
          </cell>
          <cell r="E544" t="str">
            <v>DARWICH ALAELDIN A MD</v>
          </cell>
          <cell r="L544" t="str">
            <v>All Other:: Practitioner - Non-Primary Care Provider (PCP)</v>
          </cell>
          <cell r="M544" t="str">
            <v>No</v>
          </cell>
          <cell r="R544" t="str">
            <v>DARWICH ALAELDIN DR.</v>
          </cell>
          <cell r="W544" t="str">
            <v>DARWICH ALAELDIN A MD</v>
          </cell>
          <cell r="X544" t="str">
            <v>4802 10TH AVE</v>
          </cell>
          <cell r="Y544" t="str">
            <v>BROOKLYN</v>
          </cell>
          <cell r="Z544" t="str">
            <v>NY</v>
          </cell>
          <cell r="AA544" t="str">
            <v>11219-2916</v>
          </cell>
          <cell r="AB544" t="str">
            <v>PHYSICIAN</v>
          </cell>
          <cell r="AC544" t="str">
            <v>M</v>
          </cell>
          <cell r="AD544" t="str">
            <v>No</v>
          </cell>
          <cell r="AE544" t="str">
            <v>MMIS</v>
          </cell>
          <cell r="AF544" t="str">
            <v>nypeastcampus</v>
          </cell>
          <cell r="AG544" t="str">
            <v>P</v>
          </cell>
        </row>
        <row r="545">
          <cell r="A545" t="str">
            <v>1912174533</v>
          </cell>
          <cell r="B545" t="str">
            <v>03917842</v>
          </cell>
          <cell r="C545" t="str">
            <v>Dave Anjalee</v>
          </cell>
          <cell r="D545" t="str">
            <v>E0382952</v>
          </cell>
          <cell r="E545" t="str">
            <v>DAVE ANJALEE</v>
          </cell>
          <cell r="L545" t="str">
            <v>All Other:: Practitioner - Non-Primary Care Provider (PCP)</v>
          </cell>
          <cell r="M545" t="str">
            <v>No</v>
          </cell>
          <cell r="R545" t="str">
            <v>DAVE ANJALEE DR.</v>
          </cell>
          <cell r="W545" t="str">
            <v>DAVE ANJALEE</v>
          </cell>
          <cell r="X545" t="str">
            <v>525 E 68TH ST</v>
          </cell>
          <cell r="Y545" t="str">
            <v>NEW YORK</v>
          </cell>
          <cell r="Z545" t="str">
            <v>NY</v>
          </cell>
          <cell r="AA545" t="str">
            <v>10065-4870</v>
          </cell>
          <cell r="AB545" t="str">
            <v>PHYSICIAN</v>
          </cell>
          <cell r="AC545" t="str">
            <v>M</v>
          </cell>
          <cell r="AD545" t="str">
            <v>No</v>
          </cell>
          <cell r="AE545" t="str">
            <v>MMIS</v>
          </cell>
          <cell r="AF545" t="str">
            <v>nypeastcampus</v>
          </cell>
          <cell r="AG545" t="str">
            <v>P</v>
          </cell>
        </row>
        <row r="546">
          <cell r="A546" t="str">
            <v>1114132842</v>
          </cell>
          <cell r="B546" t="str">
            <v>02872315</v>
          </cell>
          <cell r="C546" t="str">
            <v>Crossman Daniel</v>
          </cell>
          <cell r="D546" t="str">
            <v>E0012972</v>
          </cell>
          <cell r="E546" t="str">
            <v>CROSSMAN DANIEL J MD</v>
          </cell>
          <cell r="L546" t="str">
            <v>Practitioner - Primary Care Provider (PCP)</v>
          </cell>
          <cell r="M546" t="str">
            <v>No</v>
          </cell>
          <cell r="R546" t="str">
            <v>CROSSMAN DANIEL DR.</v>
          </cell>
          <cell r="W546" t="str">
            <v>CROSSMAN DANIEL J MD</v>
          </cell>
          <cell r="X546" t="str">
            <v>525 E 68TH ST # 585</v>
          </cell>
          <cell r="Y546" t="str">
            <v>NEW YORK</v>
          </cell>
          <cell r="Z546" t="str">
            <v>NY</v>
          </cell>
          <cell r="AA546" t="str">
            <v>10065-4870</v>
          </cell>
          <cell r="AB546" t="str">
            <v>PHYSICIAN</v>
          </cell>
          <cell r="AC546" t="str">
            <v>M</v>
          </cell>
          <cell r="AD546" t="str">
            <v>No</v>
          </cell>
          <cell r="AE546" t="str">
            <v>MMIS</v>
          </cell>
          <cell r="AF546" t="str">
            <v>nypeastcampus</v>
          </cell>
          <cell r="AG546" t="str">
            <v>P</v>
          </cell>
        </row>
        <row r="547">
          <cell r="A547" t="str">
            <v>1033558945</v>
          </cell>
          <cell r="C547" t="str">
            <v>Chen Liyang</v>
          </cell>
          <cell r="G547" t="str">
            <v>Kathryn Spaziani</v>
          </cell>
          <cell r="H547" t="str">
            <v>(212) 305-1255</v>
          </cell>
          <cell r="J547" t="str">
            <v>kas9171@nyp.org</v>
          </cell>
          <cell r="K547" t="str">
            <v>Physician</v>
          </cell>
          <cell r="L547" t="str">
            <v>Uncategorized</v>
          </cell>
          <cell r="M547" t="str">
            <v>No</v>
          </cell>
          <cell r="R547" t="str">
            <v>CHEN LIYANG DR.</v>
          </cell>
          <cell r="S547" t="str">
            <v>330 MOUNT AUBURN ST, DEPT OF MEDICINE</v>
          </cell>
          <cell r="T547" t="str">
            <v>CAMBRIDGE</v>
          </cell>
          <cell r="U547" t="str">
            <v>MA</v>
          </cell>
          <cell r="V547" t="str">
            <v>021385502</v>
          </cell>
          <cell r="AC547" t="str">
            <v>M</v>
          </cell>
          <cell r="AD547" t="str">
            <v>No</v>
          </cell>
          <cell r="AE547" t="str">
            <v>NPI only</v>
          </cell>
          <cell r="AF547" t="str">
            <v>nypwestacn</v>
          </cell>
          <cell r="AG547" t="str">
            <v>P</v>
          </cell>
        </row>
        <row r="548">
          <cell r="A548" t="str">
            <v>1568861706</v>
          </cell>
          <cell r="C548" t="str">
            <v>Chhabra Shalini</v>
          </cell>
          <cell r="G548" t="str">
            <v>Kathryn Spaziani</v>
          </cell>
          <cell r="H548" t="str">
            <v>(212) 305-1255</v>
          </cell>
          <cell r="J548" t="str">
            <v>kas9171@nyp.org</v>
          </cell>
          <cell r="K548" t="str">
            <v>Physician</v>
          </cell>
          <cell r="L548" t="str">
            <v>Uncategorized</v>
          </cell>
          <cell r="M548" t="str">
            <v>No</v>
          </cell>
          <cell r="R548" t="str">
            <v>CHHABRA SHALINI</v>
          </cell>
          <cell r="S548" t="str">
            <v>45 HIGHVIEW DR</v>
          </cell>
          <cell r="T548" t="str">
            <v>WOODBRIDGE</v>
          </cell>
          <cell r="U548" t="str">
            <v>NJ</v>
          </cell>
          <cell r="V548" t="str">
            <v>070953904</v>
          </cell>
          <cell r="AC548" t="str">
            <v>M</v>
          </cell>
          <cell r="AD548" t="str">
            <v>No</v>
          </cell>
          <cell r="AE548" t="str">
            <v>NPI only</v>
          </cell>
          <cell r="AF548" t="str">
            <v>nypeastcampus</v>
          </cell>
          <cell r="AG548" t="str">
            <v>P</v>
          </cell>
        </row>
        <row r="549">
          <cell r="A549" t="str">
            <v>1285950725</v>
          </cell>
          <cell r="C549" t="str">
            <v>Chng Yeang</v>
          </cell>
          <cell r="G549" t="str">
            <v>Kathryn Spaziani</v>
          </cell>
          <cell r="H549" t="str">
            <v>(212) 305-1255</v>
          </cell>
          <cell r="J549" t="str">
            <v>kas9171@nyp.org</v>
          </cell>
          <cell r="K549" t="str">
            <v>Physician</v>
          </cell>
          <cell r="L549" t="str">
            <v>Uncategorized</v>
          </cell>
          <cell r="M549" t="str">
            <v>No</v>
          </cell>
          <cell r="R549" t="str">
            <v>CHNG YEANG</v>
          </cell>
          <cell r="S549" t="str">
            <v>489 STATE ST</v>
          </cell>
          <cell r="T549" t="str">
            <v>BANGOR</v>
          </cell>
          <cell r="U549" t="str">
            <v>ME</v>
          </cell>
          <cell r="V549" t="str">
            <v>044016616</v>
          </cell>
          <cell r="AC549" t="str">
            <v>M</v>
          </cell>
          <cell r="AD549" t="str">
            <v>No</v>
          </cell>
          <cell r="AE549" t="str">
            <v>NPI only</v>
          </cell>
          <cell r="AF549" t="str">
            <v>nypwestacn</v>
          </cell>
          <cell r="AG549" t="str">
            <v>P</v>
          </cell>
        </row>
        <row r="550">
          <cell r="A550" t="str">
            <v>1811254725</v>
          </cell>
          <cell r="B550" t="str">
            <v>03814142</v>
          </cell>
          <cell r="C550" t="str">
            <v>Laurence Cloutier-Champagne</v>
          </cell>
          <cell r="D550" t="str">
            <v>E0372261</v>
          </cell>
          <cell r="E550" t="str">
            <v>CLOUTIER-CHAMPAGNE LAURENCE</v>
          </cell>
          <cell r="L550" t="str">
            <v>All Other:: Practitioner - Non-Primary Care Provider (PCP)</v>
          </cell>
          <cell r="M550" t="str">
            <v>No</v>
          </cell>
          <cell r="R550" t="str">
            <v>CLOUTIER-CHAMPAGNE LAURENCE</v>
          </cell>
          <cell r="W550" t="str">
            <v>CLOUTIER-CHAMPAGNE LAURENCE</v>
          </cell>
          <cell r="X550" t="str">
            <v>81 W 115TH ST</v>
          </cell>
          <cell r="Y550" t="str">
            <v>NEW YORK</v>
          </cell>
          <cell r="Z550" t="str">
            <v>NY</v>
          </cell>
          <cell r="AA550" t="str">
            <v>10026-3138</v>
          </cell>
          <cell r="AB550" t="str">
            <v>PODIATRIST</v>
          </cell>
          <cell r="AC550" t="str">
            <v>M</v>
          </cell>
          <cell r="AD550" t="str">
            <v>No</v>
          </cell>
          <cell r="AE550" t="str">
            <v>MMIS</v>
          </cell>
          <cell r="AF550" t="str">
            <v>nypeastacn</v>
          </cell>
          <cell r="AG550" t="str">
            <v>P</v>
          </cell>
        </row>
        <row r="551">
          <cell r="A551" t="str">
            <v>1538482823</v>
          </cell>
          <cell r="B551" t="str">
            <v>03527479</v>
          </cell>
          <cell r="C551" t="str">
            <v>WISEMAN, THU</v>
          </cell>
          <cell r="D551" t="str">
            <v>E0342487</v>
          </cell>
          <cell r="E551" t="str">
            <v>THU THI XUAN NGUYEN</v>
          </cell>
          <cell r="G551" t="str">
            <v>Kathryn Spaziani</v>
          </cell>
          <cell r="H551" t="str">
            <v>(212) 305-1355</v>
          </cell>
          <cell r="J551" t="str">
            <v>kas9171@nyp.org</v>
          </cell>
          <cell r="L551" t="str">
            <v>Practitioner - Non-Primary Care Provider (PCP)</v>
          </cell>
          <cell r="M551" t="str">
            <v>No</v>
          </cell>
          <cell r="R551" t="str">
            <v>WISEMAN THU MRS.</v>
          </cell>
          <cell r="W551" t="str">
            <v>WISEMAN THU NGUYEN</v>
          </cell>
          <cell r="X551" t="str">
            <v>622 W 168TH ST</v>
          </cell>
          <cell r="Y551" t="str">
            <v>NEW YORK</v>
          </cell>
          <cell r="Z551" t="str">
            <v>NY</v>
          </cell>
          <cell r="AA551" t="str">
            <v>10032-3720</v>
          </cell>
          <cell r="AB551" t="str">
            <v>PHYSICIAN</v>
          </cell>
          <cell r="AC551" t="str">
            <v>M</v>
          </cell>
          <cell r="AD551" t="str">
            <v>No</v>
          </cell>
          <cell r="AE551" t="str">
            <v>MMIS</v>
          </cell>
          <cell r="AF551" t="str">
            <v>nypwestcampus</v>
          </cell>
          <cell r="AG551" t="str">
            <v>P</v>
          </cell>
        </row>
        <row r="552">
          <cell r="A552" t="str">
            <v>1225019342</v>
          </cell>
          <cell r="B552" t="str">
            <v>03425225</v>
          </cell>
          <cell r="C552" t="str">
            <v>WONG, WAICHI</v>
          </cell>
          <cell r="D552" t="str">
            <v>E0329070</v>
          </cell>
          <cell r="E552" t="str">
            <v>WONG WAICHI</v>
          </cell>
          <cell r="G552" t="str">
            <v>Kathryn Spaziani</v>
          </cell>
          <cell r="H552" t="str">
            <v>(212) 305-1357</v>
          </cell>
          <cell r="J552" t="str">
            <v>kas9171@nyp.org</v>
          </cell>
          <cell r="L552" t="str">
            <v>All Other:: Practitioner - Non-Primary Care Provider (PCP)</v>
          </cell>
          <cell r="M552" t="str">
            <v>No</v>
          </cell>
          <cell r="R552" t="str">
            <v>WONG WAICHI DR.</v>
          </cell>
          <cell r="W552" t="str">
            <v>WONG WAICHI</v>
          </cell>
          <cell r="X552" t="str">
            <v>622 W 168TH ST PH 4TH FL</v>
          </cell>
          <cell r="Y552" t="str">
            <v>NEW YORK</v>
          </cell>
          <cell r="Z552" t="str">
            <v>NY</v>
          </cell>
          <cell r="AA552" t="str">
            <v>10032-3720</v>
          </cell>
          <cell r="AB552" t="str">
            <v>PHYSICIAN</v>
          </cell>
          <cell r="AC552" t="str">
            <v>M</v>
          </cell>
          <cell r="AD552" t="str">
            <v>No</v>
          </cell>
          <cell r="AE552" t="str">
            <v>MMIS</v>
          </cell>
          <cell r="AF552" t="str">
            <v>nypwestacn</v>
          </cell>
          <cell r="AG552" t="str">
            <v>P</v>
          </cell>
        </row>
        <row r="553">
          <cell r="A553" t="str">
            <v>1992832190</v>
          </cell>
          <cell r="B553" t="str">
            <v>02863183</v>
          </cell>
          <cell r="C553" t="str">
            <v>Spitalnik Steven</v>
          </cell>
          <cell r="D553" t="str">
            <v>E0013880</v>
          </cell>
          <cell r="E553" t="str">
            <v>SPITALNIK STEVEN</v>
          </cell>
          <cell r="L553" t="str">
            <v>All Other:: Practitioner - Non-Primary Care Provider (PCP)</v>
          </cell>
          <cell r="M553" t="str">
            <v>No</v>
          </cell>
          <cell r="R553" t="str">
            <v>SPITALNIK STEVEN</v>
          </cell>
          <cell r="W553" t="str">
            <v>SPITALNIK STEVEN</v>
          </cell>
          <cell r="X553" t="str">
            <v>630 W 168TH ST STE P</v>
          </cell>
          <cell r="Y553" t="str">
            <v>NEW YORK</v>
          </cell>
          <cell r="Z553" t="str">
            <v>NY</v>
          </cell>
          <cell r="AA553" t="str">
            <v>10032-3725</v>
          </cell>
          <cell r="AB553" t="str">
            <v>PHYSICIAN</v>
          </cell>
          <cell r="AC553" t="str">
            <v>M</v>
          </cell>
          <cell r="AD553" t="str">
            <v>No</v>
          </cell>
          <cell r="AE553" t="str">
            <v>MMIS</v>
          </cell>
          <cell r="AF553" t="str">
            <v>nypwestcampus</v>
          </cell>
          <cell r="AG553" t="str">
            <v>P</v>
          </cell>
        </row>
        <row r="554">
          <cell r="C554" t="str">
            <v>Terence Cardinal Cooke OPWDD</v>
          </cell>
          <cell r="K554" t="str">
            <v>Residential Supports in Community Settings</v>
          </cell>
          <cell r="L554" t="str">
            <v>CBO</v>
          </cell>
          <cell r="M554" t="str">
            <v>No</v>
          </cell>
          <cell r="P554" t="str">
            <v>NY</v>
          </cell>
          <cell r="AC554" t="str">
            <v>M</v>
          </cell>
          <cell r="AD554" t="str">
            <v>No</v>
          </cell>
          <cell r="AE554" t="str">
            <v>No NPI or MMIS</v>
          </cell>
          <cell r="AF554" t="str">
            <v>nypeastacn</v>
          </cell>
          <cell r="AG554" t="str">
            <v>P</v>
          </cell>
        </row>
        <row r="555">
          <cell r="A555" t="str">
            <v>1508933151</v>
          </cell>
          <cell r="B555" t="str">
            <v>01607381</v>
          </cell>
          <cell r="C555" t="str">
            <v>FREDA, PAMELA U</v>
          </cell>
          <cell r="D555" t="str">
            <v>E0139271</v>
          </cell>
          <cell r="E555" t="str">
            <v>FREDA PAMELA U MD</v>
          </cell>
          <cell r="G555" t="str">
            <v>Kathryn Spaziani</v>
          </cell>
          <cell r="H555" t="str">
            <v>(212) 305-1190</v>
          </cell>
          <cell r="J555" t="str">
            <v>kas9171@nyp.org</v>
          </cell>
          <cell r="L555" t="str">
            <v>Practitioner - Non-Primary Care Provider (PCP)</v>
          </cell>
          <cell r="M555" t="str">
            <v>No</v>
          </cell>
          <cell r="R555" t="str">
            <v>FREDA PAMELA DR.</v>
          </cell>
          <cell r="W555" t="str">
            <v>FREDA PAMELA U MD</v>
          </cell>
          <cell r="X555" t="str">
            <v>PRESBYTERIAN HSP</v>
          </cell>
          <cell r="Y555" t="str">
            <v>NEW YORK</v>
          </cell>
          <cell r="Z555" t="str">
            <v>NY</v>
          </cell>
          <cell r="AA555" t="str">
            <v>10032-3725</v>
          </cell>
          <cell r="AB555" t="str">
            <v>PHYSICIAN</v>
          </cell>
          <cell r="AC555" t="str">
            <v>M</v>
          </cell>
          <cell r="AD555" t="str">
            <v>No</v>
          </cell>
          <cell r="AE555" t="str">
            <v>MMIS</v>
          </cell>
          <cell r="AF555" t="str">
            <v>nypwestacn</v>
          </cell>
          <cell r="AG555" t="str">
            <v>P</v>
          </cell>
        </row>
        <row r="556">
          <cell r="A556" t="str">
            <v>1508977208</v>
          </cell>
          <cell r="B556" t="str">
            <v>02656962</v>
          </cell>
          <cell r="C556" t="str">
            <v>Moreno, Lisa B.</v>
          </cell>
          <cell r="D556" t="str">
            <v>E0034470</v>
          </cell>
          <cell r="E556" t="str">
            <v>MORENO LISA BELINDA</v>
          </cell>
          <cell r="G556" t="str">
            <v>Kathryn Spaziani</v>
          </cell>
          <cell r="H556" t="str">
            <v>(212) 305-1190</v>
          </cell>
          <cell r="J556" t="str">
            <v>kas9171@nyp.org</v>
          </cell>
          <cell r="L556" t="str">
            <v>All Other:: Practitioner - Primary Care Provider (PCP)</v>
          </cell>
          <cell r="M556" t="str">
            <v>Yes</v>
          </cell>
          <cell r="R556" t="str">
            <v>MORENO LISA</v>
          </cell>
          <cell r="W556" t="str">
            <v>MORENO LISA BELINDA</v>
          </cell>
          <cell r="X556" t="str">
            <v>7411 37TH AVE</v>
          </cell>
          <cell r="Y556" t="str">
            <v>JACKSON HEIGHTS</v>
          </cell>
          <cell r="Z556" t="str">
            <v>NY</v>
          </cell>
          <cell r="AA556" t="str">
            <v>11372-6339</v>
          </cell>
          <cell r="AB556" t="str">
            <v>PHYSICIAN</v>
          </cell>
          <cell r="AC556" t="str">
            <v>M</v>
          </cell>
          <cell r="AD556" t="str">
            <v>No</v>
          </cell>
          <cell r="AE556" t="str">
            <v>MMIS</v>
          </cell>
          <cell r="AF556" t="str">
            <v>nypeastcampus</v>
          </cell>
          <cell r="AG556" t="str">
            <v>P</v>
          </cell>
        </row>
        <row r="557">
          <cell r="A557" t="str">
            <v>1023201480</v>
          </cell>
          <cell r="B557" t="str">
            <v>03940190</v>
          </cell>
          <cell r="C557" t="str">
            <v>SANDRA E WHEELER</v>
          </cell>
          <cell r="D557" t="str">
            <v>E0385224</v>
          </cell>
          <cell r="E557" t="str">
            <v>WHEELER SANDRA E</v>
          </cell>
          <cell r="G557" t="str">
            <v>Eva Eng</v>
          </cell>
          <cell r="H557" t="str">
            <v>(212) 752-5004</v>
          </cell>
          <cell r="J557" t="str">
            <v>eeng@archcare.org</v>
          </cell>
          <cell r="L557" t="str">
            <v>Practitioner - Non-Primary Care Provider (PCP)</v>
          </cell>
          <cell r="M557" t="str">
            <v>No</v>
          </cell>
          <cell r="R557" t="str">
            <v>WHEELER SANDRA</v>
          </cell>
          <cell r="W557" t="str">
            <v>WHEELER SANDRA E</v>
          </cell>
          <cell r="X557" t="str">
            <v>23 CANFIELD ST</v>
          </cell>
          <cell r="Y557" t="str">
            <v>KINGSTON</v>
          </cell>
          <cell r="Z557" t="str">
            <v>NY</v>
          </cell>
          <cell r="AA557" t="str">
            <v>12401-3931</v>
          </cell>
          <cell r="AB557" t="str">
            <v>PHYSICIAN</v>
          </cell>
          <cell r="AC557" t="str">
            <v>M</v>
          </cell>
          <cell r="AD557" t="str">
            <v>No</v>
          </cell>
          <cell r="AE557" t="str">
            <v>MMIS</v>
          </cell>
          <cell r="AF557" t="str">
            <v>nypwestacn</v>
          </cell>
          <cell r="AG557" t="str">
            <v>P</v>
          </cell>
        </row>
        <row r="558">
          <cell r="A558" t="str">
            <v>1649608951</v>
          </cell>
          <cell r="B558" t="str">
            <v>03746632</v>
          </cell>
          <cell r="C558" t="str">
            <v>Alice Lam</v>
          </cell>
          <cell r="D558" t="str">
            <v>E0365342</v>
          </cell>
          <cell r="E558" t="str">
            <v>LAM FUNG YI</v>
          </cell>
          <cell r="G558" t="str">
            <v>Eva Eng</v>
          </cell>
          <cell r="H558" t="str">
            <v>(212) 752-5017</v>
          </cell>
          <cell r="J558" t="str">
            <v>eeng@archcare.org</v>
          </cell>
          <cell r="L558" t="str">
            <v>Uncategorized</v>
          </cell>
          <cell r="M558" t="str">
            <v>Yes</v>
          </cell>
          <cell r="R558" t="str">
            <v>LAM FUNG</v>
          </cell>
          <cell r="W558" t="str">
            <v>LAM FUNG YI</v>
          </cell>
          <cell r="X558" t="str">
            <v>1432 5TH AVE</v>
          </cell>
          <cell r="Y558" t="str">
            <v>NEW YORK</v>
          </cell>
          <cell r="Z558" t="str">
            <v>NY</v>
          </cell>
          <cell r="AA558" t="str">
            <v>10035-4521</v>
          </cell>
          <cell r="AB558" t="str">
            <v>PHYSICIAN</v>
          </cell>
          <cell r="AC558" t="str">
            <v>M</v>
          </cell>
          <cell r="AD558" t="str">
            <v>No</v>
          </cell>
          <cell r="AE558" t="str">
            <v>MMIS</v>
          </cell>
          <cell r="AF558" t="str">
            <v>nypwestacn</v>
          </cell>
          <cell r="AG558" t="str">
            <v>P</v>
          </cell>
        </row>
        <row r="559">
          <cell r="A559" t="str">
            <v>1508983479</v>
          </cell>
          <cell r="B559" t="str">
            <v>01042364</v>
          </cell>
          <cell r="C559" t="str">
            <v>KERNER, KAREN F</v>
          </cell>
          <cell r="D559" t="str">
            <v>E0195630</v>
          </cell>
          <cell r="E559" t="str">
            <v>KERNER KAREN F             MD</v>
          </cell>
          <cell r="G559" t="str">
            <v>Kathryn Spaziani</v>
          </cell>
          <cell r="H559" t="str">
            <v>(212) 305-1190</v>
          </cell>
          <cell r="J559" t="str">
            <v>kas9171@nyp.org</v>
          </cell>
          <cell r="L559" t="str">
            <v>Practitioner - Non-Primary Care Provider (PCP)</v>
          </cell>
          <cell r="M559" t="str">
            <v>No</v>
          </cell>
          <cell r="R559" t="str">
            <v>KERNER KAREN DR.</v>
          </cell>
          <cell r="W559" t="str">
            <v>KERNER KAREN F             MD</v>
          </cell>
          <cell r="X559" t="str">
            <v>EMERGENCY DEPT</v>
          </cell>
          <cell r="Y559" t="str">
            <v>NEW YORK</v>
          </cell>
          <cell r="Z559" t="str">
            <v>NY</v>
          </cell>
          <cell r="AA559" t="str">
            <v>10019</v>
          </cell>
          <cell r="AB559" t="str">
            <v>PHYSICIAN</v>
          </cell>
          <cell r="AC559" t="str">
            <v>M</v>
          </cell>
          <cell r="AD559" t="str">
            <v>No</v>
          </cell>
          <cell r="AE559" t="str">
            <v>MMIS</v>
          </cell>
          <cell r="AF559" t="str">
            <v>nypwestacn</v>
          </cell>
          <cell r="AG559" t="str">
            <v>P</v>
          </cell>
        </row>
        <row r="560">
          <cell r="A560" t="str">
            <v>1518025667</v>
          </cell>
          <cell r="B560" t="str">
            <v>01182094</v>
          </cell>
          <cell r="C560" t="str">
            <v>LEWIS, SUZANNE K</v>
          </cell>
          <cell r="D560" t="str">
            <v>E0181680</v>
          </cell>
          <cell r="E560" t="str">
            <v>LEWIS SUZANNE K MD</v>
          </cell>
          <cell r="G560" t="str">
            <v>Kathryn Spaziani</v>
          </cell>
          <cell r="H560" t="str">
            <v>(212) 305-1190</v>
          </cell>
          <cell r="J560" t="str">
            <v>kas9171@nyp.org</v>
          </cell>
          <cell r="L560" t="str">
            <v>Practitioner - Non-Primary Care Provider (PCP)</v>
          </cell>
          <cell r="M560" t="str">
            <v>No</v>
          </cell>
          <cell r="R560" t="str">
            <v>LEWIS SUZANNE DR.</v>
          </cell>
          <cell r="W560" t="str">
            <v>LEWIS SUZANNE K MD</v>
          </cell>
          <cell r="Y560" t="str">
            <v>NEW YORK</v>
          </cell>
          <cell r="Z560" t="str">
            <v>NY</v>
          </cell>
          <cell r="AA560" t="str">
            <v>10032-3720</v>
          </cell>
          <cell r="AB560" t="str">
            <v>PHYSICIAN</v>
          </cell>
          <cell r="AC560" t="str">
            <v>M</v>
          </cell>
          <cell r="AD560" t="str">
            <v>No</v>
          </cell>
          <cell r="AE560" t="str">
            <v>MMIS</v>
          </cell>
          <cell r="AF560" t="str">
            <v>nypwestcampus</v>
          </cell>
          <cell r="AG560" t="str">
            <v>P</v>
          </cell>
        </row>
        <row r="561">
          <cell r="A561" t="str">
            <v>1972693331</v>
          </cell>
          <cell r="B561" t="str">
            <v>02842771</v>
          </cell>
          <cell r="C561" t="str">
            <v>Courtines Simone</v>
          </cell>
          <cell r="D561" t="str">
            <v>E0015920</v>
          </cell>
          <cell r="E561" t="str">
            <v>COURTINES SIMONE G RPA</v>
          </cell>
          <cell r="L561" t="str">
            <v>Practitioner - Non-Primary Care Provider (PCP)</v>
          </cell>
          <cell r="M561" t="str">
            <v>No</v>
          </cell>
          <cell r="R561" t="str">
            <v>COURTINES SIMONE MS.</v>
          </cell>
          <cell r="W561" t="str">
            <v>COURTINES SIMONE G RPA</v>
          </cell>
          <cell r="X561" t="str">
            <v>1879 MADISON AVE</v>
          </cell>
          <cell r="Y561" t="str">
            <v>NEW YORK</v>
          </cell>
          <cell r="Z561" t="str">
            <v>NY</v>
          </cell>
          <cell r="AA561" t="str">
            <v>10035-2709</v>
          </cell>
          <cell r="AB561" t="str">
            <v>PHYSICIAN</v>
          </cell>
          <cell r="AC561" t="str">
            <v>M</v>
          </cell>
          <cell r="AD561" t="str">
            <v>No</v>
          </cell>
          <cell r="AE561" t="str">
            <v>MMIS</v>
          </cell>
          <cell r="AF561" t="str">
            <v>nypwestcampus</v>
          </cell>
          <cell r="AG561" t="str">
            <v>P</v>
          </cell>
        </row>
        <row r="562">
          <cell r="A562" t="str">
            <v>1043634009</v>
          </cell>
          <cell r="B562" t="str">
            <v>03879994</v>
          </cell>
          <cell r="C562" t="str">
            <v>Angie Gauthier</v>
          </cell>
          <cell r="D562" t="str">
            <v>E0379086</v>
          </cell>
          <cell r="E562" t="str">
            <v>GAUTHIER ANGIE R</v>
          </cell>
          <cell r="G562" t="str">
            <v>Corina Sharp</v>
          </cell>
          <cell r="H562" t="str">
            <v>(212) 545-2441</v>
          </cell>
          <cell r="J562" t="str">
            <v>csharp@chnnyc.org</v>
          </cell>
          <cell r="L562" t="str">
            <v>All Other:: Practitioner - Primary Care Provider (PCP)</v>
          </cell>
          <cell r="M562" t="str">
            <v>No</v>
          </cell>
          <cell r="R562" t="str">
            <v>HYLTON ANGIE</v>
          </cell>
          <cell r="W562" t="str">
            <v>HYLTON ANGIE RUTH</v>
          </cell>
          <cell r="X562" t="str">
            <v>1167 NOSTRAND AVE</v>
          </cell>
          <cell r="Y562" t="str">
            <v>BROOKLYN</v>
          </cell>
          <cell r="Z562" t="str">
            <v>NY</v>
          </cell>
          <cell r="AA562" t="str">
            <v>11225-5417</v>
          </cell>
          <cell r="AB562" t="str">
            <v>PHYSICIAN</v>
          </cell>
          <cell r="AC562" t="str">
            <v>M</v>
          </cell>
          <cell r="AD562" t="str">
            <v>No</v>
          </cell>
          <cell r="AE562" t="str">
            <v>MMIS</v>
          </cell>
          <cell r="AF562" t="str">
            <v>chn</v>
          </cell>
          <cell r="AG562" t="str">
            <v>P</v>
          </cell>
        </row>
        <row r="563">
          <cell r="A563" t="str">
            <v>1790079648</v>
          </cell>
          <cell r="B563" t="str">
            <v>03916709</v>
          </cell>
          <cell r="C563" t="str">
            <v>Priya Ghael</v>
          </cell>
          <cell r="D563" t="str">
            <v>E0382838</v>
          </cell>
          <cell r="E563" t="str">
            <v>GHAEL PRIYA</v>
          </cell>
          <cell r="G563" t="str">
            <v>Corina Sharp</v>
          </cell>
          <cell r="H563" t="str">
            <v>(212) 545-2441</v>
          </cell>
          <cell r="J563" t="str">
            <v>csharp@chnnyc.org</v>
          </cell>
          <cell r="L563" t="str">
            <v>All Other:: Practitioner - Primary Care Provider (PCP)</v>
          </cell>
          <cell r="M563" t="str">
            <v>No</v>
          </cell>
          <cell r="R563" t="str">
            <v>GHAEL PRIYA</v>
          </cell>
          <cell r="W563" t="str">
            <v>GHAEL PRIYA</v>
          </cell>
          <cell r="X563" t="str">
            <v>975 WESTCHESTER AVE</v>
          </cell>
          <cell r="Y563" t="str">
            <v>BRONX</v>
          </cell>
          <cell r="Z563" t="str">
            <v>NY</v>
          </cell>
          <cell r="AA563" t="str">
            <v>10459-3204</v>
          </cell>
          <cell r="AB563" t="str">
            <v>PHYSICIAN</v>
          </cell>
          <cell r="AC563" t="str">
            <v>M</v>
          </cell>
          <cell r="AD563" t="str">
            <v>No</v>
          </cell>
          <cell r="AE563" t="str">
            <v>MMIS</v>
          </cell>
          <cell r="AF563" t="str">
            <v>chn</v>
          </cell>
          <cell r="AG563" t="str">
            <v>P</v>
          </cell>
        </row>
        <row r="564">
          <cell r="A564" t="str">
            <v>1629303672</v>
          </cell>
          <cell r="B564" t="str">
            <v>03518650</v>
          </cell>
          <cell r="C564" t="str">
            <v>Katherine Gonzalez</v>
          </cell>
          <cell r="D564" t="str">
            <v>E0341563</v>
          </cell>
          <cell r="E564" t="str">
            <v>GONZALEZ KATHERNE</v>
          </cell>
          <cell r="G564" t="str">
            <v>Corina Sharp</v>
          </cell>
          <cell r="H564" t="str">
            <v>(212) 545-2441</v>
          </cell>
          <cell r="J564" t="str">
            <v>csharp@chnnyc.org</v>
          </cell>
          <cell r="L564" t="str">
            <v>All Other:: Practitioner - Primary Care Provider (PCP)</v>
          </cell>
          <cell r="M564" t="str">
            <v>Yes</v>
          </cell>
          <cell r="R564" t="str">
            <v>GONZALEZ KATHERINE</v>
          </cell>
          <cell r="W564" t="str">
            <v>GONZALEZ KATHERNE BRENNEMAN</v>
          </cell>
          <cell r="X564" t="str">
            <v>150 ESSEX ST</v>
          </cell>
          <cell r="Y564" t="str">
            <v>NEW YORK</v>
          </cell>
          <cell r="Z564" t="str">
            <v>NY</v>
          </cell>
          <cell r="AA564" t="str">
            <v>10002-2301</v>
          </cell>
          <cell r="AB564" t="str">
            <v>PHYSICIAN</v>
          </cell>
          <cell r="AC564" t="str">
            <v>M</v>
          </cell>
          <cell r="AD564" t="str">
            <v>No</v>
          </cell>
          <cell r="AE564" t="str">
            <v>MMIS</v>
          </cell>
          <cell r="AF564" t="str">
            <v>chn</v>
          </cell>
          <cell r="AG564" t="str">
            <v>P</v>
          </cell>
        </row>
        <row r="565">
          <cell r="A565" t="str">
            <v>1861682270</v>
          </cell>
          <cell r="B565" t="str">
            <v>03914849</v>
          </cell>
          <cell r="C565" t="str">
            <v>Pedro Gonzalez</v>
          </cell>
          <cell r="D565" t="str">
            <v>E0382652</v>
          </cell>
          <cell r="E565" t="str">
            <v>GONZALEZ PEDRO</v>
          </cell>
          <cell r="G565" t="str">
            <v>Corina Sharp</v>
          </cell>
          <cell r="H565" t="str">
            <v>(212) 545-2441</v>
          </cell>
          <cell r="J565" t="str">
            <v>csharp@chnnyc.org</v>
          </cell>
          <cell r="L565" t="str">
            <v>All Other:: Practitioner - Primary Care Provider (PCP)</v>
          </cell>
          <cell r="M565" t="str">
            <v>No</v>
          </cell>
          <cell r="R565" t="str">
            <v>GONZALEZ-MORALES PEDRO DR.</v>
          </cell>
          <cell r="W565" t="str">
            <v>GONZALEZ PEDRO LUIS</v>
          </cell>
          <cell r="X565" t="str">
            <v>975 WESTCHESTER AVE</v>
          </cell>
          <cell r="Y565" t="str">
            <v>BRONX</v>
          </cell>
          <cell r="Z565" t="str">
            <v>NY</v>
          </cell>
          <cell r="AA565" t="str">
            <v>10459-3204</v>
          </cell>
          <cell r="AB565" t="str">
            <v>PHYSICIAN</v>
          </cell>
          <cell r="AC565" t="str">
            <v>M</v>
          </cell>
          <cell r="AD565" t="str">
            <v>No</v>
          </cell>
          <cell r="AE565" t="str">
            <v>MMIS</v>
          </cell>
          <cell r="AF565" t="str">
            <v>chn</v>
          </cell>
          <cell r="AG565" t="str">
            <v>P</v>
          </cell>
        </row>
        <row r="566">
          <cell r="A566" t="str">
            <v>1033353685</v>
          </cell>
          <cell r="B566" t="str">
            <v>03166272</v>
          </cell>
          <cell r="C566" t="str">
            <v>Erica Hahn</v>
          </cell>
          <cell r="D566" t="str">
            <v>E0300611</v>
          </cell>
          <cell r="E566" t="str">
            <v>HAHN ERICA KYLE</v>
          </cell>
          <cell r="G566" t="str">
            <v>Corina Sharp</v>
          </cell>
          <cell r="H566" t="str">
            <v>(212) 545-2441</v>
          </cell>
          <cell r="J566" t="str">
            <v>csharp@chnnyc.org</v>
          </cell>
          <cell r="L566" t="str">
            <v>All Other:: Practitioner - Primary Care Provider (PCP)</v>
          </cell>
          <cell r="M566" t="str">
            <v>Yes</v>
          </cell>
          <cell r="R566" t="str">
            <v>HAHN ERICA</v>
          </cell>
          <cell r="W566" t="str">
            <v>HAHN ERICA KYLE</v>
          </cell>
          <cell r="X566" t="str">
            <v>3611 21ST ST</v>
          </cell>
          <cell r="Y566" t="str">
            <v>LONG ISLAND CITY</v>
          </cell>
          <cell r="Z566" t="str">
            <v>NY</v>
          </cell>
          <cell r="AA566" t="str">
            <v>11106-4705</v>
          </cell>
          <cell r="AB566" t="str">
            <v>PHYSICIAN</v>
          </cell>
          <cell r="AC566" t="str">
            <v>M</v>
          </cell>
          <cell r="AD566" t="str">
            <v>No</v>
          </cell>
          <cell r="AE566" t="str">
            <v>MMIS</v>
          </cell>
          <cell r="AF566" t="str">
            <v>chn</v>
          </cell>
          <cell r="AG566" t="str">
            <v>P</v>
          </cell>
        </row>
        <row r="567">
          <cell r="A567" t="str">
            <v>1407147754</v>
          </cell>
          <cell r="B567" t="str">
            <v>03529279</v>
          </cell>
          <cell r="C567" t="str">
            <v>Tami Hall</v>
          </cell>
          <cell r="D567" t="str">
            <v>E0342694</v>
          </cell>
          <cell r="E567" t="str">
            <v>HALL TAMI L</v>
          </cell>
          <cell r="G567" t="str">
            <v>Corina Sharp</v>
          </cell>
          <cell r="H567" t="str">
            <v>(212) 545-2441</v>
          </cell>
          <cell r="J567" t="str">
            <v>csharp@chnnyc.org</v>
          </cell>
          <cell r="L567" t="str">
            <v>All Other:: Practitioner - Primary Care Provider (PCP)</v>
          </cell>
          <cell r="M567" t="str">
            <v>Yes</v>
          </cell>
          <cell r="R567" t="str">
            <v>HALL TAMI</v>
          </cell>
          <cell r="W567" t="str">
            <v>HALL TAMI L</v>
          </cell>
          <cell r="X567" t="str">
            <v>540 FULTON AVE</v>
          </cell>
          <cell r="Y567" t="str">
            <v>HEMPSTEAD</v>
          </cell>
          <cell r="Z567" t="str">
            <v>NY</v>
          </cell>
          <cell r="AA567" t="str">
            <v>11550-4364</v>
          </cell>
          <cell r="AB567" t="str">
            <v>PHYSICIAN</v>
          </cell>
          <cell r="AC567" t="str">
            <v>M</v>
          </cell>
          <cell r="AD567" t="str">
            <v>No</v>
          </cell>
          <cell r="AE567" t="str">
            <v>MMIS</v>
          </cell>
          <cell r="AF567" t="str">
            <v>chn</v>
          </cell>
          <cell r="AG567" t="str">
            <v>P</v>
          </cell>
        </row>
        <row r="568">
          <cell r="A568" t="str">
            <v>1750391629</v>
          </cell>
          <cell r="B568" t="str">
            <v>02800948</v>
          </cell>
          <cell r="C568" t="str">
            <v>Karen Isaacs-Charles</v>
          </cell>
          <cell r="D568" t="str">
            <v>E0020100</v>
          </cell>
          <cell r="E568" t="str">
            <v>ISAACS-CHARLES KAREN ANN MD</v>
          </cell>
          <cell r="G568" t="str">
            <v>Corina Sharp</v>
          </cell>
          <cell r="H568" t="str">
            <v>(212) 545-2441</v>
          </cell>
          <cell r="J568" t="str">
            <v>csharp@chnnyc.org</v>
          </cell>
          <cell r="L568" t="str">
            <v>All Other:: Practitioner - Primary Care Provider (PCP)</v>
          </cell>
          <cell r="M568" t="str">
            <v>Yes</v>
          </cell>
          <cell r="R568" t="str">
            <v>ISAACS-CHARLES KAREN DR.</v>
          </cell>
          <cell r="W568" t="str">
            <v>ISAACS-CHARLES KAREN ANN MD</v>
          </cell>
          <cell r="X568" t="str">
            <v>111 ORBACH AVE</v>
          </cell>
          <cell r="Y568" t="str">
            <v>MALVERNE</v>
          </cell>
          <cell r="Z568" t="str">
            <v>NY</v>
          </cell>
          <cell r="AA568" t="str">
            <v>11565-1330</v>
          </cell>
          <cell r="AB568" t="str">
            <v>PHYSICIAN</v>
          </cell>
          <cell r="AC568" t="str">
            <v>M</v>
          </cell>
          <cell r="AD568" t="str">
            <v>No</v>
          </cell>
          <cell r="AE568" t="str">
            <v>MMIS</v>
          </cell>
          <cell r="AF568" t="str">
            <v>chn</v>
          </cell>
          <cell r="AG568" t="str">
            <v>P</v>
          </cell>
        </row>
        <row r="569">
          <cell r="A569" t="str">
            <v>1356584429</v>
          </cell>
          <cell r="B569" t="str">
            <v>03603532</v>
          </cell>
          <cell r="C569" t="str">
            <v>BELL, MICHELLE W</v>
          </cell>
          <cell r="D569" t="str">
            <v>E0350518</v>
          </cell>
          <cell r="E569" t="str">
            <v>BELL MICHELLE</v>
          </cell>
          <cell r="G569" t="str">
            <v>Kathryn Spaziani</v>
          </cell>
          <cell r="H569" t="str">
            <v>(212) 305-1190</v>
          </cell>
          <cell r="J569" t="str">
            <v>kas9171@nyp.org</v>
          </cell>
          <cell r="L569" t="str">
            <v>Practitioner - Non-Primary Care Provider (PCP)</v>
          </cell>
          <cell r="M569" t="str">
            <v>No</v>
          </cell>
          <cell r="R569" t="str">
            <v>BELL MICHELLE</v>
          </cell>
          <cell r="W569" t="str">
            <v>BELL MICHELLE WILSON</v>
          </cell>
          <cell r="X569" t="str">
            <v>710 W 168TH ST</v>
          </cell>
          <cell r="Y569" t="str">
            <v>NEW YORK</v>
          </cell>
          <cell r="Z569" t="str">
            <v>NY</v>
          </cell>
          <cell r="AA569" t="str">
            <v>10032-3726</v>
          </cell>
          <cell r="AB569" t="str">
            <v>PHYSICIAN</v>
          </cell>
          <cell r="AC569" t="str">
            <v>M</v>
          </cell>
          <cell r="AD569" t="str">
            <v>No</v>
          </cell>
          <cell r="AE569" t="str">
            <v>MMIS</v>
          </cell>
          <cell r="AF569" t="str">
            <v>nypwestacn</v>
          </cell>
          <cell r="AG569" t="str">
            <v>P</v>
          </cell>
        </row>
        <row r="570">
          <cell r="A570" t="str">
            <v>1669625133</v>
          </cell>
          <cell r="B570" t="str">
            <v>03118572</v>
          </cell>
          <cell r="C570" t="str">
            <v>MANDIGO, CHRISTOPHER E</v>
          </cell>
          <cell r="D570" t="str">
            <v>E0294709</v>
          </cell>
          <cell r="E570" t="str">
            <v>MANDIGO CHRISTOPHER E MD</v>
          </cell>
          <cell r="G570" t="str">
            <v>Kathryn Spaziani</v>
          </cell>
          <cell r="H570" t="str">
            <v>(212) 305-1190</v>
          </cell>
          <cell r="J570" t="str">
            <v>kas9171@nyp.org</v>
          </cell>
          <cell r="L570" t="str">
            <v>Practitioner - Non-Primary Care Provider (PCP)</v>
          </cell>
          <cell r="M570" t="str">
            <v>No</v>
          </cell>
          <cell r="R570" t="str">
            <v>MANDIGO CHRISTOPHER DR.</v>
          </cell>
          <cell r="W570" t="str">
            <v>MANDIGO CHRISTOPHER ELIOT MD</v>
          </cell>
          <cell r="X570" t="str">
            <v>710 W 168TH ST</v>
          </cell>
          <cell r="Y570" t="str">
            <v>NEW YORK</v>
          </cell>
          <cell r="Z570" t="str">
            <v>NY</v>
          </cell>
          <cell r="AA570" t="str">
            <v>10032-3726</v>
          </cell>
          <cell r="AB570" t="str">
            <v>PHYSICIAN</v>
          </cell>
          <cell r="AC570" t="str">
            <v>M</v>
          </cell>
          <cell r="AD570" t="str">
            <v>No</v>
          </cell>
          <cell r="AE570" t="str">
            <v>MMIS</v>
          </cell>
          <cell r="AF570" t="str">
            <v>nypwestcampus</v>
          </cell>
          <cell r="AG570" t="str">
            <v>P</v>
          </cell>
        </row>
        <row r="571">
          <cell r="A571" t="str">
            <v>1053496372</v>
          </cell>
          <cell r="B571" t="str">
            <v>02395233</v>
          </cell>
          <cell r="C571" t="str">
            <v>LOVE, MICHELLE H</v>
          </cell>
          <cell r="D571" t="str">
            <v>E0060604</v>
          </cell>
          <cell r="E571" t="str">
            <v>LOVE MICHELLE H MD</v>
          </cell>
          <cell r="G571" t="str">
            <v>Kathryn Spaziani</v>
          </cell>
          <cell r="H571" t="str">
            <v>(212) 305-1190</v>
          </cell>
          <cell r="J571" t="str">
            <v>kas9171@nyp.org</v>
          </cell>
          <cell r="L571" t="str">
            <v>All Other:: Practitioner - Primary Care Provider (PCP)</v>
          </cell>
          <cell r="M571" t="str">
            <v>Yes</v>
          </cell>
          <cell r="R571" t="str">
            <v>LOVE MICHELLE</v>
          </cell>
          <cell r="W571" t="str">
            <v>LOVE MICHELLE H MD</v>
          </cell>
          <cell r="X571" t="str">
            <v>MONTEFIORE MED GRP</v>
          </cell>
          <cell r="Y571" t="str">
            <v>BRONX</v>
          </cell>
          <cell r="Z571" t="str">
            <v>NY</v>
          </cell>
          <cell r="AA571" t="str">
            <v>10458-4799</v>
          </cell>
          <cell r="AB571" t="str">
            <v>PHYSICIAN</v>
          </cell>
          <cell r="AC571" t="str">
            <v>M</v>
          </cell>
          <cell r="AD571" t="str">
            <v>No</v>
          </cell>
          <cell r="AE571" t="str">
            <v>MMIS</v>
          </cell>
          <cell r="AF571" t="str">
            <v>nypwestcampus</v>
          </cell>
          <cell r="AG571" t="str">
            <v>P</v>
          </cell>
        </row>
        <row r="572">
          <cell r="A572" t="str">
            <v>1225136682</v>
          </cell>
          <cell r="B572" t="str">
            <v>02574716</v>
          </cell>
          <cell r="C572" t="str">
            <v>Lee Jennifer</v>
          </cell>
          <cell r="D572" t="str">
            <v>E0042682</v>
          </cell>
          <cell r="E572" t="str">
            <v>LEE JENNIFER I MD</v>
          </cell>
          <cell r="L572" t="str">
            <v>Practitioner - Primary Care Provider (PCP)</v>
          </cell>
          <cell r="M572" t="str">
            <v>No</v>
          </cell>
          <cell r="R572" t="str">
            <v>LEE JENNIFER DR.</v>
          </cell>
          <cell r="W572" t="str">
            <v>LEE JENNIFER I MD</v>
          </cell>
          <cell r="X572" t="str">
            <v>NY PRESB HSP</v>
          </cell>
          <cell r="Y572" t="str">
            <v>NEW YORK</v>
          </cell>
          <cell r="Z572" t="str">
            <v>NY</v>
          </cell>
          <cell r="AA572" t="str">
            <v>10032-3720</v>
          </cell>
          <cell r="AB572" t="str">
            <v>PHYSICIAN</v>
          </cell>
          <cell r="AC572" t="str">
            <v>M</v>
          </cell>
          <cell r="AD572" t="str">
            <v>No</v>
          </cell>
          <cell r="AE572" t="str">
            <v>MMIS</v>
          </cell>
          <cell r="AF572" t="str">
            <v>nypeastcampus</v>
          </cell>
          <cell r="AG572" t="str">
            <v>P</v>
          </cell>
        </row>
        <row r="573">
          <cell r="A573" t="str">
            <v>1255576153</v>
          </cell>
          <cell r="B573" t="str">
            <v>03579068</v>
          </cell>
          <cell r="C573" t="str">
            <v>BLUMKIN, ZACHARY K</v>
          </cell>
          <cell r="D573" t="str">
            <v>E0348000</v>
          </cell>
          <cell r="E573" t="str">
            <v>BLUMKIN ZACHARY</v>
          </cell>
          <cell r="G573" t="str">
            <v>Kathryn Spaziani</v>
          </cell>
          <cell r="H573" t="str">
            <v>(212) 305-1190</v>
          </cell>
          <cell r="J573" t="str">
            <v>kas9171@nyp.org</v>
          </cell>
          <cell r="L573" t="str">
            <v>Practitioner - Non-Primary Care Provider (PCP)</v>
          </cell>
          <cell r="M573" t="str">
            <v>No</v>
          </cell>
          <cell r="R573" t="str">
            <v>BLUMKIN ZACHARY</v>
          </cell>
          <cell r="W573" t="str">
            <v>BLUMKIN ZACHARY</v>
          </cell>
          <cell r="X573" t="str">
            <v>3959 BROADWAY</v>
          </cell>
          <cell r="Y573" t="str">
            <v>NEW YORK</v>
          </cell>
          <cell r="Z573" t="str">
            <v>NY</v>
          </cell>
          <cell r="AA573" t="str">
            <v>10032-1559</v>
          </cell>
          <cell r="AB573" t="str">
            <v>CLINICAL PSYCHOLOGIST</v>
          </cell>
          <cell r="AC573" t="str">
            <v>M</v>
          </cell>
          <cell r="AD573" t="str">
            <v>No</v>
          </cell>
          <cell r="AE573" t="str">
            <v>MMIS</v>
          </cell>
          <cell r="AF573" t="str">
            <v>nypwestacn</v>
          </cell>
          <cell r="AG573" t="str">
            <v>P</v>
          </cell>
        </row>
        <row r="574">
          <cell r="A574" t="str">
            <v>1518061928</v>
          </cell>
          <cell r="B574" t="str">
            <v>02998401</v>
          </cell>
          <cell r="C574" t="str">
            <v>CUMC NYP Rehab</v>
          </cell>
          <cell r="D574" t="str">
            <v>E0274062</v>
          </cell>
          <cell r="E574" t="str">
            <v>NY HOSPITAL</v>
          </cell>
          <cell r="G574" t="str">
            <v>Kathryn Spaziani</v>
          </cell>
          <cell r="H574" t="str">
            <v>(212) 305-1190</v>
          </cell>
          <cell r="J574" t="str">
            <v>kas9171@nyp.org</v>
          </cell>
          <cell r="L574" t="str">
            <v>All Other:: Case Management / Health Home:: Clinic:: Hospital:: Mental Health:: Pharmacy:: Substance Abuse</v>
          </cell>
          <cell r="M574" t="str">
            <v>Yes</v>
          </cell>
          <cell r="R574" t="str">
            <v>THE NEW YORK AND PRESBYTERIAN HOSPITAL</v>
          </cell>
          <cell r="W574" t="str">
            <v>NEW YORK PRESBYTERIAN HOSPITAL</v>
          </cell>
          <cell r="X574" t="str">
            <v>622 W 168TH ST</v>
          </cell>
          <cell r="Y574" t="str">
            <v>NEW YORK</v>
          </cell>
          <cell r="Z574" t="str">
            <v>NY</v>
          </cell>
          <cell r="AA574" t="str">
            <v>10032-3720</v>
          </cell>
          <cell r="AB574" t="str">
            <v>HOSPITAL</v>
          </cell>
          <cell r="AC574" t="str">
            <v>M</v>
          </cell>
          <cell r="AD574" t="str">
            <v>No</v>
          </cell>
          <cell r="AE574" t="str">
            <v>MMIS</v>
          </cell>
          <cell r="AF574" t="str">
            <v>nypwestcampus</v>
          </cell>
          <cell r="AG574" t="str">
            <v>P</v>
          </cell>
        </row>
        <row r="575">
          <cell r="A575" t="str">
            <v>1609970011</v>
          </cell>
          <cell r="B575" t="str">
            <v>02998410</v>
          </cell>
          <cell r="C575" t="str">
            <v>CUMC NYP Psych</v>
          </cell>
          <cell r="D575" t="str">
            <v>E0274062</v>
          </cell>
          <cell r="E575" t="str">
            <v>NY HOSPITAL</v>
          </cell>
          <cell r="G575" t="str">
            <v>Kathryn Spaziani</v>
          </cell>
          <cell r="H575" t="str">
            <v>(212) 305-1190</v>
          </cell>
          <cell r="J575" t="str">
            <v>kas9171@nyp.org</v>
          </cell>
          <cell r="L575" t="str">
            <v>All Other:: Case Management / Health Home:: Clinic:: Hospital:: Mental Health:: Pharmacy:: Substance Abuse</v>
          </cell>
          <cell r="M575" t="str">
            <v>Yes</v>
          </cell>
          <cell r="R575" t="str">
            <v>THE NEW YORK AND PRESBYTERIAN HOSPITAL</v>
          </cell>
          <cell r="W575" t="str">
            <v>NEW YORK PRESBYTERIAN HOSPITAL</v>
          </cell>
          <cell r="X575" t="str">
            <v>622 W 168TH ST</v>
          </cell>
          <cell r="Y575" t="str">
            <v>NEW YORK</v>
          </cell>
          <cell r="Z575" t="str">
            <v>NY</v>
          </cell>
          <cell r="AA575" t="str">
            <v>10032-3720</v>
          </cell>
          <cell r="AB575" t="str">
            <v>HOSPITAL</v>
          </cell>
          <cell r="AC575" t="str">
            <v>M</v>
          </cell>
          <cell r="AD575" t="str">
            <v>No</v>
          </cell>
          <cell r="AE575" t="str">
            <v>MMIS</v>
          </cell>
          <cell r="AF575" t="str">
            <v>nypwestcampus</v>
          </cell>
          <cell r="AG575" t="str">
            <v>P</v>
          </cell>
        </row>
        <row r="576">
          <cell r="A576" t="str">
            <v>1255499109</v>
          </cell>
          <cell r="B576" t="str">
            <v>02615236</v>
          </cell>
          <cell r="C576" t="str">
            <v>JANI, BEENA H</v>
          </cell>
          <cell r="D576" t="str">
            <v>E0038634</v>
          </cell>
          <cell r="E576" t="str">
            <v>JANI BEENA HARENDRA MD</v>
          </cell>
          <cell r="G576" t="str">
            <v>Kathryn Spaziani</v>
          </cell>
          <cell r="H576" t="str">
            <v>(212) 305-1190</v>
          </cell>
          <cell r="J576" t="str">
            <v>kas9171@nyp.org</v>
          </cell>
          <cell r="L576" t="str">
            <v>All Other:: Practitioner - Primary Care Provider (PCP)</v>
          </cell>
          <cell r="M576" t="str">
            <v>Yes</v>
          </cell>
          <cell r="R576" t="str">
            <v>JANI BEENA DR.</v>
          </cell>
          <cell r="W576" t="str">
            <v>JANI BEENA HARENDRA</v>
          </cell>
          <cell r="X576" t="str">
            <v>610 W 158TH ST</v>
          </cell>
          <cell r="Y576" t="str">
            <v>NEW YORK</v>
          </cell>
          <cell r="Z576" t="str">
            <v>NY</v>
          </cell>
          <cell r="AA576" t="str">
            <v>10032-7104</v>
          </cell>
          <cell r="AB576" t="str">
            <v>PHYSICIAN</v>
          </cell>
          <cell r="AC576" t="str">
            <v>M</v>
          </cell>
          <cell r="AD576" t="str">
            <v>No</v>
          </cell>
          <cell r="AE576" t="str">
            <v>MMIS</v>
          </cell>
          <cell r="AF576" t="str">
            <v>nypwestacn</v>
          </cell>
          <cell r="AG576" t="str">
            <v>P</v>
          </cell>
        </row>
        <row r="577">
          <cell r="A577" t="str">
            <v>1265871008</v>
          </cell>
          <cell r="B577" t="str">
            <v>03688406</v>
          </cell>
          <cell r="C577" t="str">
            <v>McNamara, Courtney</v>
          </cell>
          <cell r="D577" t="str">
            <v>E0359332</v>
          </cell>
          <cell r="E577" t="str">
            <v>MCNAMARA COURTNEY</v>
          </cell>
          <cell r="G577" t="str">
            <v>Kathryn Spaziani</v>
          </cell>
          <cell r="H577" t="str">
            <v>(212) 305-1190</v>
          </cell>
          <cell r="J577" t="str">
            <v>kas9171@nyp.org</v>
          </cell>
          <cell r="L577" t="str">
            <v>Practitioner - Non-Primary Care Provider (PCP)</v>
          </cell>
          <cell r="M577" t="str">
            <v>No</v>
          </cell>
          <cell r="R577" t="str">
            <v>MCNAMARA COURTNEY</v>
          </cell>
          <cell r="W577" t="str">
            <v>MCNAMARA COURTNEY ANN</v>
          </cell>
          <cell r="X577" t="str">
            <v>525 E 68TH ST</v>
          </cell>
          <cell r="Y577" t="str">
            <v>NEW YORK</v>
          </cell>
          <cell r="Z577" t="str">
            <v>NY</v>
          </cell>
          <cell r="AA577" t="str">
            <v>10065-4870</v>
          </cell>
          <cell r="AB577" t="str">
            <v>PHYSICIAN</v>
          </cell>
          <cell r="AC577" t="str">
            <v>M</v>
          </cell>
          <cell r="AD577" t="str">
            <v>No</v>
          </cell>
          <cell r="AE577" t="str">
            <v>MMIS</v>
          </cell>
          <cell r="AF577" t="str">
            <v>nypwestacn</v>
          </cell>
          <cell r="AG577" t="str">
            <v>P</v>
          </cell>
        </row>
        <row r="578">
          <cell r="A578" t="str">
            <v>1396025953</v>
          </cell>
          <cell r="B578" t="str">
            <v>03384172</v>
          </cell>
          <cell r="C578" t="str">
            <v>CRUZ, JENNIFER E</v>
          </cell>
          <cell r="D578" t="str">
            <v>E0325544</v>
          </cell>
          <cell r="E578" t="str">
            <v>CRUZ JENNIFER</v>
          </cell>
          <cell r="G578" t="str">
            <v>Kathryn Spaziani</v>
          </cell>
          <cell r="H578" t="str">
            <v>(212) 305-1190</v>
          </cell>
          <cell r="J578" t="str">
            <v>kas9171@nyp.org</v>
          </cell>
          <cell r="L578" t="str">
            <v>Practitioner - Non-Primary Care Provider (PCP)</v>
          </cell>
          <cell r="M578" t="str">
            <v>No</v>
          </cell>
          <cell r="R578" t="str">
            <v>CRUZ JENNIFER DR.</v>
          </cell>
          <cell r="W578" t="str">
            <v>CRUZ JENNIFER</v>
          </cell>
          <cell r="X578" t="str">
            <v>3959 BROADWAY</v>
          </cell>
          <cell r="Y578" t="str">
            <v>NEW YORK</v>
          </cell>
          <cell r="Z578" t="str">
            <v>NY</v>
          </cell>
          <cell r="AA578" t="str">
            <v>10032-1559</v>
          </cell>
          <cell r="AB578" t="str">
            <v>CLINICAL PSYCHOLOGIST</v>
          </cell>
          <cell r="AC578" t="str">
            <v>M</v>
          </cell>
          <cell r="AD578" t="str">
            <v>No</v>
          </cell>
          <cell r="AE578" t="str">
            <v>MMIS</v>
          </cell>
          <cell r="AF578" t="str">
            <v>nypwestacn</v>
          </cell>
          <cell r="AG578" t="str">
            <v>P</v>
          </cell>
        </row>
        <row r="579">
          <cell r="A579" t="str">
            <v>1396718284</v>
          </cell>
          <cell r="B579" t="str">
            <v>03835816</v>
          </cell>
          <cell r="C579" t="str">
            <v>Cunniff, Christopher M.</v>
          </cell>
          <cell r="D579" t="str">
            <v>E0374510</v>
          </cell>
          <cell r="E579" t="str">
            <v>CUNNIFF CHRISTOPHE</v>
          </cell>
          <cell r="G579" t="str">
            <v>Kathryn Spaziani</v>
          </cell>
          <cell r="H579" t="str">
            <v>(212) 305-1190</v>
          </cell>
          <cell r="J579" t="str">
            <v>kas9171@nyp.org</v>
          </cell>
          <cell r="L579" t="str">
            <v>All Other:: Practitioner - Non-Primary Care Provider (PCP)</v>
          </cell>
          <cell r="M579" t="str">
            <v>No</v>
          </cell>
          <cell r="R579" t="str">
            <v>CUNNIFF CHRISTOPHER MR.</v>
          </cell>
          <cell r="W579" t="str">
            <v>CUNNIFF CHRISTOPHER MCCORD</v>
          </cell>
          <cell r="X579" t="str">
            <v>505 E 70TH ST</v>
          </cell>
          <cell r="Y579" t="str">
            <v>NEW YORK</v>
          </cell>
          <cell r="Z579" t="str">
            <v>NY</v>
          </cell>
          <cell r="AA579" t="str">
            <v>10021-4872</v>
          </cell>
          <cell r="AB579" t="str">
            <v>PHYSICIAN</v>
          </cell>
          <cell r="AC579" t="str">
            <v>M</v>
          </cell>
          <cell r="AD579" t="str">
            <v>No</v>
          </cell>
          <cell r="AE579" t="str">
            <v>MMIS</v>
          </cell>
          <cell r="AF579" t="str">
            <v>nypeastcampus</v>
          </cell>
          <cell r="AG579" t="str">
            <v>P</v>
          </cell>
        </row>
        <row r="580">
          <cell r="A580" t="str">
            <v>1831288158</v>
          </cell>
          <cell r="B580" t="str">
            <v>01612995</v>
          </cell>
          <cell r="C580" t="str">
            <v xml:space="preserve">BOKHARI, SABAHAT </v>
          </cell>
          <cell r="D580" t="str">
            <v>E0138712</v>
          </cell>
          <cell r="E580" t="str">
            <v>BOKHARI SABAHAT MD</v>
          </cell>
          <cell r="G580" t="str">
            <v>Kathryn Spaziani</v>
          </cell>
          <cell r="H580" t="str">
            <v>(212) 305-1190</v>
          </cell>
          <cell r="J580" t="str">
            <v>kas9171@nyp.org</v>
          </cell>
          <cell r="L580" t="str">
            <v>All Other:: Practitioner - Non-Primary Care Provider (PCP)</v>
          </cell>
          <cell r="M580" t="str">
            <v>No</v>
          </cell>
          <cell r="R580" t="str">
            <v>BOKHARI SABAHAT DR.</v>
          </cell>
          <cell r="W580" t="str">
            <v>BOKHARI SABAHAT MD</v>
          </cell>
          <cell r="X580" t="str">
            <v>4 COULTER RD</v>
          </cell>
          <cell r="Y580" t="str">
            <v>CLIFTON SPRINGS</v>
          </cell>
          <cell r="Z580" t="str">
            <v>NY</v>
          </cell>
          <cell r="AA580" t="str">
            <v>14432-1122</v>
          </cell>
          <cell r="AB580" t="str">
            <v>PHYSICIAN</v>
          </cell>
          <cell r="AC580" t="str">
            <v>M</v>
          </cell>
          <cell r="AD580" t="str">
            <v>No</v>
          </cell>
          <cell r="AE580" t="str">
            <v>MMIS</v>
          </cell>
          <cell r="AF580" t="str">
            <v>nypwestacn</v>
          </cell>
          <cell r="AG580" t="str">
            <v>P</v>
          </cell>
        </row>
        <row r="581">
          <cell r="A581" t="str">
            <v>1235100173</v>
          </cell>
          <cell r="B581" t="str">
            <v>01507271</v>
          </cell>
          <cell r="C581" t="str">
            <v>NEU, NATALIE M</v>
          </cell>
          <cell r="D581" t="str">
            <v>E0149261</v>
          </cell>
          <cell r="E581" t="str">
            <v>NEU NATALIE M MD</v>
          </cell>
          <cell r="G581" t="str">
            <v>Kathryn Spaziani</v>
          </cell>
          <cell r="H581" t="str">
            <v>(212) 305-1190</v>
          </cell>
          <cell r="J581" t="str">
            <v>kas9171@nyp.org</v>
          </cell>
          <cell r="L581" t="str">
            <v>Practitioner - Primary Care Provider (PCP)</v>
          </cell>
          <cell r="M581" t="str">
            <v>Yes</v>
          </cell>
          <cell r="R581" t="str">
            <v>NEU NATALIE DR.</v>
          </cell>
          <cell r="W581" t="str">
            <v>NEU NATALIE M MD</v>
          </cell>
          <cell r="X581" t="str">
            <v>COLUMBIA PRESB</v>
          </cell>
          <cell r="Y581" t="str">
            <v>NEW YORK</v>
          </cell>
          <cell r="Z581" t="str">
            <v>NY</v>
          </cell>
          <cell r="AA581" t="str">
            <v>10032-3720</v>
          </cell>
          <cell r="AB581" t="str">
            <v>PHYSICIAN</v>
          </cell>
          <cell r="AC581" t="str">
            <v>M</v>
          </cell>
          <cell r="AD581" t="str">
            <v>No</v>
          </cell>
          <cell r="AE581" t="str">
            <v>MMIS</v>
          </cell>
          <cell r="AF581" t="str">
            <v>nypwestcampus</v>
          </cell>
          <cell r="AG581" t="str">
            <v>P</v>
          </cell>
        </row>
        <row r="582">
          <cell r="A582" t="str">
            <v>1235196452</v>
          </cell>
          <cell r="B582" t="str">
            <v>03276868</v>
          </cell>
          <cell r="C582" t="str">
            <v>KLEIN, ROBERT M</v>
          </cell>
          <cell r="D582" t="str">
            <v>E0313093</v>
          </cell>
          <cell r="E582" t="str">
            <v>KLEIN ROBERT</v>
          </cell>
          <cell r="G582" t="str">
            <v>Kathryn Spaziani</v>
          </cell>
          <cell r="H582" t="str">
            <v>(212) 305-1190</v>
          </cell>
          <cell r="J582" t="str">
            <v>kas9171@nyp.org</v>
          </cell>
          <cell r="L582" t="str">
            <v>Practitioner - Non-Primary Care Provider (PCP)</v>
          </cell>
          <cell r="M582" t="str">
            <v>No</v>
          </cell>
          <cell r="R582" t="str">
            <v>KLEIN ROBERT DR.</v>
          </cell>
          <cell r="W582" t="str">
            <v>KLEIN ROBERT</v>
          </cell>
          <cell r="X582" t="str">
            <v>1005 CLIFTON AVE STE 102</v>
          </cell>
          <cell r="Y582" t="str">
            <v>CLIFTON</v>
          </cell>
          <cell r="Z582" t="str">
            <v>NJ</v>
          </cell>
          <cell r="AA582" t="str">
            <v>07013-3520</v>
          </cell>
          <cell r="AB582" t="str">
            <v>PHYSICIAN</v>
          </cell>
          <cell r="AC582" t="str">
            <v>M</v>
          </cell>
          <cell r="AD582" t="str">
            <v>No</v>
          </cell>
          <cell r="AE582" t="str">
            <v>MMIS</v>
          </cell>
          <cell r="AF582" t="str">
            <v>nypwestacn</v>
          </cell>
          <cell r="AG582" t="str">
            <v>P</v>
          </cell>
        </row>
        <row r="583">
          <cell r="A583" t="str">
            <v>1447308945</v>
          </cell>
          <cell r="B583" t="str">
            <v>01208566</v>
          </cell>
          <cell r="C583" t="str">
            <v xml:space="preserve">FRANK, PAUL </v>
          </cell>
          <cell r="D583" t="str">
            <v>E0179035</v>
          </cell>
          <cell r="E583" t="str">
            <v>FRANK PAUL MD</v>
          </cell>
          <cell r="G583" t="str">
            <v>Kathryn Spaziani</v>
          </cell>
          <cell r="H583" t="str">
            <v>(212) 305-1190</v>
          </cell>
          <cell r="J583" t="str">
            <v>kas9171@nyp.org</v>
          </cell>
          <cell r="L583" t="str">
            <v>All Other:: Practitioner - Non-Primary Care Provider (PCP)</v>
          </cell>
          <cell r="M583" t="str">
            <v>No</v>
          </cell>
          <cell r="R583" t="str">
            <v>FRANK PAUL DR.</v>
          </cell>
          <cell r="W583" t="str">
            <v>FRANK PAUL MD</v>
          </cell>
          <cell r="X583" t="str">
            <v>2856 3RD AVE</v>
          </cell>
          <cell r="Y583" t="str">
            <v>BRONX</v>
          </cell>
          <cell r="Z583" t="str">
            <v>NY</v>
          </cell>
          <cell r="AA583" t="str">
            <v>10455-2726</v>
          </cell>
          <cell r="AB583" t="str">
            <v>PHYSICIAN</v>
          </cell>
          <cell r="AC583" t="str">
            <v>M</v>
          </cell>
          <cell r="AD583" t="str">
            <v>No</v>
          </cell>
          <cell r="AE583" t="str">
            <v>MMIS</v>
          </cell>
          <cell r="AF583" t="str">
            <v>nypwestcampus</v>
          </cell>
          <cell r="AG583" t="str">
            <v>P</v>
          </cell>
        </row>
        <row r="584">
          <cell r="A584" t="str">
            <v>1447309240</v>
          </cell>
          <cell r="B584" t="str">
            <v>00592416</v>
          </cell>
          <cell r="C584" t="str">
            <v xml:space="preserve">LEBWOHL, OSCAR </v>
          </cell>
          <cell r="D584" t="str">
            <v>E0240439</v>
          </cell>
          <cell r="E584" t="str">
            <v>LEBWOHL OSCAR              MD</v>
          </cell>
          <cell r="G584" t="str">
            <v>Kathryn Spaziani</v>
          </cell>
          <cell r="H584" t="str">
            <v>(212) 305-1190</v>
          </cell>
          <cell r="J584" t="str">
            <v>kas9171@nyp.org</v>
          </cell>
          <cell r="L584" t="str">
            <v>Practitioner - Non-Primary Care Provider (PCP)</v>
          </cell>
          <cell r="M584" t="str">
            <v>No</v>
          </cell>
          <cell r="R584" t="str">
            <v>LEBWOHL OSCAR DR.</v>
          </cell>
          <cell r="W584" t="str">
            <v>LEBWOHL OSCAR              MD</v>
          </cell>
          <cell r="X584" t="str">
            <v>COLUMBIA PRESBYTERIA</v>
          </cell>
          <cell r="Y584" t="str">
            <v>NEW YORK</v>
          </cell>
          <cell r="Z584" t="str">
            <v>NY</v>
          </cell>
          <cell r="AA584" t="str">
            <v>10032-3720</v>
          </cell>
          <cell r="AB584" t="str">
            <v>PHYSICIAN</v>
          </cell>
          <cell r="AC584" t="str">
            <v>M</v>
          </cell>
          <cell r="AD584" t="str">
            <v>No</v>
          </cell>
          <cell r="AE584" t="str">
            <v>MMIS</v>
          </cell>
          <cell r="AF584" t="str">
            <v>nypwestcampus</v>
          </cell>
          <cell r="AG584" t="str">
            <v>P</v>
          </cell>
        </row>
        <row r="585">
          <cell r="A585" t="str">
            <v>1992892061</v>
          </cell>
          <cell r="B585" t="str">
            <v>00818593</v>
          </cell>
          <cell r="C585" t="str">
            <v>NEALON, NANCY M</v>
          </cell>
          <cell r="D585" t="str">
            <v>E0217873</v>
          </cell>
          <cell r="E585" t="str">
            <v>NEALON NANCY M MD</v>
          </cell>
          <cell r="G585" t="str">
            <v>Kathryn Spaziani</v>
          </cell>
          <cell r="H585" t="str">
            <v>(212) 305-1190</v>
          </cell>
          <cell r="J585" t="str">
            <v>kas9171@nyp.org</v>
          </cell>
          <cell r="L585" t="str">
            <v>All Other:: Practitioner - Non-Primary Care Provider (PCP)</v>
          </cell>
          <cell r="M585" t="str">
            <v>No</v>
          </cell>
          <cell r="R585" t="str">
            <v>NEALON NANCY</v>
          </cell>
          <cell r="W585" t="str">
            <v>NEALON NANCY M MD</v>
          </cell>
          <cell r="X585" t="str">
            <v>525 E 68TH ST</v>
          </cell>
          <cell r="Y585" t="str">
            <v>NEW YORK</v>
          </cell>
          <cell r="Z585" t="str">
            <v>NY</v>
          </cell>
          <cell r="AA585" t="str">
            <v>10065-4870</v>
          </cell>
          <cell r="AB585" t="str">
            <v>PHYSICIAN</v>
          </cell>
          <cell r="AC585" t="str">
            <v>M</v>
          </cell>
          <cell r="AD585" t="str">
            <v>No</v>
          </cell>
          <cell r="AE585" t="str">
            <v>MMIS</v>
          </cell>
          <cell r="AF585" t="str">
            <v>nypeastcampus</v>
          </cell>
          <cell r="AG585" t="str">
            <v>P</v>
          </cell>
        </row>
        <row r="586">
          <cell r="A586" t="str">
            <v>1730108754</v>
          </cell>
          <cell r="B586" t="str">
            <v>02885096</v>
          </cell>
          <cell r="C586" t="str">
            <v>ALMEIDA, LAILA M</v>
          </cell>
          <cell r="D586" t="str">
            <v>E0011695</v>
          </cell>
          <cell r="E586" t="str">
            <v>ALMEIDA LAILA</v>
          </cell>
          <cell r="G586" t="str">
            <v>Kathryn Spaziani</v>
          </cell>
          <cell r="H586" t="str">
            <v>(212) 305-1190</v>
          </cell>
          <cell r="J586" t="str">
            <v>kas9171@nyp.org</v>
          </cell>
          <cell r="L586" t="str">
            <v>Practitioner - Non-Primary Care Provider (PCP)</v>
          </cell>
          <cell r="M586" t="str">
            <v>No</v>
          </cell>
          <cell r="R586" t="str">
            <v>ALMEIDA LAILA DR.</v>
          </cell>
          <cell r="W586" t="str">
            <v>ALMEIDA LAILA</v>
          </cell>
          <cell r="X586" t="str">
            <v>IRVING PAVILLIONN DE</v>
          </cell>
          <cell r="Y586" t="str">
            <v>NEW YORK</v>
          </cell>
          <cell r="Z586" t="str">
            <v>NY</v>
          </cell>
          <cell r="AA586" t="str">
            <v>10032</v>
          </cell>
          <cell r="AB586" t="str">
            <v>PHYSICIAN</v>
          </cell>
          <cell r="AC586" t="str">
            <v>M</v>
          </cell>
          <cell r="AD586" t="str">
            <v>No</v>
          </cell>
          <cell r="AE586" t="str">
            <v>MMIS</v>
          </cell>
          <cell r="AF586" t="str">
            <v>nypwestacn</v>
          </cell>
          <cell r="AG586" t="str">
            <v>P</v>
          </cell>
        </row>
        <row r="587">
          <cell r="A587" t="str">
            <v>1881873891</v>
          </cell>
          <cell r="B587" t="str">
            <v>03159639</v>
          </cell>
          <cell r="C587" t="str">
            <v>CHOPRA, NINA P</v>
          </cell>
          <cell r="D587" t="str">
            <v>E0299841</v>
          </cell>
          <cell r="E587" t="str">
            <v>CHOPRA NINA</v>
          </cell>
          <cell r="G587" t="str">
            <v>Kathryn Spaziani</v>
          </cell>
          <cell r="H587" t="str">
            <v>(212) 305-1190</v>
          </cell>
          <cell r="J587" t="str">
            <v>kas9171@nyp.org</v>
          </cell>
          <cell r="L587" t="str">
            <v>Practitioner - Non-Primary Care Provider (PCP)</v>
          </cell>
          <cell r="M587" t="str">
            <v>No</v>
          </cell>
          <cell r="R587" t="str">
            <v>CHOPRA NINA DR.</v>
          </cell>
          <cell r="W587" t="str">
            <v>CHOPRA NINA</v>
          </cell>
          <cell r="X587" t="str">
            <v>161 FORT WASHINGTON AVE</v>
          </cell>
          <cell r="Y587" t="str">
            <v>NEW YORK</v>
          </cell>
          <cell r="Z587" t="str">
            <v>NY</v>
          </cell>
          <cell r="AA587" t="str">
            <v>10032-3729</v>
          </cell>
          <cell r="AB587" t="str">
            <v>PHYSICIAN</v>
          </cell>
          <cell r="AC587" t="str">
            <v>M</v>
          </cell>
          <cell r="AD587" t="str">
            <v>No</v>
          </cell>
          <cell r="AE587" t="str">
            <v>MMIS</v>
          </cell>
          <cell r="AF587" t="str">
            <v>nypwestacn</v>
          </cell>
          <cell r="AG587" t="str">
            <v>P</v>
          </cell>
        </row>
        <row r="588">
          <cell r="A588" t="str">
            <v>1881903003</v>
          </cell>
          <cell r="B588" t="str">
            <v>03546036</v>
          </cell>
          <cell r="C588" t="str">
            <v>MEJIA-SMITH, BRENDA X</v>
          </cell>
          <cell r="D588" t="str">
            <v>E0344482</v>
          </cell>
          <cell r="E588" t="str">
            <v>MEJIA-SMITH BRENDA</v>
          </cell>
          <cell r="G588" t="str">
            <v>Kathryn Spaziani</v>
          </cell>
          <cell r="H588" t="str">
            <v>(212) 305-1190</v>
          </cell>
          <cell r="J588" t="str">
            <v>kas9171@nyp.org</v>
          </cell>
          <cell r="L588" t="str">
            <v>Practitioner - Non-Primary Care Provider (PCP)</v>
          </cell>
          <cell r="M588" t="str">
            <v>No</v>
          </cell>
          <cell r="R588" t="str">
            <v>MEJIA-SMITH BRENDA DR.</v>
          </cell>
          <cell r="W588" t="str">
            <v>MEJIA-SMITH BRENDA X</v>
          </cell>
          <cell r="X588" t="str">
            <v>635 W 165TH ST FL 6</v>
          </cell>
          <cell r="Y588" t="str">
            <v>NEW YORK</v>
          </cell>
          <cell r="Z588" t="str">
            <v>NY</v>
          </cell>
          <cell r="AA588" t="str">
            <v>10032-3724</v>
          </cell>
          <cell r="AB588" t="str">
            <v>CLINICAL PSYCHOLOGIST</v>
          </cell>
          <cell r="AC588" t="str">
            <v>M</v>
          </cell>
          <cell r="AD588" t="str">
            <v>No</v>
          </cell>
          <cell r="AE588" t="str">
            <v>MMIS</v>
          </cell>
          <cell r="AF588" t="str">
            <v>nypwestcampus</v>
          </cell>
          <cell r="AG588" t="str">
            <v>P</v>
          </cell>
        </row>
        <row r="589">
          <cell r="A589" t="str">
            <v>1881970119</v>
          </cell>
          <cell r="B589" t="str">
            <v>03393780</v>
          </cell>
          <cell r="C589" t="str">
            <v>UCCI, AMANDA J</v>
          </cell>
          <cell r="D589" t="str">
            <v>E0326913</v>
          </cell>
          <cell r="E589" t="str">
            <v>UCCI AMANDA</v>
          </cell>
          <cell r="G589" t="str">
            <v>Kathryn Spaziani</v>
          </cell>
          <cell r="H589" t="str">
            <v>(212) 305-1190</v>
          </cell>
          <cell r="J589" t="str">
            <v>kas9171@nyp.org</v>
          </cell>
          <cell r="L589" t="str">
            <v>Practitioner - Non-Primary Care Provider (PCP)</v>
          </cell>
          <cell r="M589" t="str">
            <v>No</v>
          </cell>
          <cell r="R589" t="str">
            <v>UCCI AMANDA</v>
          </cell>
          <cell r="W589" t="str">
            <v>UCCI AMANDA J</v>
          </cell>
          <cell r="X589" t="str">
            <v>622 W 168TH ST</v>
          </cell>
          <cell r="Y589" t="str">
            <v>NEW YORK</v>
          </cell>
          <cell r="Z589" t="str">
            <v>NY</v>
          </cell>
          <cell r="AA589" t="str">
            <v>10032-3720</v>
          </cell>
          <cell r="AB589" t="str">
            <v>MEDICAL APPLIANCE DEALER</v>
          </cell>
          <cell r="AC589" t="str">
            <v>M</v>
          </cell>
          <cell r="AD589" t="str">
            <v>No</v>
          </cell>
          <cell r="AE589" t="str">
            <v>MMIS</v>
          </cell>
          <cell r="AF589" t="str">
            <v>nypwestcampus</v>
          </cell>
          <cell r="AG589" t="str">
            <v>P</v>
          </cell>
        </row>
        <row r="590">
          <cell r="B590" t="str">
            <v>02256031</v>
          </cell>
          <cell r="C590" t="str">
            <v>EMPIRE STATE HM CARE SER</v>
          </cell>
          <cell r="D590" t="str">
            <v>E0068352</v>
          </cell>
          <cell r="E590" t="str">
            <v>EMPIRE ST HM CARE SER LTHHCP</v>
          </cell>
          <cell r="L590" t="str">
            <v>All Other</v>
          </cell>
          <cell r="M590" t="str">
            <v>Yes</v>
          </cell>
          <cell r="W590" t="str">
            <v>EMPIRE STATE HM CARE SER</v>
          </cell>
          <cell r="X590" t="str">
            <v>33 IRVING PL FL 11</v>
          </cell>
          <cell r="Y590" t="str">
            <v>NEW YORK</v>
          </cell>
          <cell r="Z590" t="str">
            <v>NY</v>
          </cell>
          <cell r="AA590" t="str">
            <v>10003-2332</v>
          </cell>
          <cell r="AB590" t="str">
            <v>HOME HEALTH AGENCY</v>
          </cell>
          <cell r="AC590" t="str">
            <v>M</v>
          </cell>
          <cell r="AD590" t="str">
            <v>No</v>
          </cell>
          <cell r="AE590" t="str">
            <v>MMIS</v>
          </cell>
          <cell r="AF590" t="str">
            <v>nypwestacn</v>
          </cell>
          <cell r="AG590" t="str">
            <v>P</v>
          </cell>
        </row>
        <row r="591">
          <cell r="A591" t="str">
            <v>1417261298</v>
          </cell>
          <cell r="C591" t="str">
            <v>Charles B. Wang Community Health Center</v>
          </cell>
          <cell r="G591" t="str">
            <v>Betty Cheng, COO</v>
          </cell>
          <cell r="H591" t="str">
            <v>(212) 379-6988</v>
          </cell>
          <cell r="I591">
            <v>2604</v>
          </cell>
          <cell r="J591" t="str">
            <v>bcheng@cbwchc.org</v>
          </cell>
          <cell r="K591" t="str">
            <v>Clinic</v>
          </cell>
          <cell r="L591" t="str">
            <v>Uncategorized</v>
          </cell>
          <cell r="M591" t="str">
            <v>No</v>
          </cell>
          <cell r="R591" t="str">
            <v>CHARLES B. WANG COMMUNITY HEALTH CENTER, INC.</v>
          </cell>
          <cell r="S591" t="str">
            <v>125 WALKER ST</v>
          </cell>
          <cell r="T591" t="str">
            <v>NEW YORK</v>
          </cell>
          <cell r="U591" t="str">
            <v>NY</v>
          </cell>
          <cell r="V591" t="str">
            <v>100134135</v>
          </cell>
          <cell r="AC591" t="str">
            <v>M</v>
          </cell>
          <cell r="AD591" t="str">
            <v>No</v>
          </cell>
          <cell r="AE591" t="str">
            <v>NPI only</v>
          </cell>
          <cell r="AF591" t="str">
            <v>cbwchc</v>
          </cell>
          <cell r="AG591" t="str">
            <v>P</v>
          </cell>
        </row>
        <row r="592">
          <cell r="A592" t="str">
            <v>1093094732</v>
          </cell>
          <cell r="B592" t="str">
            <v>03625216</v>
          </cell>
          <cell r="C592" t="str">
            <v>De Gijsel Swana</v>
          </cell>
          <cell r="D592" t="str">
            <v>E0352779</v>
          </cell>
          <cell r="E592" t="str">
            <v>DE GIJSEL SWANA</v>
          </cell>
          <cell r="L592" t="str">
            <v>Practitioner - Non-Primary Care Provider (PCP)</v>
          </cell>
          <cell r="M592" t="str">
            <v>No</v>
          </cell>
          <cell r="R592" t="str">
            <v>DE GIJSEL SWANA MS.</v>
          </cell>
          <cell r="W592" t="str">
            <v>DE GIJSEL SWANA OLGA</v>
          </cell>
          <cell r="X592" t="str">
            <v>525 E 68TH ST</v>
          </cell>
          <cell r="Y592" t="str">
            <v>NEW YORK</v>
          </cell>
          <cell r="Z592" t="str">
            <v>NY</v>
          </cell>
          <cell r="AA592" t="str">
            <v>10065-4870</v>
          </cell>
          <cell r="AB592" t="str">
            <v>PHYSICIAN</v>
          </cell>
          <cell r="AC592" t="str">
            <v>M</v>
          </cell>
          <cell r="AD592" t="str">
            <v>No</v>
          </cell>
          <cell r="AE592" t="str">
            <v>MMIS</v>
          </cell>
          <cell r="AF592" t="str">
            <v>nypeastcampus</v>
          </cell>
          <cell r="AG592" t="str">
            <v>P</v>
          </cell>
        </row>
        <row r="593">
          <cell r="A593" t="str">
            <v>1760649180</v>
          </cell>
          <cell r="B593" t="str">
            <v>03565400</v>
          </cell>
          <cell r="C593" t="str">
            <v>FORGACS, PETER B</v>
          </cell>
          <cell r="D593" t="str">
            <v>E0346581</v>
          </cell>
          <cell r="E593" t="str">
            <v>FORGACS PETER BERTALAN</v>
          </cell>
          <cell r="G593" t="str">
            <v>Kathryn Spaziani</v>
          </cell>
          <cell r="H593" t="str">
            <v>(212) 305-1190</v>
          </cell>
          <cell r="J593" t="str">
            <v>kas9171@nyp.org</v>
          </cell>
          <cell r="L593" t="str">
            <v>All Other:: Practitioner - Non-Primary Care Provider (PCP)</v>
          </cell>
          <cell r="M593" t="str">
            <v>No</v>
          </cell>
          <cell r="R593" t="str">
            <v>FORGACS PETER DR.</v>
          </cell>
          <cell r="W593" t="str">
            <v>FORGACS PETER BERTALAN</v>
          </cell>
          <cell r="X593" t="str">
            <v>520 E 70TH ST</v>
          </cell>
          <cell r="Y593" t="str">
            <v>NEW YORK</v>
          </cell>
          <cell r="Z593" t="str">
            <v>NY</v>
          </cell>
          <cell r="AA593" t="str">
            <v>10021-9800</v>
          </cell>
          <cell r="AB593" t="str">
            <v>PHYSICIAN</v>
          </cell>
          <cell r="AC593" t="str">
            <v>M</v>
          </cell>
          <cell r="AD593" t="str">
            <v>No</v>
          </cell>
          <cell r="AE593" t="str">
            <v>MMIS</v>
          </cell>
          <cell r="AF593" t="str">
            <v>nypeastacn</v>
          </cell>
          <cell r="AG593" t="str">
            <v>P</v>
          </cell>
        </row>
        <row r="594">
          <cell r="A594" t="str">
            <v>1487869814</v>
          </cell>
          <cell r="B594" t="str">
            <v>02448837</v>
          </cell>
          <cell r="C594" t="str">
            <v>Naomi Glicken, LCSW</v>
          </cell>
          <cell r="D594" t="str">
            <v>E0055250</v>
          </cell>
          <cell r="E594" t="str">
            <v>GLICKEN NAOMI</v>
          </cell>
          <cell r="G594" t="str">
            <v>Dianna Dragatsi</v>
          </cell>
          <cell r="H594" t="str">
            <v>(212) 942-8513</v>
          </cell>
          <cell r="J594" t="str">
            <v>Dragats@nyspi.columbia.edu</v>
          </cell>
          <cell r="L594" t="str">
            <v>Uncategorized</v>
          </cell>
          <cell r="M594" t="str">
            <v>No</v>
          </cell>
          <cell r="R594" t="str">
            <v>GLICKEN NAOMI MS.</v>
          </cell>
          <cell r="W594" t="str">
            <v>GLICKEN NAOMI</v>
          </cell>
          <cell r="X594" t="str">
            <v>513 W 166TH ST FL 4</v>
          </cell>
          <cell r="Y594" t="str">
            <v>NEW YORK</v>
          </cell>
          <cell r="Z594" t="str">
            <v>NY</v>
          </cell>
          <cell r="AA594" t="str">
            <v>10032-4207</v>
          </cell>
          <cell r="AB594" t="str">
            <v>CLINICAL SOCIAL WORKER (CSW)</v>
          </cell>
          <cell r="AC594" t="str">
            <v>M</v>
          </cell>
          <cell r="AD594" t="str">
            <v>No</v>
          </cell>
          <cell r="AE594" t="str">
            <v>MMIS</v>
          </cell>
          <cell r="AF594" t="str">
            <v>nyspi</v>
          </cell>
          <cell r="AG594" t="str">
            <v>P</v>
          </cell>
        </row>
        <row r="595">
          <cell r="A595" t="str">
            <v>1023327640</v>
          </cell>
          <cell r="B595" t="str">
            <v>03658179</v>
          </cell>
          <cell r="C595" t="str">
            <v>Patricia Gloster, RN</v>
          </cell>
          <cell r="D595" t="str">
            <v>E0356188</v>
          </cell>
          <cell r="E595" t="str">
            <v>GLOSTER PATRICIA</v>
          </cell>
          <cell r="G595" t="str">
            <v>Dianna Dragatsi</v>
          </cell>
          <cell r="H595" t="str">
            <v>(212) 942-8514</v>
          </cell>
          <cell r="J595" t="str">
            <v>Dragats@nyspi.columbia.edu</v>
          </cell>
          <cell r="L595" t="str">
            <v>Uncategorized</v>
          </cell>
          <cell r="M595" t="str">
            <v>No</v>
          </cell>
          <cell r="R595" t="str">
            <v>GLOSTER PATRICIA MS.</v>
          </cell>
          <cell r="W595" t="str">
            <v>GLOSTER PATRICIA</v>
          </cell>
          <cell r="X595" t="str">
            <v>513 W 166TH ST FL 4</v>
          </cell>
          <cell r="Y595" t="str">
            <v>NEW YORK</v>
          </cell>
          <cell r="Z595" t="str">
            <v>NY</v>
          </cell>
          <cell r="AA595" t="str">
            <v>10032-4207</v>
          </cell>
          <cell r="AB595" t="str">
            <v>NURSE</v>
          </cell>
          <cell r="AC595" t="str">
            <v>M</v>
          </cell>
          <cell r="AD595" t="str">
            <v>No</v>
          </cell>
          <cell r="AE595" t="str">
            <v>MMIS</v>
          </cell>
          <cell r="AF595" t="str">
            <v>nyspi</v>
          </cell>
          <cell r="AG595" t="str">
            <v>P</v>
          </cell>
        </row>
        <row r="596">
          <cell r="A596" t="str">
            <v>1356355507</v>
          </cell>
          <cell r="B596" t="str">
            <v>02386345</v>
          </cell>
          <cell r="C596" t="str">
            <v>Hentel Keith</v>
          </cell>
          <cell r="D596" t="str">
            <v>E0061488</v>
          </cell>
          <cell r="E596" t="str">
            <v>HENTEL KEITH D MD</v>
          </cell>
          <cell r="L596" t="str">
            <v>All Other:: Practitioner - Non-Primary Care Provider (PCP)</v>
          </cell>
          <cell r="M596" t="str">
            <v>No</v>
          </cell>
          <cell r="R596" t="str">
            <v>HENTEL KEITH DR.</v>
          </cell>
          <cell r="W596" t="str">
            <v>HENTEL KEITH D MD</v>
          </cell>
          <cell r="X596" t="str">
            <v>COLM PRESB RAD</v>
          </cell>
          <cell r="Y596" t="str">
            <v>NEW YORK</v>
          </cell>
          <cell r="Z596" t="str">
            <v>NY</v>
          </cell>
          <cell r="AA596" t="str">
            <v>10032-3720</v>
          </cell>
          <cell r="AB596" t="str">
            <v>PHYSICIAN</v>
          </cell>
          <cell r="AC596" t="str">
            <v>M</v>
          </cell>
          <cell r="AD596" t="str">
            <v>No</v>
          </cell>
          <cell r="AE596" t="str">
            <v>MMIS</v>
          </cell>
          <cell r="AF596" t="str">
            <v>nypeastcampus</v>
          </cell>
          <cell r="AG596" t="str">
            <v>P</v>
          </cell>
        </row>
        <row r="597">
          <cell r="A597" t="str">
            <v>1689844458</v>
          </cell>
          <cell r="C597" t="str">
            <v>WEILL CORNELL MEDICAL COLLEGE</v>
          </cell>
          <cell r="K597" t="str">
            <v>All Other</v>
          </cell>
          <cell r="L597" t="str">
            <v>Uncategorized</v>
          </cell>
          <cell r="M597" t="str">
            <v>No</v>
          </cell>
          <cell r="R597" t="str">
            <v>WEILL CORNELL MEDICAL COLLEGE</v>
          </cell>
          <cell r="S597" t="str">
            <v>1305 YORK AVE, 6TH FLOOR</v>
          </cell>
          <cell r="T597" t="str">
            <v>NEW YORK</v>
          </cell>
          <cell r="U597" t="str">
            <v>NY</v>
          </cell>
          <cell r="V597" t="str">
            <v>100215663</v>
          </cell>
          <cell r="AC597" t="str">
            <v>M</v>
          </cell>
          <cell r="AD597" t="str">
            <v>No</v>
          </cell>
          <cell r="AE597" t="str">
            <v>NPI only</v>
          </cell>
          <cell r="AF597" t="str">
            <v>nypwestacn</v>
          </cell>
          <cell r="AG597" t="str">
            <v>P</v>
          </cell>
        </row>
        <row r="598">
          <cell r="A598" t="str">
            <v>1952498024</v>
          </cell>
          <cell r="B598" t="str">
            <v>00947306</v>
          </cell>
          <cell r="C598" t="str">
            <v>WEINSTEIN, LUISE L</v>
          </cell>
          <cell r="D598" t="str">
            <v>E0205032</v>
          </cell>
          <cell r="E598" t="str">
            <v>WEINSTEIN LUISE L          MD</v>
          </cell>
          <cell r="G598" t="str">
            <v>Kathryn Spaziani</v>
          </cell>
          <cell r="H598" t="str">
            <v>(212) 305-1190</v>
          </cell>
          <cell r="J598" t="str">
            <v>kas9171@nyp.org</v>
          </cell>
          <cell r="L598" t="str">
            <v>All Other:: Practitioner - Primary Care Provider (PCP)</v>
          </cell>
          <cell r="M598" t="str">
            <v>No</v>
          </cell>
          <cell r="R598" t="str">
            <v>WEINSTEIN LUISE</v>
          </cell>
          <cell r="W598" t="str">
            <v>WEINSTEIN LUISE L          MD</v>
          </cell>
          <cell r="X598" t="str">
            <v>505 E 70TH ST</v>
          </cell>
          <cell r="Y598" t="str">
            <v>NEW YORK</v>
          </cell>
          <cell r="Z598" t="str">
            <v>NY</v>
          </cell>
          <cell r="AA598" t="str">
            <v>10021-4872</v>
          </cell>
          <cell r="AB598" t="str">
            <v>PHYSICIAN</v>
          </cell>
          <cell r="AC598" t="str">
            <v>M</v>
          </cell>
          <cell r="AD598" t="str">
            <v>No</v>
          </cell>
          <cell r="AE598" t="str">
            <v>MMIS</v>
          </cell>
          <cell r="AF598" t="str">
            <v>nypeastcampus</v>
          </cell>
          <cell r="AG598" t="str">
            <v>P</v>
          </cell>
        </row>
        <row r="599">
          <cell r="A599" t="str">
            <v>1568408771</v>
          </cell>
          <cell r="B599" t="str">
            <v>01884519</v>
          </cell>
          <cell r="C599" t="str">
            <v>Troiano Robert</v>
          </cell>
          <cell r="D599" t="str">
            <v>E0111593</v>
          </cell>
          <cell r="E599" t="str">
            <v>TROIANO ROBERT N MD</v>
          </cell>
          <cell r="L599" t="str">
            <v>All Other:: Practitioner - Non-Primary Care Provider (PCP)</v>
          </cell>
          <cell r="M599" t="str">
            <v>No</v>
          </cell>
          <cell r="R599" t="str">
            <v>TROIANO ROBERT</v>
          </cell>
          <cell r="W599" t="str">
            <v>TROIANO ROBERT N MD</v>
          </cell>
          <cell r="X599" t="str">
            <v>NYH-CUMC RADIOLOGY</v>
          </cell>
          <cell r="Y599" t="str">
            <v>NEW YORK</v>
          </cell>
          <cell r="Z599" t="str">
            <v>NY</v>
          </cell>
          <cell r="AA599" t="str">
            <v>10065-4870</v>
          </cell>
          <cell r="AB599" t="str">
            <v>PHYSICIAN</v>
          </cell>
          <cell r="AC599" t="str">
            <v>M</v>
          </cell>
          <cell r="AD599" t="str">
            <v>No</v>
          </cell>
          <cell r="AE599" t="str">
            <v>MMIS</v>
          </cell>
          <cell r="AF599" t="str">
            <v>nypeastcampus</v>
          </cell>
          <cell r="AG599" t="str">
            <v>P</v>
          </cell>
        </row>
        <row r="600">
          <cell r="A600" t="str">
            <v>1710313580</v>
          </cell>
          <cell r="B600" t="str">
            <v>03743780</v>
          </cell>
          <cell r="C600" t="str">
            <v xml:space="preserve">RODRIGUEZ, JEANNETTE </v>
          </cell>
          <cell r="D600" t="str">
            <v>E0364919</v>
          </cell>
          <cell r="E600" t="str">
            <v>RODRIGUEZ JEANNETTE</v>
          </cell>
          <cell r="G600" t="str">
            <v>Kathryn Spaziani</v>
          </cell>
          <cell r="H600" t="str">
            <v>(212) 305-1190</v>
          </cell>
          <cell r="J600" t="str">
            <v>kas9171@nyp.org</v>
          </cell>
          <cell r="L600" t="str">
            <v>Practitioner - Non-Primary Care Provider (PCP)</v>
          </cell>
          <cell r="M600" t="str">
            <v>No</v>
          </cell>
          <cell r="R600" t="str">
            <v>RODRIGUEZ JEANNETTE</v>
          </cell>
          <cell r="W600" t="str">
            <v>RODRIGUEZ JEANNETTE</v>
          </cell>
          <cell r="X600" t="str">
            <v>99 TERRACE VIEW AVE</v>
          </cell>
          <cell r="Y600" t="str">
            <v>BRONX</v>
          </cell>
          <cell r="Z600" t="str">
            <v>NY</v>
          </cell>
          <cell r="AA600" t="str">
            <v>10463-5079</v>
          </cell>
          <cell r="AB600" t="str">
            <v>PHYSICIAN</v>
          </cell>
          <cell r="AC600" t="str">
            <v>M</v>
          </cell>
          <cell r="AD600" t="str">
            <v>No</v>
          </cell>
          <cell r="AE600" t="str">
            <v>MMIS</v>
          </cell>
          <cell r="AF600" t="str">
            <v>nypwestcampus</v>
          </cell>
          <cell r="AG600" t="str">
            <v>P</v>
          </cell>
        </row>
        <row r="601">
          <cell r="A601" t="str">
            <v>1750356887</v>
          </cell>
          <cell r="B601" t="str">
            <v>00894853</v>
          </cell>
          <cell r="C601" t="str">
            <v xml:space="preserve">BROWN, JOCELYN </v>
          </cell>
          <cell r="D601" t="str">
            <v>E0210264</v>
          </cell>
          <cell r="E601" t="str">
            <v>BROWN JOCELYN              MD</v>
          </cell>
          <cell r="G601" t="str">
            <v>Kathryn Spaziani</v>
          </cell>
          <cell r="H601" t="str">
            <v>(212) 305-1190</v>
          </cell>
          <cell r="J601" t="str">
            <v>kas9171@nyp.org</v>
          </cell>
          <cell r="L601" t="str">
            <v>Practitioner - Primary Care Provider (PCP)</v>
          </cell>
          <cell r="M601" t="str">
            <v>No</v>
          </cell>
          <cell r="R601" t="str">
            <v>BROWN JOCELYN DR.</v>
          </cell>
          <cell r="W601" t="str">
            <v>BROWN JOCELYN              MD</v>
          </cell>
          <cell r="Y601" t="str">
            <v>NEW YORK</v>
          </cell>
          <cell r="Z601" t="str">
            <v>NY</v>
          </cell>
          <cell r="AA601" t="str">
            <v>10032-1559</v>
          </cell>
          <cell r="AB601" t="str">
            <v>PHYSICIAN</v>
          </cell>
          <cell r="AC601" t="str">
            <v>M</v>
          </cell>
          <cell r="AD601" t="str">
            <v>No</v>
          </cell>
          <cell r="AE601" t="str">
            <v>MMIS</v>
          </cell>
          <cell r="AF601" t="str">
            <v>nypwestacn</v>
          </cell>
          <cell r="AG601" t="str">
            <v>P</v>
          </cell>
        </row>
        <row r="602">
          <cell r="A602" t="str">
            <v>1124203773</v>
          </cell>
          <cell r="B602" t="str">
            <v>03485274</v>
          </cell>
          <cell r="C602" t="str">
            <v>ASCUNCE, REBECCA R</v>
          </cell>
          <cell r="D602" t="str">
            <v>E0337972</v>
          </cell>
          <cell r="E602" t="str">
            <v>ASCUNCE REBECCA RUDOMINER</v>
          </cell>
          <cell r="G602" t="str">
            <v>Kathryn Spaziani</v>
          </cell>
          <cell r="H602" t="str">
            <v>(212) 305-1190</v>
          </cell>
          <cell r="J602" t="str">
            <v>kas9171@nyp.org</v>
          </cell>
          <cell r="L602" t="str">
            <v>All Other:: Practitioner - Non-Primary Care Provider (PCP)</v>
          </cell>
          <cell r="M602" t="str">
            <v>No</v>
          </cell>
          <cell r="R602" t="str">
            <v>ASCUNCE REBECCA DR.</v>
          </cell>
          <cell r="W602" t="str">
            <v>ASCUNCE REBECCA RUDOMINER</v>
          </cell>
          <cell r="X602" t="str">
            <v>1305 YORK AVE FL 8</v>
          </cell>
          <cell r="Y602" t="str">
            <v>NEW YORK</v>
          </cell>
          <cell r="Z602" t="str">
            <v>NY</v>
          </cell>
          <cell r="AA602" t="str">
            <v>10021-5663</v>
          </cell>
          <cell r="AB602" t="str">
            <v>PHYSICIAN</v>
          </cell>
          <cell r="AC602" t="str">
            <v>M</v>
          </cell>
          <cell r="AD602" t="str">
            <v>No</v>
          </cell>
          <cell r="AE602" t="str">
            <v>MMIS</v>
          </cell>
          <cell r="AF602" t="str">
            <v>nypeastacn</v>
          </cell>
          <cell r="AG602" t="str">
            <v>P</v>
          </cell>
        </row>
        <row r="603">
          <cell r="A603" t="str">
            <v>1891843934</v>
          </cell>
          <cell r="B603" t="str">
            <v>01167046</v>
          </cell>
          <cell r="C603" t="str">
            <v>MCCORMICK, PAUL C</v>
          </cell>
          <cell r="D603" t="str">
            <v>E0183183</v>
          </cell>
          <cell r="E603" t="str">
            <v>MCCORMICK PAUL C MD</v>
          </cell>
          <cell r="G603" t="str">
            <v>Kathryn Spaziani</v>
          </cell>
          <cell r="H603" t="str">
            <v>(212) 305-1190</v>
          </cell>
          <cell r="J603" t="str">
            <v>kas9171@nyp.org</v>
          </cell>
          <cell r="L603" t="str">
            <v>Practitioner - Non-Primary Care Provider (PCP)</v>
          </cell>
          <cell r="M603" t="str">
            <v>No</v>
          </cell>
          <cell r="R603" t="str">
            <v>MCCORMICK PAUL DR.</v>
          </cell>
          <cell r="W603" t="str">
            <v>MCCORMICK PAUL C MD</v>
          </cell>
          <cell r="X603" t="str">
            <v>710 W 168TH ST RM 204</v>
          </cell>
          <cell r="Y603" t="str">
            <v>NEW YORK</v>
          </cell>
          <cell r="Z603" t="str">
            <v>NY</v>
          </cell>
          <cell r="AA603" t="str">
            <v>10032-3726</v>
          </cell>
          <cell r="AB603" t="str">
            <v>PHYSICIAN</v>
          </cell>
          <cell r="AC603" t="str">
            <v>M</v>
          </cell>
          <cell r="AD603" t="str">
            <v>No</v>
          </cell>
          <cell r="AE603" t="str">
            <v>MMIS</v>
          </cell>
          <cell r="AF603" t="str">
            <v>nypwestcampus</v>
          </cell>
          <cell r="AG603" t="str">
            <v>P</v>
          </cell>
        </row>
        <row r="604">
          <cell r="A604" t="str">
            <v>1891940938</v>
          </cell>
          <cell r="B604" t="str">
            <v>02184325</v>
          </cell>
          <cell r="C604" t="str">
            <v>SHAHID, NASAR M</v>
          </cell>
          <cell r="D604" t="str">
            <v>E0081648</v>
          </cell>
          <cell r="E604" t="str">
            <v>SHAHID NASAR MAHMOOD MD</v>
          </cell>
          <cell r="G604" t="str">
            <v>Kathryn Spaziani</v>
          </cell>
          <cell r="H604" t="str">
            <v>(212) 305-1190</v>
          </cell>
          <cell r="J604" t="str">
            <v>kas9171@nyp.org</v>
          </cell>
          <cell r="L604" t="str">
            <v>Practitioner - Non-Primary Care Provider (PCP)</v>
          </cell>
          <cell r="M604" t="str">
            <v>No</v>
          </cell>
          <cell r="R604" t="str">
            <v>SHAHID NASAR DR.</v>
          </cell>
          <cell r="W604" t="str">
            <v>SHAHID NASAR MAHMOOD MD</v>
          </cell>
          <cell r="X604" t="str">
            <v>NY PRESB HSP</v>
          </cell>
          <cell r="Y604" t="str">
            <v>NEW YORK</v>
          </cell>
          <cell r="Z604" t="str">
            <v>NY</v>
          </cell>
          <cell r="AA604" t="str">
            <v>10032-3720</v>
          </cell>
          <cell r="AB604" t="str">
            <v>PHYSICIAN</v>
          </cell>
          <cell r="AC604" t="str">
            <v>M</v>
          </cell>
          <cell r="AD604" t="str">
            <v>No</v>
          </cell>
          <cell r="AE604" t="str">
            <v>MMIS</v>
          </cell>
          <cell r="AF604" t="str">
            <v>nypwestcampus</v>
          </cell>
          <cell r="AG604" t="str">
            <v>P</v>
          </cell>
        </row>
        <row r="605">
          <cell r="A605" t="str">
            <v>1841446218</v>
          </cell>
          <cell r="B605" t="str">
            <v>03421881</v>
          </cell>
          <cell r="C605" t="str">
            <v>WELLMAN, DAVID S</v>
          </cell>
          <cell r="D605" t="str">
            <v>E0330471</v>
          </cell>
          <cell r="E605" t="str">
            <v>WELLMAN DAVID</v>
          </cell>
          <cell r="G605" t="str">
            <v>Kathryn Spaziani</v>
          </cell>
          <cell r="H605" t="str">
            <v>(212) 305-1190</v>
          </cell>
          <cell r="J605" t="str">
            <v>kas9171@nyp.org</v>
          </cell>
          <cell r="L605" t="str">
            <v>All Other:: Practitioner - Non-Primary Care Provider (PCP)</v>
          </cell>
          <cell r="M605" t="str">
            <v>No</v>
          </cell>
          <cell r="R605" t="str">
            <v>WELLMAN DAVID DR.</v>
          </cell>
          <cell r="W605" t="str">
            <v>WELLMAN DAVID</v>
          </cell>
          <cell r="X605" t="str">
            <v>535 E 70TH ST</v>
          </cell>
          <cell r="Y605" t="str">
            <v>NEW YORK</v>
          </cell>
          <cell r="Z605" t="str">
            <v>NY</v>
          </cell>
          <cell r="AA605" t="str">
            <v>10021-4823</v>
          </cell>
          <cell r="AB605" t="str">
            <v>PHYSICIAN</v>
          </cell>
          <cell r="AC605" t="str">
            <v>M</v>
          </cell>
          <cell r="AD605" t="str">
            <v>No</v>
          </cell>
          <cell r="AE605" t="str">
            <v>MMIS</v>
          </cell>
          <cell r="AF605" t="str">
            <v>nypeastcampus</v>
          </cell>
          <cell r="AG605" t="str">
            <v>P</v>
          </cell>
        </row>
        <row r="606">
          <cell r="A606" t="str">
            <v>1104037316</v>
          </cell>
          <cell r="B606" t="str">
            <v>03510001</v>
          </cell>
          <cell r="C606" t="str">
            <v>POPKIN, CHARLES A</v>
          </cell>
          <cell r="D606" t="str">
            <v>E0340715</v>
          </cell>
          <cell r="E606" t="str">
            <v>POPKIN CHARLES AARON</v>
          </cell>
          <cell r="G606" t="str">
            <v>Kathryn Spaziani</v>
          </cell>
          <cell r="H606" t="str">
            <v>(212) 305-1190</v>
          </cell>
          <cell r="J606" t="str">
            <v>kas9171@nyp.org</v>
          </cell>
          <cell r="L606" t="str">
            <v>All Other:: Practitioner - Non-Primary Care Provider (PCP)</v>
          </cell>
          <cell r="M606" t="str">
            <v>No</v>
          </cell>
          <cell r="R606" t="str">
            <v>POPKIN CHARLES DR.</v>
          </cell>
          <cell r="W606" t="str">
            <v>POPKIN CHARLES AARON</v>
          </cell>
          <cell r="X606" t="str">
            <v>51 W 51ST ST STE 370</v>
          </cell>
          <cell r="Y606" t="str">
            <v>NEW YORK</v>
          </cell>
          <cell r="Z606" t="str">
            <v>NY</v>
          </cell>
          <cell r="AA606" t="str">
            <v>10019-6113</v>
          </cell>
          <cell r="AB606" t="str">
            <v>PHYSICIAN</v>
          </cell>
          <cell r="AC606" t="str">
            <v>M</v>
          </cell>
          <cell r="AD606" t="str">
            <v>No</v>
          </cell>
          <cell r="AE606" t="str">
            <v>MMIS</v>
          </cell>
          <cell r="AF606" t="str">
            <v>nypwestcampus</v>
          </cell>
          <cell r="AG606" t="str">
            <v>P</v>
          </cell>
        </row>
        <row r="607">
          <cell r="A607" t="str">
            <v>1194876177</v>
          </cell>
          <cell r="B607" t="str">
            <v>01079170</v>
          </cell>
          <cell r="C607" t="str">
            <v>KANG, UN J</v>
          </cell>
          <cell r="D607" t="str">
            <v>E0191953</v>
          </cell>
          <cell r="E607" t="str">
            <v>KANG UN J MD</v>
          </cell>
          <cell r="G607" t="str">
            <v>Kathryn Spaziani</v>
          </cell>
          <cell r="H607" t="str">
            <v>(212) 305-1190</v>
          </cell>
          <cell r="J607" t="str">
            <v>kas9171@nyp.org</v>
          </cell>
          <cell r="L607" t="str">
            <v>Practitioner - Non-Primary Care Provider (PCP)</v>
          </cell>
          <cell r="M607" t="str">
            <v>No</v>
          </cell>
          <cell r="R607" t="str">
            <v>KANG UN</v>
          </cell>
          <cell r="W607" t="str">
            <v>KANG UN J MD</v>
          </cell>
          <cell r="X607" t="str">
            <v>710 W 168TH ST</v>
          </cell>
          <cell r="Y607" t="str">
            <v>NEW YORK</v>
          </cell>
          <cell r="Z607" t="str">
            <v>NY</v>
          </cell>
          <cell r="AA607" t="str">
            <v>10032-3726</v>
          </cell>
          <cell r="AB607" t="str">
            <v>PHYSICIAN</v>
          </cell>
          <cell r="AC607" t="str">
            <v>M</v>
          </cell>
          <cell r="AD607" t="str">
            <v>No</v>
          </cell>
          <cell r="AE607" t="str">
            <v>MMIS</v>
          </cell>
          <cell r="AF607" t="str">
            <v>nypwestacn</v>
          </cell>
          <cell r="AG607" t="str">
            <v>P</v>
          </cell>
        </row>
        <row r="608">
          <cell r="A608" t="str">
            <v>1508883497</v>
          </cell>
          <cell r="B608" t="str">
            <v>01144545</v>
          </cell>
          <cell r="C608" t="str">
            <v>SCHUBERT, HERMANN D</v>
          </cell>
          <cell r="D608" t="str">
            <v>E0185427</v>
          </cell>
          <cell r="E608" t="str">
            <v>SCHUBERT HERMANN D MD</v>
          </cell>
          <cell r="G608" t="str">
            <v>Kathryn Spaziani</v>
          </cell>
          <cell r="H608" t="str">
            <v>(212) 305-1190</v>
          </cell>
          <cell r="J608" t="str">
            <v>kas9171@nyp.org</v>
          </cell>
          <cell r="L608" t="str">
            <v>All Other:: Practitioner - Non-Primary Care Provider (PCP)</v>
          </cell>
          <cell r="M608" t="str">
            <v>No</v>
          </cell>
          <cell r="R608" t="str">
            <v>SCHUBERT HERMANN</v>
          </cell>
          <cell r="W608" t="str">
            <v>SCHUBERT HERMANN D MD</v>
          </cell>
          <cell r="Y608" t="str">
            <v>NEW YORK</v>
          </cell>
          <cell r="Z608" t="str">
            <v>NY</v>
          </cell>
          <cell r="AA608" t="str">
            <v>10032-3724</v>
          </cell>
          <cell r="AB608" t="str">
            <v>PHYSICIAN</v>
          </cell>
          <cell r="AC608" t="str">
            <v>M</v>
          </cell>
          <cell r="AD608" t="str">
            <v>No</v>
          </cell>
          <cell r="AE608" t="str">
            <v>MMIS</v>
          </cell>
          <cell r="AF608" t="str">
            <v>nypwestcampus</v>
          </cell>
          <cell r="AG608" t="str">
            <v>P</v>
          </cell>
        </row>
        <row r="609">
          <cell r="A609" t="str">
            <v>1669480117</v>
          </cell>
          <cell r="B609" t="str">
            <v>03172956</v>
          </cell>
          <cell r="C609" t="str">
            <v>WEILL MEDICAL COLLEGE OF CORNELL UNIVERSITY</v>
          </cell>
          <cell r="D609" t="str">
            <v>E0301409</v>
          </cell>
          <cell r="E609" t="str">
            <v>WEILL MEDICAL COLLEGE OF CORNELL UN</v>
          </cell>
          <cell r="L609" t="str">
            <v>All Other</v>
          </cell>
          <cell r="M609" t="str">
            <v>No</v>
          </cell>
          <cell r="R609" t="str">
            <v>WEILL MEDICAL COLLEGE OF CORNELL</v>
          </cell>
          <cell r="W609" t="str">
            <v>WEILL MEDICAL COLLEGE OF CORNELL</v>
          </cell>
          <cell r="X609" t="str">
            <v>1305 YORK AVE FL 5</v>
          </cell>
          <cell r="Y609" t="str">
            <v>NEW YORK</v>
          </cell>
          <cell r="Z609" t="str">
            <v>NY</v>
          </cell>
          <cell r="AA609" t="str">
            <v>10021-5663</v>
          </cell>
          <cell r="AB609" t="str">
            <v>PHYSICIANS GROUP</v>
          </cell>
          <cell r="AC609" t="str">
            <v>M</v>
          </cell>
          <cell r="AD609" t="str">
            <v>No</v>
          </cell>
          <cell r="AE609" t="str">
            <v>MMIS</v>
          </cell>
          <cell r="AF609" t="str">
            <v>nypwestacn</v>
          </cell>
          <cell r="AG609" t="str">
            <v>P</v>
          </cell>
        </row>
        <row r="610">
          <cell r="A610" t="str">
            <v>1790801074</v>
          </cell>
          <cell r="C610" t="str">
            <v>WEILL MEDICAL COLLEGE OF CORNELL UNIVERSITY</v>
          </cell>
          <cell r="K610" t="str">
            <v>All Other</v>
          </cell>
          <cell r="L610" t="str">
            <v>Uncategorized</v>
          </cell>
          <cell r="M610" t="str">
            <v>No</v>
          </cell>
          <cell r="R610" t="str">
            <v>WEILL MEDICAL COLLEGE OF CORNELL UNIVERSITY</v>
          </cell>
          <cell r="S610" t="str">
            <v>525 E 68TH ST, ST-801</v>
          </cell>
          <cell r="T610" t="str">
            <v>NEW YORK</v>
          </cell>
          <cell r="U610" t="str">
            <v>NY</v>
          </cell>
          <cell r="V610" t="str">
            <v>100214870</v>
          </cell>
          <cell r="AC610" t="str">
            <v>M</v>
          </cell>
          <cell r="AD610" t="str">
            <v>No</v>
          </cell>
          <cell r="AE610" t="str">
            <v>NPI only</v>
          </cell>
          <cell r="AF610" t="str">
            <v>nypwestacn</v>
          </cell>
          <cell r="AG610" t="str">
            <v>P</v>
          </cell>
        </row>
        <row r="611">
          <cell r="A611" t="str">
            <v>1386772531</v>
          </cell>
          <cell r="B611" t="str">
            <v>01958227</v>
          </cell>
          <cell r="C611" t="str">
            <v>FAN-PAUL, NANCY I</v>
          </cell>
          <cell r="D611" t="str">
            <v>E0104233</v>
          </cell>
          <cell r="E611" t="str">
            <v>NFP HEALTH GROUP LLC</v>
          </cell>
          <cell r="G611" t="str">
            <v>Kathryn Spaziani</v>
          </cell>
          <cell r="H611" t="str">
            <v>(212) 305-1190</v>
          </cell>
          <cell r="J611" t="str">
            <v>kas9171@nyp.org</v>
          </cell>
          <cell r="L611" t="str">
            <v>Practitioner - Non-Primary Care Provider (PCP)</v>
          </cell>
          <cell r="M611" t="str">
            <v>No</v>
          </cell>
          <cell r="R611" t="str">
            <v>FAN-PAUL NANCY DR.</v>
          </cell>
          <cell r="W611" t="str">
            <v>NFP HEALTH GROUP LLC</v>
          </cell>
          <cell r="X611" t="str">
            <v>NY HOSP/CORNELL</v>
          </cell>
          <cell r="Y611" t="str">
            <v>NEW YORK</v>
          </cell>
          <cell r="Z611" t="str">
            <v>NY</v>
          </cell>
          <cell r="AA611" t="str">
            <v>10021-9800</v>
          </cell>
          <cell r="AB611" t="str">
            <v>PHYSICIAN</v>
          </cell>
          <cell r="AC611" t="str">
            <v>M</v>
          </cell>
          <cell r="AD611" t="str">
            <v>No</v>
          </cell>
          <cell r="AE611" t="str">
            <v>MMIS</v>
          </cell>
          <cell r="AF611" t="str">
            <v>nypwestacn</v>
          </cell>
          <cell r="AG611" t="str">
            <v>P</v>
          </cell>
        </row>
        <row r="612">
          <cell r="A612" t="str">
            <v>1447386578</v>
          </cell>
          <cell r="B612" t="str">
            <v>01765228</v>
          </cell>
          <cell r="C612" t="str">
            <v xml:space="preserve">CONNOLLY, E. SANDER </v>
          </cell>
          <cell r="D612" t="str">
            <v>E0123506</v>
          </cell>
          <cell r="E612" t="str">
            <v>CONNOLLY E SANDER JR MD</v>
          </cell>
          <cell r="G612" t="str">
            <v>Kathryn Spaziani</v>
          </cell>
          <cell r="H612" t="str">
            <v>(212) 305-1190</v>
          </cell>
          <cell r="J612" t="str">
            <v>kas9171@nyp.org</v>
          </cell>
          <cell r="L612" t="str">
            <v>Practitioner - Non-Primary Care Provider (PCP)</v>
          </cell>
          <cell r="M612" t="str">
            <v>No</v>
          </cell>
          <cell r="R612" t="str">
            <v>CONNOLLY EDWARD DR.</v>
          </cell>
          <cell r="W612" t="str">
            <v>CONNOLLY E SANDER JR MD</v>
          </cell>
          <cell r="X612" t="str">
            <v>NEUROSURG ASC/RM422</v>
          </cell>
          <cell r="Y612" t="str">
            <v>NEW YORK</v>
          </cell>
          <cell r="Z612" t="str">
            <v>NY</v>
          </cell>
          <cell r="AA612" t="str">
            <v>10032-3726</v>
          </cell>
          <cell r="AB612" t="str">
            <v>PHYSICIAN</v>
          </cell>
          <cell r="AC612" t="str">
            <v>M</v>
          </cell>
          <cell r="AD612" t="str">
            <v>No</v>
          </cell>
          <cell r="AE612" t="str">
            <v>MMIS</v>
          </cell>
          <cell r="AF612" t="str">
            <v>nypwestacn</v>
          </cell>
          <cell r="AG612" t="str">
            <v>P</v>
          </cell>
        </row>
        <row r="613">
          <cell r="A613" t="str">
            <v>1861571390</v>
          </cell>
          <cell r="B613" t="str">
            <v>02951664</v>
          </cell>
          <cell r="C613" t="str">
            <v xml:space="preserve">MARRERO, LETISHA </v>
          </cell>
          <cell r="D613" t="str">
            <v>E0003387</v>
          </cell>
          <cell r="E613" t="str">
            <v>LETISHA MARRERO</v>
          </cell>
          <cell r="G613" t="str">
            <v>Kathryn Spaziani</v>
          </cell>
          <cell r="H613" t="str">
            <v>(212) 305-1190</v>
          </cell>
          <cell r="J613" t="str">
            <v>kas9171@nyp.org</v>
          </cell>
          <cell r="L613" t="str">
            <v>Mental Health:: Practitioner - Non-Primary Care Provider (PCP)</v>
          </cell>
          <cell r="M613" t="str">
            <v>No</v>
          </cell>
          <cell r="R613" t="str">
            <v>MARRERO LETISHA</v>
          </cell>
          <cell r="W613" t="str">
            <v>MARRERO LETISHA PHD</v>
          </cell>
          <cell r="X613" t="str">
            <v>5110 12TH AVE</v>
          </cell>
          <cell r="Y613" t="str">
            <v>BROOKLYN</v>
          </cell>
          <cell r="Z613" t="str">
            <v>NY</v>
          </cell>
          <cell r="AA613" t="str">
            <v>11219-3424</v>
          </cell>
          <cell r="AB613" t="str">
            <v>CLINICAL PSYCHOLOGIST</v>
          </cell>
          <cell r="AC613" t="str">
            <v>M</v>
          </cell>
          <cell r="AD613" t="str">
            <v>No</v>
          </cell>
          <cell r="AE613" t="str">
            <v>MMIS</v>
          </cell>
          <cell r="AF613" t="str">
            <v>nypwestcampus</v>
          </cell>
          <cell r="AG613" t="str">
            <v>P</v>
          </cell>
        </row>
        <row r="614">
          <cell r="A614" t="str">
            <v>1659303220</v>
          </cell>
          <cell r="B614" t="str">
            <v>01345826</v>
          </cell>
          <cell r="C614" t="str">
            <v>SLATER, JONATHON A</v>
          </cell>
          <cell r="D614" t="str">
            <v>E0165362</v>
          </cell>
          <cell r="E614" t="str">
            <v>SLATER JONATHAN ALLEN MD</v>
          </cell>
          <cell r="G614" t="str">
            <v>Kathryn Spaziani</v>
          </cell>
          <cell r="H614" t="str">
            <v>(212) 305-1190</v>
          </cell>
          <cell r="J614" t="str">
            <v>kas9171@nyp.org</v>
          </cell>
          <cell r="L614" t="str">
            <v>Mental Health:: Practitioner - Non-Primary Care Provider (PCP)</v>
          </cell>
          <cell r="M614" t="str">
            <v>No</v>
          </cell>
          <cell r="R614" t="str">
            <v>SLATER JONATHAN DR.</v>
          </cell>
          <cell r="W614" t="str">
            <v>SLATER JONATHAN ALLEN</v>
          </cell>
          <cell r="X614" t="str">
            <v>3959 BROADWAY</v>
          </cell>
          <cell r="Y614" t="str">
            <v>NEW YORK</v>
          </cell>
          <cell r="Z614" t="str">
            <v>NY</v>
          </cell>
          <cell r="AA614" t="str">
            <v>10032-1559</v>
          </cell>
          <cell r="AB614" t="str">
            <v>PHYSICIAN</v>
          </cell>
          <cell r="AC614" t="str">
            <v>M</v>
          </cell>
          <cell r="AD614" t="str">
            <v>No</v>
          </cell>
          <cell r="AE614" t="str">
            <v>MMIS</v>
          </cell>
          <cell r="AF614" t="str">
            <v>nypwestcampus</v>
          </cell>
          <cell r="AG614" t="str">
            <v>P</v>
          </cell>
        </row>
        <row r="615">
          <cell r="A615" t="str">
            <v>1447430152</v>
          </cell>
          <cell r="B615" t="str">
            <v>03095127</v>
          </cell>
          <cell r="C615" t="str">
            <v>WEILL CORNELL IMAGING AT NEW YORK PRESBYTERIAN</v>
          </cell>
          <cell r="D615" t="str">
            <v>E0292475</v>
          </cell>
          <cell r="E615" t="str">
            <v>WEILL CORNELL IMAGING NY PRSBYTRIAN</v>
          </cell>
          <cell r="L615" t="str">
            <v>All Other</v>
          </cell>
          <cell r="M615" t="str">
            <v>No</v>
          </cell>
          <cell r="R615" t="str">
            <v>WEILL CORNELL IMAGING AT NEW YORK PRESBYTERIAN</v>
          </cell>
          <cell r="W615" t="str">
            <v>WEILL CORNELL IMAGING NY PRSBYTRIAN</v>
          </cell>
          <cell r="X615" t="str">
            <v>520E 70TH ST LVL J-0</v>
          </cell>
          <cell r="Y615" t="str">
            <v>NEW YORK</v>
          </cell>
          <cell r="Z615" t="str">
            <v>NY</v>
          </cell>
          <cell r="AA615" t="str">
            <v>10021-9800</v>
          </cell>
          <cell r="AB615" t="str">
            <v>DIAGNOSTIC AND TREATMENT CENTER</v>
          </cell>
          <cell r="AC615" t="str">
            <v>M</v>
          </cell>
          <cell r="AD615" t="str">
            <v>No</v>
          </cell>
          <cell r="AE615" t="str">
            <v>MMIS</v>
          </cell>
          <cell r="AF615" t="str">
            <v>nypwestacn</v>
          </cell>
          <cell r="AG615" t="str">
            <v>P</v>
          </cell>
        </row>
        <row r="616">
          <cell r="A616" t="str">
            <v>1275640955</v>
          </cell>
          <cell r="B616" t="str">
            <v>02677269</v>
          </cell>
          <cell r="C616" t="str">
            <v>STOCKWELL, MELISSA S</v>
          </cell>
          <cell r="D616" t="str">
            <v>E0032449</v>
          </cell>
          <cell r="E616" t="str">
            <v>STOCKWELL MELISSA SCHARF MD</v>
          </cell>
          <cell r="G616" t="str">
            <v>Kathryn Spaziani</v>
          </cell>
          <cell r="H616" t="str">
            <v>(212) 305-1190</v>
          </cell>
          <cell r="J616" t="str">
            <v>kas9171@nyp.org</v>
          </cell>
          <cell r="L616" t="str">
            <v>Practitioner - Primary Care Provider (PCP)</v>
          </cell>
          <cell r="M616" t="str">
            <v>Yes</v>
          </cell>
          <cell r="R616" t="str">
            <v>STOCKWELL MELISSA DR.</v>
          </cell>
          <cell r="W616" t="str">
            <v>STOCKWELL MELISSA SCHARF MD</v>
          </cell>
          <cell r="X616" t="str">
            <v>506 MALCOLM X BLVD</v>
          </cell>
          <cell r="Y616" t="str">
            <v>NEW YORK</v>
          </cell>
          <cell r="Z616" t="str">
            <v>NY</v>
          </cell>
          <cell r="AA616" t="str">
            <v>10037-1802</v>
          </cell>
          <cell r="AB616" t="str">
            <v>PHYSICIAN</v>
          </cell>
          <cell r="AC616" t="str">
            <v>M</v>
          </cell>
          <cell r="AD616" t="str">
            <v>No</v>
          </cell>
          <cell r="AE616" t="str">
            <v>MMIS</v>
          </cell>
          <cell r="AF616" t="str">
            <v>nypwestcampus</v>
          </cell>
          <cell r="AG616" t="str">
            <v>P</v>
          </cell>
        </row>
        <row r="617">
          <cell r="A617" t="str">
            <v>1952498032</v>
          </cell>
          <cell r="B617" t="str">
            <v>00892535</v>
          </cell>
          <cell r="C617" t="str">
            <v>HOLLENBERG, JAMES P</v>
          </cell>
          <cell r="D617" t="str">
            <v>E0210495</v>
          </cell>
          <cell r="E617" t="str">
            <v>HOLLENBERG JAMES P         MD</v>
          </cell>
          <cell r="G617" t="str">
            <v>Kathryn Spaziani</v>
          </cell>
          <cell r="H617" t="str">
            <v>(212) 305-1190</v>
          </cell>
          <cell r="J617" t="str">
            <v>kas9171@nyp.org</v>
          </cell>
          <cell r="L617" t="str">
            <v>Practitioner - Primary Care Provider (PCP)</v>
          </cell>
          <cell r="M617" t="str">
            <v>No</v>
          </cell>
          <cell r="R617" t="str">
            <v>HOLLENBERG JAMES</v>
          </cell>
          <cell r="W617" t="str">
            <v>HOLLENBERG JAMES P         MD</v>
          </cell>
          <cell r="X617" t="str">
            <v>505 E 70TH ST STE HT-4</v>
          </cell>
          <cell r="Y617" t="str">
            <v>NEW YORK</v>
          </cell>
          <cell r="Z617" t="str">
            <v>NY</v>
          </cell>
          <cell r="AA617" t="str">
            <v>10021-4872</v>
          </cell>
          <cell r="AB617" t="str">
            <v>PHYSICIAN</v>
          </cell>
          <cell r="AC617" t="str">
            <v>M</v>
          </cell>
          <cell r="AD617" t="str">
            <v>No</v>
          </cell>
          <cell r="AE617" t="str">
            <v>MMIS</v>
          </cell>
          <cell r="AF617" t="str">
            <v>nypeastacn</v>
          </cell>
          <cell r="AG617" t="str">
            <v>P</v>
          </cell>
        </row>
        <row r="618">
          <cell r="A618" t="str">
            <v>1952547192</v>
          </cell>
          <cell r="B618" t="str">
            <v>03404639</v>
          </cell>
          <cell r="C618" t="str">
            <v xml:space="preserve">Sherline Chery </v>
          </cell>
          <cell r="D618" t="str">
            <v>E0328328</v>
          </cell>
          <cell r="E618" t="str">
            <v>CHERY SHERLINE</v>
          </cell>
          <cell r="L618" t="str">
            <v>All Other:: Practitioner - Non-Primary Care Provider (PCP)</v>
          </cell>
          <cell r="M618" t="str">
            <v>Yes</v>
          </cell>
          <cell r="R618" t="str">
            <v>CHERY SHERLINE</v>
          </cell>
          <cell r="W618" t="str">
            <v>CHERY SHERLINE</v>
          </cell>
          <cell r="X618" t="str">
            <v>1167 NOSTRAND AVE</v>
          </cell>
          <cell r="Y618" t="str">
            <v>BROOKLYN</v>
          </cell>
          <cell r="Z618" t="str">
            <v>NY</v>
          </cell>
          <cell r="AA618" t="str">
            <v>11225-5417</v>
          </cell>
          <cell r="AB618" t="str">
            <v>PHYSICIAN</v>
          </cell>
          <cell r="AC618" t="str">
            <v>M</v>
          </cell>
          <cell r="AD618" t="str">
            <v>No</v>
          </cell>
          <cell r="AE618" t="str">
            <v>MMIS</v>
          </cell>
          <cell r="AF618" t="str">
            <v>nypwestacn</v>
          </cell>
          <cell r="AG618" t="str">
            <v>P</v>
          </cell>
        </row>
        <row r="619">
          <cell r="A619" t="str">
            <v>1861581670</v>
          </cell>
          <cell r="B619" t="str">
            <v>00435070</v>
          </cell>
          <cell r="C619" t="str">
            <v>LANTIGUA, RAFAEL A</v>
          </cell>
          <cell r="D619" t="str">
            <v>E0255765</v>
          </cell>
          <cell r="E619" t="str">
            <v>LANTIGUA RAFAEL            MD</v>
          </cell>
          <cell r="G619" t="str">
            <v>Kathryn Spaziani</v>
          </cell>
          <cell r="H619" t="str">
            <v>(212) 305-1190</v>
          </cell>
          <cell r="J619" t="str">
            <v>kas9171@nyp.org</v>
          </cell>
          <cell r="L619" t="str">
            <v>All Other:: Practitioner - Primary Care Provider (PCP)</v>
          </cell>
          <cell r="M619" t="str">
            <v>Yes</v>
          </cell>
          <cell r="R619" t="str">
            <v>LANTIGUA RAFAEL DR.</v>
          </cell>
          <cell r="W619" t="str">
            <v>LANTIGUA RAFAEL            MD</v>
          </cell>
          <cell r="X619" t="str">
            <v>VC 2 205 AIM</v>
          </cell>
          <cell r="Y619" t="str">
            <v>NEW YORK</v>
          </cell>
          <cell r="Z619" t="str">
            <v>NY</v>
          </cell>
          <cell r="AA619" t="str">
            <v>10032-3720</v>
          </cell>
          <cell r="AB619" t="str">
            <v>PHYSICIAN</v>
          </cell>
          <cell r="AC619" t="str">
            <v>M</v>
          </cell>
          <cell r="AD619" t="str">
            <v>No</v>
          </cell>
          <cell r="AE619" t="str">
            <v>MMIS</v>
          </cell>
          <cell r="AF619" t="str">
            <v>nypwestcampus</v>
          </cell>
          <cell r="AG619" t="str">
            <v>P</v>
          </cell>
        </row>
        <row r="620">
          <cell r="A620" t="str">
            <v>1598164113</v>
          </cell>
          <cell r="C620" t="str">
            <v>Kim Jin Ah</v>
          </cell>
          <cell r="G620" t="str">
            <v>Kathryn Spaziani</v>
          </cell>
          <cell r="H620" t="str">
            <v>(212) 305-1255</v>
          </cell>
          <cell r="J620" t="str">
            <v>kas9171@nyp.org</v>
          </cell>
          <cell r="K620" t="str">
            <v>Physician</v>
          </cell>
          <cell r="L620" t="str">
            <v>Uncategorized</v>
          </cell>
          <cell r="M620" t="str">
            <v>No</v>
          </cell>
          <cell r="R620" t="str">
            <v>KIM JIN AH DR.</v>
          </cell>
          <cell r="S620" t="str">
            <v>416 E 55TH ST</v>
          </cell>
          <cell r="T620" t="str">
            <v>NEW YORK</v>
          </cell>
          <cell r="U620" t="str">
            <v>NY</v>
          </cell>
          <cell r="V620" t="str">
            <v>100225252</v>
          </cell>
          <cell r="AC620" t="str">
            <v>M</v>
          </cell>
          <cell r="AD620" t="str">
            <v>No</v>
          </cell>
          <cell r="AE620" t="str">
            <v>NPI only</v>
          </cell>
          <cell r="AF620" t="str">
            <v>nypeastcampus</v>
          </cell>
          <cell r="AG620" t="str">
            <v>P</v>
          </cell>
        </row>
        <row r="621">
          <cell r="A621" t="str">
            <v>1952613697</v>
          </cell>
          <cell r="B621" t="str">
            <v>04502796</v>
          </cell>
          <cell r="C621" t="str">
            <v>Kishore Sirish</v>
          </cell>
          <cell r="D621" t="str">
            <v>E0442971</v>
          </cell>
          <cell r="E621" t="str">
            <v>KISHORE SIRISH A</v>
          </cell>
          <cell r="G621" t="str">
            <v>Kathryn Spaziani</v>
          </cell>
          <cell r="H621" t="str">
            <v>(212) 305-1255</v>
          </cell>
          <cell r="J621" t="str">
            <v>kas9171@nyp.org</v>
          </cell>
          <cell r="L621" t="str">
            <v>Uncategorized</v>
          </cell>
          <cell r="M621" t="str">
            <v>No</v>
          </cell>
          <cell r="R621" t="str">
            <v>KISHORE SIRISH DR.</v>
          </cell>
          <cell r="W621" t="str">
            <v>KISHORE SIRISH A</v>
          </cell>
          <cell r="AB621" t="str">
            <v>PHYSICIAN</v>
          </cell>
          <cell r="AC621" t="str">
            <v>M</v>
          </cell>
          <cell r="AD621" t="str">
            <v>No</v>
          </cell>
          <cell r="AE621" t="str">
            <v>MMIS</v>
          </cell>
          <cell r="AF621" t="str">
            <v>nypwestacn</v>
          </cell>
          <cell r="AG621" t="str">
            <v>P</v>
          </cell>
        </row>
        <row r="622">
          <cell r="A622" t="str">
            <v>1932441524</v>
          </cell>
          <cell r="C622" t="str">
            <v>Lyons Grafe</v>
          </cell>
          <cell r="G622" t="str">
            <v>Kathryn Spaziani</v>
          </cell>
          <cell r="H622" t="str">
            <v>(212) 305-1255</v>
          </cell>
          <cell r="J622" t="str">
            <v>kas9171@nyp.org</v>
          </cell>
          <cell r="K622" t="str">
            <v>Physician</v>
          </cell>
          <cell r="L622" t="str">
            <v>Uncategorized</v>
          </cell>
          <cell r="M622" t="str">
            <v>No</v>
          </cell>
          <cell r="R622" t="str">
            <v>LYONS GRAFE DR.</v>
          </cell>
          <cell r="S622" t="str">
            <v>525 E 68TH ST # 141</v>
          </cell>
          <cell r="T622" t="str">
            <v>NEW YORK</v>
          </cell>
          <cell r="U622" t="str">
            <v>NY</v>
          </cell>
          <cell r="V622" t="str">
            <v>100654870</v>
          </cell>
          <cell r="AC622" t="str">
            <v>M</v>
          </cell>
          <cell r="AD622" t="str">
            <v>No</v>
          </cell>
          <cell r="AE622" t="str">
            <v>NPI only</v>
          </cell>
          <cell r="AF622" t="str">
            <v>nypeastcampus</v>
          </cell>
          <cell r="AG622" t="str">
            <v>P</v>
          </cell>
        </row>
        <row r="623">
          <cell r="A623" t="str">
            <v>1831408590</v>
          </cell>
          <cell r="C623" t="str">
            <v>Ira Rosenblum, RT</v>
          </cell>
          <cell r="G623" t="str">
            <v>Dianna Dragatsi</v>
          </cell>
          <cell r="H623" t="str">
            <v>(212) 942-8532</v>
          </cell>
          <cell r="J623" t="str">
            <v>Dragats@nyspi.columbia.edu</v>
          </cell>
          <cell r="K623" t="str">
            <v>Other Practitioners</v>
          </cell>
          <cell r="L623" t="str">
            <v>Uncategorized</v>
          </cell>
          <cell r="M623" t="str">
            <v>No</v>
          </cell>
          <cell r="R623" t="str">
            <v>ROSENBLUM IRA MR.</v>
          </cell>
          <cell r="S623" t="str">
            <v>26 SHERMAN AVE</v>
          </cell>
          <cell r="T623" t="str">
            <v>NEW YORK</v>
          </cell>
          <cell r="U623" t="str">
            <v>NY</v>
          </cell>
          <cell r="V623" t="str">
            <v>100401602</v>
          </cell>
          <cell r="AC623" t="str">
            <v>M</v>
          </cell>
          <cell r="AD623" t="str">
            <v>No</v>
          </cell>
          <cell r="AE623" t="str">
            <v>NPI only</v>
          </cell>
          <cell r="AF623" t="str">
            <v>nyspi</v>
          </cell>
          <cell r="AG623" t="str">
            <v>P</v>
          </cell>
        </row>
        <row r="624">
          <cell r="A624" t="str">
            <v>1598073553</v>
          </cell>
          <cell r="C624" t="str">
            <v>Maritza Campbell, LCSW</v>
          </cell>
          <cell r="G624" t="str">
            <v>Dianna Dragatsi</v>
          </cell>
          <cell r="H624" t="str">
            <v>(212) 942-8507</v>
          </cell>
          <cell r="J624" t="str">
            <v>Dragats@nyspi.columbia.edu</v>
          </cell>
          <cell r="K624" t="str">
            <v>Other Practitioners</v>
          </cell>
          <cell r="L624" t="str">
            <v>Uncategorized</v>
          </cell>
          <cell r="M624" t="str">
            <v>No</v>
          </cell>
          <cell r="R624" t="str">
            <v>CAMPBELL MARITZA MS.</v>
          </cell>
          <cell r="S624" t="str">
            <v>513 W 166TH ST, 4TH FLOOR AUDUBON-WHCS</v>
          </cell>
          <cell r="T624" t="str">
            <v>NEW YORK</v>
          </cell>
          <cell r="U624" t="str">
            <v>NY</v>
          </cell>
          <cell r="V624" t="str">
            <v>100324207</v>
          </cell>
          <cell r="AC624" t="str">
            <v>M</v>
          </cell>
          <cell r="AD624" t="str">
            <v>No</v>
          </cell>
          <cell r="AE624" t="str">
            <v>NPI only</v>
          </cell>
          <cell r="AF624" t="str">
            <v>nyspi</v>
          </cell>
          <cell r="AG624" t="str">
            <v>P</v>
          </cell>
        </row>
        <row r="625">
          <cell r="A625" t="str">
            <v>1922316165</v>
          </cell>
          <cell r="B625" t="str">
            <v>03697385</v>
          </cell>
          <cell r="C625" t="str">
            <v>Lucia Capitelli, RN</v>
          </cell>
          <cell r="D625" t="str">
            <v>E0360269</v>
          </cell>
          <cell r="E625" t="str">
            <v>CAPITELLI LUCIA MICHELLE</v>
          </cell>
          <cell r="G625" t="str">
            <v>Dianna Dragatsi</v>
          </cell>
          <cell r="H625" t="str">
            <v>(212) 942-8508</v>
          </cell>
          <cell r="J625" t="str">
            <v>Dragats@nyspi.columbia.edu</v>
          </cell>
          <cell r="L625" t="str">
            <v>Uncategorized</v>
          </cell>
          <cell r="M625" t="str">
            <v>No</v>
          </cell>
          <cell r="R625" t="str">
            <v>CAPITELLI LUCIA MS.</v>
          </cell>
          <cell r="W625" t="str">
            <v>CAPITELLI LUCIA MICHELLE</v>
          </cell>
          <cell r="X625" t="str">
            <v>26 SHERMAN AVE</v>
          </cell>
          <cell r="Y625" t="str">
            <v>NEW YORK</v>
          </cell>
          <cell r="Z625" t="str">
            <v>NY</v>
          </cell>
          <cell r="AA625" t="str">
            <v>10040-1602</v>
          </cell>
          <cell r="AB625" t="str">
            <v>NURSE</v>
          </cell>
          <cell r="AC625" t="str">
            <v>M</v>
          </cell>
          <cell r="AD625" t="str">
            <v>No</v>
          </cell>
          <cell r="AE625" t="str">
            <v>MMIS</v>
          </cell>
          <cell r="AF625" t="str">
            <v>nyspi</v>
          </cell>
          <cell r="AG625" t="str">
            <v>P</v>
          </cell>
        </row>
        <row r="626">
          <cell r="A626" t="str">
            <v>1235138728</v>
          </cell>
          <cell r="B626" t="str">
            <v>01621434</v>
          </cell>
          <cell r="C626" t="str">
            <v>Dora Cardenas, MD</v>
          </cell>
          <cell r="D626" t="str">
            <v>E0137868</v>
          </cell>
          <cell r="E626" t="str">
            <v>CARDENAS DORA L MD</v>
          </cell>
          <cell r="G626" t="str">
            <v>Dianna Dragatsi</v>
          </cell>
          <cell r="H626" t="str">
            <v>(212) 942-8509</v>
          </cell>
          <cell r="J626" t="str">
            <v>Dragats@nyspi.columbia.edu</v>
          </cell>
          <cell r="L626" t="str">
            <v>Mental Health:: Practitioner - Non-Primary Care Provider (PCP)</v>
          </cell>
          <cell r="M626" t="str">
            <v>No</v>
          </cell>
          <cell r="R626" t="str">
            <v>CARDENAS DORA DR.</v>
          </cell>
          <cell r="W626" t="str">
            <v>CARDENAS DORA LUISA</v>
          </cell>
          <cell r="X626" t="str">
            <v>26 SHERMAN AVE</v>
          </cell>
          <cell r="Y626" t="str">
            <v>NEW YORK</v>
          </cell>
          <cell r="Z626" t="str">
            <v>NY</v>
          </cell>
          <cell r="AA626" t="str">
            <v>10040-1602</v>
          </cell>
          <cell r="AB626" t="str">
            <v>PHYSICIAN</v>
          </cell>
          <cell r="AC626" t="str">
            <v>M</v>
          </cell>
          <cell r="AD626" t="str">
            <v>No</v>
          </cell>
          <cell r="AE626" t="str">
            <v>MMIS</v>
          </cell>
          <cell r="AF626" t="str">
            <v>nyspi</v>
          </cell>
          <cell r="AG626" t="str">
            <v>P</v>
          </cell>
        </row>
        <row r="627">
          <cell r="A627" t="str">
            <v>1770502635</v>
          </cell>
          <cell r="B627" t="str">
            <v>02998630</v>
          </cell>
          <cell r="C627" t="str">
            <v>WCMC NYP Psych</v>
          </cell>
          <cell r="D627" t="str">
            <v>E0274062</v>
          </cell>
          <cell r="E627" t="str">
            <v>NY HOSPITAL</v>
          </cell>
          <cell r="G627" t="str">
            <v>Kathryn Spaziani</v>
          </cell>
          <cell r="H627" t="str">
            <v>(212) 305-1190</v>
          </cell>
          <cell r="J627" t="str">
            <v>kas9171@nyp.org</v>
          </cell>
          <cell r="L627" t="str">
            <v>All Other:: Case Management / Health Home:: Clinic:: Hospital:: Mental Health:: Pharmacy:: Substance Abuse</v>
          </cell>
          <cell r="M627" t="str">
            <v>Yes</v>
          </cell>
          <cell r="R627" t="str">
            <v>THE NEW YORK AND PRESBYTERIAN HOSPITAL</v>
          </cell>
          <cell r="W627" t="str">
            <v>NEW YORK PRESBYTERIAN HOSPITAL</v>
          </cell>
          <cell r="X627" t="str">
            <v>525 E 68TH ST</v>
          </cell>
          <cell r="Y627" t="str">
            <v>NEW YORK</v>
          </cell>
          <cell r="Z627" t="str">
            <v>NY</v>
          </cell>
          <cell r="AA627" t="str">
            <v>10065-4870</v>
          </cell>
          <cell r="AB627" t="str">
            <v>HOSPITAL</v>
          </cell>
          <cell r="AC627" t="str">
            <v>M</v>
          </cell>
          <cell r="AD627" t="str">
            <v>No</v>
          </cell>
          <cell r="AE627" t="str">
            <v>MMIS</v>
          </cell>
          <cell r="AF627" t="str">
            <v>nypeastcampus</v>
          </cell>
          <cell r="AG627" t="str">
            <v>P</v>
          </cell>
        </row>
        <row r="628">
          <cell r="A628" t="str">
            <v>1548297450</v>
          </cell>
          <cell r="B628" t="str">
            <v>03375353</v>
          </cell>
          <cell r="C628" t="str">
            <v>BLUMBERG, DANA M</v>
          </cell>
          <cell r="D628" t="str">
            <v>E0324465</v>
          </cell>
          <cell r="E628" t="str">
            <v>BLUMBERG DANA MEREDITH</v>
          </cell>
          <cell r="G628" t="str">
            <v>Kathryn Spaziani</v>
          </cell>
          <cell r="H628" t="str">
            <v>(212) 305-1190</v>
          </cell>
          <cell r="J628" t="str">
            <v>kas9171@nyp.org</v>
          </cell>
          <cell r="L628" t="str">
            <v>All Other:: Practitioner - Non-Primary Care Provider (PCP)</v>
          </cell>
          <cell r="M628" t="str">
            <v>No</v>
          </cell>
          <cell r="R628" t="str">
            <v>BLUMBERG DANA</v>
          </cell>
          <cell r="W628" t="str">
            <v>BLUMBERG DANA MEREDITH</v>
          </cell>
          <cell r="X628" t="str">
            <v>635 W 165TH ST BSMT</v>
          </cell>
          <cell r="Y628" t="str">
            <v>NEW YORK</v>
          </cell>
          <cell r="Z628" t="str">
            <v>NY</v>
          </cell>
          <cell r="AA628" t="str">
            <v>10032-3724</v>
          </cell>
          <cell r="AB628" t="str">
            <v>PHYSICIAN</v>
          </cell>
          <cell r="AC628" t="str">
            <v>M</v>
          </cell>
          <cell r="AD628" t="str">
            <v>No</v>
          </cell>
          <cell r="AE628" t="str">
            <v>MMIS</v>
          </cell>
          <cell r="AF628" t="str">
            <v>nypwestacn</v>
          </cell>
          <cell r="AG628" t="str">
            <v>P</v>
          </cell>
        </row>
        <row r="629">
          <cell r="A629" t="str">
            <v>1548301534</v>
          </cell>
          <cell r="B629" t="str">
            <v>02900347</v>
          </cell>
          <cell r="C629" t="str">
            <v xml:space="preserve">KYMISSIS, CARISA </v>
          </cell>
          <cell r="D629" t="str">
            <v>E0010172</v>
          </cell>
          <cell r="E629" t="str">
            <v>KYMISSIS CARISA MAUREEN MD</v>
          </cell>
          <cell r="G629" t="str">
            <v>Kathryn Spaziani</v>
          </cell>
          <cell r="H629" t="str">
            <v>(212) 305-1190</v>
          </cell>
          <cell r="J629" t="str">
            <v>kas9171@nyp.org</v>
          </cell>
          <cell r="L629" t="str">
            <v>Practitioner - Non-Primary Care Provider (PCP)</v>
          </cell>
          <cell r="M629" t="str">
            <v>No</v>
          </cell>
          <cell r="R629" t="str">
            <v>KYMISSIS CARISA DR.</v>
          </cell>
          <cell r="W629" t="str">
            <v>KYMISSIS CARISA MAUREEN MD</v>
          </cell>
          <cell r="X629" t="str">
            <v>1090 AMSTERDAM AVE</v>
          </cell>
          <cell r="Y629" t="str">
            <v>NEW YORK</v>
          </cell>
          <cell r="Z629" t="str">
            <v>NY</v>
          </cell>
          <cell r="AA629" t="str">
            <v>10025-1737</v>
          </cell>
          <cell r="AB629" t="str">
            <v>PHYSICIAN</v>
          </cell>
          <cell r="AC629" t="str">
            <v>M</v>
          </cell>
          <cell r="AD629" t="str">
            <v>No</v>
          </cell>
          <cell r="AE629" t="str">
            <v>MMIS</v>
          </cell>
          <cell r="AF629" t="str">
            <v>nypwestcampus</v>
          </cell>
          <cell r="AG629" t="str">
            <v>P</v>
          </cell>
        </row>
        <row r="630">
          <cell r="A630" t="str">
            <v>1548403611</v>
          </cell>
          <cell r="B630" t="str">
            <v>03243198</v>
          </cell>
          <cell r="C630" t="str">
            <v>GASTOLOMENDO, RITA K</v>
          </cell>
          <cell r="D630" t="str">
            <v>E0309293</v>
          </cell>
          <cell r="E630" t="str">
            <v>GASTOLOMENDO RITA</v>
          </cell>
          <cell r="G630" t="str">
            <v>Kathryn Spaziani</v>
          </cell>
          <cell r="H630" t="str">
            <v>(212) 305-1190</v>
          </cell>
          <cell r="J630" t="str">
            <v>kas9171@nyp.org</v>
          </cell>
          <cell r="L630" t="str">
            <v>Practitioner - Non-Primary Care Provider (PCP)</v>
          </cell>
          <cell r="M630" t="str">
            <v>No</v>
          </cell>
          <cell r="R630" t="str">
            <v>GASTOLOMENDO RITA</v>
          </cell>
          <cell r="W630" t="str">
            <v>GASTOLOMENDO RITA</v>
          </cell>
          <cell r="X630" t="str">
            <v>630 WEST 168TH STREE</v>
          </cell>
          <cell r="Y630" t="str">
            <v>NEW YORK</v>
          </cell>
          <cell r="Z630" t="str">
            <v>NY</v>
          </cell>
          <cell r="AA630" t="str">
            <v>10032</v>
          </cell>
          <cell r="AB630" t="str">
            <v>CLINICAL SOCIAL WORKER (CSW)</v>
          </cell>
          <cell r="AC630" t="str">
            <v>M</v>
          </cell>
          <cell r="AD630" t="str">
            <v>No</v>
          </cell>
          <cell r="AE630" t="str">
            <v>MMIS</v>
          </cell>
          <cell r="AF630" t="str">
            <v>nypwestacn</v>
          </cell>
          <cell r="AG630" t="str">
            <v>P</v>
          </cell>
        </row>
        <row r="631">
          <cell r="A631" t="str">
            <v>1548428774</v>
          </cell>
          <cell r="B631" t="str">
            <v>03375293</v>
          </cell>
          <cell r="C631" t="str">
            <v xml:space="preserve">JUNG, KATHLEEN </v>
          </cell>
          <cell r="D631" t="str">
            <v>E0324459</v>
          </cell>
          <cell r="E631" t="str">
            <v>JUNG KATHLEEN</v>
          </cell>
          <cell r="G631" t="str">
            <v>Kathryn Spaziani</v>
          </cell>
          <cell r="H631" t="str">
            <v>(212) 305-1190</v>
          </cell>
          <cell r="J631" t="str">
            <v>kas9171@nyp.org</v>
          </cell>
          <cell r="L631" t="str">
            <v>Practitioner - Non-Primary Care Provider (PCP)</v>
          </cell>
          <cell r="M631" t="str">
            <v>No</v>
          </cell>
          <cell r="R631" t="str">
            <v>JUNG KATHLEEN DR.</v>
          </cell>
          <cell r="W631" t="str">
            <v>JUNG KATHLEEN</v>
          </cell>
          <cell r="X631" t="str">
            <v>3959 BROADWAY</v>
          </cell>
          <cell r="Y631" t="str">
            <v>NEW YORK</v>
          </cell>
          <cell r="Z631" t="str">
            <v>NY</v>
          </cell>
          <cell r="AA631" t="str">
            <v>10032-1559</v>
          </cell>
          <cell r="AB631" t="str">
            <v>PHYSICIAN</v>
          </cell>
          <cell r="AC631" t="str">
            <v>M</v>
          </cell>
          <cell r="AD631" t="str">
            <v>No</v>
          </cell>
          <cell r="AE631" t="str">
            <v>MMIS</v>
          </cell>
          <cell r="AF631" t="str">
            <v>nypwestacn</v>
          </cell>
          <cell r="AG631" t="str">
            <v>P</v>
          </cell>
        </row>
        <row r="632">
          <cell r="A632" t="str">
            <v>1548429806</v>
          </cell>
          <cell r="B632" t="str">
            <v>03048322</v>
          </cell>
          <cell r="C632" t="str">
            <v>KIM, YONG JUNG J</v>
          </cell>
          <cell r="D632" t="str">
            <v>E0287004</v>
          </cell>
          <cell r="E632" t="str">
            <v>KIM YONGJUNG MD</v>
          </cell>
          <cell r="G632" t="str">
            <v>Kathryn Spaziani</v>
          </cell>
          <cell r="H632" t="str">
            <v>(212) 305-1190</v>
          </cell>
          <cell r="J632" t="str">
            <v>kas9171@nyp.org</v>
          </cell>
          <cell r="L632" t="str">
            <v>Practitioner - Non-Primary Care Provider (PCP)</v>
          </cell>
          <cell r="M632" t="str">
            <v>No</v>
          </cell>
          <cell r="R632" t="str">
            <v>KIM YONGJUNG</v>
          </cell>
          <cell r="W632" t="str">
            <v>KIM YONGJUNG MD</v>
          </cell>
          <cell r="X632" t="str">
            <v>161 FORT WASHINGTON AVE FL 2</v>
          </cell>
          <cell r="Y632" t="str">
            <v>NEW YORK</v>
          </cell>
          <cell r="Z632" t="str">
            <v>NY</v>
          </cell>
          <cell r="AA632" t="str">
            <v>10032-3729</v>
          </cell>
          <cell r="AB632" t="str">
            <v>PHYSICIAN</v>
          </cell>
          <cell r="AC632" t="str">
            <v>M</v>
          </cell>
          <cell r="AD632" t="str">
            <v>No</v>
          </cell>
          <cell r="AE632" t="str">
            <v>MMIS</v>
          </cell>
          <cell r="AF632" t="str">
            <v>nypwestacn</v>
          </cell>
          <cell r="AG632" t="str">
            <v>P</v>
          </cell>
        </row>
        <row r="633">
          <cell r="A633" t="str">
            <v>1548488497</v>
          </cell>
          <cell r="B633" t="str">
            <v>03495778</v>
          </cell>
          <cell r="C633" t="str">
            <v xml:space="preserve">NOISY-SAINT VICTOR, MONIQUE </v>
          </cell>
          <cell r="D633" t="str">
            <v>E0339065</v>
          </cell>
          <cell r="E633" t="str">
            <v>NOISY-SAINT VICTOR MONIQUE</v>
          </cell>
          <cell r="G633" t="str">
            <v>Kathryn Spaziani</v>
          </cell>
          <cell r="H633" t="str">
            <v>(212) 305-1190</v>
          </cell>
          <cell r="J633" t="str">
            <v>kas9171@nyp.org</v>
          </cell>
          <cell r="L633" t="str">
            <v>Practitioner - Non-Primary Care Provider (PCP)</v>
          </cell>
          <cell r="M633" t="str">
            <v>Yes</v>
          </cell>
          <cell r="R633" t="str">
            <v>NOISY ST VICTOR MONIQUE MRS.</v>
          </cell>
          <cell r="W633" t="str">
            <v>NOISY-SAINT VICTOR MONIQUE</v>
          </cell>
          <cell r="X633" t="str">
            <v>401 W 164TH ST RM 313</v>
          </cell>
          <cell r="Y633" t="str">
            <v>NEW YORK</v>
          </cell>
          <cell r="Z633" t="str">
            <v>NY</v>
          </cell>
          <cell r="AA633" t="str">
            <v>10032-4306</v>
          </cell>
          <cell r="AB633" t="str">
            <v>PHYSICIAN</v>
          </cell>
          <cell r="AC633" t="str">
            <v>M</v>
          </cell>
          <cell r="AD633" t="str">
            <v>No</v>
          </cell>
          <cell r="AE633" t="str">
            <v>MMIS</v>
          </cell>
          <cell r="AF633" t="str">
            <v>nypwestcampus</v>
          </cell>
          <cell r="AG633" t="str">
            <v>P</v>
          </cell>
        </row>
        <row r="634">
          <cell r="A634" t="str">
            <v>1194996595</v>
          </cell>
          <cell r="B634" t="str">
            <v>03579715</v>
          </cell>
          <cell r="C634" t="str">
            <v>Ameer, Xavier</v>
          </cell>
          <cell r="D634" t="str">
            <v>E0348065</v>
          </cell>
          <cell r="E634" t="str">
            <v>AMEER XAVIER</v>
          </cell>
          <cell r="G634" t="str">
            <v>Kathryn Spaziani</v>
          </cell>
          <cell r="H634" t="str">
            <v>(212) 305-1190</v>
          </cell>
          <cell r="J634" t="str">
            <v>kas9171@nyp.org</v>
          </cell>
          <cell r="L634" t="str">
            <v>Practitioner - Non-Primary Care Provider (PCP)</v>
          </cell>
          <cell r="M634" t="str">
            <v>No</v>
          </cell>
          <cell r="R634" t="str">
            <v>AMEER XAVIER</v>
          </cell>
          <cell r="W634" t="str">
            <v>AMEER XAVIER SHAZAD</v>
          </cell>
          <cell r="X634" t="str">
            <v>525 E 68TH ST # 225</v>
          </cell>
          <cell r="Y634" t="str">
            <v>NEW YORK</v>
          </cell>
          <cell r="Z634" t="str">
            <v>NY</v>
          </cell>
          <cell r="AA634" t="str">
            <v>10065-4870</v>
          </cell>
          <cell r="AB634" t="str">
            <v>PHYSICIAN</v>
          </cell>
          <cell r="AC634" t="str">
            <v>M</v>
          </cell>
          <cell r="AD634" t="str">
            <v>No</v>
          </cell>
          <cell r="AE634" t="str">
            <v>MMIS</v>
          </cell>
          <cell r="AF634" t="str">
            <v>nypeastcampus</v>
          </cell>
          <cell r="AG634" t="str">
            <v>P</v>
          </cell>
        </row>
        <row r="635">
          <cell r="A635" t="str">
            <v>1558347229</v>
          </cell>
          <cell r="B635" t="str">
            <v>02885436</v>
          </cell>
          <cell r="C635" t="str">
            <v>ABEL, CARTER G</v>
          </cell>
          <cell r="D635" t="str">
            <v>E0011661</v>
          </cell>
          <cell r="E635" t="str">
            <v>ABEL CARTER</v>
          </cell>
          <cell r="G635" t="str">
            <v>Kathryn Spaziani</v>
          </cell>
          <cell r="H635" t="str">
            <v>(212) 305-1190</v>
          </cell>
          <cell r="J635" t="str">
            <v>kas9171@nyp.org</v>
          </cell>
          <cell r="L635" t="str">
            <v>Practitioner - Non-Primary Care Provider (PCP)</v>
          </cell>
          <cell r="M635" t="str">
            <v>No</v>
          </cell>
          <cell r="R635" t="str">
            <v>ABEL CARTER</v>
          </cell>
          <cell r="W635" t="str">
            <v>ABEL CARTER</v>
          </cell>
          <cell r="X635" t="str">
            <v>IRVING PAVILLIONN DE</v>
          </cell>
          <cell r="Y635" t="str">
            <v>NEW YORK</v>
          </cell>
          <cell r="Z635" t="str">
            <v>NY</v>
          </cell>
          <cell r="AA635" t="str">
            <v>10032</v>
          </cell>
          <cell r="AB635" t="str">
            <v>PHYSICIAN</v>
          </cell>
          <cell r="AC635" t="str">
            <v>M</v>
          </cell>
          <cell r="AD635" t="str">
            <v>No</v>
          </cell>
          <cell r="AE635" t="str">
            <v>MMIS</v>
          </cell>
          <cell r="AF635" t="str">
            <v>nypwestacn</v>
          </cell>
          <cell r="AG635" t="str">
            <v>P</v>
          </cell>
        </row>
        <row r="636">
          <cell r="A636" t="str">
            <v>1639322910</v>
          </cell>
          <cell r="B636" t="str">
            <v>03256544</v>
          </cell>
          <cell r="C636" t="str">
            <v>Murrell Matthew</v>
          </cell>
          <cell r="D636" t="str">
            <v>E0310757</v>
          </cell>
          <cell r="E636" t="str">
            <v>MURRELL MATTHEW THOMAS</v>
          </cell>
          <cell r="L636" t="str">
            <v>All Other:: Practitioner - Non-Primary Care Provider (PCP)</v>
          </cell>
          <cell r="M636" t="str">
            <v>No</v>
          </cell>
          <cell r="R636" t="str">
            <v>MURRELL MATTHEW DR.</v>
          </cell>
          <cell r="W636" t="str">
            <v>MURRELL MATTHEW THOMAS</v>
          </cell>
          <cell r="X636" t="str">
            <v>525 E 68TH ST</v>
          </cell>
          <cell r="Y636" t="str">
            <v>NEW YORK</v>
          </cell>
          <cell r="Z636" t="str">
            <v>NY</v>
          </cell>
          <cell r="AA636" t="str">
            <v>10065-4870</v>
          </cell>
          <cell r="AB636" t="str">
            <v>PHYSICIAN</v>
          </cell>
          <cell r="AC636" t="str">
            <v>M</v>
          </cell>
          <cell r="AD636" t="str">
            <v>No</v>
          </cell>
          <cell r="AE636" t="str">
            <v>MMIS</v>
          </cell>
          <cell r="AF636" t="str">
            <v>nypeastcampus</v>
          </cell>
          <cell r="AG636" t="str">
            <v>P</v>
          </cell>
        </row>
        <row r="637">
          <cell r="A637" t="str">
            <v>1043240997</v>
          </cell>
          <cell r="B637" t="str">
            <v>01999857</v>
          </cell>
          <cell r="C637" t="str">
            <v>LEE, FRANCIS Y</v>
          </cell>
          <cell r="D637" t="str">
            <v>E0100074</v>
          </cell>
          <cell r="E637" t="str">
            <v>LEE FRANCIS YOUNGIN MD</v>
          </cell>
          <cell r="G637" t="str">
            <v>Kathryn Spaziani</v>
          </cell>
          <cell r="H637" t="str">
            <v>(212) 305-1190</v>
          </cell>
          <cell r="J637" t="str">
            <v>kas9171@nyp.org</v>
          </cell>
          <cell r="L637" t="str">
            <v>All Other:: Practitioner - Non-Primary Care Provider (PCP)</v>
          </cell>
          <cell r="M637" t="str">
            <v>No</v>
          </cell>
          <cell r="R637" t="str">
            <v>LEE FRANCIS DR.</v>
          </cell>
          <cell r="W637" t="str">
            <v>LEE FRANCIS YOUNGIN</v>
          </cell>
          <cell r="X637" t="str">
            <v>51 W 51ST ST # 370</v>
          </cell>
          <cell r="Y637" t="str">
            <v>NEW YORK</v>
          </cell>
          <cell r="Z637" t="str">
            <v>NY</v>
          </cell>
          <cell r="AA637" t="str">
            <v>10019-6113</v>
          </cell>
          <cell r="AB637" t="str">
            <v>PHYSICIAN</v>
          </cell>
          <cell r="AC637" t="str">
            <v>M</v>
          </cell>
          <cell r="AD637" t="str">
            <v>No</v>
          </cell>
          <cell r="AE637" t="str">
            <v>MMIS</v>
          </cell>
          <cell r="AF637" t="str">
            <v>nypwestcampus</v>
          </cell>
          <cell r="AG637" t="str">
            <v>P</v>
          </cell>
        </row>
        <row r="638">
          <cell r="A638" t="str">
            <v>1558413443</v>
          </cell>
          <cell r="B638" t="str">
            <v>00916629</v>
          </cell>
          <cell r="C638" t="str">
            <v>Heyer Eric</v>
          </cell>
          <cell r="D638" t="str">
            <v>E0208091</v>
          </cell>
          <cell r="E638" t="str">
            <v>HEYER ERIC J               MD</v>
          </cell>
          <cell r="L638" t="str">
            <v>All Other:: Practitioner - Non-Primary Care Provider (PCP)</v>
          </cell>
          <cell r="M638" t="str">
            <v>No</v>
          </cell>
          <cell r="R638" t="str">
            <v>HEYER ERIC DR.</v>
          </cell>
          <cell r="W638" t="str">
            <v>HEYER ERIC J               MD</v>
          </cell>
          <cell r="X638" t="str">
            <v>PRESBYERTIAN HSP</v>
          </cell>
          <cell r="Y638" t="str">
            <v>NEW YORK</v>
          </cell>
          <cell r="Z638" t="str">
            <v>NY</v>
          </cell>
          <cell r="AA638" t="str">
            <v>10032-3720</v>
          </cell>
          <cell r="AB638" t="str">
            <v>PHYSICIAN</v>
          </cell>
          <cell r="AC638" t="str">
            <v>M</v>
          </cell>
          <cell r="AD638" t="str">
            <v>No</v>
          </cell>
          <cell r="AE638" t="str">
            <v>MMIS</v>
          </cell>
          <cell r="AF638" t="str">
            <v>nypwestcampus</v>
          </cell>
          <cell r="AG638" t="str">
            <v>P</v>
          </cell>
        </row>
        <row r="639">
          <cell r="A639" t="str">
            <v>1518092170</v>
          </cell>
          <cell r="B639" t="str">
            <v>01675410</v>
          </cell>
          <cell r="C639" t="str">
            <v>NALLASIVAM VAMADEVAN</v>
          </cell>
          <cell r="D639" t="str">
            <v>E0132476</v>
          </cell>
          <cell r="E639" t="str">
            <v>VAMADEVAN NALLASIVAM MD</v>
          </cell>
          <cell r="G639" t="str">
            <v>Eva Eng</v>
          </cell>
          <cell r="H639" t="str">
            <v>(212) 752-5013</v>
          </cell>
          <cell r="J639" t="str">
            <v>eeng@archcare.org</v>
          </cell>
          <cell r="L639" t="str">
            <v>Practitioner - Primary Care Provider (PCP)</v>
          </cell>
          <cell r="M639" t="str">
            <v>No</v>
          </cell>
          <cell r="R639" t="str">
            <v>NALLASIVAM VAMADEVAN DR.</v>
          </cell>
          <cell r="W639" t="str">
            <v>VAMADEVAN NALLASIVAM MD</v>
          </cell>
          <cell r="X639" t="str">
            <v>LICH NPA PC PEDS</v>
          </cell>
          <cell r="Y639" t="str">
            <v>BROOKLYN</v>
          </cell>
          <cell r="Z639" t="str">
            <v>NY</v>
          </cell>
          <cell r="AA639" t="str">
            <v>11201-5514</v>
          </cell>
          <cell r="AB639" t="str">
            <v>PHYSICIAN</v>
          </cell>
          <cell r="AC639" t="str">
            <v>M</v>
          </cell>
          <cell r="AD639" t="str">
            <v>No</v>
          </cell>
          <cell r="AE639" t="str">
            <v>MMIS</v>
          </cell>
          <cell r="AF639" t="str">
            <v>nypwestacn</v>
          </cell>
          <cell r="AG639" t="str">
            <v>P</v>
          </cell>
        </row>
        <row r="640">
          <cell r="A640" t="str">
            <v>1063775898</v>
          </cell>
          <cell r="C640" t="str">
            <v>Fruauff Kristen</v>
          </cell>
          <cell r="G640" t="str">
            <v>Kathryn Spaziani</v>
          </cell>
          <cell r="H640" t="str">
            <v>(212) 305-1255</v>
          </cell>
          <cell r="J640" t="str">
            <v>kas9171@nyp.org</v>
          </cell>
          <cell r="K640" t="str">
            <v>Physician</v>
          </cell>
          <cell r="L640" t="str">
            <v>Uncategorized</v>
          </cell>
          <cell r="M640" t="str">
            <v>No</v>
          </cell>
          <cell r="R640" t="str">
            <v>FRUAUFF KRISTEN</v>
          </cell>
          <cell r="S640" t="str">
            <v>222 STATION PLZ N, SUITE 509</v>
          </cell>
          <cell r="T640" t="str">
            <v>MINEOLA</v>
          </cell>
          <cell r="U640" t="str">
            <v>NY</v>
          </cell>
          <cell r="V640" t="str">
            <v>115013800</v>
          </cell>
          <cell r="AC640" t="str">
            <v>M</v>
          </cell>
          <cell r="AD640" t="str">
            <v>No</v>
          </cell>
          <cell r="AE640" t="str">
            <v>NPI only</v>
          </cell>
          <cell r="AF640" t="str">
            <v>nypeastcampus</v>
          </cell>
          <cell r="AG640" t="str">
            <v>P</v>
          </cell>
        </row>
        <row r="641">
          <cell r="A641" t="str">
            <v>1326481144</v>
          </cell>
          <cell r="C641" t="str">
            <v>Holzwanger Daniel</v>
          </cell>
          <cell r="G641" t="str">
            <v>Kathryn Spaziani</v>
          </cell>
          <cell r="H641" t="str">
            <v>(212) 305-1255</v>
          </cell>
          <cell r="J641" t="str">
            <v>kas9171@nyp.org</v>
          </cell>
          <cell r="K641" t="str">
            <v>Physician</v>
          </cell>
          <cell r="L641" t="str">
            <v>Uncategorized</v>
          </cell>
          <cell r="M641" t="str">
            <v>No</v>
          </cell>
          <cell r="R641" t="str">
            <v>HOLZWANGER DANIEL DR.</v>
          </cell>
          <cell r="S641" t="str">
            <v>61 VICTORIA RD</v>
          </cell>
          <cell r="T641" t="str">
            <v>STATEN ISLAND</v>
          </cell>
          <cell r="U641" t="str">
            <v>NY</v>
          </cell>
          <cell r="V641" t="str">
            <v>103121815</v>
          </cell>
          <cell r="AC641" t="str">
            <v>M</v>
          </cell>
          <cell r="AD641" t="str">
            <v>No</v>
          </cell>
          <cell r="AE641" t="str">
            <v>NPI only</v>
          </cell>
          <cell r="AF641" t="str">
            <v>nypeastcampus</v>
          </cell>
          <cell r="AG641" t="str">
            <v>P</v>
          </cell>
        </row>
        <row r="642">
          <cell r="A642" t="str">
            <v>1053601310</v>
          </cell>
          <cell r="B642" t="str">
            <v>04630746</v>
          </cell>
          <cell r="C642" t="str">
            <v>Huang Yolanda</v>
          </cell>
          <cell r="D642" t="str">
            <v>E0456071</v>
          </cell>
          <cell r="E642" t="str">
            <v>HUANG YOLANDA YA-CHIN</v>
          </cell>
          <cell r="G642" t="str">
            <v>Kathryn Spaziani</v>
          </cell>
          <cell r="H642" t="str">
            <v>(212) 305-1255</v>
          </cell>
          <cell r="J642" t="str">
            <v>kas9171@nyp.org</v>
          </cell>
          <cell r="L642" t="str">
            <v>Uncategorized</v>
          </cell>
          <cell r="M642" t="str">
            <v>No</v>
          </cell>
          <cell r="R642" t="str">
            <v>HUANG YOLANDA DR.</v>
          </cell>
          <cell r="W642" t="str">
            <v>HUANG YOLANDA YA-CHIN</v>
          </cell>
          <cell r="AB642" t="str">
            <v>PHYSICIAN</v>
          </cell>
          <cell r="AC642" t="str">
            <v>M</v>
          </cell>
          <cell r="AD642" t="str">
            <v>No</v>
          </cell>
          <cell r="AE642" t="str">
            <v>MMIS</v>
          </cell>
          <cell r="AF642" t="str">
            <v>nypwestcampus</v>
          </cell>
          <cell r="AG642" t="str">
            <v>P</v>
          </cell>
        </row>
        <row r="643">
          <cell r="A643" t="str">
            <v>1114929973</v>
          </cell>
          <cell r="B643" t="str">
            <v>01571695</v>
          </cell>
          <cell r="C643" t="str">
            <v>Rivington House</v>
          </cell>
          <cell r="D643" t="str">
            <v>E0142833</v>
          </cell>
          <cell r="E643" t="str">
            <v>RIVINGTON HS HLTH CR AADC</v>
          </cell>
          <cell r="G643" t="str">
            <v>Allison Silvers, Chief Strategy Officer</v>
          </cell>
          <cell r="H643" t="str">
            <v>(212) 337-9225</v>
          </cell>
          <cell r="J643" t="str">
            <v>allisons@villagecare.org</v>
          </cell>
          <cell r="L643" t="str">
            <v>All Other</v>
          </cell>
          <cell r="M643" t="str">
            <v>No</v>
          </cell>
          <cell r="R643" t="str">
            <v>RIVINGTON HOUSE DAY TREATMENT PROGRAM</v>
          </cell>
          <cell r="W643" t="str">
            <v>RIVINGTON HS NICHOLAS A RANGO HCF</v>
          </cell>
          <cell r="X643" t="str">
            <v>FRANK DIAZ ADM</v>
          </cell>
          <cell r="Y643" t="str">
            <v>NEW YORK</v>
          </cell>
          <cell r="Z643" t="str">
            <v>NY</v>
          </cell>
          <cell r="AA643" t="str">
            <v>10002-1304</v>
          </cell>
          <cell r="AB643" t="str">
            <v>LONG TERM CARE FACILITY</v>
          </cell>
          <cell r="AC643" t="str">
            <v>M</v>
          </cell>
          <cell r="AD643" t="str">
            <v>No</v>
          </cell>
          <cell r="AE643" t="str">
            <v>MMIS</v>
          </cell>
          <cell r="AF643" t="str">
            <v>nypeastacn</v>
          </cell>
          <cell r="AG643" t="str">
            <v>P</v>
          </cell>
        </row>
        <row r="644">
          <cell r="A644" t="str">
            <v>1376583930</v>
          </cell>
          <cell r="B644" t="str">
            <v>02187337</v>
          </cell>
          <cell r="C644" t="str">
            <v>DOVE, LORNA M</v>
          </cell>
          <cell r="D644" t="str">
            <v>E0081347</v>
          </cell>
          <cell r="E644" t="str">
            <v>DOVE LORNA MILLS MD</v>
          </cell>
          <cell r="G644" t="str">
            <v>Kathryn Spaziani</v>
          </cell>
          <cell r="H644" t="str">
            <v>(212) 305-1190</v>
          </cell>
          <cell r="J644" t="str">
            <v>kas9171@nyp.org</v>
          </cell>
          <cell r="L644" t="str">
            <v>All Other:: Practitioner - Non-Primary Care Provider (PCP)</v>
          </cell>
          <cell r="M644" t="str">
            <v>Yes</v>
          </cell>
          <cell r="R644" t="str">
            <v>DOVE LORNA DR.</v>
          </cell>
          <cell r="W644" t="str">
            <v>DOVE LORNA MILLS MD</v>
          </cell>
          <cell r="X644" t="str">
            <v>STE 301</v>
          </cell>
          <cell r="Y644" t="str">
            <v>NEW YORK</v>
          </cell>
          <cell r="Z644" t="str">
            <v>NY</v>
          </cell>
          <cell r="AA644" t="str">
            <v>10032-3729</v>
          </cell>
          <cell r="AB644" t="str">
            <v>PHYSICIAN</v>
          </cell>
          <cell r="AC644" t="str">
            <v>M</v>
          </cell>
          <cell r="AD644" t="str">
            <v>No</v>
          </cell>
          <cell r="AE644" t="str">
            <v>MMIS</v>
          </cell>
          <cell r="AF644" t="str">
            <v>nypwestacn</v>
          </cell>
          <cell r="AG644" t="str">
            <v>P</v>
          </cell>
        </row>
        <row r="645">
          <cell r="A645" t="str">
            <v>1184048571</v>
          </cell>
          <cell r="C645" t="str">
            <v>Maegan Ratliff</v>
          </cell>
          <cell r="G645" t="str">
            <v>Kathryn Spaziani</v>
          </cell>
          <cell r="H645" t="str">
            <v>(212) 305-1255</v>
          </cell>
          <cell r="J645" t="str">
            <v>kas9171@nyp.org</v>
          </cell>
          <cell r="K645" t="str">
            <v>Physician</v>
          </cell>
          <cell r="L645" t="str">
            <v>Practitioner - Non-Primary Care Provider (PCP)</v>
          </cell>
          <cell r="M645" t="str">
            <v>No</v>
          </cell>
          <cell r="R645" t="str">
            <v>RATLIFF MAEGAN</v>
          </cell>
          <cell r="S645" t="str">
            <v>975 WESTCHESTER AVE</v>
          </cell>
          <cell r="T645" t="str">
            <v>BRONX</v>
          </cell>
          <cell r="U645" t="str">
            <v>NY</v>
          </cell>
          <cell r="V645" t="str">
            <v>104593204</v>
          </cell>
          <cell r="AC645" t="str">
            <v>M</v>
          </cell>
          <cell r="AD645" t="str">
            <v>No</v>
          </cell>
          <cell r="AE645" t="str">
            <v>NPI only</v>
          </cell>
          <cell r="AF645" t="str">
            <v>nypwestacn</v>
          </cell>
          <cell r="AG645" t="str">
            <v>P</v>
          </cell>
        </row>
        <row r="646">
          <cell r="A646" t="str">
            <v>1114216645</v>
          </cell>
          <cell r="C646" t="str">
            <v>Dukes Anzea</v>
          </cell>
          <cell r="G646" t="str">
            <v>Kathryn Spaziani</v>
          </cell>
          <cell r="H646" t="str">
            <v>(212) 305-1255</v>
          </cell>
          <cell r="J646" t="str">
            <v>kas9171@nyp.org</v>
          </cell>
          <cell r="K646" t="str">
            <v>Physician</v>
          </cell>
          <cell r="L646" t="str">
            <v>Uncategorized</v>
          </cell>
          <cell r="M646" t="str">
            <v>No</v>
          </cell>
          <cell r="R646" t="str">
            <v>DUKES ANZEA</v>
          </cell>
          <cell r="S646" t="str">
            <v>622 W 168TH ST, PH5-133 STEM</v>
          </cell>
          <cell r="T646" t="str">
            <v>NEW YORK</v>
          </cell>
          <cell r="U646" t="str">
            <v>NY</v>
          </cell>
          <cell r="V646" t="str">
            <v>100323720</v>
          </cell>
          <cell r="AC646" t="str">
            <v>M</v>
          </cell>
          <cell r="AD646" t="str">
            <v>No</v>
          </cell>
          <cell r="AE646" t="str">
            <v>NPI only</v>
          </cell>
          <cell r="AF646" t="str">
            <v>nypwestcampus</v>
          </cell>
          <cell r="AG646" t="str">
            <v>P</v>
          </cell>
        </row>
        <row r="647">
          <cell r="A647" t="str">
            <v>1740694959</v>
          </cell>
          <cell r="C647" t="str">
            <v>Lai-McCormack Jennifer</v>
          </cell>
          <cell r="G647" t="str">
            <v>Kathryn Spaziani</v>
          </cell>
          <cell r="H647" t="str">
            <v>(212) 305-1255</v>
          </cell>
          <cell r="J647" t="str">
            <v>kas9171@nyp.org</v>
          </cell>
          <cell r="K647" t="str">
            <v>Physician</v>
          </cell>
          <cell r="L647" t="str">
            <v>Uncategorized</v>
          </cell>
          <cell r="M647" t="str">
            <v>No</v>
          </cell>
          <cell r="R647" t="str">
            <v>LAI-MCCORMACK JENNIFER</v>
          </cell>
          <cell r="S647" t="str">
            <v>6006 43RD AVE, 1D</v>
          </cell>
          <cell r="T647" t="str">
            <v>WOODSIDE</v>
          </cell>
          <cell r="U647" t="str">
            <v>NY</v>
          </cell>
          <cell r="V647" t="str">
            <v>113774977</v>
          </cell>
          <cell r="AC647" t="str">
            <v>M</v>
          </cell>
          <cell r="AD647" t="str">
            <v>No</v>
          </cell>
          <cell r="AE647" t="str">
            <v>NPI only</v>
          </cell>
          <cell r="AF647" t="str">
            <v>nypeastcampus</v>
          </cell>
          <cell r="AG647" t="str">
            <v>P</v>
          </cell>
        </row>
        <row r="648">
          <cell r="A648" t="str">
            <v>1265878847</v>
          </cell>
          <cell r="C648" t="str">
            <v>Lau Sheung Ming</v>
          </cell>
          <cell r="G648" t="str">
            <v>Kathryn Spaziani</v>
          </cell>
          <cell r="H648" t="str">
            <v>(212) 305-1255</v>
          </cell>
          <cell r="J648" t="str">
            <v>kas9171@nyp.org</v>
          </cell>
          <cell r="K648" t="str">
            <v>Physician</v>
          </cell>
          <cell r="L648" t="str">
            <v>Practitioner - Non-Primary Care Provider (PCP)</v>
          </cell>
          <cell r="M648" t="str">
            <v>No</v>
          </cell>
          <cell r="R648" t="str">
            <v>LAU SHEUNG MING MS.</v>
          </cell>
          <cell r="S648" t="str">
            <v>525 E 68TH ST # 124, ROOM M-324</v>
          </cell>
          <cell r="T648" t="str">
            <v>NEW YORK</v>
          </cell>
          <cell r="U648" t="str">
            <v>NY</v>
          </cell>
          <cell r="V648" t="str">
            <v>100654870</v>
          </cell>
          <cell r="AC648" t="str">
            <v>M</v>
          </cell>
          <cell r="AD648" t="str">
            <v>No</v>
          </cell>
          <cell r="AE648" t="str">
            <v>NPI only</v>
          </cell>
          <cell r="AF648" t="str">
            <v>nypeastcampus</v>
          </cell>
          <cell r="AG648" t="str">
            <v>P</v>
          </cell>
        </row>
        <row r="649">
          <cell r="A649" t="str">
            <v>1043645161</v>
          </cell>
          <cell r="C649" t="str">
            <v>Lawinski Jaclyn</v>
          </cell>
          <cell r="G649" t="str">
            <v>Kathryn Spaziani</v>
          </cell>
          <cell r="H649" t="str">
            <v>(212) 305-1255</v>
          </cell>
          <cell r="J649" t="str">
            <v>kas9171@nyp.org</v>
          </cell>
          <cell r="K649" t="str">
            <v>Physician</v>
          </cell>
          <cell r="L649" t="str">
            <v>Uncategorized</v>
          </cell>
          <cell r="M649" t="str">
            <v>No</v>
          </cell>
          <cell r="R649" t="str">
            <v>PORCO JACLYN</v>
          </cell>
          <cell r="S649" t="str">
            <v>5 PERRYRIDGE RD</v>
          </cell>
          <cell r="T649" t="str">
            <v>GREENWICH</v>
          </cell>
          <cell r="U649" t="str">
            <v>CT</v>
          </cell>
          <cell r="V649" t="str">
            <v>068304608</v>
          </cell>
          <cell r="AC649" t="str">
            <v>M</v>
          </cell>
          <cell r="AD649" t="str">
            <v>No</v>
          </cell>
          <cell r="AE649" t="str">
            <v>NPI only</v>
          </cell>
          <cell r="AF649" t="str">
            <v>nypwestacn</v>
          </cell>
          <cell r="AG649" t="str">
            <v>P</v>
          </cell>
        </row>
        <row r="650">
          <cell r="A650" t="str">
            <v>1013078732</v>
          </cell>
          <cell r="B650" t="str">
            <v>03022300</v>
          </cell>
          <cell r="C650" t="str">
            <v>MEZITIS, SPYROS G.E.</v>
          </cell>
          <cell r="D650" t="str">
            <v>E0284193</v>
          </cell>
          <cell r="E650" t="str">
            <v>MEZITIS SPYROS G E</v>
          </cell>
          <cell r="G650" t="str">
            <v>Kathryn Spaziani</v>
          </cell>
          <cell r="H650" t="str">
            <v>(212) 305-1190</v>
          </cell>
          <cell r="J650" t="str">
            <v>kas9171@nyp.org</v>
          </cell>
          <cell r="L650" t="str">
            <v>All Other:: Practitioner - Non-Primary Care Provider (PCP)</v>
          </cell>
          <cell r="M650" t="str">
            <v>No</v>
          </cell>
          <cell r="R650" t="str">
            <v>MEZITIS SPYROS</v>
          </cell>
          <cell r="W650" t="str">
            <v>MEZITIS SPYROS G E</v>
          </cell>
          <cell r="X650" t="str">
            <v>220 E 69TH ST</v>
          </cell>
          <cell r="Y650" t="str">
            <v>NEW YORK</v>
          </cell>
          <cell r="Z650" t="str">
            <v>NY</v>
          </cell>
          <cell r="AA650" t="str">
            <v>10021-5737</v>
          </cell>
          <cell r="AB650" t="str">
            <v>PHYSICIAN</v>
          </cell>
          <cell r="AC650" t="str">
            <v>M</v>
          </cell>
          <cell r="AD650" t="str">
            <v>No</v>
          </cell>
          <cell r="AE650" t="str">
            <v>MMIS</v>
          </cell>
          <cell r="AF650" t="str">
            <v>nypeastcampus</v>
          </cell>
          <cell r="AG650" t="str">
            <v>P</v>
          </cell>
        </row>
        <row r="651">
          <cell r="A651" t="str">
            <v>1356549745</v>
          </cell>
          <cell r="B651" t="str">
            <v>02912316</v>
          </cell>
          <cell r="C651" t="str">
            <v>Gorman, Allison</v>
          </cell>
          <cell r="D651" t="str">
            <v>E0008976</v>
          </cell>
          <cell r="E651" t="str">
            <v>GORMAN ALLISON</v>
          </cell>
          <cell r="G651" t="str">
            <v>Kathryn Spaziani</v>
          </cell>
          <cell r="H651" t="str">
            <v>(212) 305-1190</v>
          </cell>
          <cell r="J651" t="str">
            <v>kas9171@nyp.org</v>
          </cell>
          <cell r="L651" t="str">
            <v>All Other:: Practitioner - Primary Care Provider (PCP)</v>
          </cell>
          <cell r="M651" t="str">
            <v>Yes</v>
          </cell>
          <cell r="R651" t="str">
            <v>GORMAN ALLISON</v>
          </cell>
          <cell r="W651" t="str">
            <v>GORMAN ALLISON G</v>
          </cell>
          <cell r="X651" t="str">
            <v>525 E 68TH STREET</v>
          </cell>
          <cell r="Y651" t="str">
            <v>NEW YORK</v>
          </cell>
          <cell r="Z651" t="str">
            <v>NY</v>
          </cell>
          <cell r="AA651" t="str">
            <v>10065-4870</v>
          </cell>
          <cell r="AB651" t="str">
            <v>PHYSICIAN</v>
          </cell>
          <cell r="AC651" t="str">
            <v>M</v>
          </cell>
          <cell r="AD651" t="str">
            <v>No</v>
          </cell>
          <cell r="AE651" t="str">
            <v>MMIS</v>
          </cell>
          <cell r="AF651" t="str">
            <v>nypeastacn</v>
          </cell>
          <cell r="AG651" t="str">
            <v>P</v>
          </cell>
        </row>
        <row r="652">
          <cell r="A652" t="str">
            <v>1275695371</v>
          </cell>
          <cell r="B652" t="str">
            <v>00244335</v>
          </cell>
          <cell r="C652" t="str">
            <v>Metropolitan Center for Mental Health</v>
          </cell>
          <cell r="D652" t="str">
            <v>E0273990</v>
          </cell>
          <cell r="E652" t="str">
            <v>METROPOLITAN CTR FOR MNTL HLT</v>
          </cell>
          <cell r="G652" t="str">
            <v>Andrew Pardo</v>
          </cell>
          <cell r="H652" t="str">
            <v>(212) 362-8755</v>
          </cell>
          <cell r="J652" t="str">
            <v>apardo@metropolitancenter.com</v>
          </cell>
          <cell r="L652" t="str">
            <v>All Other:: Mental Health:: Substance Abuse</v>
          </cell>
          <cell r="M652" t="str">
            <v>Yes</v>
          </cell>
          <cell r="R652" t="str">
            <v>METROPOLITAN CENTER FOR MENTAL HEALTH</v>
          </cell>
          <cell r="W652" t="str">
            <v>METROPOLITAN CTR FOR MNTL HLT</v>
          </cell>
          <cell r="X652" t="str">
            <v>OMH CL TRT</v>
          </cell>
          <cell r="Y652" t="str">
            <v>NEW YORK</v>
          </cell>
          <cell r="Z652" t="str">
            <v>NY</v>
          </cell>
          <cell r="AA652" t="str">
            <v>10024-4018</v>
          </cell>
          <cell r="AB652" t="str">
            <v>DIAGNOSTIC AND TREATMENT CENTER</v>
          </cell>
          <cell r="AC652" t="str">
            <v>M</v>
          </cell>
          <cell r="AD652" t="str">
            <v>No</v>
          </cell>
          <cell r="AE652" t="str">
            <v>MMIS</v>
          </cell>
          <cell r="AF652" t="str">
            <v>metropolitancenter</v>
          </cell>
          <cell r="AG652" t="str">
            <v>P</v>
          </cell>
        </row>
        <row r="653">
          <cell r="A653" t="str">
            <v>1679573083</v>
          </cell>
          <cell r="B653" t="str">
            <v>00274057</v>
          </cell>
          <cell r="C653" t="str">
            <v>BLYTHEDALE CHILDREN'S HOSPITAL</v>
          </cell>
          <cell r="D653" t="str">
            <v>E0271665</v>
          </cell>
          <cell r="E653" t="str">
            <v>BLYTHEDALE CHILDRENS HOSPITAL</v>
          </cell>
          <cell r="G653" t="str">
            <v>JOHN E. CANNING - CFO</v>
          </cell>
          <cell r="H653" t="str">
            <v>(914) 831-2412</v>
          </cell>
          <cell r="J653" t="str">
            <v>johnc@blythedale.org</v>
          </cell>
          <cell r="L653" t="str">
            <v>All Other:: Clinic:: Hospital</v>
          </cell>
          <cell r="M653" t="str">
            <v>Yes</v>
          </cell>
          <cell r="R653" t="str">
            <v>BLYTHEDALE CHILDREN'S HOSPITAL</v>
          </cell>
          <cell r="W653" t="str">
            <v>BLYTHEDALE CHILDRENS HOSPITAL</v>
          </cell>
          <cell r="X653" t="str">
            <v>BRADHURST AVE</v>
          </cell>
          <cell r="Y653" t="str">
            <v>VALHALLA</v>
          </cell>
          <cell r="Z653" t="str">
            <v>NY</v>
          </cell>
          <cell r="AA653" t="str">
            <v>10595-1637</v>
          </cell>
          <cell r="AB653" t="str">
            <v>MULTI-TYPE</v>
          </cell>
          <cell r="AC653" t="str">
            <v>M</v>
          </cell>
          <cell r="AD653" t="str">
            <v>No</v>
          </cell>
          <cell r="AE653" t="str">
            <v>MMIS</v>
          </cell>
          <cell r="AF653" t="str">
            <v>nypeastacn</v>
          </cell>
          <cell r="AG653" t="str">
            <v>P</v>
          </cell>
        </row>
        <row r="654">
          <cell r="A654" t="str">
            <v>1255400115</v>
          </cell>
          <cell r="B654" t="str">
            <v>02441330</v>
          </cell>
          <cell r="C654" t="str">
            <v>Chen Xiaowei</v>
          </cell>
          <cell r="D654" t="str">
            <v>E0055999</v>
          </cell>
          <cell r="E654" t="str">
            <v>CHEN XIAOWEI MD</v>
          </cell>
          <cell r="L654" t="str">
            <v>All Other:: Practitioner - Non-Primary Care Provider (PCP)</v>
          </cell>
          <cell r="M654" t="str">
            <v>No</v>
          </cell>
          <cell r="R654" t="str">
            <v>CHEN XIAOWEI DR.</v>
          </cell>
          <cell r="W654" t="str">
            <v>CHEN XIAOWEI MD</v>
          </cell>
          <cell r="X654" t="str">
            <v>JACOBI MED CTR</v>
          </cell>
          <cell r="Y654" t="str">
            <v>BRONX</v>
          </cell>
          <cell r="Z654" t="str">
            <v>NY</v>
          </cell>
          <cell r="AA654" t="str">
            <v>10461-1197</v>
          </cell>
          <cell r="AB654" t="str">
            <v>PHYSICIAN</v>
          </cell>
          <cell r="AC654" t="str">
            <v>M</v>
          </cell>
          <cell r="AD654" t="str">
            <v>No</v>
          </cell>
          <cell r="AE654" t="str">
            <v>MMIS</v>
          </cell>
          <cell r="AF654" t="str">
            <v>nypwestcampus</v>
          </cell>
          <cell r="AG654" t="str">
            <v>P</v>
          </cell>
        </row>
        <row r="655">
          <cell r="A655" t="str">
            <v>1104117969</v>
          </cell>
          <cell r="B655" t="str">
            <v>04609289</v>
          </cell>
          <cell r="C655" t="str">
            <v>Elwin Macdale</v>
          </cell>
          <cell r="D655" t="str">
            <v>E0453811</v>
          </cell>
          <cell r="E655" t="str">
            <v>ELWIN MACDALE JOHN</v>
          </cell>
          <cell r="G655" t="str">
            <v>Kathryn Spaziani</v>
          </cell>
          <cell r="H655" t="str">
            <v>(212) 305-1255</v>
          </cell>
          <cell r="J655" t="str">
            <v>kas9171@nyp.org</v>
          </cell>
          <cell r="L655" t="str">
            <v>Uncategorized</v>
          </cell>
          <cell r="M655" t="str">
            <v>No</v>
          </cell>
          <cell r="R655" t="str">
            <v>ELWIN MACDALE MR.</v>
          </cell>
          <cell r="W655" t="str">
            <v>ELWIN MACDALE JOHN</v>
          </cell>
          <cell r="AB655" t="str">
            <v>PHYSICIAN</v>
          </cell>
          <cell r="AC655" t="str">
            <v>M</v>
          </cell>
          <cell r="AD655" t="str">
            <v>No</v>
          </cell>
          <cell r="AE655" t="str">
            <v>MMIS</v>
          </cell>
          <cell r="AF655" t="str">
            <v>nypwestcampus</v>
          </cell>
          <cell r="AG655" t="str">
            <v>P</v>
          </cell>
        </row>
        <row r="656">
          <cell r="A656" t="str">
            <v>1477836955</v>
          </cell>
          <cell r="C656" t="str">
            <v>Quintana Anna</v>
          </cell>
          <cell r="G656" t="str">
            <v>Kathryn Spaziani</v>
          </cell>
          <cell r="H656" t="str">
            <v>(212) 305-1255</v>
          </cell>
          <cell r="J656" t="str">
            <v>kas9171@nyp.org</v>
          </cell>
          <cell r="K656" t="str">
            <v>Physician</v>
          </cell>
          <cell r="L656" t="str">
            <v>Uncategorized</v>
          </cell>
          <cell r="M656" t="str">
            <v>No</v>
          </cell>
          <cell r="R656" t="str">
            <v>QUINTANA ANNA</v>
          </cell>
          <cell r="S656" t="str">
            <v>525 E 68TH ST</v>
          </cell>
          <cell r="T656" t="str">
            <v>NEW YORK</v>
          </cell>
          <cell r="U656" t="str">
            <v>NY</v>
          </cell>
          <cell r="V656" t="str">
            <v>100654870</v>
          </cell>
          <cell r="AC656" t="str">
            <v>M</v>
          </cell>
          <cell r="AD656" t="str">
            <v>No</v>
          </cell>
          <cell r="AE656" t="str">
            <v>NPI only</v>
          </cell>
          <cell r="AF656" t="str">
            <v>nypeastcampus</v>
          </cell>
          <cell r="AG656" t="str">
            <v>P</v>
          </cell>
        </row>
        <row r="657">
          <cell r="A657" t="str">
            <v>1013067933</v>
          </cell>
          <cell r="C657" t="str">
            <v>Reilly Lynn</v>
          </cell>
          <cell r="G657" t="str">
            <v>Kathryn Spaziani</v>
          </cell>
          <cell r="H657" t="str">
            <v>(212) 305-1255</v>
          </cell>
          <cell r="J657" t="str">
            <v>kas9171@nyp.org</v>
          </cell>
          <cell r="K657" t="str">
            <v>Physician</v>
          </cell>
          <cell r="L657" t="str">
            <v>Uncategorized</v>
          </cell>
          <cell r="M657" t="str">
            <v>No</v>
          </cell>
          <cell r="R657" t="str">
            <v>REILLY LYNN MS.</v>
          </cell>
          <cell r="S657" t="str">
            <v>525 E 68TH ST</v>
          </cell>
          <cell r="T657" t="str">
            <v>NEW YORK</v>
          </cell>
          <cell r="U657" t="str">
            <v>NY</v>
          </cell>
          <cell r="V657" t="str">
            <v>100654870</v>
          </cell>
          <cell r="AC657" t="str">
            <v>M</v>
          </cell>
          <cell r="AD657" t="str">
            <v>No</v>
          </cell>
          <cell r="AE657" t="str">
            <v>NPI only</v>
          </cell>
          <cell r="AF657" t="str">
            <v>nypeastcampus</v>
          </cell>
          <cell r="AG657" t="str">
            <v>P</v>
          </cell>
        </row>
        <row r="658">
          <cell r="A658" t="str">
            <v>1508816497</v>
          </cell>
          <cell r="C658" t="str">
            <v>Roberson James</v>
          </cell>
          <cell r="G658" t="str">
            <v>Kathryn Spaziani</v>
          </cell>
          <cell r="H658" t="str">
            <v>(212) 305-1255</v>
          </cell>
          <cell r="J658" t="str">
            <v>kas9171@nyp.org</v>
          </cell>
          <cell r="K658" t="str">
            <v>Physician</v>
          </cell>
          <cell r="L658" t="str">
            <v>Practitioner - Non-Primary Care Provider (PCP)</v>
          </cell>
          <cell r="M658" t="str">
            <v>No</v>
          </cell>
          <cell r="R658" t="str">
            <v>ROBERSON JAMES MR.</v>
          </cell>
          <cell r="S658" t="str">
            <v>617 W 168TH ST</v>
          </cell>
          <cell r="T658" t="str">
            <v>NEW YORK</v>
          </cell>
          <cell r="U658" t="str">
            <v>NY</v>
          </cell>
          <cell r="V658" t="str">
            <v>100323703</v>
          </cell>
          <cell r="AC658" t="str">
            <v>M</v>
          </cell>
          <cell r="AD658" t="str">
            <v>No</v>
          </cell>
          <cell r="AE658" t="str">
            <v>NPI only</v>
          </cell>
          <cell r="AF658" t="str">
            <v>nypeastcampus</v>
          </cell>
          <cell r="AG658" t="str">
            <v>P</v>
          </cell>
        </row>
        <row r="659">
          <cell r="A659" t="str">
            <v>1336431527</v>
          </cell>
          <cell r="C659" t="str">
            <v>Baber Zafeer</v>
          </cell>
          <cell r="G659" t="str">
            <v>Kathryn Spaziani</v>
          </cell>
          <cell r="H659" t="str">
            <v>(212) 305-1255</v>
          </cell>
          <cell r="J659" t="str">
            <v>kas9171@nyp.org</v>
          </cell>
          <cell r="K659" t="str">
            <v>Physician</v>
          </cell>
          <cell r="L659" t="str">
            <v>Uncategorized</v>
          </cell>
          <cell r="M659" t="str">
            <v>No</v>
          </cell>
          <cell r="R659" t="str">
            <v>BABER ZAFEER DR.</v>
          </cell>
          <cell r="S659" t="str">
            <v>622 WEST 168 TH STREET, PH-5-STEM ROOM 133 COLUMBIA UNIVERSITY</v>
          </cell>
          <cell r="T659" t="str">
            <v>NEW YORK</v>
          </cell>
          <cell r="U659" t="str">
            <v>NY</v>
          </cell>
          <cell r="V659" t="str">
            <v>100323784</v>
          </cell>
          <cell r="AC659" t="str">
            <v>M</v>
          </cell>
          <cell r="AD659" t="str">
            <v>No</v>
          </cell>
          <cell r="AE659" t="str">
            <v>NPI only</v>
          </cell>
          <cell r="AF659" t="str">
            <v>nypwestacn</v>
          </cell>
          <cell r="AG659" t="str">
            <v>P</v>
          </cell>
        </row>
        <row r="660">
          <cell r="A660" t="str">
            <v>1033236211</v>
          </cell>
          <cell r="B660" t="str">
            <v>02993699</v>
          </cell>
          <cell r="C660" t="str">
            <v>AMSTERDAM NURSING HOME   CORP</v>
          </cell>
          <cell r="D660" t="str">
            <v>E0104229</v>
          </cell>
          <cell r="E660" t="str">
            <v>AMSTERDAM NURSING HOME ADHC</v>
          </cell>
          <cell r="G660" t="str">
            <v>Judith Fenster</v>
          </cell>
          <cell r="H660" t="str">
            <v>(212) 531-7820</v>
          </cell>
          <cell r="J660" t="str">
            <v>jfenster@amsterdamnh.org</v>
          </cell>
          <cell r="L660" t="str">
            <v>All Other:: Nursing Home</v>
          </cell>
          <cell r="M660" t="str">
            <v>Yes</v>
          </cell>
          <cell r="R660" t="str">
            <v>AMSTERDAM NURSING HOME CORPORATION (1992)</v>
          </cell>
          <cell r="W660" t="str">
            <v>AMSTERDAM NURSING HOME CORP</v>
          </cell>
          <cell r="X660" t="str">
            <v>1060 AMSTERDAM AVE</v>
          </cell>
          <cell r="Y660" t="str">
            <v>NEW YORK</v>
          </cell>
          <cell r="Z660" t="str">
            <v>NY</v>
          </cell>
          <cell r="AA660" t="str">
            <v>10025-1715</v>
          </cell>
          <cell r="AB660" t="str">
            <v>LONG TERM CARE FACILITY</v>
          </cell>
          <cell r="AC660" t="str">
            <v>M</v>
          </cell>
          <cell r="AD660" t="str">
            <v>No</v>
          </cell>
          <cell r="AE660" t="str">
            <v>MMIS</v>
          </cell>
          <cell r="AF660" t="str">
            <v>nypwestacn</v>
          </cell>
          <cell r="AG660" t="str">
            <v>P</v>
          </cell>
        </row>
        <row r="661">
          <cell r="A661" t="str">
            <v>1790904175</v>
          </cell>
          <cell r="C661" t="str">
            <v>COLUMBIA UNIVERSITY MEDICAL CENTER</v>
          </cell>
          <cell r="K661" t="str">
            <v>All Other</v>
          </cell>
          <cell r="L661" t="str">
            <v>Uncategorized</v>
          </cell>
          <cell r="M661" t="str">
            <v>No</v>
          </cell>
          <cell r="R661" t="str">
            <v>COLUMBIA UNIVERSITY MEDICAL CENTER</v>
          </cell>
          <cell r="S661" t="str">
            <v>630 W 168TH ST</v>
          </cell>
          <cell r="T661" t="str">
            <v>NEW YORK</v>
          </cell>
          <cell r="U661" t="str">
            <v>NY</v>
          </cell>
          <cell r="V661" t="str">
            <v>100323725</v>
          </cell>
          <cell r="AC661" t="str">
            <v>M</v>
          </cell>
          <cell r="AD661" t="str">
            <v>No</v>
          </cell>
          <cell r="AE661" t="str">
            <v>NPI only</v>
          </cell>
          <cell r="AF661" t="str">
            <v>nypeastacn</v>
          </cell>
          <cell r="AG661" t="str">
            <v>P</v>
          </cell>
        </row>
        <row r="662">
          <cell r="A662" t="str">
            <v>1255475125</v>
          </cell>
          <cell r="B662" t="str">
            <v>03287318</v>
          </cell>
          <cell r="C662" t="str">
            <v>BOYD, KELLY H</v>
          </cell>
          <cell r="D662" t="str">
            <v>E0314266</v>
          </cell>
          <cell r="E662" t="str">
            <v>HARVEY KELLY</v>
          </cell>
          <cell r="G662" t="str">
            <v>Kathryn Spaziani</v>
          </cell>
          <cell r="H662" t="str">
            <v>(212) 305-1190</v>
          </cell>
          <cell r="J662" t="str">
            <v>kas9171@nyp.org</v>
          </cell>
          <cell r="L662" t="str">
            <v>Practitioner - Non-Primary Care Provider (PCP)</v>
          </cell>
          <cell r="M662" t="str">
            <v>No</v>
          </cell>
          <cell r="R662" t="str">
            <v>HARVEY KELLY</v>
          </cell>
          <cell r="W662" t="str">
            <v>BOYD KELLY H</v>
          </cell>
          <cell r="X662" t="str">
            <v>622 W 168TH ST</v>
          </cell>
          <cell r="Y662" t="str">
            <v>NEW YORK</v>
          </cell>
          <cell r="Z662" t="str">
            <v>NY</v>
          </cell>
          <cell r="AA662" t="str">
            <v>10032-3720</v>
          </cell>
          <cell r="AB662" t="str">
            <v>THERAPIST</v>
          </cell>
          <cell r="AC662" t="str">
            <v>M</v>
          </cell>
          <cell r="AD662" t="str">
            <v>No</v>
          </cell>
          <cell r="AE662" t="str">
            <v>MMIS</v>
          </cell>
          <cell r="AF662" t="str">
            <v>nypwestacn</v>
          </cell>
          <cell r="AG662" t="str">
            <v>P</v>
          </cell>
        </row>
        <row r="663">
          <cell r="A663" t="str">
            <v>1174556823</v>
          </cell>
          <cell r="B663" t="str">
            <v>02719313</v>
          </cell>
          <cell r="C663" t="str">
            <v>TRUSTEES COLUMBIA UNIVERSITY CITY NY CENTER INTERVENTIONAL VASCULAR TH</v>
          </cell>
          <cell r="D663" t="str">
            <v>E0028254</v>
          </cell>
          <cell r="E663" t="str">
            <v>TRUSTEES OF COLUMBIA UNIVERSITY IN</v>
          </cell>
          <cell r="L663" t="str">
            <v>All Other</v>
          </cell>
          <cell r="M663" t="str">
            <v>No</v>
          </cell>
          <cell r="R663" t="str">
            <v>TRUSTEES COLUMBIA UNIVERSITY CITY NY CENTER INTERVENTIONAL VASCULAR TH</v>
          </cell>
          <cell r="W663" t="str">
            <v>TRUSTEES OF COLUMBIA UNIVERSITY IN</v>
          </cell>
          <cell r="X663" t="str">
            <v>161 FORT WASHINGTON AVE</v>
          </cell>
          <cell r="Y663" t="str">
            <v>NEW YORK</v>
          </cell>
          <cell r="Z663" t="str">
            <v>NY</v>
          </cell>
          <cell r="AA663" t="str">
            <v>10032-3729</v>
          </cell>
          <cell r="AB663" t="str">
            <v>PHYSICIANS GROUP</v>
          </cell>
          <cell r="AC663" t="str">
            <v>M</v>
          </cell>
          <cell r="AD663" t="str">
            <v>No</v>
          </cell>
          <cell r="AE663" t="str">
            <v>MMIS</v>
          </cell>
          <cell r="AF663" t="str">
            <v>nypeastacn</v>
          </cell>
          <cell r="AG663" t="str">
            <v>P</v>
          </cell>
        </row>
        <row r="664">
          <cell r="A664" t="str">
            <v>1104932797</v>
          </cell>
          <cell r="B664" t="str">
            <v>01112945</v>
          </cell>
          <cell r="C664" t="str">
            <v>GALLIN, PAMELA F</v>
          </cell>
          <cell r="D664" t="str">
            <v>E0188581</v>
          </cell>
          <cell r="E664" t="str">
            <v>GALLIN PAMELA F MD</v>
          </cell>
          <cell r="G664" t="str">
            <v>Kathryn Spaziani</v>
          </cell>
          <cell r="H664" t="str">
            <v>(212) 305-1190</v>
          </cell>
          <cell r="J664" t="str">
            <v>kas9171@nyp.org</v>
          </cell>
          <cell r="L664" t="str">
            <v>Practitioner - Non-Primary Care Provider (PCP)</v>
          </cell>
          <cell r="M664" t="str">
            <v>No</v>
          </cell>
          <cell r="R664" t="str">
            <v>GALLIN PAMELA DR.</v>
          </cell>
          <cell r="W664" t="str">
            <v>GALLIN PAMELA F MD</v>
          </cell>
          <cell r="X664" t="str">
            <v>COLUMBIA PRESBY HOSP</v>
          </cell>
          <cell r="Y664" t="str">
            <v>NEW YORK</v>
          </cell>
          <cell r="Z664" t="str">
            <v>NY</v>
          </cell>
          <cell r="AA664" t="str">
            <v>10032-3724</v>
          </cell>
          <cell r="AB664" t="str">
            <v>PHYSICIAN</v>
          </cell>
          <cell r="AC664" t="str">
            <v>M</v>
          </cell>
          <cell r="AD664" t="str">
            <v>No</v>
          </cell>
          <cell r="AE664" t="str">
            <v>MMIS</v>
          </cell>
          <cell r="AF664" t="str">
            <v>nypwestacn</v>
          </cell>
          <cell r="AG664" t="str">
            <v>P</v>
          </cell>
        </row>
        <row r="665">
          <cell r="A665" t="str">
            <v>1992816011</v>
          </cell>
          <cell r="B665" t="str">
            <v>02186161</v>
          </cell>
          <cell r="C665" t="str">
            <v>COLUMBIA PRESBYTERIAN VASCULAR &amp; INTERNVENTIONAL RADIOLOGY</v>
          </cell>
          <cell r="D665" t="str">
            <v>E0081464</v>
          </cell>
          <cell r="E665" t="str">
            <v>TRUSTEES OF COLUMBIA UNIV</v>
          </cell>
          <cell r="L665" t="str">
            <v>All Other</v>
          </cell>
          <cell r="M665" t="str">
            <v>No</v>
          </cell>
          <cell r="R665" t="str">
            <v>TRUSTEES OF COLUMBIA UNIVERSITY IN THE CITY OF NEW YORK</v>
          </cell>
          <cell r="W665" t="str">
            <v>TRUSTEES OF COLUMBIA UNIV</v>
          </cell>
          <cell r="X665" t="str">
            <v>622 W 168TH STREET, MHB4-100</v>
          </cell>
          <cell r="Y665" t="str">
            <v>NEW YORK</v>
          </cell>
          <cell r="Z665" t="str">
            <v>NY</v>
          </cell>
          <cell r="AA665" t="str">
            <v>10032</v>
          </cell>
          <cell r="AB665" t="str">
            <v>PHYSICIANS GROUP</v>
          </cell>
          <cell r="AC665" t="str">
            <v>M</v>
          </cell>
          <cell r="AD665" t="str">
            <v>No</v>
          </cell>
          <cell r="AE665" t="str">
            <v>MMIS</v>
          </cell>
          <cell r="AF665" t="str">
            <v>nypeastacn</v>
          </cell>
          <cell r="AG665" t="str">
            <v>P</v>
          </cell>
        </row>
        <row r="666">
          <cell r="A666" t="str">
            <v>1215194568</v>
          </cell>
          <cell r="B666" t="str">
            <v>03344387</v>
          </cell>
          <cell r="C666" t="str">
            <v>Kucine, Nicole E.</v>
          </cell>
          <cell r="D666" t="str">
            <v>E0320783</v>
          </cell>
          <cell r="E666" t="str">
            <v>KUCINE NICOLE ELENA</v>
          </cell>
          <cell r="G666" t="str">
            <v>Kathryn Spaziani</v>
          </cell>
          <cell r="H666" t="str">
            <v>(212) 305-1190</v>
          </cell>
          <cell r="J666" t="str">
            <v>kas9171@nyp.org</v>
          </cell>
          <cell r="L666" t="str">
            <v>All Other:: Practitioner - Non-Primary Care Provider (PCP)</v>
          </cell>
          <cell r="M666" t="str">
            <v>No</v>
          </cell>
          <cell r="R666" t="str">
            <v>KUCINE NICOLE</v>
          </cell>
          <cell r="W666" t="str">
            <v>KUCINE NICOLE ELENA</v>
          </cell>
          <cell r="X666" t="str">
            <v>525 E 68TH ST</v>
          </cell>
          <cell r="Y666" t="str">
            <v>NEW YORK</v>
          </cell>
          <cell r="Z666" t="str">
            <v>NY</v>
          </cell>
          <cell r="AA666" t="str">
            <v>10065-4870</v>
          </cell>
          <cell r="AB666" t="str">
            <v>PHYSICIAN</v>
          </cell>
          <cell r="AC666" t="str">
            <v>M</v>
          </cell>
          <cell r="AD666" t="str">
            <v>No</v>
          </cell>
          <cell r="AE666" t="str">
            <v>MMIS</v>
          </cell>
          <cell r="AF666" t="str">
            <v>nypeastcampus</v>
          </cell>
          <cell r="AG666" t="str">
            <v>P</v>
          </cell>
        </row>
        <row r="667">
          <cell r="A667" t="str">
            <v>1528031150</v>
          </cell>
          <cell r="B667" t="str">
            <v>01615443</v>
          </cell>
          <cell r="C667" t="str">
            <v>GOLD, MELANIE A</v>
          </cell>
          <cell r="D667" t="str">
            <v>E0138467</v>
          </cell>
          <cell r="E667" t="str">
            <v>GOLD MELANIE A MD</v>
          </cell>
          <cell r="G667" t="str">
            <v>Kathryn Spaziani</v>
          </cell>
          <cell r="H667" t="str">
            <v>(212) 305-1190</v>
          </cell>
          <cell r="J667" t="str">
            <v>kas9171@nyp.org</v>
          </cell>
          <cell r="L667" t="str">
            <v>Mental Health:: Practitioner - Non-Primary Care Provider (PCP)</v>
          </cell>
          <cell r="M667" t="str">
            <v>No</v>
          </cell>
          <cell r="R667" t="str">
            <v>GOLD MELANIE DR.</v>
          </cell>
          <cell r="W667" t="str">
            <v>GOLD MELANIE A</v>
          </cell>
          <cell r="X667" t="str">
            <v>3959 BROADWAY</v>
          </cell>
          <cell r="Y667" t="str">
            <v>NEW YORK</v>
          </cell>
          <cell r="Z667" t="str">
            <v>NY</v>
          </cell>
          <cell r="AA667" t="str">
            <v>10032-1559</v>
          </cell>
          <cell r="AB667" t="str">
            <v>PHYSICIAN</v>
          </cell>
          <cell r="AC667" t="str">
            <v>M</v>
          </cell>
          <cell r="AD667" t="str">
            <v>No</v>
          </cell>
          <cell r="AE667" t="str">
            <v>MMIS</v>
          </cell>
          <cell r="AF667" t="str">
            <v>nypwestacn</v>
          </cell>
          <cell r="AG667" t="str">
            <v>P</v>
          </cell>
        </row>
        <row r="668">
          <cell r="A668" t="str">
            <v>1528087210</v>
          </cell>
          <cell r="B668" t="str">
            <v>03476542</v>
          </cell>
          <cell r="C668" t="str">
            <v>RIVIELLO, JAMES J</v>
          </cell>
          <cell r="D668" t="str">
            <v>E0336959</v>
          </cell>
          <cell r="E668" t="str">
            <v>RIVIELLO JAMES JOHN</v>
          </cell>
          <cell r="G668" t="str">
            <v>Kathryn Spaziani</v>
          </cell>
          <cell r="H668" t="str">
            <v>(212) 305-1190</v>
          </cell>
          <cell r="J668" t="str">
            <v>kas9171@nyp.org</v>
          </cell>
          <cell r="L668" t="str">
            <v>Practitioner - Non-Primary Care Provider (PCP)</v>
          </cell>
          <cell r="M668" t="str">
            <v>No</v>
          </cell>
          <cell r="R668" t="str">
            <v>RIVIELLO JAMES DR.</v>
          </cell>
          <cell r="W668" t="str">
            <v>RIVIELLO JAMES JOHN</v>
          </cell>
          <cell r="X668" t="str">
            <v>223 E 34TH ST</v>
          </cell>
          <cell r="Y668" t="str">
            <v>NEW YORK</v>
          </cell>
          <cell r="Z668" t="str">
            <v>NY</v>
          </cell>
          <cell r="AA668" t="str">
            <v>10016-4852</v>
          </cell>
          <cell r="AB668" t="str">
            <v>PHYSICIAN</v>
          </cell>
          <cell r="AC668" t="str">
            <v>M</v>
          </cell>
          <cell r="AD668" t="str">
            <v>No</v>
          </cell>
          <cell r="AE668" t="str">
            <v>MMIS</v>
          </cell>
          <cell r="AF668" t="str">
            <v>nypwestcampus</v>
          </cell>
          <cell r="AG668" t="str">
            <v>P</v>
          </cell>
        </row>
        <row r="669">
          <cell r="A669" t="str">
            <v>1528095791</v>
          </cell>
          <cell r="B669" t="str">
            <v>02768927</v>
          </cell>
          <cell r="C669" t="str">
            <v>Carroll, Sheila J.</v>
          </cell>
          <cell r="D669" t="str">
            <v>E0023300</v>
          </cell>
          <cell r="E669" t="str">
            <v>CARROLL J SHEILA MD</v>
          </cell>
          <cell r="G669" t="str">
            <v>Kathryn Spaziani</v>
          </cell>
          <cell r="H669" t="str">
            <v>(212) 305-1190</v>
          </cell>
          <cell r="J669" t="str">
            <v>kas9171@nyp.org</v>
          </cell>
          <cell r="L669" t="str">
            <v>All Other:: Practitioner - Non-Primary Care Provider (PCP)</v>
          </cell>
          <cell r="M669" t="str">
            <v>No</v>
          </cell>
          <cell r="R669" t="str">
            <v>CARROLL SHEILA</v>
          </cell>
          <cell r="W669" t="str">
            <v>CARROLL SHEILA JEANNE</v>
          </cell>
          <cell r="X669" t="str">
            <v>525 EAST 58TH STREET</v>
          </cell>
          <cell r="Y669" t="str">
            <v>NEW YORK</v>
          </cell>
          <cell r="Z669" t="str">
            <v>NY</v>
          </cell>
          <cell r="AA669" t="str">
            <v>10021</v>
          </cell>
          <cell r="AB669" t="str">
            <v>PHYSICIAN</v>
          </cell>
          <cell r="AC669" t="str">
            <v>M</v>
          </cell>
          <cell r="AD669" t="str">
            <v>No</v>
          </cell>
          <cell r="AE669" t="str">
            <v>MMIS</v>
          </cell>
          <cell r="AF669" t="str">
            <v>nypeastcampus</v>
          </cell>
          <cell r="AG669" t="str">
            <v>P</v>
          </cell>
        </row>
        <row r="670">
          <cell r="A670" t="str">
            <v>1528097615</v>
          </cell>
          <cell r="B670" t="str">
            <v>02357968</v>
          </cell>
          <cell r="C670" t="str">
            <v xml:space="preserve">PEREZ-DELBOY, ANNETTE </v>
          </cell>
          <cell r="D670" t="str">
            <v>E0064309</v>
          </cell>
          <cell r="E670" t="str">
            <v>PEREZ-DELBOY ANNETTE MD</v>
          </cell>
          <cell r="G670" t="str">
            <v>Kathryn Spaziani</v>
          </cell>
          <cell r="H670" t="str">
            <v>(212) 305-1190</v>
          </cell>
          <cell r="J670" t="str">
            <v>kas9171@nyp.org</v>
          </cell>
          <cell r="L670" t="str">
            <v>All Other:: Practitioner - Non-Primary Care Provider (PCP)</v>
          </cell>
          <cell r="M670" t="str">
            <v>Yes</v>
          </cell>
          <cell r="R670" t="str">
            <v>PEREZ-DELBOY ANNETTE</v>
          </cell>
          <cell r="W670" t="str">
            <v>PEREZ-DELBOY ANNETTE MD</v>
          </cell>
          <cell r="X670" t="str">
            <v>COLUMBIA PRESB HSP</v>
          </cell>
          <cell r="Y670" t="str">
            <v>NEW YORK</v>
          </cell>
          <cell r="Z670" t="str">
            <v>NY</v>
          </cell>
          <cell r="AA670" t="str">
            <v>10032-3720</v>
          </cell>
          <cell r="AB670" t="str">
            <v>PHYSICIAN</v>
          </cell>
          <cell r="AC670" t="str">
            <v>M</v>
          </cell>
          <cell r="AD670" t="str">
            <v>No</v>
          </cell>
          <cell r="AE670" t="str">
            <v>MMIS</v>
          </cell>
          <cell r="AF670" t="str">
            <v>nypwestcampus</v>
          </cell>
          <cell r="AG670" t="str">
            <v>P</v>
          </cell>
        </row>
        <row r="671">
          <cell r="A671" t="str">
            <v>1326088675</v>
          </cell>
          <cell r="B671" t="str">
            <v>02396289</v>
          </cell>
          <cell r="C671" t="str">
            <v>WEILL MEDICAL COLLEGE OF CORNELL</v>
          </cell>
          <cell r="D671" t="str">
            <v>E0060499</v>
          </cell>
          <cell r="E671" t="str">
            <v>CORNELL UNIV MEDICAL CLGE</v>
          </cell>
          <cell r="G671" t="str">
            <v>Kathryn Spaziani</v>
          </cell>
          <cell r="H671" t="str">
            <v>(212) 305-1186</v>
          </cell>
          <cell r="J671" t="str">
            <v>kas9171@nyp.org</v>
          </cell>
          <cell r="L671" t="str">
            <v>All Other</v>
          </cell>
          <cell r="M671" t="str">
            <v>No</v>
          </cell>
          <cell r="R671" t="str">
            <v>WEILL MEDICAL COLLEGE OF CORNELL</v>
          </cell>
          <cell r="W671" t="str">
            <v>WEILL MEDICAL COLLEGE OF CORNELL</v>
          </cell>
          <cell r="X671" t="str">
            <v>STARR 651</v>
          </cell>
          <cell r="Y671" t="str">
            <v>NEW YORK</v>
          </cell>
          <cell r="Z671" t="str">
            <v>NY</v>
          </cell>
          <cell r="AA671" t="str">
            <v>10021-9800</v>
          </cell>
          <cell r="AB671" t="str">
            <v>PHYSICIANS GROUP</v>
          </cell>
          <cell r="AC671" t="str">
            <v>M</v>
          </cell>
          <cell r="AD671" t="str">
            <v>No</v>
          </cell>
          <cell r="AE671" t="str">
            <v>MMIS</v>
          </cell>
          <cell r="AF671" t="str">
            <v>nypwestacn</v>
          </cell>
          <cell r="AG671" t="str">
            <v>P</v>
          </cell>
        </row>
        <row r="672">
          <cell r="A672" t="str">
            <v>1538109269</v>
          </cell>
          <cell r="B672" t="str">
            <v>00487889</v>
          </cell>
          <cell r="C672" t="str">
            <v>WEILL MEDICAL COLLEGE OF CORNELL</v>
          </cell>
          <cell r="D672" t="str">
            <v>E0250865</v>
          </cell>
          <cell r="E672" t="str">
            <v>CORNELL UNIVERSITY MEDICAL CO</v>
          </cell>
          <cell r="G672" t="str">
            <v>Kathryn Spaziani</v>
          </cell>
          <cell r="H672" t="str">
            <v>(212) 305-1187</v>
          </cell>
          <cell r="J672" t="str">
            <v>kas9171@nyp.org</v>
          </cell>
          <cell r="L672" t="str">
            <v>All Other</v>
          </cell>
          <cell r="M672" t="str">
            <v>No</v>
          </cell>
          <cell r="R672" t="str">
            <v>WEILL MEDICAL COLLEGE OF CORNELL</v>
          </cell>
          <cell r="W672" t="str">
            <v>WEILL MEDICAL COLLEGE OF CORNELL</v>
          </cell>
          <cell r="X672" t="str">
            <v>525 E 68TH ST</v>
          </cell>
          <cell r="Y672" t="str">
            <v>NEW YORK</v>
          </cell>
          <cell r="Z672" t="str">
            <v>NY</v>
          </cell>
          <cell r="AA672" t="str">
            <v>10065-4885</v>
          </cell>
          <cell r="AB672" t="str">
            <v>PHYSICIANS GROUP</v>
          </cell>
          <cell r="AC672" t="str">
            <v>M</v>
          </cell>
          <cell r="AD672" t="str">
            <v>No</v>
          </cell>
          <cell r="AE672" t="str">
            <v>MMIS</v>
          </cell>
          <cell r="AF672" t="str">
            <v>nypwestacn</v>
          </cell>
          <cell r="AG672" t="str">
            <v>P</v>
          </cell>
        </row>
        <row r="673">
          <cell r="A673" t="str">
            <v>1356497598</v>
          </cell>
          <cell r="B673" t="str">
            <v>02109199</v>
          </cell>
          <cell r="C673" t="str">
            <v xml:space="preserve">FRIEDERWITZER, KARIN </v>
          </cell>
          <cell r="D673" t="str">
            <v>E0089149</v>
          </cell>
          <cell r="E673" t="str">
            <v>FRIEDERWITZER KARIN MD</v>
          </cell>
          <cell r="G673" t="str">
            <v>Kathryn Spaziani</v>
          </cell>
          <cell r="H673" t="str">
            <v>(212) 305-1190</v>
          </cell>
          <cell r="J673" t="str">
            <v>kas9171@nyp.org</v>
          </cell>
          <cell r="L673" t="str">
            <v>Practitioner - Non-Primary Care Provider (PCP)</v>
          </cell>
          <cell r="M673" t="str">
            <v>No</v>
          </cell>
          <cell r="R673" t="str">
            <v>FRIEDERWITZER KARIN</v>
          </cell>
          <cell r="W673" t="str">
            <v>FRIEDERWITZER KARIN MD</v>
          </cell>
          <cell r="X673" t="str">
            <v>7559 263RD ST</v>
          </cell>
          <cell r="Y673" t="str">
            <v>GLEN OAKS</v>
          </cell>
          <cell r="Z673" t="str">
            <v>NY</v>
          </cell>
          <cell r="AA673" t="str">
            <v>11004-1150</v>
          </cell>
          <cell r="AB673" t="str">
            <v>PHYSICIAN</v>
          </cell>
          <cell r="AC673" t="str">
            <v>M</v>
          </cell>
          <cell r="AD673" t="str">
            <v>No</v>
          </cell>
          <cell r="AE673" t="str">
            <v>MMIS</v>
          </cell>
          <cell r="AF673" t="str">
            <v>nypwestacn</v>
          </cell>
          <cell r="AG673" t="str">
            <v>P</v>
          </cell>
        </row>
        <row r="674">
          <cell r="A674" t="str">
            <v>1124006275</v>
          </cell>
          <cell r="B674" t="str">
            <v>02760052</v>
          </cell>
          <cell r="C674" t="str">
            <v>Martin Paul</v>
          </cell>
          <cell r="D674" t="str">
            <v>E0024187</v>
          </cell>
          <cell r="E674" t="str">
            <v>MARTIN PAUL BENEDIKT MD</v>
          </cell>
          <cell r="L674" t="str">
            <v>All Other:: Practitioner - Non-Primary Care Provider (PCP)</v>
          </cell>
          <cell r="M674" t="str">
            <v>No</v>
          </cell>
          <cell r="R674" t="str">
            <v>MARTIN PAUL</v>
          </cell>
          <cell r="W674" t="str">
            <v>MARTIN PAUL BENEDIKT</v>
          </cell>
          <cell r="X674" t="str">
            <v>1825 EASTCHESTER RD</v>
          </cell>
          <cell r="Y674" t="str">
            <v>BRONX</v>
          </cell>
          <cell r="Z674" t="str">
            <v>NY</v>
          </cell>
          <cell r="AA674" t="str">
            <v>10461-2301</v>
          </cell>
          <cell r="AB674" t="str">
            <v>PHYSICIAN</v>
          </cell>
          <cell r="AC674" t="str">
            <v>M</v>
          </cell>
          <cell r="AD674" t="str">
            <v>No</v>
          </cell>
          <cell r="AE674" t="str">
            <v>MMIS</v>
          </cell>
          <cell r="AF674" t="str">
            <v>nypeastcampus</v>
          </cell>
          <cell r="AG674" t="str">
            <v>P</v>
          </cell>
        </row>
        <row r="675">
          <cell r="A675" t="str">
            <v>1033377338</v>
          </cell>
          <cell r="B675" t="str">
            <v>03338763</v>
          </cell>
          <cell r="C675" t="str">
            <v>Grinspan, Zachary M.</v>
          </cell>
          <cell r="D675" t="str">
            <v>E0320139</v>
          </cell>
          <cell r="E675" t="str">
            <v>GRINSPAN ZACHARY MICHAEL</v>
          </cell>
          <cell r="G675" t="str">
            <v>Kathryn Spaziani</v>
          </cell>
          <cell r="H675" t="str">
            <v>(212) 305-1190</v>
          </cell>
          <cell r="J675" t="str">
            <v>kas9171@nyp.org</v>
          </cell>
          <cell r="L675" t="str">
            <v>All Other:: Practitioner - Non-Primary Care Provider (PCP)</v>
          </cell>
          <cell r="M675" t="str">
            <v>No</v>
          </cell>
          <cell r="R675" t="str">
            <v>GRINSPAN ZACHARY DR.</v>
          </cell>
          <cell r="W675" t="str">
            <v>GRINSPAN ZACHARY MICHAEL</v>
          </cell>
          <cell r="X675" t="str">
            <v>525 E 68TH ST</v>
          </cell>
          <cell r="Y675" t="str">
            <v>NEW YORK</v>
          </cell>
          <cell r="Z675" t="str">
            <v>NY</v>
          </cell>
          <cell r="AA675" t="str">
            <v>10065-4870</v>
          </cell>
          <cell r="AB675" t="str">
            <v>PHYSICIAN</v>
          </cell>
          <cell r="AC675" t="str">
            <v>M</v>
          </cell>
          <cell r="AD675" t="str">
            <v>No</v>
          </cell>
          <cell r="AE675" t="str">
            <v>MMIS</v>
          </cell>
          <cell r="AF675" t="str">
            <v>nypeastacn</v>
          </cell>
          <cell r="AG675" t="str">
            <v>P</v>
          </cell>
        </row>
        <row r="676">
          <cell r="A676" t="str">
            <v>1780822304</v>
          </cell>
          <cell r="B676" t="str">
            <v>03466231</v>
          </cell>
          <cell r="C676" t="str">
            <v>VINK, JOY-SARAH Y</v>
          </cell>
          <cell r="D676" t="str">
            <v>E0335806</v>
          </cell>
          <cell r="E676" t="str">
            <v>VINK JOY-SARAH YUMIKO</v>
          </cell>
          <cell r="G676" t="str">
            <v>Kathryn Spaziani</v>
          </cell>
          <cell r="H676" t="str">
            <v>(212) 305-1190</v>
          </cell>
          <cell r="J676" t="str">
            <v>kas9171@nyp.org</v>
          </cell>
          <cell r="L676" t="str">
            <v>All Other:: Practitioner - Non-Primary Care Provider (PCP)</v>
          </cell>
          <cell r="M676" t="str">
            <v>No</v>
          </cell>
          <cell r="R676" t="str">
            <v>VINK JOY-SARAH</v>
          </cell>
          <cell r="W676" t="str">
            <v>VINK JOY-SARAH YUMIKO</v>
          </cell>
          <cell r="X676" t="str">
            <v>1790 BROADWAY</v>
          </cell>
          <cell r="Y676" t="str">
            <v>NEW YORK</v>
          </cell>
          <cell r="Z676" t="str">
            <v>NY</v>
          </cell>
          <cell r="AA676" t="str">
            <v>10019-1412</v>
          </cell>
          <cell r="AB676" t="str">
            <v>PHYSICIAN</v>
          </cell>
          <cell r="AC676" t="str">
            <v>M</v>
          </cell>
          <cell r="AD676" t="str">
            <v>No</v>
          </cell>
          <cell r="AE676" t="str">
            <v>MMIS</v>
          </cell>
          <cell r="AF676" t="str">
            <v>nypwestcampus</v>
          </cell>
          <cell r="AG676" t="str">
            <v>P</v>
          </cell>
        </row>
        <row r="677">
          <cell r="A677" t="str">
            <v>1780826263</v>
          </cell>
          <cell r="B677" t="str">
            <v>03108041</v>
          </cell>
          <cell r="C677" t="str">
            <v xml:space="preserve">HAYS, ERIN MAURA </v>
          </cell>
          <cell r="D677" t="str">
            <v>E0293997</v>
          </cell>
          <cell r="E677" t="str">
            <v>HAYS ERIN MAURA</v>
          </cell>
          <cell r="G677" t="str">
            <v>Kathryn Spaziani</v>
          </cell>
          <cell r="H677" t="str">
            <v>(212) 305-1190</v>
          </cell>
          <cell r="J677" t="str">
            <v>kas9171@nyp.org</v>
          </cell>
          <cell r="L677" t="str">
            <v>Practitioner - Non-Primary Care Provider (PCP)</v>
          </cell>
          <cell r="M677" t="str">
            <v>No</v>
          </cell>
          <cell r="R677" t="str">
            <v>HAYS E. MS.</v>
          </cell>
          <cell r="W677" t="str">
            <v>HAYS ERIN MAURA</v>
          </cell>
          <cell r="X677" t="str">
            <v>HELMSLEY TOWER 503 EAST 70 STREET</v>
          </cell>
          <cell r="Y677" t="str">
            <v>NEW YORK</v>
          </cell>
          <cell r="Z677" t="str">
            <v>NY</v>
          </cell>
          <cell r="AA677" t="str">
            <v>10021-0000</v>
          </cell>
          <cell r="AB677" t="str">
            <v>CLINICAL SOCIAL WORKER (CSW)</v>
          </cell>
          <cell r="AC677" t="str">
            <v>M</v>
          </cell>
          <cell r="AD677" t="str">
            <v>No</v>
          </cell>
          <cell r="AE677" t="str">
            <v>MMIS</v>
          </cell>
          <cell r="AF677" t="str">
            <v>nypeastacn</v>
          </cell>
          <cell r="AG677" t="str">
            <v>P</v>
          </cell>
        </row>
        <row r="678">
          <cell r="A678" t="str">
            <v>1477710069</v>
          </cell>
          <cell r="B678" t="str">
            <v>02984141</v>
          </cell>
          <cell r="C678" t="str">
            <v>Raju, Praveen B</v>
          </cell>
          <cell r="D678" t="str">
            <v>E0007021</v>
          </cell>
          <cell r="E678" t="str">
            <v>PRAVEEN B RAJU</v>
          </cell>
          <cell r="G678" t="str">
            <v>Kathryn Spaziani</v>
          </cell>
          <cell r="H678" t="str">
            <v>(212) 305-1190</v>
          </cell>
          <cell r="J678" t="str">
            <v>kas9171@nyp.org</v>
          </cell>
          <cell r="L678" t="str">
            <v>All Other:: Practitioner - Non-Primary Care Provider (PCP)</v>
          </cell>
          <cell r="M678" t="str">
            <v>No</v>
          </cell>
          <cell r="R678" t="str">
            <v>RAJU PRAVEEN DR.</v>
          </cell>
          <cell r="W678" t="str">
            <v>RAJU PRAVEEN B</v>
          </cell>
          <cell r="X678" t="str">
            <v>525 E 68TH ST # M-6</v>
          </cell>
          <cell r="Y678" t="str">
            <v>NEW YORK</v>
          </cell>
          <cell r="Z678" t="str">
            <v>NY</v>
          </cell>
          <cell r="AA678" t="str">
            <v>10065-4870</v>
          </cell>
          <cell r="AB678" t="str">
            <v>PHYSICIAN</v>
          </cell>
          <cell r="AC678" t="str">
            <v>M</v>
          </cell>
          <cell r="AD678" t="str">
            <v>No</v>
          </cell>
          <cell r="AE678" t="str">
            <v>MMIS</v>
          </cell>
          <cell r="AF678" t="str">
            <v>nypeastcampus</v>
          </cell>
          <cell r="AG678" t="str">
            <v>P</v>
          </cell>
        </row>
        <row r="679">
          <cell r="A679" t="str">
            <v>1174675631</v>
          </cell>
          <cell r="B679" t="str">
            <v>01783462</v>
          </cell>
          <cell r="C679" t="str">
            <v>ODRICH, MARC G</v>
          </cell>
          <cell r="D679" t="str">
            <v>E0121684</v>
          </cell>
          <cell r="E679" t="str">
            <v>ODRICH MARC G MD</v>
          </cell>
          <cell r="G679" t="str">
            <v>Kathryn Spaziani</v>
          </cell>
          <cell r="H679" t="str">
            <v>(212) 305-1190</v>
          </cell>
          <cell r="J679" t="str">
            <v>kas9171@nyp.org</v>
          </cell>
          <cell r="L679" t="str">
            <v>Practitioner - Non-Primary Care Provider (PCP)</v>
          </cell>
          <cell r="M679" t="str">
            <v>No</v>
          </cell>
          <cell r="R679" t="str">
            <v>ODRICH MARC DR.</v>
          </cell>
          <cell r="W679" t="str">
            <v>ODRICH MARC G MD</v>
          </cell>
          <cell r="X679" t="str">
            <v>COLUMBIA PRESBY HOSP</v>
          </cell>
          <cell r="Y679" t="str">
            <v>NEW YORK</v>
          </cell>
          <cell r="Z679" t="str">
            <v>NY</v>
          </cell>
          <cell r="AA679" t="str">
            <v>10032-3724</v>
          </cell>
          <cell r="AB679" t="str">
            <v>PHYSICIAN</v>
          </cell>
          <cell r="AC679" t="str">
            <v>M</v>
          </cell>
          <cell r="AD679" t="str">
            <v>No</v>
          </cell>
          <cell r="AE679" t="str">
            <v>MMIS</v>
          </cell>
          <cell r="AF679" t="str">
            <v>nypwestcampus</v>
          </cell>
          <cell r="AG679" t="str">
            <v>P</v>
          </cell>
        </row>
        <row r="680">
          <cell r="A680" t="str">
            <v>1447493051</v>
          </cell>
          <cell r="B680" t="str">
            <v>03545228</v>
          </cell>
          <cell r="C680" t="str">
            <v>REGO, ADRIANA E</v>
          </cell>
          <cell r="D680" t="str">
            <v>E0344401</v>
          </cell>
          <cell r="E680" t="str">
            <v>REGO ADRIANA E</v>
          </cell>
          <cell r="G680" t="str">
            <v>Kathryn Spaziani</v>
          </cell>
          <cell r="H680" t="str">
            <v>(212) 305-1190</v>
          </cell>
          <cell r="J680" t="str">
            <v>kas9171@nyp.org</v>
          </cell>
          <cell r="L680" t="str">
            <v>Practitioner - Non-Primary Care Provider (PCP)</v>
          </cell>
          <cell r="M680" t="str">
            <v>No</v>
          </cell>
          <cell r="R680" t="str">
            <v>REGO ADRIANA DR.</v>
          </cell>
          <cell r="W680" t="str">
            <v>REGO ADRIANA E</v>
          </cell>
          <cell r="X680" t="str">
            <v>3959 BROADWAY</v>
          </cell>
          <cell r="Y680" t="str">
            <v>NEW YORK</v>
          </cell>
          <cell r="Z680" t="str">
            <v>NY</v>
          </cell>
          <cell r="AA680" t="str">
            <v>10032-1559</v>
          </cell>
          <cell r="AB680" t="str">
            <v>PHYSICIAN</v>
          </cell>
          <cell r="AC680" t="str">
            <v>M</v>
          </cell>
          <cell r="AD680" t="str">
            <v>No</v>
          </cell>
          <cell r="AE680" t="str">
            <v>MMIS</v>
          </cell>
          <cell r="AF680" t="str">
            <v>nypwestcampus</v>
          </cell>
          <cell r="AG680" t="str">
            <v>P</v>
          </cell>
        </row>
        <row r="681">
          <cell r="A681" t="str">
            <v>1639107733</v>
          </cell>
          <cell r="B681" t="str">
            <v>01404728</v>
          </cell>
          <cell r="C681" t="str">
            <v>STRAUCH, ROBERT J</v>
          </cell>
          <cell r="D681" t="str">
            <v>E0159494</v>
          </cell>
          <cell r="E681" t="str">
            <v>STRAUCH ROBERT JONATHAN MD</v>
          </cell>
          <cell r="G681" t="str">
            <v>Kathryn Spaziani</v>
          </cell>
          <cell r="H681" t="str">
            <v>(212) 305-1190</v>
          </cell>
          <cell r="J681" t="str">
            <v>kas9171@nyp.org</v>
          </cell>
          <cell r="L681" t="str">
            <v>All Other:: Practitioner - Non-Primary Care Provider (PCP)</v>
          </cell>
          <cell r="M681" t="str">
            <v>No</v>
          </cell>
          <cell r="R681" t="str">
            <v>STRAUCH ROBERT DR.</v>
          </cell>
          <cell r="W681" t="str">
            <v>STRAUCH ROBERT JONATHAN MD</v>
          </cell>
          <cell r="X681" t="str">
            <v>161 FORT WASHINGTON AVE</v>
          </cell>
          <cell r="Y681" t="str">
            <v>NEW YORK</v>
          </cell>
          <cell r="Z681" t="str">
            <v>NY</v>
          </cell>
          <cell r="AA681" t="str">
            <v>10032-3729</v>
          </cell>
          <cell r="AB681" t="str">
            <v>PHYSICIAN</v>
          </cell>
          <cell r="AC681" t="str">
            <v>M</v>
          </cell>
          <cell r="AD681" t="str">
            <v>No</v>
          </cell>
          <cell r="AE681" t="str">
            <v>MMIS</v>
          </cell>
          <cell r="AF681" t="str">
            <v>nypwestcampus</v>
          </cell>
          <cell r="AG681" t="str">
            <v>P</v>
          </cell>
        </row>
        <row r="682">
          <cell r="A682" t="str">
            <v>1033315908</v>
          </cell>
          <cell r="B682" t="str">
            <v>03022268</v>
          </cell>
          <cell r="C682" t="str">
            <v>DEUTSCH, ISRAEL</v>
          </cell>
          <cell r="D682" t="str">
            <v>E0284189</v>
          </cell>
          <cell r="E682" t="str">
            <v>DEUTSCH ISRAEL</v>
          </cell>
          <cell r="G682" t="str">
            <v>Kathryn Spaziani</v>
          </cell>
          <cell r="H682" t="str">
            <v>(212) 305-1223</v>
          </cell>
          <cell r="J682" t="str">
            <v>kas9171@nyp.org</v>
          </cell>
          <cell r="L682" t="str">
            <v>All Other:: Practitioner - Non-Primary Care Provider (PCP)</v>
          </cell>
          <cell r="M682" t="str">
            <v>No</v>
          </cell>
          <cell r="R682" t="str">
            <v>DEUTSCH ISRAEL</v>
          </cell>
          <cell r="W682" t="str">
            <v>DEUTSCH ISRAEL</v>
          </cell>
          <cell r="X682" t="str">
            <v>622 W 168TH ST</v>
          </cell>
          <cell r="Y682" t="str">
            <v>NEW YORK</v>
          </cell>
          <cell r="Z682" t="str">
            <v>NY</v>
          </cell>
          <cell r="AA682" t="str">
            <v>10032-3720</v>
          </cell>
          <cell r="AB682" t="str">
            <v>PHYSICIAN</v>
          </cell>
          <cell r="AC682" t="str">
            <v>M</v>
          </cell>
          <cell r="AD682" t="str">
            <v>No</v>
          </cell>
          <cell r="AE682" t="str">
            <v>MMIS</v>
          </cell>
          <cell r="AF682" t="str">
            <v>nypwestcampus</v>
          </cell>
          <cell r="AG682" t="str">
            <v>P</v>
          </cell>
        </row>
        <row r="683">
          <cell r="A683" t="str">
            <v>1811055692</v>
          </cell>
          <cell r="B683" t="str">
            <v>01206179</v>
          </cell>
          <cell r="C683" t="str">
            <v>DIUGUID, DAVID</v>
          </cell>
          <cell r="D683" t="str">
            <v>E0179274</v>
          </cell>
          <cell r="E683" t="str">
            <v>DIUGUID DAVID LINCOLN MD</v>
          </cell>
          <cell r="G683" t="str">
            <v>Kathryn Spaziani</v>
          </cell>
          <cell r="H683" t="str">
            <v>(212) 305-1225</v>
          </cell>
          <cell r="J683" t="str">
            <v>kas9171@nyp.org</v>
          </cell>
          <cell r="L683" t="str">
            <v>All Other:: Practitioner - Primary Care Provider (PCP)</v>
          </cell>
          <cell r="M683" t="str">
            <v>No</v>
          </cell>
          <cell r="R683" t="str">
            <v>DIUGUID DAVID DR.</v>
          </cell>
          <cell r="W683" t="str">
            <v>DIUGUID DAVID LINCOLN MD</v>
          </cell>
          <cell r="X683" t="str">
            <v>622 W 168TH ST</v>
          </cell>
          <cell r="Y683" t="str">
            <v>NEW YORK</v>
          </cell>
          <cell r="Z683" t="str">
            <v>NY</v>
          </cell>
          <cell r="AA683" t="str">
            <v>10032-3720</v>
          </cell>
          <cell r="AB683" t="str">
            <v>PHYSICIAN</v>
          </cell>
          <cell r="AC683" t="str">
            <v>M</v>
          </cell>
          <cell r="AD683" t="str">
            <v>No</v>
          </cell>
          <cell r="AE683" t="str">
            <v>MMIS</v>
          </cell>
          <cell r="AF683" t="str">
            <v>nypwestcampus</v>
          </cell>
          <cell r="AG683" t="str">
            <v>P</v>
          </cell>
        </row>
        <row r="684">
          <cell r="A684" t="str">
            <v>1568494250</v>
          </cell>
          <cell r="B684" t="str">
            <v>02357986</v>
          </cell>
          <cell r="C684" t="str">
            <v xml:space="preserve">GYAMFI BANNERMAN, CYNTHIA </v>
          </cell>
          <cell r="D684" t="str">
            <v>E0064307</v>
          </cell>
          <cell r="E684" t="str">
            <v>GYAMFI CYNTHIA MD</v>
          </cell>
          <cell r="G684" t="str">
            <v>Kathryn Spaziani</v>
          </cell>
          <cell r="H684" t="str">
            <v>(212) 305-1190</v>
          </cell>
          <cell r="J684" t="str">
            <v>kas9171@nyp.org</v>
          </cell>
          <cell r="L684" t="str">
            <v>All Other:: Practitioner - Non-Primary Care Provider (PCP)</v>
          </cell>
          <cell r="M684" t="str">
            <v>No</v>
          </cell>
          <cell r="R684" t="str">
            <v>GYAMFI BANNERMAN CYNTHIA</v>
          </cell>
          <cell r="W684" t="str">
            <v>GYAMFI BANNERMAN CYNTHIA MD</v>
          </cell>
          <cell r="X684" t="str">
            <v>MT SINAI OB/GYN</v>
          </cell>
          <cell r="Y684" t="str">
            <v>NEW YORK</v>
          </cell>
          <cell r="Z684" t="str">
            <v>NY</v>
          </cell>
          <cell r="AA684" t="str">
            <v>10029-6503</v>
          </cell>
          <cell r="AB684" t="str">
            <v>PHYSICIAN</v>
          </cell>
          <cell r="AC684" t="str">
            <v>M</v>
          </cell>
          <cell r="AD684" t="str">
            <v>No</v>
          </cell>
          <cell r="AE684" t="str">
            <v>MMIS</v>
          </cell>
          <cell r="AF684" t="str">
            <v>nypwestacn</v>
          </cell>
          <cell r="AG684" t="str">
            <v>P</v>
          </cell>
        </row>
        <row r="685">
          <cell r="A685" t="str">
            <v>1689860249</v>
          </cell>
          <cell r="B685" t="str">
            <v>01824877</v>
          </cell>
          <cell r="C685" t="str">
            <v>BULMAN, WILLIAM A</v>
          </cell>
          <cell r="D685" t="str">
            <v>E0117551</v>
          </cell>
          <cell r="E685" t="str">
            <v>BULMAN WILLIAM A MD</v>
          </cell>
          <cell r="G685" t="str">
            <v>Kathryn Spaziani</v>
          </cell>
          <cell r="H685" t="str">
            <v>(212) 305-1190</v>
          </cell>
          <cell r="J685" t="str">
            <v>kas9171@nyp.org</v>
          </cell>
          <cell r="L685" t="str">
            <v>All Other:: Practitioner - Non-Primary Care Provider (PCP)</v>
          </cell>
          <cell r="M685" t="str">
            <v>No</v>
          </cell>
          <cell r="R685" t="str">
            <v>BULMAN WILLIAM DR.</v>
          </cell>
          <cell r="W685" t="str">
            <v>BULMAN WILLIAM A MD</v>
          </cell>
          <cell r="X685" t="str">
            <v>622 W 168TH ST</v>
          </cell>
          <cell r="Y685" t="str">
            <v>NEW YORK</v>
          </cell>
          <cell r="Z685" t="str">
            <v>NY</v>
          </cell>
          <cell r="AA685" t="str">
            <v>10032-3720</v>
          </cell>
          <cell r="AB685" t="str">
            <v>PHYSICIAN</v>
          </cell>
          <cell r="AC685" t="str">
            <v>M</v>
          </cell>
          <cell r="AD685" t="str">
            <v>No</v>
          </cell>
          <cell r="AE685" t="str">
            <v>MMIS</v>
          </cell>
          <cell r="AF685" t="str">
            <v>nypwestacn</v>
          </cell>
          <cell r="AG685" t="str">
            <v>P</v>
          </cell>
        </row>
        <row r="686">
          <cell r="A686" t="str">
            <v>1063655967</v>
          </cell>
          <cell r="B686" t="str">
            <v>03386683</v>
          </cell>
          <cell r="C686" t="str">
            <v>HANSEN, HEIDI J</v>
          </cell>
          <cell r="D686" t="str">
            <v>E0325838</v>
          </cell>
          <cell r="E686" t="str">
            <v>HANSEN HEIDI JES</v>
          </cell>
          <cell r="G686" t="str">
            <v>Kathryn Spaziani</v>
          </cell>
          <cell r="H686" t="str">
            <v>(212) 305-1190</v>
          </cell>
          <cell r="J686" t="str">
            <v>kas9171@nyp.org</v>
          </cell>
          <cell r="L686" t="str">
            <v>All Other:: Practitioner - Non-Primary Care Provider (PCP)</v>
          </cell>
          <cell r="M686" t="str">
            <v>Yes</v>
          </cell>
          <cell r="R686" t="str">
            <v>HANSEN HEIDI DR.</v>
          </cell>
          <cell r="W686" t="str">
            <v>HANSEN HEIDI JES</v>
          </cell>
          <cell r="X686" t="str">
            <v>525 E 68TH ST # 585</v>
          </cell>
          <cell r="Y686" t="str">
            <v>NEW YORK</v>
          </cell>
          <cell r="Z686" t="str">
            <v>NY</v>
          </cell>
          <cell r="AA686" t="str">
            <v>10065-4870</v>
          </cell>
          <cell r="AB686" t="str">
            <v>DENTIST</v>
          </cell>
          <cell r="AC686" t="str">
            <v>M</v>
          </cell>
          <cell r="AD686" t="str">
            <v>No</v>
          </cell>
          <cell r="AE686" t="str">
            <v>MMIS</v>
          </cell>
          <cell r="AF686" t="str">
            <v>nypeastacn</v>
          </cell>
          <cell r="AG686" t="str">
            <v>P</v>
          </cell>
        </row>
        <row r="687">
          <cell r="A687" t="str">
            <v>1124210901</v>
          </cell>
          <cell r="B687" t="str">
            <v>03014404</v>
          </cell>
          <cell r="C687" t="str">
            <v>SIDDALL, ERIC</v>
          </cell>
          <cell r="D687" t="str">
            <v>E0283201</v>
          </cell>
          <cell r="E687" t="str">
            <v>SIDDALL ERIC C MD</v>
          </cell>
          <cell r="G687" t="str">
            <v>Kathryn Spaziani</v>
          </cell>
          <cell r="H687" t="str">
            <v>(212) 305-1332</v>
          </cell>
          <cell r="J687" t="str">
            <v>kas9171@nyp.org</v>
          </cell>
          <cell r="L687" t="str">
            <v>Practitioner - Non-Primary Care Provider (PCP)</v>
          </cell>
          <cell r="M687" t="str">
            <v>No</v>
          </cell>
          <cell r="R687" t="str">
            <v>SIDDALL ERIC DR.</v>
          </cell>
          <cell r="W687" t="str">
            <v>SIDDALL ERIC CLAYTON MD</v>
          </cell>
          <cell r="X687" t="str">
            <v>622 W 168TH ST</v>
          </cell>
          <cell r="Y687" t="str">
            <v>NEW YORK</v>
          </cell>
          <cell r="Z687" t="str">
            <v>NY</v>
          </cell>
          <cell r="AA687" t="str">
            <v>10032-3720</v>
          </cell>
          <cell r="AB687" t="str">
            <v>PHYSICIAN</v>
          </cell>
          <cell r="AC687" t="str">
            <v>M</v>
          </cell>
          <cell r="AD687" t="str">
            <v>No</v>
          </cell>
          <cell r="AE687" t="str">
            <v>MMIS</v>
          </cell>
          <cell r="AF687" t="str">
            <v>nypwestcampus</v>
          </cell>
          <cell r="AG687" t="str">
            <v>P</v>
          </cell>
        </row>
        <row r="688">
          <cell r="A688" t="str">
            <v>1275858722</v>
          </cell>
          <cell r="C688" t="str">
            <v>Huang Daisy</v>
          </cell>
          <cell r="G688" t="str">
            <v>Kathryn Spaziani</v>
          </cell>
          <cell r="H688" t="str">
            <v>(212) 305-1255</v>
          </cell>
          <cell r="J688" t="str">
            <v>kas9171@nyp.org</v>
          </cell>
          <cell r="K688" t="str">
            <v>Physician</v>
          </cell>
          <cell r="L688" t="str">
            <v>Uncategorized</v>
          </cell>
          <cell r="M688" t="str">
            <v>No</v>
          </cell>
          <cell r="R688" t="str">
            <v>HUANG DAISY</v>
          </cell>
          <cell r="S688" t="str">
            <v>525 E 68TH ST</v>
          </cell>
          <cell r="T688" t="str">
            <v>NEW YORK</v>
          </cell>
          <cell r="U688" t="str">
            <v>NY</v>
          </cell>
          <cell r="V688" t="str">
            <v>100654870</v>
          </cell>
          <cell r="AC688" t="str">
            <v>M</v>
          </cell>
          <cell r="AD688" t="str">
            <v>No</v>
          </cell>
          <cell r="AE688" t="str">
            <v>NPI only</v>
          </cell>
          <cell r="AF688" t="str">
            <v>nypwestacn</v>
          </cell>
          <cell r="AG688" t="str">
            <v>P</v>
          </cell>
        </row>
        <row r="689">
          <cell r="A689" t="str">
            <v>1144500992</v>
          </cell>
          <cell r="C689" t="str">
            <v>Ivanidze Jana</v>
          </cell>
          <cell r="G689" t="str">
            <v>Kathryn Spaziani</v>
          </cell>
          <cell r="H689" t="str">
            <v>(212) 305-1255</v>
          </cell>
          <cell r="J689" t="str">
            <v>kas9171@nyp.org</v>
          </cell>
          <cell r="K689" t="str">
            <v>Physician</v>
          </cell>
          <cell r="L689" t="str">
            <v>Uncategorized</v>
          </cell>
          <cell r="M689" t="str">
            <v>No</v>
          </cell>
          <cell r="R689" t="str">
            <v>IVANIDZE JANA DR.</v>
          </cell>
          <cell r="S689" t="str">
            <v>111 E 210TH ST</v>
          </cell>
          <cell r="T689" t="str">
            <v>BRONX</v>
          </cell>
          <cell r="U689" t="str">
            <v>NY</v>
          </cell>
          <cell r="V689" t="str">
            <v>104672401</v>
          </cell>
          <cell r="AC689" t="str">
            <v>M</v>
          </cell>
          <cell r="AD689" t="str">
            <v>No</v>
          </cell>
          <cell r="AE689" t="str">
            <v>NPI only</v>
          </cell>
          <cell r="AF689" t="str">
            <v>nypeastcampus</v>
          </cell>
          <cell r="AG689" t="str">
            <v>P</v>
          </cell>
        </row>
        <row r="690">
          <cell r="A690" t="str">
            <v>1750609855</v>
          </cell>
          <cell r="B690" t="str">
            <v>04426477</v>
          </cell>
          <cell r="C690" t="str">
            <v>Kazam Jacob</v>
          </cell>
          <cell r="D690" t="str">
            <v>E0435215</v>
          </cell>
          <cell r="E690" t="str">
            <v>KAZAM JAMES JACOB</v>
          </cell>
          <cell r="G690" t="str">
            <v>Kathryn Spaziani</v>
          </cell>
          <cell r="H690" t="str">
            <v>(212) 305-1255</v>
          </cell>
          <cell r="J690" t="str">
            <v>kas9171@nyp.org</v>
          </cell>
          <cell r="L690" t="str">
            <v>Practitioner - Non-Primary Care Provider (PCP)</v>
          </cell>
          <cell r="M690" t="str">
            <v>No</v>
          </cell>
          <cell r="R690" t="str">
            <v>KAZAM JAMES DR.</v>
          </cell>
          <cell r="W690" t="str">
            <v>KAZAM JAMES JACOB</v>
          </cell>
          <cell r="X690" t="str">
            <v>525 E 68TH ST</v>
          </cell>
          <cell r="Y690" t="str">
            <v>NEW YORK</v>
          </cell>
          <cell r="Z690" t="str">
            <v>NY</v>
          </cell>
          <cell r="AA690" t="str">
            <v>10065-4870</v>
          </cell>
          <cell r="AB690" t="str">
            <v>PHYSICIAN</v>
          </cell>
          <cell r="AC690" t="str">
            <v>M</v>
          </cell>
          <cell r="AD690" t="str">
            <v>No</v>
          </cell>
          <cell r="AE690" t="str">
            <v>MMIS</v>
          </cell>
          <cell r="AF690" t="str">
            <v>nypwestacn</v>
          </cell>
          <cell r="AG690" t="str">
            <v>P</v>
          </cell>
        </row>
        <row r="691">
          <cell r="A691" t="str">
            <v>1144563859</v>
          </cell>
          <cell r="C691" t="str">
            <v>Walco Jeremy</v>
          </cell>
          <cell r="G691" t="str">
            <v>Kathryn Spaziani</v>
          </cell>
          <cell r="H691" t="str">
            <v>(212) 305-1255</v>
          </cell>
          <cell r="J691" t="str">
            <v>kas9171@nyp.org</v>
          </cell>
          <cell r="K691" t="str">
            <v>Physician</v>
          </cell>
          <cell r="L691" t="str">
            <v>Uncategorized</v>
          </cell>
          <cell r="M691" t="str">
            <v>No</v>
          </cell>
          <cell r="R691" t="str">
            <v>WALCO JEREMY</v>
          </cell>
          <cell r="S691" t="str">
            <v>622 W 168TH ST, PH5-133 STERN</v>
          </cell>
          <cell r="T691" t="str">
            <v>NEW YORK</v>
          </cell>
          <cell r="U691" t="str">
            <v>NY</v>
          </cell>
          <cell r="V691" t="str">
            <v>100323720</v>
          </cell>
          <cell r="AC691" t="str">
            <v>M</v>
          </cell>
          <cell r="AD691" t="str">
            <v>No</v>
          </cell>
          <cell r="AE691" t="str">
            <v>NPI only</v>
          </cell>
          <cell r="AF691" t="str">
            <v>nypwestcampus</v>
          </cell>
          <cell r="AG691" t="str">
            <v>P</v>
          </cell>
        </row>
        <row r="692">
          <cell r="A692" t="str">
            <v>1134548548</v>
          </cell>
          <cell r="C692" t="str">
            <v>Wang David</v>
          </cell>
          <cell r="G692" t="str">
            <v>Kathryn Spaziani</v>
          </cell>
          <cell r="H692" t="str">
            <v>(212) 305-1255</v>
          </cell>
          <cell r="J692" t="str">
            <v>kas9171@nyp.org</v>
          </cell>
          <cell r="K692" t="str">
            <v>Physician</v>
          </cell>
          <cell r="L692" t="str">
            <v>Uncategorized</v>
          </cell>
          <cell r="M692" t="str">
            <v>No</v>
          </cell>
          <cell r="R692" t="str">
            <v>WANG DAVID DR.</v>
          </cell>
          <cell r="S692" t="str">
            <v>333 E ONTARIO ST APT 3605B</v>
          </cell>
          <cell r="T692" t="str">
            <v>CHICAGO</v>
          </cell>
          <cell r="U692" t="str">
            <v>IL</v>
          </cell>
          <cell r="V692" t="str">
            <v>606114888</v>
          </cell>
          <cell r="AC692" t="str">
            <v>M</v>
          </cell>
          <cell r="AD692" t="str">
            <v>No</v>
          </cell>
          <cell r="AE692" t="str">
            <v>NPI only</v>
          </cell>
          <cell r="AF692" t="str">
            <v>nypwestcampus</v>
          </cell>
          <cell r="AG692" t="str">
            <v>P</v>
          </cell>
        </row>
        <row r="693">
          <cell r="A693" t="str">
            <v>1558789222</v>
          </cell>
          <cell r="C693" t="str">
            <v>Wang Emily</v>
          </cell>
          <cell r="G693" t="str">
            <v>Kathryn Spaziani</v>
          </cell>
          <cell r="H693" t="str">
            <v>(212) 305-1255</v>
          </cell>
          <cell r="J693" t="str">
            <v>kas9171@nyp.org</v>
          </cell>
          <cell r="K693" t="str">
            <v>Physician</v>
          </cell>
          <cell r="L693" t="str">
            <v>Uncategorized</v>
          </cell>
          <cell r="M693" t="str">
            <v>No</v>
          </cell>
          <cell r="R693" t="str">
            <v>WANG EMILY</v>
          </cell>
          <cell r="S693" t="str">
            <v>622 W 168TH ST, PH5-133</v>
          </cell>
          <cell r="T693" t="str">
            <v>NEW YORK</v>
          </cell>
          <cell r="U693" t="str">
            <v>NY</v>
          </cell>
          <cell r="V693" t="str">
            <v>100323720</v>
          </cell>
          <cell r="AC693" t="str">
            <v>M</v>
          </cell>
          <cell r="AD693" t="str">
            <v>No</v>
          </cell>
          <cell r="AE693" t="str">
            <v>NPI only</v>
          </cell>
          <cell r="AF693" t="str">
            <v>nypwestcampus</v>
          </cell>
          <cell r="AG693" t="str">
            <v>P</v>
          </cell>
        </row>
        <row r="694">
          <cell r="A694" t="str">
            <v>1124446729</v>
          </cell>
          <cell r="C694" t="str">
            <v>Wohlfarth Erik</v>
          </cell>
          <cell r="G694" t="str">
            <v>Kathryn Spaziani</v>
          </cell>
          <cell r="H694" t="str">
            <v>(212) 305-1255</v>
          </cell>
          <cell r="J694" t="str">
            <v>kas9171@nyp.org</v>
          </cell>
          <cell r="K694" t="str">
            <v>Physician</v>
          </cell>
          <cell r="L694" t="str">
            <v>Uncategorized</v>
          </cell>
          <cell r="M694" t="str">
            <v>No</v>
          </cell>
          <cell r="R694" t="str">
            <v>WOHLFARTH ERIK</v>
          </cell>
          <cell r="S694" t="str">
            <v>622 W 168TH ST, PH5-133</v>
          </cell>
          <cell r="T694" t="str">
            <v>NEW YORK</v>
          </cell>
          <cell r="U694" t="str">
            <v>NY</v>
          </cell>
          <cell r="V694" t="str">
            <v>100323720</v>
          </cell>
          <cell r="AC694" t="str">
            <v>M</v>
          </cell>
          <cell r="AD694" t="str">
            <v>No</v>
          </cell>
          <cell r="AE694" t="str">
            <v>NPI only</v>
          </cell>
          <cell r="AF694" t="str">
            <v>nypwestcampus</v>
          </cell>
          <cell r="AG694" t="str">
            <v>P</v>
          </cell>
        </row>
        <row r="695">
          <cell r="A695" t="str">
            <v>1568474039</v>
          </cell>
          <cell r="B695" t="str">
            <v>00150298</v>
          </cell>
          <cell r="C695" t="str">
            <v>Weingram Judith</v>
          </cell>
          <cell r="D695" t="str">
            <v>E0278558</v>
          </cell>
          <cell r="E695" t="str">
            <v>WEINGRAM JUDITH MD</v>
          </cell>
          <cell r="L695" t="str">
            <v>Practitioner - Non-Primary Care Provider (PCP)</v>
          </cell>
          <cell r="M695" t="str">
            <v>No</v>
          </cell>
          <cell r="R695" t="str">
            <v>WEINGRAM JUDITH DR.</v>
          </cell>
          <cell r="W695" t="str">
            <v>WEINGRAM JUDITH MD</v>
          </cell>
          <cell r="X695" t="str">
            <v>525 E 68TH ST</v>
          </cell>
          <cell r="Y695" t="str">
            <v>NEW YORK</v>
          </cell>
          <cell r="Z695" t="str">
            <v>NY</v>
          </cell>
          <cell r="AA695" t="str">
            <v>10065-4870</v>
          </cell>
          <cell r="AB695" t="str">
            <v>PHYSICIAN</v>
          </cell>
          <cell r="AC695" t="str">
            <v>M</v>
          </cell>
          <cell r="AD695" t="str">
            <v>No</v>
          </cell>
          <cell r="AE695" t="str">
            <v>MMIS</v>
          </cell>
          <cell r="AF695" t="str">
            <v>nypeastcampus</v>
          </cell>
          <cell r="AG695" t="str">
            <v>P</v>
          </cell>
        </row>
        <row r="696">
          <cell r="A696" t="str">
            <v>1861447674</v>
          </cell>
          <cell r="B696" t="str">
            <v>00226715</v>
          </cell>
          <cell r="C696" t="str">
            <v>Yao Fun Sun</v>
          </cell>
          <cell r="D696" t="str">
            <v>E0274981</v>
          </cell>
          <cell r="E696" t="str">
            <v>YAO FUN-SUN                MD</v>
          </cell>
          <cell r="L696" t="str">
            <v>All Other:: Practitioner - Non-Primary Care Provider (PCP)</v>
          </cell>
          <cell r="M696" t="str">
            <v>No</v>
          </cell>
          <cell r="R696" t="str">
            <v>YAO FUN-SUN DR.</v>
          </cell>
          <cell r="W696" t="str">
            <v>YAO FUN-SUN                MD</v>
          </cell>
          <cell r="Y696" t="str">
            <v>NEW YORK</v>
          </cell>
          <cell r="Z696" t="str">
            <v>NY</v>
          </cell>
          <cell r="AA696" t="str">
            <v>10065-4885</v>
          </cell>
          <cell r="AB696" t="str">
            <v>PHYSICIAN</v>
          </cell>
          <cell r="AC696" t="str">
            <v>M</v>
          </cell>
          <cell r="AD696" t="str">
            <v>No</v>
          </cell>
          <cell r="AE696" t="str">
            <v>MMIS</v>
          </cell>
          <cell r="AF696" t="str">
            <v>nypeastcampus</v>
          </cell>
          <cell r="AG696" t="str">
            <v>P</v>
          </cell>
        </row>
        <row r="697">
          <cell r="A697" t="str">
            <v>1003152661</v>
          </cell>
          <cell r="B697" t="str">
            <v>03588516</v>
          </cell>
          <cell r="C697" t="str">
            <v>Yenkinson Abby</v>
          </cell>
          <cell r="D697" t="str">
            <v>E0348959</v>
          </cell>
          <cell r="E697" t="str">
            <v>YENKINSON ABBY</v>
          </cell>
          <cell r="L697" t="str">
            <v>Practitioner - Non-Primary Care Provider (PCP)</v>
          </cell>
          <cell r="M697" t="str">
            <v>No</v>
          </cell>
          <cell r="R697" t="str">
            <v>AVGERINOS ABBY</v>
          </cell>
          <cell r="W697" t="str">
            <v>AVGERINOS ABBY</v>
          </cell>
          <cell r="X697" t="str">
            <v>525 E 68TH ST</v>
          </cell>
          <cell r="Y697" t="str">
            <v>NEW YORK</v>
          </cell>
          <cell r="Z697" t="str">
            <v>NY</v>
          </cell>
          <cell r="AA697" t="str">
            <v>10065-4870</v>
          </cell>
          <cell r="AB697" t="str">
            <v>PHYSICIAN</v>
          </cell>
          <cell r="AC697" t="str">
            <v>M</v>
          </cell>
          <cell r="AD697" t="str">
            <v>No</v>
          </cell>
          <cell r="AE697" t="str">
            <v>MMIS</v>
          </cell>
          <cell r="AF697" t="str">
            <v>nypeastcampus</v>
          </cell>
          <cell r="AG697" t="str">
            <v>P</v>
          </cell>
        </row>
        <row r="698">
          <cell r="A698" t="str">
            <v>1578728952</v>
          </cell>
          <cell r="B698" t="str">
            <v>02990967</v>
          </cell>
          <cell r="C698" t="str">
            <v>LATIF, FARHANA</v>
          </cell>
          <cell r="D698" t="str">
            <v>E0007368</v>
          </cell>
          <cell r="E698" t="str">
            <v>LATIF FARHANA MD</v>
          </cell>
          <cell r="G698" t="str">
            <v>Kathryn Spaziani</v>
          </cell>
          <cell r="H698" t="str">
            <v>(212) 305-1281</v>
          </cell>
          <cell r="J698" t="str">
            <v>kas9171@nyp.org</v>
          </cell>
          <cell r="L698" t="str">
            <v>All Other:: Practitioner - Non-Primary Care Provider (PCP)</v>
          </cell>
          <cell r="M698" t="str">
            <v>No</v>
          </cell>
          <cell r="R698" t="str">
            <v>LATIF FARHANA DR.</v>
          </cell>
          <cell r="W698" t="str">
            <v>LATIF FARHANA MD</v>
          </cell>
          <cell r="X698" t="str">
            <v>622 W 168TH ST</v>
          </cell>
          <cell r="Y698" t="str">
            <v>NEW YORK</v>
          </cell>
          <cell r="Z698" t="str">
            <v>NY</v>
          </cell>
          <cell r="AA698" t="str">
            <v>10032-3720</v>
          </cell>
          <cell r="AB698" t="str">
            <v>PHYSICIAN</v>
          </cell>
          <cell r="AC698" t="str">
            <v>M</v>
          </cell>
          <cell r="AD698" t="str">
            <v>No</v>
          </cell>
          <cell r="AE698" t="str">
            <v>MMIS</v>
          </cell>
          <cell r="AF698" t="str">
            <v>nypwestcampus</v>
          </cell>
          <cell r="AG698" t="str">
            <v>P</v>
          </cell>
        </row>
        <row r="699">
          <cell r="A699" t="str">
            <v>1023007622</v>
          </cell>
          <cell r="B699" t="str">
            <v>02583200</v>
          </cell>
          <cell r="C699" t="str">
            <v xml:space="preserve">Ko, David                   </v>
          </cell>
          <cell r="D699" t="str">
            <v>E0041834</v>
          </cell>
          <cell r="E699" t="str">
            <v>KO DAVID</v>
          </cell>
          <cell r="G699" t="str">
            <v>Betty Cheng</v>
          </cell>
          <cell r="H699" t="str">
            <v>(212) 379-6988</v>
          </cell>
          <cell r="I699">
            <v>2604</v>
          </cell>
          <cell r="J699" t="str">
            <v>bcheng@cbwchc.org</v>
          </cell>
          <cell r="L699" t="str">
            <v>All Other:: Practitioner - Primary Care Provider (PCP)</v>
          </cell>
          <cell r="M699" t="str">
            <v>Yes</v>
          </cell>
          <cell r="R699" t="str">
            <v>KO DAVID</v>
          </cell>
          <cell r="W699" t="str">
            <v>KO DAVID</v>
          </cell>
          <cell r="X699" t="str">
            <v>125 WALKER ST FL 2</v>
          </cell>
          <cell r="Y699" t="str">
            <v>NEW YORK</v>
          </cell>
          <cell r="Z699" t="str">
            <v>NY</v>
          </cell>
          <cell r="AA699" t="str">
            <v>10013-4135</v>
          </cell>
          <cell r="AB699" t="str">
            <v>PHYSICIAN</v>
          </cell>
          <cell r="AC699" t="str">
            <v>M</v>
          </cell>
          <cell r="AD699" t="str">
            <v>No</v>
          </cell>
          <cell r="AE699" t="str">
            <v>MMIS</v>
          </cell>
          <cell r="AF699" t="str">
            <v>cbwchc</v>
          </cell>
          <cell r="AG699" t="str">
            <v>P</v>
          </cell>
        </row>
        <row r="700">
          <cell r="A700" t="str">
            <v>1750419933</v>
          </cell>
          <cell r="B700" t="str">
            <v>02912898</v>
          </cell>
          <cell r="C700" t="str">
            <v xml:space="preserve">HORTON, AMY </v>
          </cell>
          <cell r="D700" t="str">
            <v>E0008918</v>
          </cell>
          <cell r="E700" t="str">
            <v>HORTON AMY</v>
          </cell>
          <cell r="G700" t="str">
            <v>Kathryn Spaziani</v>
          </cell>
          <cell r="H700" t="str">
            <v>(212) 305-1190</v>
          </cell>
          <cell r="J700" t="str">
            <v>kas9171@nyp.org</v>
          </cell>
          <cell r="L700" t="str">
            <v>Practitioner - Non-Primary Care Provider (PCP)</v>
          </cell>
          <cell r="M700" t="str">
            <v>No</v>
          </cell>
          <cell r="R700" t="str">
            <v>HORTON AMY MS.</v>
          </cell>
          <cell r="W700" t="str">
            <v>HORTON AMY</v>
          </cell>
          <cell r="X700" t="str">
            <v>622 W 168TH ST</v>
          </cell>
          <cell r="Y700" t="str">
            <v>NEW YORK</v>
          </cell>
          <cell r="Z700" t="str">
            <v>NY</v>
          </cell>
          <cell r="AA700" t="str">
            <v>10032-3720</v>
          </cell>
          <cell r="AB700" t="str">
            <v>THERAPIST</v>
          </cell>
          <cell r="AC700" t="str">
            <v>M</v>
          </cell>
          <cell r="AD700" t="str">
            <v>No</v>
          </cell>
          <cell r="AE700" t="str">
            <v>MMIS</v>
          </cell>
          <cell r="AF700" t="str">
            <v>nypwestacn</v>
          </cell>
          <cell r="AG700" t="str">
            <v>P</v>
          </cell>
        </row>
        <row r="701">
          <cell r="A701" t="str">
            <v>1851477665</v>
          </cell>
          <cell r="B701" t="str">
            <v>01069841</v>
          </cell>
          <cell r="C701" t="str">
            <v xml:space="preserve">HOMMA, SHUNICHI </v>
          </cell>
          <cell r="D701" t="str">
            <v>E0192886</v>
          </cell>
          <cell r="E701" t="str">
            <v>HOMMA SHUNICHI MD</v>
          </cell>
          <cell r="G701" t="str">
            <v>Kathryn Spaziani</v>
          </cell>
          <cell r="H701" t="str">
            <v>(212) 305-1190</v>
          </cell>
          <cell r="J701" t="str">
            <v>kas9171@nyp.org</v>
          </cell>
          <cell r="L701" t="str">
            <v>All Other:: Practitioner - Primary Care Provider (PCP)</v>
          </cell>
          <cell r="M701" t="str">
            <v>No</v>
          </cell>
          <cell r="R701" t="str">
            <v>HOMMA SHUNICHI DR.</v>
          </cell>
          <cell r="W701" t="str">
            <v>HOMMA SHUNICHI MD</v>
          </cell>
          <cell r="Y701" t="str">
            <v>NEW YORK</v>
          </cell>
          <cell r="Z701" t="str">
            <v>NY</v>
          </cell>
          <cell r="AA701" t="str">
            <v>10032-3720</v>
          </cell>
          <cell r="AB701" t="str">
            <v>PHYSICIAN</v>
          </cell>
          <cell r="AC701" t="str">
            <v>M</v>
          </cell>
          <cell r="AD701" t="str">
            <v>No</v>
          </cell>
          <cell r="AE701" t="str">
            <v>MMIS</v>
          </cell>
          <cell r="AF701" t="str">
            <v>nypwestacn</v>
          </cell>
          <cell r="AG701" t="str">
            <v>P</v>
          </cell>
        </row>
        <row r="702">
          <cell r="A702" t="str">
            <v>1851480792</v>
          </cell>
          <cell r="B702" t="str">
            <v>02986092</v>
          </cell>
          <cell r="C702" t="str">
            <v>TAYLOR, ANNE L</v>
          </cell>
          <cell r="D702" t="str">
            <v>E0007204</v>
          </cell>
          <cell r="E702" t="str">
            <v>ANNE L TAYLOR MD</v>
          </cell>
          <cell r="G702" t="str">
            <v>Kathryn Spaziani</v>
          </cell>
          <cell r="H702" t="str">
            <v>(212) 305-1190</v>
          </cell>
          <cell r="J702" t="str">
            <v>kas9171@nyp.org</v>
          </cell>
          <cell r="L702" t="str">
            <v>Practitioner - Non-Primary Care Provider (PCP)</v>
          </cell>
          <cell r="M702" t="str">
            <v>No</v>
          </cell>
          <cell r="R702" t="str">
            <v>TAYLOR ANNE DR.</v>
          </cell>
          <cell r="W702" t="str">
            <v>TAYLOR ANNE L MD</v>
          </cell>
          <cell r="X702" t="str">
            <v>622 W 168TH ST</v>
          </cell>
          <cell r="Y702" t="str">
            <v>NEW YORK</v>
          </cell>
          <cell r="Z702" t="str">
            <v>NY</v>
          </cell>
          <cell r="AA702" t="str">
            <v>10032-3720</v>
          </cell>
          <cell r="AB702" t="str">
            <v>PHYSICIAN</v>
          </cell>
          <cell r="AC702" t="str">
            <v>M</v>
          </cell>
          <cell r="AD702" t="str">
            <v>No</v>
          </cell>
          <cell r="AE702" t="str">
            <v>MMIS</v>
          </cell>
          <cell r="AF702" t="str">
            <v>nypwestcampus</v>
          </cell>
          <cell r="AG702" t="str">
            <v>P</v>
          </cell>
        </row>
        <row r="703">
          <cell r="A703" t="str">
            <v>1942459680</v>
          </cell>
          <cell r="B703" t="str">
            <v>03603761</v>
          </cell>
          <cell r="C703" t="str">
            <v>WESTWOOD, ANDREW J</v>
          </cell>
          <cell r="D703" t="str">
            <v>E0350541</v>
          </cell>
          <cell r="E703" t="str">
            <v>WESTWOOD ANDREW JAMES</v>
          </cell>
          <cell r="G703" t="str">
            <v>Kathryn Spaziani</v>
          </cell>
          <cell r="H703" t="str">
            <v>(212) 305-1190</v>
          </cell>
          <cell r="J703" t="str">
            <v>kas9171@nyp.org</v>
          </cell>
          <cell r="L703" t="str">
            <v>Practitioner - Non-Primary Care Provider (PCP)</v>
          </cell>
          <cell r="M703" t="str">
            <v>No</v>
          </cell>
          <cell r="R703" t="str">
            <v>WESTWOOD ANDREW DR.</v>
          </cell>
          <cell r="W703" t="str">
            <v>WESTWOOD ANDREW JAMES</v>
          </cell>
          <cell r="X703" t="str">
            <v>710 W 168TH ST</v>
          </cell>
          <cell r="Y703" t="str">
            <v>NEW YORK</v>
          </cell>
          <cell r="Z703" t="str">
            <v>NY</v>
          </cell>
          <cell r="AA703" t="str">
            <v>10032-3726</v>
          </cell>
          <cell r="AB703" t="str">
            <v>PHYSICIAN</v>
          </cell>
          <cell r="AC703" t="str">
            <v>M</v>
          </cell>
          <cell r="AD703" t="str">
            <v>No</v>
          </cell>
          <cell r="AE703" t="str">
            <v>MMIS</v>
          </cell>
          <cell r="AF703" t="str">
            <v>nypwestcampus</v>
          </cell>
          <cell r="AG703" t="str">
            <v>P</v>
          </cell>
        </row>
        <row r="704">
          <cell r="A704" t="str">
            <v>1912297367</v>
          </cell>
          <cell r="B704" t="str">
            <v>03434815</v>
          </cell>
          <cell r="C704" t="str">
            <v>Taylor, Kevia L.</v>
          </cell>
          <cell r="D704" t="str">
            <v>E0332075</v>
          </cell>
          <cell r="E704" t="str">
            <v>TAYLOR KEVIA</v>
          </cell>
          <cell r="G704" t="str">
            <v>Betty Cheng</v>
          </cell>
          <cell r="H704" t="str">
            <v>(212) 379-6988</v>
          </cell>
          <cell r="I704">
            <v>2604</v>
          </cell>
          <cell r="J704" t="str">
            <v>bcheng@cbwchc.org</v>
          </cell>
          <cell r="L704" t="str">
            <v>All Other:: Practitioner - Non-Primary Care Provider (PCP)</v>
          </cell>
          <cell r="M704" t="str">
            <v>No</v>
          </cell>
          <cell r="R704" t="str">
            <v>TAYLOR KEVIA DR.</v>
          </cell>
          <cell r="W704" t="str">
            <v>TAYLOR KEVIA L</v>
          </cell>
          <cell r="X704" t="str">
            <v>506 LENOX AVE</v>
          </cell>
          <cell r="Y704" t="str">
            <v>NEW YORK</v>
          </cell>
          <cell r="Z704" t="str">
            <v>NY</v>
          </cell>
          <cell r="AA704" t="str">
            <v>10037-1802</v>
          </cell>
          <cell r="AB704" t="str">
            <v>PHYSICIAN</v>
          </cell>
          <cell r="AC704" t="str">
            <v>M</v>
          </cell>
          <cell r="AD704" t="str">
            <v>No</v>
          </cell>
          <cell r="AE704" t="str">
            <v>MMIS</v>
          </cell>
          <cell r="AF704" t="str">
            <v>cbwchc</v>
          </cell>
          <cell r="AG704" t="str">
            <v>P</v>
          </cell>
        </row>
        <row r="705">
          <cell r="A705" t="str">
            <v>1326029539</v>
          </cell>
          <cell r="B705" t="str">
            <v>01017252</v>
          </cell>
          <cell r="C705" t="str">
            <v>Tsuei, Deane D.C.</v>
          </cell>
          <cell r="D705" t="str">
            <v>E0198137</v>
          </cell>
          <cell r="E705" t="str">
            <v>TSUEI DEANE D C            MD</v>
          </cell>
          <cell r="G705" t="str">
            <v>Betty Cheng</v>
          </cell>
          <cell r="H705" t="str">
            <v>(212) 379-6988</v>
          </cell>
          <cell r="I705">
            <v>2604</v>
          </cell>
          <cell r="J705" t="str">
            <v>bcheng@cbwchc.org</v>
          </cell>
          <cell r="L705" t="str">
            <v>All Other:: Practitioner - Primary Care Provider (PCP)</v>
          </cell>
          <cell r="M705" t="str">
            <v>Yes</v>
          </cell>
          <cell r="R705" t="str">
            <v>TSUEI DEANE</v>
          </cell>
          <cell r="W705" t="str">
            <v>TSUEI DEANE D C            MD</v>
          </cell>
          <cell r="X705" t="str">
            <v>268 CANAL ST FL 2</v>
          </cell>
          <cell r="Y705" t="str">
            <v>NEW YORK</v>
          </cell>
          <cell r="Z705" t="str">
            <v>NY</v>
          </cell>
          <cell r="AA705" t="str">
            <v>10013-3599</v>
          </cell>
          <cell r="AB705" t="str">
            <v>PHYSICIAN</v>
          </cell>
          <cell r="AC705" t="str">
            <v>M</v>
          </cell>
          <cell r="AD705" t="str">
            <v>No</v>
          </cell>
          <cell r="AE705" t="str">
            <v>MMIS</v>
          </cell>
          <cell r="AF705" t="str">
            <v>cbwchc</v>
          </cell>
          <cell r="AG705" t="str">
            <v>P</v>
          </cell>
        </row>
        <row r="706">
          <cell r="A706" t="str">
            <v>1750439485</v>
          </cell>
          <cell r="B706" t="str">
            <v>01274262</v>
          </cell>
          <cell r="C706" t="str">
            <v>MORRISON, ELLEN B</v>
          </cell>
          <cell r="D706" t="str">
            <v>E0172482</v>
          </cell>
          <cell r="E706" t="str">
            <v>MORRISON ELLEN B MD</v>
          </cell>
          <cell r="G706" t="str">
            <v>Kathryn Spaziani</v>
          </cell>
          <cell r="H706" t="str">
            <v>(212) 305-1190</v>
          </cell>
          <cell r="J706" t="str">
            <v>kas9171@nyp.org</v>
          </cell>
          <cell r="L706" t="str">
            <v>All Other:: Practitioner - Primary Care Provider (PCP)</v>
          </cell>
          <cell r="M706" t="str">
            <v>Yes</v>
          </cell>
          <cell r="R706" t="str">
            <v>MORRISON ELLEN DR.</v>
          </cell>
          <cell r="W706" t="str">
            <v>MORRISON ELLEN B MD</v>
          </cell>
          <cell r="Y706" t="str">
            <v>NEW YORK</v>
          </cell>
          <cell r="Z706" t="str">
            <v>NY</v>
          </cell>
          <cell r="AA706" t="str">
            <v>10032-3720</v>
          </cell>
          <cell r="AB706" t="str">
            <v>PHYSICIAN</v>
          </cell>
          <cell r="AC706" t="str">
            <v>M</v>
          </cell>
          <cell r="AD706" t="str">
            <v>No</v>
          </cell>
          <cell r="AE706" t="str">
            <v>MMIS</v>
          </cell>
          <cell r="AF706" t="str">
            <v>nypwestcampus</v>
          </cell>
          <cell r="AG706" t="str">
            <v>P</v>
          </cell>
        </row>
        <row r="707">
          <cell r="A707" t="str">
            <v>1013952084</v>
          </cell>
          <cell r="B707" t="str">
            <v>03159648</v>
          </cell>
          <cell r="C707" t="str">
            <v>BLUME, JONATHON E</v>
          </cell>
          <cell r="D707" t="str">
            <v>E0299842</v>
          </cell>
          <cell r="E707" t="str">
            <v>BLUME JONATHON</v>
          </cell>
          <cell r="G707" t="str">
            <v>Kathryn Spaziani</v>
          </cell>
          <cell r="H707" t="str">
            <v>(212) 305-1190</v>
          </cell>
          <cell r="J707" t="str">
            <v>kas9171@nyp.org</v>
          </cell>
          <cell r="L707" t="str">
            <v>Practitioner - Non-Primary Care Provider (PCP)</v>
          </cell>
          <cell r="M707" t="str">
            <v>No</v>
          </cell>
          <cell r="R707" t="str">
            <v>BLUME JONATHAN</v>
          </cell>
          <cell r="W707" t="str">
            <v>BLUME JONATHON</v>
          </cell>
          <cell r="X707" t="str">
            <v>161 FORT WASHINGTON AVE</v>
          </cell>
          <cell r="Y707" t="str">
            <v>NEW YORK</v>
          </cell>
          <cell r="Z707" t="str">
            <v>NY</v>
          </cell>
          <cell r="AA707" t="str">
            <v>10032-3729</v>
          </cell>
          <cell r="AB707" t="str">
            <v>PHYSICIAN</v>
          </cell>
          <cell r="AC707" t="str">
            <v>M</v>
          </cell>
          <cell r="AD707" t="str">
            <v>No</v>
          </cell>
          <cell r="AE707" t="str">
            <v>MMIS</v>
          </cell>
          <cell r="AF707" t="str">
            <v>nypwestacn</v>
          </cell>
          <cell r="AG707" t="str">
            <v>P</v>
          </cell>
        </row>
        <row r="708">
          <cell r="A708" t="str">
            <v>1326063371</v>
          </cell>
          <cell r="B708" t="str">
            <v>02313000</v>
          </cell>
          <cell r="C708" t="str">
            <v>GREISBERG, JUSTIN K</v>
          </cell>
          <cell r="D708" t="str">
            <v>E0068801</v>
          </cell>
          <cell r="E708" t="str">
            <v>GREISBERG JUSTIN MD</v>
          </cell>
          <cell r="G708" t="str">
            <v>Kathryn Spaziani</v>
          </cell>
          <cell r="H708" t="str">
            <v>(212) 305-1190</v>
          </cell>
          <cell r="J708" t="str">
            <v>kas9171@nyp.org</v>
          </cell>
          <cell r="L708" t="str">
            <v>All Other:: Practitioner - Non-Primary Care Provider (PCP)</v>
          </cell>
          <cell r="M708" t="str">
            <v>No</v>
          </cell>
          <cell r="R708" t="str">
            <v>GREISBERG JUSTIN DR.</v>
          </cell>
          <cell r="W708" t="str">
            <v>GREISBERG JUSTIN MD</v>
          </cell>
          <cell r="X708" t="str">
            <v>NY ORTHOPAEDIC HOSP</v>
          </cell>
          <cell r="Y708" t="str">
            <v>NEW YORK</v>
          </cell>
          <cell r="Z708" t="str">
            <v>NY</v>
          </cell>
          <cell r="AA708" t="str">
            <v>10032-3720</v>
          </cell>
          <cell r="AB708" t="str">
            <v>PHYSICIAN</v>
          </cell>
          <cell r="AC708" t="str">
            <v>M</v>
          </cell>
          <cell r="AD708" t="str">
            <v>No</v>
          </cell>
          <cell r="AE708" t="str">
            <v>MMIS</v>
          </cell>
          <cell r="AF708" t="str">
            <v>nypwestacn</v>
          </cell>
          <cell r="AG708" t="str">
            <v>P</v>
          </cell>
        </row>
        <row r="709">
          <cell r="A709" t="str">
            <v>1972631398</v>
          </cell>
          <cell r="B709" t="str">
            <v>02885129</v>
          </cell>
          <cell r="C709" t="str">
            <v xml:space="preserve">BERGER-JENKINS, EVELYN </v>
          </cell>
          <cell r="D709" t="str">
            <v>E0011692</v>
          </cell>
          <cell r="E709" t="str">
            <v>BERGER EVELYN MD</v>
          </cell>
          <cell r="G709" t="str">
            <v>Kathryn Spaziani</v>
          </cell>
          <cell r="H709" t="str">
            <v>(212) 305-1190</v>
          </cell>
          <cell r="J709" t="str">
            <v>kas9171@nyp.org</v>
          </cell>
          <cell r="L709" t="str">
            <v>All Other:: Practitioner - Primary Care Provider (PCP)</v>
          </cell>
          <cell r="M709" t="str">
            <v>Yes</v>
          </cell>
          <cell r="R709" t="str">
            <v>BERGER-JENKINS EVELYN DR.</v>
          </cell>
          <cell r="W709" t="str">
            <v>BERGER EVELYN MD</v>
          </cell>
          <cell r="X709" t="str">
            <v>3959 BROADWAY</v>
          </cell>
          <cell r="Y709" t="str">
            <v>NEW YORK</v>
          </cell>
          <cell r="Z709" t="str">
            <v>NY</v>
          </cell>
          <cell r="AA709" t="str">
            <v>10032-1559</v>
          </cell>
          <cell r="AB709" t="str">
            <v>PHYSICIAN</v>
          </cell>
          <cell r="AC709" t="str">
            <v>M</v>
          </cell>
          <cell r="AD709" t="str">
            <v>No</v>
          </cell>
          <cell r="AE709" t="str">
            <v>MMIS</v>
          </cell>
          <cell r="AF709" t="str">
            <v>nypwestacn</v>
          </cell>
          <cell r="AG709" t="str">
            <v>P</v>
          </cell>
        </row>
        <row r="710">
          <cell r="A710" t="str">
            <v>1972837292</v>
          </cell>
          <cell r="B710" t="str">
            <v>03990461</v>
          </cell>
          <cell r="C710" t="str">
            <v>Noor, Asif</v>
          </cell>
          <cell r="D710" t="str">
            <v>E0390386</v>
          </cell>
          <cell r="E710" t="str">
            <v>ASIF NOOR</v>
          </cell>
          <cell r="G710" t="str">
            <v>Kathryn Spaziani</v>
          </cell>
          <cell r="H710" t="str">
            <v>(212) 305-1190</v>
          </cell>
          <cell r="J710" t="str">
            <v>kas9171@nyp.org</v>
          </cell>
          <cell r="L710" t="str">
            <v>All Other:: Practitioner - Non-Primary Care Provider (PCP)</v>
          </cell>
          <cell r="M710" t="str">
            <v>No</v>
          </cell>
          <cell r="R710" t="str">
            <v>NOOR ASIF</v>
          </cell>
          <cell r="W710" t="str">
            <v>NOOR ASIF</v>
          </cell>
          <cell r="X710" t="str">
            <v>170 WILLIAM ST</v>
          </cell>
          <cell r="Y710" t="str">
            <v>NEW YORK</v>
          </cell>
          <cell r="Z710" t="str">
            <v>NY</v>
          </cell>
          <cell r="AA710" t="str">
            <v>10038-2612</v>
          </cell>
          <cell r="AB710" t="str">
            <v>PHYSICIAN</v>
          </cell>
          <cell r="AC710" t="str">
            <v>M</v>
          </cell>
          <cell r="AD710" t="str">
            <v>No</v>
          </cell>
          <cell r="AE710" t="str">
            <v>MMIS</v>
          </cell>
          <cell r="AF710" t="str">
            <v>nypwestacn</v>
          </cell>
          <cell r="AG710" t="str">
            <v>P</v>
          </cell>
        </row>
        <row r="711">
          <cell r="A711" t="str">
            <v>1992873079</v>
          </cell>
          <cell r="B711" t="str">
            <v>00708109</v>
          </cell>
          <cell r="C711" t="str">
            <v>SCULLY, BRIAN E</v>
          </cell>
          <cell r="D711" t="str">
            <v>E0228894</v>
          </cell>
          <cell r="E711" t="str">
            <v>SCULLY BRIAN E             MD</v>
          </cell>
          <cell r="G711" t="str">
            <v>Kathryn Spaziani</v>
          </cell>
          <cell r="H711" t="str">
            <v>(212) 305-1190</v>
          </cell>
          <cell r="J711" t="str">
            <v>kas9171@nyp.org</v>
          </cell>
          <cell r="L711" t="str">
            <v>All Other:: Practitioner - Non-Primary Care Provider (PCP)</v>
          </cell>
          <cell r="M711" t="str">
            <v>No</v>
          </cell>
          <cell r="R711" t="str">
            <v>SCULLY BRIAN DR.</v>
          </cell>
          <cell r="W711" t="str">
            <v>SCULLY BRIAN E             MD</v>
          </cell>
          <cell r="Y711" t="str">
            <v>NEW YORK</v>
          </cell>
          <cell r="Z711" t="str">
            <v>NY</v>
          </cell>
          <cell r="AA711" t="str">
            <v>10032-3720</v>
          </cell>
          <cell r="AB711" t="str">
            <v>PHYSICIAN</v>
          </cell>
          <cell r="AC711" t="str">
            <v>M</v>
          </cell>
          <cell r="AD711" t="str">
            <v>No</v>
          </cell>
          <cell r="AE711" t="str">
            <v>MMIS</v>
          </cell>
          <cell r="AF711" t="str">
            <v>nypwestcampus</v>
          </cell>
          <cell r="AG711" t="str">
            <v>P</v>
          </cell>
        </row>
        <row r="712">
          <cell r="A712" t="str">
            <v>1053413989</v>
          </cell>
          <cell r="B712" t="str">
            <v>02993846</v>
          </cell>
          <cell r="C712" t="str">
            <v>Lower Manhattan</v>
          </cell>
          <cell r="D712" t="str">
            <v>E0031713</v>
          </cell>
          <cell r="E712" t="str">
            <v>NYU DOWNTOWN HOSPITAL</v>
          </cell>
          <cell r="G712" t="str">
            <v>Kathryn Spaziani</v>
          </cell>
          <cell r="H712" t="str">
            <v>(212) 305-1190</v>
          </cell>
          <cell r="J712" t="str">
            <v>kas9171@nyp.org</v>
          </cell>
          <cell r="L712" t="str">
            <v>All Other:: Clinic:: Pharmacy</v>
          </cell>
          <cell r="M712" t="str">
            <v>No</v>
          </cell>
          <cell r="R712" t="str">
            <v>NEW YORK DOWNTOWN HOSPITAL</v>
          </cell>
          <cell r="W712" t="str">
            <v>NYU DOWNTOWN HOSPITAL</v>
          </cell>
          <cell r="X712" t="str">
            <v>170 WILLIAM ST</v>
          </cell>
          <cell r="Y712" t="str">
            <v>NEW YORK</v>
          </cell>
          <cell r="Z712" t="str">
            <v>NY</v>
          </cell>
          <cell r="AA712" t="str">
            <v>10038-2612</v>
          </cell>
          <cell r="AB712" t="str">
            <v>MULTI-TYPE</v>
          </cell>
          <cell r="AC712" t="str">
            <v>M</v>
          </cell>
          <cell r="AD712" t="str">
            <v>No</v>
          </cell>
          <cell r="AE712" t="str">
            <v>MMIS</v>
          </cell>
          <cell r="AF712" t="str">
            <v>nypeastcampus</v>
          </cell>
          <cell r="AG712" t="str">
            <v>P</v>
          </cell>
        </row>
        <row r="713">
          <cell r="A713" t="str">
            <v>1689703050</v>
          </cell>
          <cell r="B713" t="str">
            <v>02946207</v>
          </cell>
          <cell r="C713" t="str">
            <v>FITELSON, ELIZABETH M</v>
          </cell>
          <cell r="D713" t="str">
            <v>E0002777</v>
          </cell>
          <cell r="E713" t="str">
            <v>FITELSON ELIZABETH M</v>
          </cell>
          <cell r="G713" t="str">
            <v>Kathryn Spaziani</v>
          </cell>
          <cell r="H713" t="str">
            <v>(212) 305-1190</v>
          </cell>
          <cell r="J713" t="str">
            <v>kas9171@nyp.org</v>
          </cell>
          <cell r="L713" t="str">
            <v>Practitioner - Non-Primary Care Provider (PCP)</v>
          </cell>
          <cell r="M713" t="str">
            <v>No</v>
          </cell>
          <cell r="R713" t="str">
            <v>FITELSON ELIZABETH DR.</v>
          </cell>
          <cell r="W713" t="str">
            <v>FITELSON ELIZABETH M</v>
          </cell>
          <cell r="X713" t="str">
            <v>635 W 165TH ST</v>
          </cell>
          <cell r="Y713" t="str">
            <v>NEW YORK</v>
          </cell>
          <cell r="Z713" t="str">
            <v>NY</v>
          </cell>
          <cell r="AA713" t="str">
            <v>10032-3724</v>
          </cell>
          <cell r="AB713" t="str">
            <v>PHYSICIAN</v>
          </cell>
          <cell r="AC713" t="str">
            <v>M</v>
          </cell>
          <cell r="AD713" t="str">
            <v>No</v>
          </cell>
          <cell r="AE713" t="str">
            <v>MMIS</v>
          </cell>
          <cell r="AF713" t="str">
            <v>nypwestacn</v>
          </cell>
          <cell r="AG713" t="str">
            <v>P</v>
          </cell>
        </row>
        <row r="714">
          <cell r="A714" t="str">
            <v>1689725947</v>
          </cell>
          <cell r="B714" t="str">
            <v>03545939</v>
          </cell>
          <cell r="C714" t="str">
            <v>SORIN, ROBERT M</v>
          </cell>
          <cell r="D714" t="str">
            <v>E0344472</v>
          </cell>
          <cell r="E714" t="str">
            <v>SORIN ROBERT</v>
          </cell>
          <cell r="G714" t="str">
            <v>Kathryn Spaziani</v>
          </cell>
          <cell r="H714" t="str">
            <v>(212) 305-1190</v>
          </cell>
          <cell r="J714" t="str">
            <v>kas9171@nyp.org</v>
          </cell>
          <cell r="L714" t="str">
            <v>Practitioner - Non-Primary Care Provider (PCP)</v>
          </cell>
          <cell r="M714" t="str">
            <v>No</v>
          </cell>
          <cell r="R714" t="str">
            <v>SORIN ROBERT DR.</v>
          </cell>
          <cell r="W714" t="str">
            <v>SORIN ROBERT</v>
          </cell>
          <cell r="X714" t="str">
            <v>525 E 68TH ST</v>
          </cell>
          <cell r="Y714" t="str">
            <v>NEW YORK</v>
          </cell>
          <cell r="Z714" t="str">
            <v>NY</v>
          </cell>
          <cell r="AA714" t="str">
            <v>10065-4870</v>
          </cell>
          <cell r="AB714" t="str">
            <v>DENTIST</v>
          </cell>
          <cell r="AC714" t="str">
            <v>M</v>
          </cell>
          <cell r="AD714" t="str">
            <v>No</v>
          </cell>
          <cell r="AE714" t="str">
            <v>MMIS</v>
          </cell>
          <cell r="AF714" t="str">
            <v>nypeastcampus</v>
          </cell>
          <cell r="AG714" t="str">
            <v>P</v>
          </cell>
        </row>
        <row r="715">
          <cell r="A715" t="str">
            <v>1407837768</v>
          </cell>
          <cell r="B715" t="str">
            <v>00138303</v>
          </cell>
          <cell r="C715" t="str">
            <v>MYERS, STANLEY J</v>
          </cell>
          <cell r="D715" t="str">
            <v>E0279069</v>
          </cell>
          <cell r="E715" t="str">
            <v>MYERS STANLEY J            MD</v>
          </cell>
          <cell r="G715" t="str">
            <v>Kathryn Spaziani</v>
          </cell>
          <cell r="H715" t="str">
            <v>(212) 305-1190</v>
          </cell>
          <cell r="J715" t="str">
            <v>kas9171@nyp.org</v>
          </cell>
          <cell r="L715" t="str">
            <v>Practitioner - Non-Primary Care Provider (PCP)</v>
          </cell>
          <cell r="M715" t="str">
            <v>No</v>
          </cell>
          <cell r="R715" t="str">
            <v>MYERS STANLEY DR.</v>
          </cell>
          <cell r="W715" t="str">
            <v>MYERS STANLEY J            MD</v>
          </cell>
          <cell r="X715" t="str">
            <v>622 W 168TH ST</v>
          </cell>
          <cell r="Y715" t="str">
            <v>NEW YORK</v>
          </cell>
          <cell r="Z715" t="str">
            <v>NY</v>
          </cell>
          <cell r="AA715" t="str">
            <v>10032-3720</v>
          </cell>
          <cell r="AB715" t="str">
            <v>PHYSICIAN</v>
          </cell>
          <cell r="AC715" t="str">
            <v>M</v>
          </cell>
          <cell r="AD715" t="str">
            <v>No</v>
          </cell>
          <cell r="AE715" t="str">
            <v>MMIS</v>
          </cell>
          <cell r="AF715" t="str">
            <v>nypwestcampus</v>
          </cell>
          <cell r="AG715" t="str">
            <v>P</v>
          </cell>
        </row>
        <row r="716">
          <cell r="A716" t="str">
            <v>1972582609</v>
          </cell>
          <cell r="B716" t="str">
            <v>01725084</v>
          </cell>
          <cell r="C716" t="str">
            <v>MANN, MICHAEL A</v>
          </cell>
          <cell r="D716" t="str">
            <v>E0127514</v>
          </cell>
          <cell r="E716" t="str">
            <v>MICHAEL MANN MD PC</v>
          </cell>
          <cell r="G716" t="str">
            <v>Kathryn Spaziani</v>
          </cell>
          <cell r="H716" t="str">
            <v>(212) 305-1190</v>
          </cell>
          <cell r="J716" t="str">
            <v>kas9171@nyp.org</v>
          </cell>
          <cell r="L716" t="str">
            <v>All Other:: Practitioner - Non-Primary Care Provider (PCP)</v>
          </cell>
          <cell r="M716" t="str">
            <v>No</v>
          </cell>
          <cell r="R716" t="str">
            <v>MANN MICHAEL DR.</v>
          </cell>
          <cell r="W716" t="str">
            <v>MICHAEL MANN MD PC</v>
          </cell>
          <cell r="X716" t="str">
            <v>MEDNET HLTHCARE GRP</v>
          </cell>
          <cell r="Y716" t="str">
            <v>BROOKLYN</v>
          </cell>
          <cell r="Z716" t="str">
            <v>NY</v>
          </cell>
          <cell r="AA716" t="str">
            <v>11230-5849</v>
          </cell>
          <cell r="AB716" t="str">
            <v>PHYSICIAN</v>
          </cell>
          <cell r="AC716" t="str">
            <v>M</v>
          </cell>
          <cell r="AD716" t="str">
            <v>No</v>
          </cell>
          <cell r="AE716" t="str">
            <v>MMIS</v>
          </cell>
          <cell r="AF716" t="str">
            <v>nypwestcampus</v>
          </cell>
          <cell r="AG716" t="str">
            <v>P</v>
          </cell>
        </row>
        <row r="717">
          <cell r="A717" t="str">
            <v>1922027374</v>
          </cell>
          <cell r="B717" t="str">
            <v>00933151</v>
          </cell>
          <cell r="C717" t="str">
            <v>ARPADI, STEPHEN M</v>
          </cell>
          <cell r="D717" t="str">
            <v>E0206442</v>
          </cell>
          <cell r="E717" t="str">
            <v>ARPADI STEPHEN M           MD</v>
          </cell>
          <cell r="G717" t="str">
            <v>Kathryn Spaziani</v>
          </cell>
          <cell r="H717" t="str">
            <v>(212) 305-1190</v>
          </cell>
          <cell r="J717" t="str">
            <v>kas9171@nyp.org</v>
          </cell>
          <cell r="L717" t="str">
            <v>All Other:: Practitioner - Primary Care Provider (PCP)</v>
          </cell>
          <cell r="M717" t="str">
            <v>Yes</v>
          </cell>
          <cell r="R717" t="str">
            <v>ARPADI STEPHEN</v>
          </cell>
          <cell r="W717" t="str">
            <v>ARPADI STEPHEN M           MD</v>
          </cell>
          <cell r="X717" t="str">
            <v>622 W 168TH ST</v>
          </cell>
          <cell r="Y717" t="str">
            <v>NEW YORK</v>
          </cell>
          <cell r="Z717" t="str">
            <v>NY</v>
          </cell>
          <cell r="AA717" t="str">
            <v>10032-3720</v>
          </cell>
          <cell r="AB717" t="str">
            <v>PHYSICIAN</v>
          </cell>
          <cell r="AC717" t="str">
            <v>M</v>
          </cell>
          <cell r="AD717" t="str">
            <v>No</v>
          </cell>
          <cell r="AE717" t="str">
            <v>MMIS</v>
          </cell>
          <cell r="AF717" t="str">
            <v>nypwestacn</v>
          </cell>
          <cell r="AG717" t="str">
            <v>P</v>
          </cell>
        </row>
        <row r="718">
          <cell r="A718" t="str">
            <v>1508873969</v>
          </cell>
          <cell r="B718" t="str">
            <v>01811334</v>
          </cell>
          <cell r="C718" t="str">
            <v xml:space="preserve">HIRANO, MICHIO </v>
          </cell>
          <cell r="D718" t="str">
            <v>E0118904</v>
          </cell>
          <cell r="E718" t="str">
            <v>HIRANO MICHIO  MD</v>
          </cell>
          <cell r="G718" t="str">
            <v>Kathryn Spaziani</v>
          </cell>
          <cell r="H718" t="str">
            <v>(212) 305-1190</v>
          </cell>
          <cell r="J718" t="str">
            <v>kas9171@nyp.org</v>
          </cell>
          <cell r="L718" t="str">
            <v>All Other:: Practitioner - Non-Primary Care Provider (PCP)</v>
          </cell>
          <cell r="M718" t="str">
            <v>No</v>
          </cell>
          <cell r="R718" t="str">
            <v>HIRANO MICHIO DR.</v>
          </cell>
          <cell r="W718" t="str">
            <v>HIRANO MICHIO  MD</v>
          </cell>
          <cell r="X718" t="str">
            <v>HARLEM FAC PRCT</v>
          </cell>
          <cell r="Y718" t="str">
            <v>NEW YORK</v>
          </cell>
          <cell r="Z718" t="str">
            <v>NY</v>
          </cell>
          <cell r="AA718" t="str">
            <v>10037-1802</v>
          </cell>
          <cell r="AB718" t="str">
            <v>PHYSICIAN</v>
          </cell>
          <cell r="AC718" t="str">
            <v>M</v>
          </cell>
          <cell r="AD718" t="str">
            <v>No</v>
          </cell>
          <cell r="AE718" t="str">
            <v>MMIS</v>
          </cell>
          <cell r="AF718" t="str">
            <v>nypwestacn</v>
          </cell>
          <cell r="AG718" t="str">
            <v>P</v>
          </cell>
        </row>
        <row r="719">
          <cell r="A719" t="str">
            <v>1992925101</v>
          </cell>
          <cell r="B719" t="str">
            <v>03723824</v>
          </cell>
          <cell r="C719" t="str">
            <v>Andrew Kirsch, MD</v>
          </cell>
          <cell r="D719" t="str">
            <v>E0361664</v>
          </cell>
          <cell r="E719" t="str">
            <v>KIRSCH ANDREW THOMAS</v>
          </cell>
          <cell r="G719" t="str">
            <v>Dianna Dragatsi</v>
          </cell>
          <cell r="H719" t="str">
            <v>(212) 942-8517</v>
          </cell>
          <cell r="J719" t="str">
            <v>Dragats@nyspi.columbia.edu</v>
          </cell>
          <cell r="L719" t="str">
            <v>Practitioner - Non-Primary Care Provider (PCP)</v>
          </cell>
          <cell r="M719" t="str">
            <v>No</v>
          </cell>
          <cell r="R719" t="str">
            <v>KIRSCH ANDREW DR.</v>
          </cell>
          <cell r="W719" t="str">
            <v>KIRSCH ANDREW THOMAS</v>
          </cell>
          <cell r="X719" t="str">
            <v>26 SHERMAN AVE</v>
          </cell>
          <cell r="Y719" t="str">
            <v>NEW YORK</v>
          </cell>
          <cell r="Z719" t="str">
            <v>NY</v>
          </cell>
          <cell r="AA719" t="str">
            <v>10040-1602</v>
          </cell>
          <cell r="AB719" t="str">
            <v>PHYSICIAN</v>
          </cell>
          <cell r="AC719" t="str">
            <v>M</v>
          </cell>
          <cell r="AD719" t="str">
            <v>No</v>
          </cell>
          <cell r="AE719" t="str">
            <v>MMIS</v>
          </cell>
          <cell r="AF719" t="str">
            <v>nyspi</v>
          </cell>
          <cell r="AG719" t="str">
            <v>P</v>
          </cell>
        </row>
        <row r="720">
          <cell r="A720" t="str">
            <v>1609106319</v>
          </cell>
          <cell r="B720" t="str">
            <v>03384672</v>
          </cell>
          <cell r="C720" t="str">
            <v>THOMAS, YOLANDA M</v>
          </cell>
          <cell r="D720" t="str">
            <v>E0325594</v>
          </cell>
          <cell r="E720" t="str">
            <v>THOMAS YOLANDA</v>
          </cell>
          <cell r="G720" t="str">
            <v>Kathryn Spaziani</v>
          </cell>
          <cell r="H720" t="str">
            <v>(212) 305-1190</v>
          </cell>
          <cell r="J720" t="str">
            <v>kas9171@nyp.org</v>
          </cell>
          <cell r="L720" t="str">
            <v>Practitioner - Non-Primary Care Provider (PCP)</v>
          </cell>
          <cell r="M720" t="str">
            <v>No</v>
          </cell>
          <cell r="R720" t="str">
            <v>THOMAS YOLANDA DR.</v>
          </cell>
          <cell r="W720" t="str">
            <v>THOMAS YOLANDA</v>
          </cell>
          <cell r="X720" t="str">
            <v>200 W 135TH ST # 214</v>
          </cell>
          <cell r="Y720" t="str">
            <v>NEW YORK</v>
          </cell>
          <cell r="Z720" t="str">
            <v>NY</v>
          </cell>
          <cell r="AA720" t="str">
            <v>10030-2802</v>
          </cell>
          <cell r="AB720" t="str">
            <v>CLINICAL PSYCHOLOGIST</v>
          </cell>
          <cell r="AC720" t="str">
            <v>M</v>
          </cell>
          <cell r="AD720" t="str">
            <v>No</v>
          </cell>
          <cell r="AE720" t="str">
            <v>MMIS</v>
          </cell>
          <cell r="AF720" t="str">
            <v>nypwestcampus</v>
          </cell>
          <cell r="AG720" t="str">
            <v>P</v>
          </cell>
        </row>
        <row r="721">
          <cell r="A721" t="str">
            <v>1679733463</v>
          </cell>
          <cell r="B721" t="str">
            <v>03349355</v>
          </cell>
          <cell r="C721" t="str">
            <v>DECASTRO, GUARIONEX J</v>
          </cell>
          <cell r="D721" t="str">
            <v>E0321359</v>
          </cell>
          <cell r="E721" t="str">
            <v>DECASTRO GUARIONEX JOEL</v>
          </cell>
          <cell r="G721" t="str">
            <v>Kathryn Spaziani</v>
          </cell>
          <cell r="H721" t="str">
            <v>(212) 305-1190</v>
          </cell>
          <cell r="J721" t="str">
            <v>kas9171@nyp.org</v>
          </cell>
          <cell r="L721" t="str">
            <v>All Other:: Practitioner - Non-Primary Care Provider (PCP)</v>
          </cell>
          <cell r="M721" t="str">
            <v>Yes</v>
          </cell>
          <cell r="R721" t="str">
            <v>DECASTRO GUARIONEX</v>
          </cell>
          <cell r="W721" t="str">
            <v>DECASTRO GUARIONEX JOEL</v>
          </cell>
          <cell r="X721" t="str">
            <v>51 W 51ST ST STE 375</v>
          </cell>
          <cell r="Y721" t="str">
            <v>NEW YORK</v>
          </cell>
          <cell r="Z721" t="str">
            <v>NY</v>
          </cell>
          <cell r="AA721" t="str">
            <v>10019-6113</v>
          </cell>
          <cell r="AB721" t="str">
            <v>PHYSICIAN</v>
          </cell>
          <cell r="AC721" t="str">
            <v>M</v>
          </cell>
          <cell r="AD721" t="str">
            <v>No</v>
          </cell>
          <cell r="AE721" t="str">
            <v>MMIS</v>
          </cell>
          <cell r="AF721" t="str">
            <v>nypwestcampus</v>
          </cell>
          <cell r="AG721" t="str">
            <v>P</v>
          </cell>
        </row>
        <row r="722">
          <cell r="A722" t="str">
            <v>1679736714</v>
          </cell>
          <cell r="B722" t="str">
            <v>03518518</v>
          </cell>
          <cell r="C722" t="str">
            <v xml:space="preserve">BEVELAQUA, ANNA-CHRISTINA </v>
          </cell>
          <cell r="D722" t="str">
            <v>E0341549</v>
          </cell>
          <cell r="E722" t="str">
            <v>BEVELAQUA ANNA-CHRIS</v>
          </cell>
          <cell r="G722" t="str">
            <v>Kathryn Spaziani</v>
          </cell>
          <cell r="H722" t="str">
            <v>(212) 305-1190</v>
          </cell>
          <cell r="J722" t="str">
            <v>kas9171@nyp.org</v>
          </cell>
          <cell r="L722" t="str">
            <v>All Other:: Practitioner - Non-Primary Care Provider (PCP)</v>
          </cell>
          <cell r="M722" t="str">
            <v>No</v>
          </cell>
          <cell r="R722" t="str">
            <v>BEVELAQUA ANNA-CHRISTINA</v>
          </cell>
          <cell r="W722" t="str">
            <v>BEVELAQUA ANNA-CHRIS</v>
          </cell>
          <cell r="X722" t="str">
            <v>622 WEST 168TH STREE</v>
          </cell>
          <cell r="Y722" t="str">
            <v>NEW YORK</v>
          </cell>
          <cell r="Z722" t="str">
            <v>NY</v>
          </cell>
          <cell r="AA722" t="str">
            <v>10032-3722</v>
          </cell>
          <cell r="AB722" t="str">
            <v>PHYSICIAN</v>
          </cell>
          <cell r="AC722" t="str">
            <v>M</v>
          </cell>
          <cell r="AD722" t="str">
            <v>No</v>
          </cell>
          <cell r="AE722" t="str">
            <v>MMIS</v>
          </cell>
          <cell r="AF722" t="str">
            <v>nypwestacn</v>
          </cell>
          <cell r="AG722" t="str">
            <v>P</v>
          </cell>
        </row>
        <row r="723">
          <cell r="A723" t="str">
            <v>1740383025</v>
          </cell>
          <cell r="B723" t="str">
            <v>02168743</v>
          </cell>
          <cell r="C723" t="str">
            <v xml:space="preserve">CUNTO-AMESTY, SYLVIA </v>
          </cell>
          <cell r="D723" t="str">
            <v>E0083203</v>
          </cell>
          <cell r="E723" t="str">
            <v>CUNTO AMESTY SILVIA MD</v>
          </cell>
          <cell r="G723" t="str">
            <v>Kathryn Spaziani</v>
          </cell>
          <cell r="H723" t="str">
            <v>(212) 305-1190</v>
          </cell>
          <cell r="J723" t="str">
            <v>kas9171@nyp.org</v>
          </cell>
          <cell r="L723" t="str">
            <v>Practitioner - Primary Care Provider (PCP)</v>
          </cell>
          <cell r="M723" t="str">
            <v>No</v>
          </cell>
          <cell r="R723" t="str">
            <v>CUNTO-AMESTY SILVIA DR.</v>
          </cell>
          <cell r="W723" t="str">
            <v>CUNTO AMESTY SILVIA</v>
          </cell>
          <cell r="X723" t="str">
            <v>610 W 158TH ST FL 2</v>
          </cell>
          <cell r="Y723" t="str">
            <v>NEW YORK</v>
          </cell>
          <cell r="Z723" t="str">
            <v>NY</v>
          </cell>
          <cell r="AA723" t="str">
            <v>10032-7104</v>
          </cell>
          <cell r="AB723" t="str">
            <v>PHYSICIAN</v>
          </cell>
          <cell r="AC723" t="str">
            <v>M</v>
          </cell>
          <cell r="AD723" t="str">
            <v>No</v>
          </cell>
          <cell r="AE723" t="str">
            <v>MMIS</v>
          </cell>
          <cell r="AF723" t="str">
            <v>nypwestacn</v>
          </cell>
          <cell r="AG723" t="str">
            <v>P</v>
          </cell>
        </row>
        <row r="724">
          <cell r="A724" t="str">
            <v>1487754784</v>
          </cell>
          <cell r="B724" t="str">
            <v>01657556</v>
          </cell>
          <cell r="C724" t="str">
            <v>GARZON, MARIA C</v>
          </cell>
          <cell r="D724" t="str">
            <v>E0134260</v>
          </cell>
          <cell r="E724" t="str">
            <v>GARZON MARIA CECILIA MD</v>
          </cell>
          <cell r="G724" t="str">
            <v>Kathryn Spaziani</v>
          </cell>
          <cell r="H724" t="str">
            <v>(212) 305-1190</v>
          </cell>
          <cell r="J724" t="str">
            <v>kas9171@nyp.org</v>
          </cell>
          <cell r="L724" t="str">
            <v>Practitioner - Non-Primary Care Provider (PCP)</v>
          </cell>
          <cell r="M724" t="str">
            <v>No</v>
          </cell>
          <cell r="R724" t="str">
            <v>GARZON MARIA DR.</v>
          </cell>
          <cell r="W724" t="str">
            <v>GARZON MARIA CECILIA MD</v>
          </cell>
          <cell r="X724" t="str">
            <v>630 W 168TH ST STE VC15-207</v>
          </cell>
          <cell r="Y724" t="str">
            <v>NEW YORK</v>
          </cell>
          <cell r="Z724" t="str">
            <v>NY</v>
          </cell>
          <cell r="AA724" t="str">
            <v>10032-3725</v>
          </cell>
          <cell r="AB724" t="str">
            <v>PHYSICIAN</v>
          </cell>
          <cell r="AC724" t="str">
            <v>M</v>
          </cell>
          <cell r="AD724" t="str">
            <v>No</v>
          </cell>
          <cell r="AE724" t="str">
            <v>MMIS</v>
          </cell>
          <cell r="AF724" t="str">
            <v>nypwestacn</v>
          </cell>
          <cell r="AG724" t="str">
            <v>P</v>
          </cell>
        </row>
        <row r="725">
          <cell r="A725" t="str">
            <v>1679890354</v>
          </cell>
          <cell r="B725" t="str">
            <v>03879210</v>
          </cell>
          <cell r="C725" t="str">
            <v>HARRISON, MARGO S</v>
          </cell>
          <cell r="D725" t="str">
            <v>E0378988</v>
          </cell>
          <cell r="E725" t="str">
            <v>HARRISON MARGO SHAWN</v>
          </cell>
          <cell r="G725" t="str">
            <v>Kathryn Spaziani</v>
          </cell>
          <cell r="H725" t="str">
            <v>(212) 305-1190</v>
          </cell>
          <cell r="J725" t="str">
            <v>kas9171@nyp.org</v>
          </cell>
          <cell r="L725" t="str">
            <v>All Other:: Practitioner - Non-Primary Care Provider (PCP)</v>
          </cell>
          <cell r="M725" t="str">
            <v>No</v>
          </cell>
          <cell r="R725" t="str">
            <v>HARRISON MARGO</v>
          </cell>
          <cell r="W725" t="str">
            <v>HARRISON MARGO SHAWN</v>
          </cell>
          <cell r="X725" t="str">
            <v>5141 BROADWAY</v>
          </cell>
          <cell r="Y725" t="str">
            <v>NEW YORK</v>
          </cell>
          <cell r="Z725" t="str">
            <v>NY</v>
          </cell>
          <cell r="AA725" t="str">
            <v>10034-1159</v>
          </cell>
          <cell r="AB725" t="str">
            <v>PHYSICIAN</v>
          </cell>
          <cell r="AC725" t="str">
            <v>M</v>
          </cell>
          <cell r="AD725" t="str">
            <v>No</v>
          </cell>
          <cell r="AE725" t="str">
            <v>MMIS</v>
          </cell>
          <cell r="AF725" t="str">
            <v>nypwestcampus</v>
          </cell>
          <cell r="AG725" t="str">
            <v>P</v>
          </cell>
        </row>
        <row r="726">
          <cell r="A726" t="str">
            <v>1689098139</v>
          </cell>
          <cell r="C726" t="str">
            <v>SALVITTI-NELSON, ALLISON E</v>
          </cell>
          <cell r="G726" t="str">
            <v>Kathryn Spaziani</v>
          </cell>
          <cell r="H726" t="str">
            <v>(212) 305-1190</v>
          </cell>
          <cell r="J726" t="str">
            <v>kas9171@nyp.org</v>
          </cell>
          <cell r="K726" t="str">
            <v>Physician</v>
          </cell>
          <cell r="L726" t="str">
            <v>Uncategorized</v>
          </cell>
          <cell r="M726" t="str">
            <v>No</v>
          </cell>
          <cell r="R726" t="str">
            <v>SALVITTI-NELSON ALLISON</v>
          </cell>
          <cell r="S726" t="str">
            <v>622 W 168TH ST</v>
          </cell>
          <cell r="T726" t="str">
            <v>NEW YORK</v>
          </cell>
          <cell r="U726" t="str">
            <v>NY</v>
          </cell>
          <cell r="V726" t="str">
            <v>100323720</v>
          </cell>
          <cell r="AC726" t="str">
            <v>M</v>
          </cell>
          <cell r="AD726" t="str">
            <v>No</v>
          </cell>
          <cell r="AE726" t="str">
            <v>NPI only</v>
          </cell>
          <cell r="AF726" t="str">
            <v>nypwestacn</v>
          </cell>
          <cell r="AG726" t="str">
            <v>P</v>
          </cell>
        </row>
        <row r="727">
          <cell r="A727" t="str">
            <v>1558433771</v>
          </cell>
          <cell r="C727" t="str">
            <v>LoRusso Diane</v>
          </cell>
          <cell r="G727" t="str">
            <v>Kathryn Spaziani</v>
          </cell>
          <cell r="H727" t="str">
            <v>(212) 305-1255</v>
          </cell>
          <cell r="J727" t="str">
            <v>kas9171@nyp.org</v>
          </cell>
          <cell r="K727" t="str">
            <v>Physician</v>
          </cell>
          <cell r="L727" t="str">
            <v>Uncategorized</v>
          </cell>
          <cell r="M727" t="str">
            <v>No</v>
          </cell>
          <cell r="R727" t="str">
            <v>RYE RADIOLOGY ASSOCIATES,LLP</v>
          </cell>
          <cell r="S727" t="str">
            <v>30 RYE RIDGE PLZ</v>
          </cell>
          <cell r="T727" t="str">
            <v>RYE BROOK</v>
          </cell>
          <cell r="U727" t="str">
            <v>NY</v>
          </cell>
          <cell r="V727" t="str">
            <v>105732820</v>
          </cell>
          <cell r="AC727" t="str">
            <v>M</v>
          </cell>
          <cell r="AD727" t="str">
            <v>No</v>
          </cell>
          <cell r="AE727" t="str">
            <v>NPI only</v>
          </cell>
          <cell r="AF727" t="str">
            <v>nypeastcampus</v>
          </cell>
          <cell r="AG727" t="str">
            <v>P</v>
          </cell>
        </row>
        <row r="728">
          <cell r="A728" t="str">
            <v>1104944859</v>
          </cell>
          <cell r="B728" t="str">
            <v>03041150</v>
          </cell>
          <cell r="C728" t="str">
            <v>STAHL, ROSLYN M</v>
          </cell>
          <cell r="D728" t="str">
            <v>E0286229</v>
          </cell>
          <cell r="E728" t="str">
            <v>STAHL ROSLYN</v>
          </cell>
          <cell r="G728" t="str">
            <v>Kathryn Spaziani</v>
          </cell>
          <cell r="H728" t="str">
            <v>(212) 305-1190</v>
          </cell>
          <cell r="J728" t="str">
            <v>kas9171@nyp.org</v>
          </cell>
          <cell r="L728" t="str">
            <v>All Other:: Practitioner - Non-Primary Care Provider (PCP)</v>
          </cell>
          <cell r="M728" t="str">
            <v>No</v>
          </cell>
          <cell r="R728" t="str">
            <v>STAHL ROSLYN DR.</v>
          </cell>
          <cell r="W728" t="str">
            <v>STAHL ROSLYN MARIE MD</v>
          </cell>
          <cell r="X728" t="str">
            <v>506 LENOX AVE</v>
          </cell>
          <cell r="Y728" t="str">
            <v>NEW YORK</v>
          </cell>
          <cell r="Z728" t="str">
            <v>NY</v>
          </cell>
          <cell r="AA728" t="str">
            <v>10037-1802</v>
          </cell>
          <cell r="AB728" t="str">
            <v>PHYSICIAN</v>
          </cell>
          <cell r="AC728" t="str">
            <v>M</v>
          </cell>
          <cell r="AD728" t="str">
            <v>No</v>
          </cell>
          <cell r="AE728" t="str">
            <v>MMIS</v>
          </cell>
          <cell r="AF728" t="str">
            <v>nypwestcampus</v>
          </cell>
          <cell r="AG728" t="str">
            <v>P</v>
          </cell>
        </row>
        <row r="729">
          <cell r="A729" t="str">
            <v>1750479184</v>
          </cell>
          <cell r="B729" t="str">
            <v>00672853</v>
          </cell>
          <cell r="C729" t="str">
            <v>MAYEUX, RICHARD P</v>
          </cell>
          <cell r="D729" t="str">
            <v>E0232410</v>
          </cell>
          <cell r="E729" t="str">
            <v>MAYEUX RICHARD PAUL        MD</v>
          </cell>
          <cell r="G729" t="str">
            <v>Kathryn Spaziani</v>
          </cell>
          <cell r="H729" t="str">
            <v>(212) 305-1190</v>
          </cell>
          <cell r="J729" t="str">
            <v>kas9171@nyp.org</v>
          </cell>
          <cell r="L729" t="str">
            <v>Practitioner - Non-Primary Care Provider (PCP)</v>
          </cell>
          <cell r="M729" t="str">
            <v>No</v>
          </cell>
          <cell r="R729" t="str">
            <v>MAYEUX RICHARD DR.</v>
          </cell>
          <cell r="W729" t="str">
            <v>MAYEUX RICHARD PAUL        MD</v>
          </cell>
          <cell r="X729" t="str">
            <v>THE NEURO INST</v>
          </cell>
          <cell r="Y729" t="str">
            <v>NEW YORK</v>
          </cell>
          <cell r="Z729" t="str">
            <v>NY</v>
          </cell>
          <cell r="AA729" t="str">
            <v>10032-3726</v>
          </cell>
          <cell r="AB729" t="str">
            <v>PHYSICIAN</v>
          </cell>
          <cell r="AC729" t="str">
            <v>M</v>
          </cell>
          <cell r="AD729" t="str">
            <v>No</v>
          </cell>
          <cell r="AE729" t="str">
            <v>MMIS</v>
          </cell>
          <cell r="AF729" t="str">
            <v>nypwestcampus</v>
          </cell>
          <cell r="AG729" t="str">
            <v>P</v>
          </cell>
        </row>
        <row r="730">
          <cell r="A730" t="str">
            <v>1619902061</v>
          </cell>
          <cell r="B730" t="str">
            <v>02677338</v>
          </cell>
          <cell r="C730" t="str">
            <v>Trepp Jr Richard</v>
          </cell>
          <cell r="D730" t="str">
            <v>E0032442</v>
          </cell>
          <cell r="E730" t="str">
            <v>TREPP RICHARD C JR MD</v>
          </cell>
          <cell r="L730" t="str">
            <v>Practitioner - Non-Primary Care Provider (PCP)</v>
          </cell>
          <cell r="M730" t="str">
            <v>No</v>
          </cell>
          <cell r="R730" t="str">
            <v>TREPP RICHARD</v>
          </cell>
          <cell r="W730" t="str">
            <v>TREPP RICHARD C JR MD</v>
          </cell>
          <cell r="X730" t="str">
            <v>CUMC 622 WEST 168 ST</v>
          </cell>
          <cell r="Y730" t="str">
            <v>NEW YORK</v>
          </cell>
          <cell r="Z730" t="str">
            <v>NY</v>
          </cell>
          <cell r="AA730" t="str">
            <v>10032</v>
          </cell>
          <cell r="AB730" t="str">
            <v>PHYSICIAN</v>
          </cell>
          <cell r="AC730" t="str">
            <v>M</v>
          </cell>
          <cell r="AD730" t="str">
            <v>No</v>
          </cell>
          <cell r="AE730" t="str">
            <v>MMIS</v>
          </cell>
          <cell r="AF730" t="str">
            <v>nypwestcampus</v>
          </cell>
          <cell r="AG730" t="str">
            <v>P</v>
          </cell>
        </row>
        <row r="731">
          <cell r="A731" t="str">
            <v>1568898872</v>
          </cell>
          <cell r="B731" t="str">
            <v>03736041</v>
          </cell>
          <cell r="C731" t="str">
            <v xml:space="preserve">May Lemon </v>
          </cell>
          <cell r="D731" t="str">
            <v>E0364225</v>
          </cell>
          <cell r="E731" t="str">
            <v>PEKAREVA-KOCHERGINA IRINA</v>
          </cell>
          <cell r="L731" t="str">
            <v>All Other:: Practitioner - Primary Care Provider (PCP)</v>
          </cell>
          <cell r="M731" t="str">
            <v>Yes</v>
          </cell>
          <cell r="R731" t="str">
            <v>PEKAREVA-KOCHERGINA IRINA MRS.</v>
          </cell>
          <cell r="W731" t="str">
            <v>PEKAREVA-KOCHERGINA IRINA</v>
          </cell>
          <cell r="X731" t="str">
            <v>975 WESTCHESTER AVE</v>
          </cell>
          <cell r="Y731" t="str">
            <v>BRONX</v>
          </cell>
          <cell r="Z731" t="str">
            <v>NY</v>
          </cell>
          <cell r="AA731" t="str">
            <v>10459-3204</v>
          </cell>
          <cell r="AB731" t="str">
            <v>PHYSICIAN</v>
          </cell>
          <cell r="AC731" t="str">
            <v>M</v>
          </cell>
          <cell r="AD731" t="str">
            <v>No</v>
          </cell>
          <cell r="AE731" t="str">
            <v>MMIS</v>
          </cell>
          <cell r="AF731" t="str">
            <v>nypeastacn</v>
          </cell>
          <cell r="AG731" t="str">
            <v>P</v>
          </cell>
        </row>
        <row r="732">
          <cell r="A732" t="str">
            <v>1184740722</v>
          </cell>
          <cell r="C732" t="str">
            <v xml:space="preserve">Melissa Olson </v>
          </cell>
          <cell r="G732" t="str">
            <v>Kathryn Spaziani</v>
          </cell>
          <cell r="H732" t="str">
            <v>(212) 305-1255</v>
          </cell>
          <cell r="J732" t="str">
            <v>kas9171@nyp.org</v>
          </cell>
          <cell r="K732" t="str">
            <v>Physician</v>
          </cell>
          <cell r="L732" t="str">
            <v>Practitioner - Non-Primary Care Provider (PCP)</v>
          </cell>
          <cell r="M732" t="str">
            <v>No</v>
          </cell>
          <cell r="R732" t="str">
            <v>OLSON MELISSA</v>
          </cell>
          <cell r="S732" t="str">
            <v>1167 NOSTRAND AVE</v>
          </cell>
          <cell r="T732" t="str">
            <v>BROOKLYN</v>
          </cell>
          <cell r="U732" t="str">
            <v>NY</v>
          </cell>
          <cell r="V732" t="str">
            <v>112255417</v>
          </cell>
          <cell r="AC732" t="str">
            <v>M</v>
          </cell>
          <cell r="AD732" t="str">
            <v>No</v>
          </cell>
          <cell r="AE732" t="str">
            <v>NPI only</v>
          </cell>
          <cell r="AF732" t="str">
            <v>nypeastacn</v>
          </cell>
          <cell r="AG732" t="str">
            <v>P</v>
          </cell>
        </row>
        <row r="733">
          <cell r="A733" t="str">
            <v>1588690960</v>
          </cell>
          <cell r="B733" t="str">
            <v>04032404</v>
          </cell>
          <cell r="C733" t="str">
            <v>Moonis Gul</v>
          </cell>
          <cell r="D733" t="str">
            <v>E0394748</v>
          </cell>
          <cell r="E733" t="str">
            <v>MOONIS GUL</v>
          </cell>
          <cell r="G733" t="str">
            <v>Kathryn Spaziani</v>
          </cell>
          <cell r="H733" t="str">
            <v>(212) 305-1255</v>
          </cell>
          <cell r="J733" t="str">
            <v>kas9171@nyp.org</v>
          </cell>
          <cell r="L733" t="str">
            <v>All Other:: Practitioner - Non-Primary Care Provider (PCP)</v>
          </cell>
          <cell r="M733" t="str">
            <v>No</v>
          </cell>
          <cell r="R733" t="str">
            <v>MOONIS GUL</v>
          </cell>
          <cell r="W733" t="str">
            <v>MOONIS GUL</v>
          </cell>
          <cell r="X733" t="str">
            <v>622 W 168TH ST</v>
          </cell>
          <cell r="Y733" t="str">
            <v>NEW YORK</v>
          </cell>
          <cell r="Z733" t="str">
            <v>NY</v>
          </cell>
          <cell r="AA733" t="str">
            <v>10032-3720</v>
          </cell>
          <cell r="AB733" t="str">
            <v>PHYSICIAN</v>
          </cell>
          <cell r="AC733" t="str">
            <v>M</v>
          </cell>
          <cell r="AD733" t="str">
            <v>No</v>
          </cell>
          <cell r="AE733" t="str">
            <v>MMIS</v>
          </cell>
          <cell r="AF733" t="str">
            <v>nypwestcampus</v>
          </cell>
          <cell r="AG733" t="str">
            <v>P</v>
          </cell>
        </row>
        <row r="734">
          <cell r="A734" t="str">
            <v>1144489949</v>
          </cell>
          <cell r="B734" t="str">
            <v>03879852</v>
          </cell>
          <cell r="C734" t="str">
            <v>Neil Jeffry</v>
          </cell>
          <cell r="D734" t="str">
            <v>E0379119</v>
          </cell>
          <cell r="E734" t="str">
            <v>NEIL JEFFRY M</v>
          </cell>
          <cell r="L734" t="str">
            <v>All Other:: Practitioner - Non-Primary Care Provider (PCP)</v>
          </cell>
          <cell r="M734" t="str">
            <v>No</v>
          </cell>
          <cell r="R734" t="str">
            <v>NEIL JEFFRY DR.</v>
          </cell>
          <cell r="W734" t="str">
            <v>NEIL JEFFRY MARSHALL</v>
          </cell>
          <cell r="X734" t="str">
            <v>622 W 168TH ST</v>
          </cell>
          <cell r="Y734" t="str">
            <v>NEW YORK</v>
          </cell>
          <cell r="Z734" t="str">
            <v>NY</v>
          </cell>
          <cell r="AA734" t="str">
            <v>10032-3720</v>
          </cell>
          <cell r="AB734" t="str">
            <v>PHYSICIAN</v>
          </cell>
          <cell r="AC734" t="str">
            <v>M</v>
          </cell>
          <cell r="AD734" t="str">
            <v>No</v>
          </cell>
          <cell r="AE734" t="str">
            <v>MMIS</v>
          </cell>
          <cell r="AF734" t="str">
            <v>nypwestcampus</v>
          </cell>
          <cell r="AG734" t="str">
            <v>P</v>
          </cell>
        </row>
        <row r="735">
          <cell r="A735" t="str">
            <v>1710949482</v>
          </cell>
          <cell r="B735" t="str">
            <v>03847445</v>
          </cell>
          <cell r="C735" t="str">
            <v>Ross Guy</v>
          </cell>
          <cell r="D735" t="str">
            <v>E0375664</v>
          </cell>
          <cell r="E735" t="str">
            <v>ROSS GUY WILLIAM</v>
          </cell>
          <cell r="L735" t="str">
            <v>All Other:: Practitioner - Non-Primary Care Provider (PCP)</v>
          </cell>
          <cell r="M735" t="str">
            <v>No</v>
          </cell>
          <cell r="R735" t="str">
            <v>ROSS GUY</v>
          </cell>
          <cell r="W735" t="str">
            <v>ROSS GUY WILLIAM</v>
          </cell>
          <cell r="X735" t="str">
            <v>622 W 168TH ST</v>
          </cell>
          <cell r="Y735" t="str">
            <v>NEW YORK</v>
          </cell>
          <cell r="Z735" t="str">
            <v>NY</v>
          </cell>
          <cell r="AA735" t="str">
            <v>10032-3720</v>
          </cell>
          <cell r="AB735" t="str">
            <v>PHYSICIAN</v>
          </cell>
          <cell r="AC735" t="str">
            <v>M</v>
          </cell>
          <cell r="AD735" t="str">
            <v>No</v>
          </cell>
          <cell r="AE735" t="str">
            <v>MMIS</v>
          </cell>
          <cell r="AF735" t="str">
            <v>nypwestcampus</v>
          </cell>
          <cell r="AG735" t="str">
            <v>P</v>
          </cell>
        </row>
        <row r="736">
          <cell r="A736" t="str">
            <v>1891766689</v>
          </cell>
          <cell r="B736" t="str">
            <v>02194681</v>
          </cell>
          <cell r="C736" t="str">
            <v>Sica Gregory</v>
          </cell>
          <cell r="D736" t="str">
            <v>E0080613</v>
          </cell>
          <cell r="E736" t="str">
            <v>SICA GREGORY THOMAS MD</v>
          </cell>
          <cell r="L736" t="str">
            <v>All Other:: Practitioner - Non-Primary Care Provider (PCP)</v>
          </cell>
          <cell r="M736" t="str">
            <v>No</v>
          </cell>
          <cell r="R736" t="str">
            <v>SICA GREGORY DR.</v>
          </cell>
          <cell r="W736" t="str">
            <v>SICA GREGORY THOMAS MD</v>
          </cell>
          <cell r="X736" t="str">
            <v>BIMC RADIOLOGY</v>
          </cell>
          <cell r="Y736" t="str">
            <v>NEW YORK</v>
          </cell>
          <cell r="Z736" t="str">
            <v>NY</v>
          </cell>
          <cell r="AA736" t="str">
            <v>10128-7603</v>
          </cell>
          <cell r="AB736" t="str">
            <v>PHYSICIAN</v>
          </cell>
          <cell r="AC736" t="str">
            <v>M</v>
          </cell>
          <cell r="AD736" t="str">
            <v>No</v>
          </cell>
          <cell r="AE736" t="str">
            <v>MMIS</v>
          </cell>
          <cell r="AF736" t="str">
            <v>nypwestcampus</v>
          </cell>
          <cell r="AG736" t="str">
            <v>P</v>
          </cell>
        </row>
        <row r="737">
          <cell r="A737" t="str">
            <v>1841207933</v>
          </cell>
          <cell r="B737" t="str">
            <v>02709593</v>
          </cell>
          <cell r="C737" t="str">
            <v>METROCARE PHARMACY, INC</v>
          </cell>
          <cell r="D737" t="str">
            <v>E0029225</v>
          </cell>
          <cell r="E737" t="str">
            <v>METROCARE PHARMACY INC</v>
          </cell>
          <cell r="L737" t="str">
            <v>Pharmacy</v>
          </cell>
          <cell r="M737" t="str">
            <v>Yes</v>
          </cell>
          <cell r="R737" t="str">
            <v>METROCARE PHARMACY, INC</v>
          </cell>
          <cell r="W737" t="str">
            <v>METROCARE PHARMACY INC</v>
          </cell>
          <cell r="X737" t="str">
            <v>2112B 36TH AVE</v>
          </cell>
          <cell r="Y737" t="str">
            <v>LONG ISLAND CITY</v>
          </cell>
          <cell r="Z737" t="str">
            <v>NY</v>
          </cell>
          <cell r="AA737" t="str">
            <v>11106-4422</v>
          </cell>
          <cell r="AB737" t="str">
            <v>PHARMACY</v>
          </cell>
          <cell r="AC737" t="str">
            <v>M</v>
          </cell>
          <cell r="AD737" t="str">
            <v>No</v>
          </cell>
          <cell r="AE737" t="str">
            <v>MMIS</v>
          </cell>
          <cell r="AF737" t="str">
            <v>nypwestacn</v>
          </cell>
          <cell r="AG737" t="str">
            <v>P</v>
          </cell>
        </row>
        <row r="738">
          <cell r="A738" t="str">
            <v>1366419566</v>
          </cell>
          <cell r="C738" t="str">
            <v>Gupta Renuka</v>
          </cell>
          <cell r="G738" t="str">
            <v>Kathryn Spaziani</v>
          </cell>
          <cell r="H738" t="str">
            <v>(212) 305-1255</v>
          </cell>
          <cell r="J738" t="str">
            <v>kas9171@nyp.org</v>
          </cell>
          <cell r="K738" t="str">
            <v>Physician</v>
          </cell>
          <cell r="L738" t="str">
            <v>Uncategorized</v>
          </cell>
          <cell r="M738" t="str">
            <v>No</v>
          </cell>
          <cell r="R738" t="str">
            <v>GUPTA RENUKA DR.</v>
          </cell>
          <cell r="S738" t="str">
            <v>7215 HANOVER PKWY STE D</v>
          </cell>
          <cell r="T738" t="str">
            <v>GREENBELT</v>
          </cell>
          <cell r="U738" t="str">
            <v>MD</v>
          </cell>
          <cell r="V738" t="str">
            <v>207703626</v>
          </cell>
          <cell r="AC738" t="str">
            <v>M</v>
          </cell>
          <cell r="AD738" t="str">
            <v>No</v>
          </cell>
          <cell r="AE738" t="str">
            <v>NPI only</v>
          </cell>
          <cell r="AF738" t="str">
            <v>nypeastcampus</v>
          </cell>
          <cell r="AG738" t="str">
            <v>P</v>
          </cell>
        </row>
        <row r="739">
          <cell r="A739" t="str">
            <v>1295766970</v>
          </cell>
          <cell r="B739" t="str">
            <v>01825149</v>
          </cell>
          <cell r="C739" t="str">
            <v>Krekun Susan</v>
          </cell>
          <cell r="D739" t="str">
            <v>E0117524</v>
          </cell>
          <cell r="E739" t="str">
            <v>KREKUN SUSAN MD</v>
          </cell>
          <cell r="G739" t="str">
            <v>Kathryn Spaziani</v>
          </cell>
          <cell r="H739" t="str">
            <v>(212) 305-1255</v>
          </cell>
          <cell r="J739" t="str">
            <v>kas9171@nyp.org</v>
          </cell>
          <cell r="L739" t="str">
            <v>Practitioner - Non-Primary Care Provider (PCP)</v>
          </cell>
          <cell r="M739" t="str">
            <v>No</v>
          </cell>
          <cell r="R739" t="str">
            <v>KREKUN SUSAN MS.</v>
          </cell>
          <cell r="W739" t="str">
            <v>KREKUN SUSAN</v>
          </cell>
          <cell r="X739" t="str">
            <v>525 E 68TH ST</v>
          </cell>
          <cell r="Y739" t="str">
            <v>NEW YORK</v>
          </cell>
          <cell r="Z739" t="str">
            <v>NY</v>
          </cell>
          <cell r="AA739" t="str">
            <v>10065-4870</v>
          </cell>
          <cell r="AB739" t="str">
            <v>PHYSICIAN</v>
          </cell>
          <cell r="AC739" t="str">
            <v>M</v>
          </cell>
          <cell r="AD739" t="str">
            <v>No</v>
          </cell>
          <cell r="AE739" t="str">
            <v>MMIS</v>
          </cell>
          <cell r="AF739" t="str">
            <v>nypeastcampus</v>
          </cell>
          <cell r="AG739" t="str">
            <v>P</v>
          </cell>
        </row>
        <row r="740">
          <cell r="A740" t="str">
            <v>1831416858</v>
          </cell>
          <cell r="B740" t="str">
            <v>04102250</v>
          </cell>
          <cell r="C740" t="str">
            <v>Lee Kyungmouk</v>
          </cell>
          <cell r="D740" t="str">
            <v>E0401945</v>
          </cell>
          <cell r="E740" t="str">
            <v>LEE KYUNGMOUK STEVE</v>
          </cell>
          <cell r="G740" t="str">
            <v>Kathryn Spaziani</v>
          </cell>
          <cell r="H740" t="str">
            <v>(212) 305-1255</v>
          </cell>
          <cell r="J740" t="str">
            <v>kas9171@nyp.org</v>
          </cell>
          <cell r="L740" t="str">
            <v>All Other:: Practitioner - Non-Primary Care Provider (PCP)</v>
          </cell>
          <cell r="M740" t="str">
            <v>No</v>
          </cell>
          <cell r="R740" t="str">
            <v>LEE KYUNGMOUK</v>
          </cell>
          <cell r="W740" t="str">
            <v>LEE KYUNGMOUK STEVE</v>
          </cell>
          <cell r="X740" t="str">
            <v>525 E 68TH ST</v>
          </cell>
          <cell r="Y740" t="str">
            <v>NEW YORK</v>
          </cell>
          <cell r="Z740" t="str">
            <v>NY</v>
          </cell>
          <cell r="AA740" t="str">
            <v>10065-4870</v>
          </cell>
          <cell r="AB740" t="str">
            <v>PHYSICIAN</v>
          </cell>
          <cell r="AC740" t="str">
            <v>M</v>
          </cell>
          <cell r="AD740" t="str">
            <v>No</v>
          </cell>
          <cell r="AE740" t="str">
            <v>MMIS</v>
          </cell>
          <cell r="AF740" t="str">
            <v>nypeastcampus</v>
          </cell>
          <cell r="AG740" t="str">
            <v>P</v>
          </cell>
        </row>
        <row r="741">
          <cell r="A741" t="str">
            <v>1144451303</v>
          </cell>
          <cell r="B741" t="str">
            <v>04102241</v>
          </cell>
          <cell r="C741" t="str">
            <v>May Benjamin</v>
          </cell>
          <cell r="D741" t="str">
            <v>E0401949</v>
          </cell>
          <cell r="E741" t="str">
            <v>MAY BENJAMIN</v>
          </cell>
          <cell r="G741" t="str">
            <v>Kathryn Spaziani</v>
          </cell>
          <cell r="H741" t="str">
            <v>(212) 305-1255</v>
          </cell>
          <cell r="J741" t="str">
            <v>kas9171@nyp.org</v>
          </cell>
          <cell r="L741" t="str">
            <v>All Other:: Practitioner - Non-Primary Care Provider (PCP)</v>
          </cell>
          <cell r="M741" t="str">
            <v>No</v>
          </cell>
          <cell r="R741" t="str">
            <v>MAY BENJAMIN</v>
          </cell>
          <cell r="W741" t="str">
            <v>MAY BENJAMIN</v>
          </cell>
          <cell r="X741" t="str">
            <v>525 E 68TH ST</v>
          </cell>
          <cell r="Y741" t="str">
            <v>NEW YORK</v>
          </cell>
          <cell r="Z741" t="str">
            <v>NY</v>
          </cell>
          <cell r="AA741" t="str">
            <v>10065-4870</v>
          </cell>
          <cell r="AB741" t="str">
            <v>PHYSICIAN</v>
          </cell>
          <cell r="AC741" t="str">
            <v>M</v>
          </cell>
          <cell r="AD741" t="str">
            <v>No</v>
          </cell>
          <cell r="AE741" t="str">
            <v>MMIS</v>
          </cell>
          <cell r="AF741" t="str">
            <v>nypeastcampus</v>
          </cell>
          <cell r="AG741" t="str">
            <v>P</v>
          </cell>
        </row>
        <row r="742">
          <cell r="A742" t="str">
            <v>1699751685</v>
          </cell>
          <cell r="B742" t="str">
            <v>00954687</v>
          </cell>
          <cell r="C742" t="str">
            <v>ALONSO, JOSE A</v>
          </cell>
          <cell r="D742" t="str">
            <v>E0204295</v>
          </cell>
          <cell r="E742" t="str">
            <v>ALONSO JOSE AGUSTIN        MD</v>
          </cell>
          <cell r="G742" t="str">
            <v>Kathryn Spaziani</v>
          </cell>
          <cell r="H742" t="str">
            <v>(212) 305-1190</v>
          </cell>
          <cell r="J742" t="str">
            <v>kas9171@nyp.org</v>
          </cell>
          <cell r="L742" t="str">
            <v>Practitioner - Non-Primary Care Provider (PCP)</v>
          </cell>
          <cell r="M742" t="str">
            <v>No</v>
          </cell>
          <cell r="R742" t="str">
            <v>ALONSO JOSE DR.</v>
          </cell>
          <cell r="W742" t="str">
            <v>ALONSO JOSE AGUSTIN MD</v>
          </cell>
          <cell r="X742" t="str">
            <v>365 ROUTE 304 STE 102</v>
          </cell>
          <cell r="Y742" t="str">
            <v>BARDONIA</v>
          </cell>
          <cell r="Z742" t="str">
            <v>NY</v>
          </cell>
          <cell r="AA742" t="str">
            <v>10954-1601</v>
          </cell>
          <cell r="AB742" t="str">
            <v>PHYSICIAN</v>
          </cell>
          <cell r="AC742" t="str">
            <v>M</v>
          </cell>
          <cell r="AD742" t="str">
            <v>No</v>
          </cell>
          <cell r="AE742" t="str">
            <v>MMIS</v>
          </cell>
          <cell r="AF742" t="str">
            <v>nypwestacn</v>
          </cell>
          <cell r="AG742" t="str">
            <v>P</v>
          </cell>
        </row>
        <row r="743">
          <cell r="A743" t="str">
            <v>1326073776</v>
          </cell>
          <cell r="B743" t="str">
            <v>01961417</v>
          </cell>
          <cell r="C743" t="str">
            <v>SCHMIDT, PAUL F</v>
          </cell>
          <cell r="D743" t="str">
            <v>E0103914</v>
          </cell>
          <cell r="E743" t="str">
            <v>SCHMIDT PAUL FREDERICK MD</v>
          </cell>
          <cell r="G743" t="str">
            <v>Kathryn Spaziani</v>
          </cell>
          <cell r="H743" t="str">
            <v>(212) 305-1190</v>
          </cell>
          <cell r="J743" t="str">
            <v>kas9171@nyp.org</v>
          </cell>
          <cell r="L743" t="str">
            <v>Practitioner - Non-Primary Care Provider (PCP)</v>
          </cell>
          <cell r="M743" t="str">
            <v>No</v>
          </cell>
          <cell r="R743" t="str">
            <v>SCHMIDT PAUL</v>
          </cell>
          <cell r="W743" t="str">
            <v>SCHMIDT PAUL FREDERICK MD</v>
          </cell>
          <cell r="X743" t="str">
            <v>CPMC-PH 1-137</v>
          </cell>
          <cell r="Y743" t="str">
            <v>NEW YORK</v>
          </cell>
          <cell r="Z743" t="str">
            <v>NY</v>
          </cell>
          <cell r="AA743" t="str">
            <v>10032-3720</v>
          </cell>
          <cell r="AB743" t="str">
            <v>PHYSICIAN</v>
          </cell>
          <cell r="AC743" t="str">
            <v>M</v>
          </cell>
          <cell r="AD743" t="str">
            <v>No</v>
          </cell>
          <cell r="AE743" t="str">
            <v>MMIS</v>
          </cell>
          <cell r="AF743" t="str">
            <v>nypwestcampus</v>
          </cell>
          <cell r="AG743" t="str">
            <v>P</v>
          </cell>
        </row>
        <row r="744">
          <cell r="A744" t="str">
            <v>1326079955</v>
          </cell>
          <cell r="B744" t="str">
            <v>03738901</v>
          </cell>
          <cell r="C744" t="str">
            <v>FEUERMAN, CRAIG R</v>
          </cell>
          <cell r="D744" t="str">
            <v>E0364508</v>
          </cell>
          <cell r="E744" t="str">
            <v>FEUERMAN CRAIG ROBERT</v>
          </cell>
          <cell r="G744" t="str">
            <v>Kathryn Spaziani</v>
          </cell>
          <cell r="H744" t="str">
            <v>(212) 305-1190</v>
          </cell>
          <cell r="J744" t="str">
            <v>kas9171@nyp.org</v>
          </cell>
          <cell r="L744" t="str">
            <v>Practitioner - Non-Primary Care Provider (PCP)</v>
          </cell>
          <cell r="M744" t="str">
            <v>No</v>
          </cell>
          <cell r="R744" t="str">
            <v>FEUERMAN CRAIG DR.</v>
          </cell>
          <cell r="W744" t="str">
            <v>FEUERMAN CRAIG ROBERT</v>
          </cell>
          <cell r="X744" t="str">
            <v>622 WEST 16TH STREET</v>
          </cell>
          <cell r="Y744" t="str">
            <v>NEW YORK</v>
          </cell>
          <cell r="Z744" t="str">
            <v>NY</v>
          </cell>
          <cell r="AA744" t="str">
            <v>10032-0000</v>
          </cell>
          <cell r="AB744" t="str">
            <v>PHYSICIAN</v>
          </cell>
          <cell r="AC744" t="str">
            <v>M</v>
          </cell>
          <cell r="AD744" t="str">
            <v>No</v>
          </cell>
          <cell r="AE744" t="str">
            <v>MMIS</v>
          </cell>
          <cell r="AF744" t="str">
            <v>nypwestacn</v>
          </cell>
          <cell r="AG744" t="str">
            <v>P</v>
          </cell>
        </row>
        <row r="745">
          <cell r="A745" t="str">
            <v>1679714372</v>
          </cell>
          <cell r="B745" t="str">
            <v>03099841</v>
          </cell>
          <cell r="C745" t="str">
            <v xml:space="preserve">SOW, ETHELORE </v>
          </cell>
          <cell r="D745" t="str">
            <v>E0293018</v>
          </cell>
          <cell r="E745" t="str">
            <v>SOW ETHELORE</v>
          </cell>
          <cell r="G745" t="str">
            <v>Kathryn Spaziani</v>
          </cell>
          <cell r="H745" t="str">
            <v>(212) 305-1190</v>
          </cell>
          <cell r="J745" t="str">
            <v>kas9171@nyp.org</v>
          </cell>
          <cell r="L745" t="str">
            <v>Practitioner - Non-Primary Care Provider (PCP)</v>
          </cell>
          <cell r="M745" t="str">
            <v>No</v>
          </cell>
          <cell r="R745" t="str">
            <v>SOW ETHELORE MS.</v>
          </cell>
          <cell r="W745" t="str">
            <v>SOW ETHELORE</v>
          </cell>
          <cell r="X745" t="str">
            <v>21 AUDUBON AVE</v>
          </cell>
          <cell r="Y745" t="str">
            <v>NEW YORK</v>
          </cell>
          <cell r="Z745" t="str">
            <v>NY</v>
          </cell>
          <cell r="AA745" t="str">
            <v>10032-4220</v>
          </cell>
          <cell r="AB745" t="str">
            <v>CLINICAL SOCIAL WORKER (CSW)</v>
          </cell>
          <cell r="AC745" t="str">
            <v>M</v>
          </cell>
          <cell r="AD745" t="str">
            <v>No</v>
          </cell>
          <cell r="AE745" t="str">
            <v>MMIS</v>
          </cell>
          <cell r="AF745" t="str">
            <v>nypwestacn</v>
          </cell>
          <cell r="AG745" t="str">
            <v>P</v>
          </cell>
        </row>
        <row r="746">
          <cell r="A746" t="str">
            <v>1124091848</v>
          </cell>
          <cell r="B746" t="str">
            <v>01797671</v>
          </cell>
          <cell r="C746" t="str">
            <v>BELL, DAVID L</v>
          </cell>
          <cell r="D746" t="str">
            <v>E0120265</v>
          </cell>
          <cell r="E746" t="str">
            <v>BELL DAVID LOUIS MD</v>
          </cell>
          <cell r="G746" t="str">
            <v>Kathryn Spaziani</v>
          </cell>
          <cell r="H746" t="str">
            <v>(212) 305-1190</v>
          </cell>
          <cell r="J746" t="str">
            <v>kas9171@nyp.org</v>
          </cell>
          <cell r="L746" t="str">
            <v>Practitioner - Primary Care Provider (PCP)</v>
          </cell>
          <cell r="M746" t="str">
            <v>No</v>
          </cell>
          <cell r="R746" t="str">
            <v>BELL DAVID DR.</v>
          </cell>
          <cell r="W746" t="str">
            <v>BELL DAVID LOUIS MD</v>
          </cell>
          <cell r="X746" t="str">
            <v>SLR-ROOSEVELT SITE</v>
          </cell>
          <cell r="Y746" t="str">
            <v>NEW YORK</v>
          </cell>
          <cell r="Z746" t="str">
            <v>NY</v>
          </cell>
          <cell r="AA746" t="str">
            <v>10019-1147</v>
          </cell>
          <cell r="AB746" t="str">
            <v>PHYSICIAN</v>
          </cell>
          <cell r="AC746" t="str">
            <v>M</v>
          </cell>
          <cell r="AD746" t="str">
            <v>No</v>
          </cell>
          <cell r="AE746" t="str">
            <v>MMIS</v>
          </cell>
          <cell r="AF746" t="str">
            <v>nypwestacn</v>
          </cell>
          <cell r="AG746" t="str">
            <v>P</v>
          </cell>
        </row>
        <row r="747">
          <cell r="A747" t="str">
            <v>1417049297</v>
          </cell>
          <cell r="B747" t="str">
            <v>00509339</v>
          </cell>
          <cell r="C747" t="str">
            <v>LUKASH, BARBARA L</v>
          </cell>
          <cell r="D747" t="str">
            <v>E0248725</v>
          </cell>
          <cell r="E747" t="str">
            <v>LUKASH BARBARA LYNNE       MD</v>
          </cell>
          <cell r="G747" t="str">
            <v>Kathryn Spaziani</v>
          </cell>
          <cell r="H747" t="str">
            <v>(212) 305-1190</v>
          </cell>
          <cell r="J747" t="str">
            <v>kas9171@nyp.org</v>
          </cell>
          <cell r="L747" t="str">
            <v>Practitioner - Non-Primary Care Provider (PCP)</v>
          </cell>
          <cell r="M747" t="str">
            <v>No</v>
          </cell>
          <cell r="R747" t="str">
            <v>LUKASH BARBARA</v>
          </cell>
          <cell r="W747" t="str">
            <v>LUKASH BARBARA LYNNE       MD</v>
          </cell>
          <cell r="X747" t="str">
            <v>824 BRONX RIVER RD</v>
          </cell>
          <cell r="Y747" t="str">
            <v>BRONXVILLE</v>
          </cell>
          <cell r="Z747" t="str">
            <v>NY</v>
          </cell>
          <cell r="AA747" t="str">
            <v>10708-7066</v>
          </cell>
          <cell r="AB747" t="str">
            <v>PHYSICIAN</v>
          </cell>
          <cell r="AC747" t="str">
            <v>M</v>
          </cell>
          <cell r="AD747" t="str">
            <v>No</v>
          </cell>
          <cell r="AE747" t="str">
            <v>MMIS</v>
          </cell>
          <cell r="AF747" t="str">
            <v>nypwestcampus</v>
          </cell>
          <cell r="AG747" t="str">
            <v>P</v>
          </cell>
        </row>
        <row r="748">
          <cell r="A748" t="str">
            <v>1699105346</v>
          </cell>
          <cell r="B748" t="str">
            <v>03806315</v>
          </cell>
          <cell r="C748" t="str">
            <v>Tian, Wenping</v>
          </cell>
          <cell r="D748" t="str">
            <v>E0390058</v>
          </cell>
          <cell r="E748" t="str">
            <v>TIAN WENPING</v>
          </cell>
          <cell r="G748" t="str">
            <v>Betty Cheng</v>
          </cell>
          <cell r="H748" t="str">
            <v>(212) 379-6988</v>
          </cell>
          <cell r="I748">
            <v>2604</v>
          </cell>
          <cell r="J748" t="str">
            <v>bcheng@cbwchc.org</v>
          </cell>
          <cell r="L748" t="str">
            <v>All Other:: Practitioner - Non-Primary Care Provider (PCP)</v>
          </cell>
          <cell r="M748" t="str">
            <v>No</v>
          </cell>
          <cell r="R748" t="str">
            <v>TIAN WENPING</v>
          </cell>
          <cell r="W748" t="str">
            <v>TIAN WENPING</v>
          </cell>
          <cell r="X748" t="str">
            <v>268 CANAL ST</v>
          </cell>
          <cell r="Y748" t="str">
            <v>NEW YORK</v>
          </cell>
          <cell r="Z748" t="str">
            <v>NY</v>
          </cell>
          <cell r="AA748" t="str">
            <v>10013-3599</v>
          </cell>
          <cell r="AB748" t="str">
            <v>NURSE</v>
          </cell>
          <cell r="AC748" t="str">
            <v>M</v>
          </cell>
          <cell r="AD748" t="str">
            <v>No</v>
          </cell>
          <cell r="AE748" t="str">
            <v>MMIS</v>
          </cell>
          <cell r="AF748" t="str">
            <v>cbwchc</v>
          </cell>
          <cell r="AG748" t="str">
            <v>P</v>
          </cell>
        </row>
        <row r="749">
          <cell r="A749" t="str">
            <v>1780912824</v>
          </cell>
          <cell r="B749" t="str">
            <v>03173920</v>
          </cell>
          <cell r="C749" t="str">
            <v>Tung, Pearl</v>
          </cell>
          <cell r="D749" t="str">
            <v>E0301492</v>
          </cell>
          <cell r="E749" t="str">
            <v>TUNG PEARL</v>
          </cell>
          <cell r="G749" t="str">
            <v>Betty Cheng</v>
          </cell>
          <cell r="H749" t="str">
            <v>(212) 379-6988</v>
          </cell>
          <cell r="I749">
            <v>2604</v>
          </cell>
          <cell r="J749" t="str">
            <v>bcheng@cbwchc.org</v>
          </cell>
          <cell r="L749" t="str">
            <v>All Other:: Practitioner - Non-Primary Care Provider (PCP)</v>
          </cell>
          <cell r="M749" t="str">
            <v>Yes</v>
          </cell>
          <cell r="R749" t="str">
            <v>TUNG PEARL</v>
          </cell>
          <cell r="W749" t="str">
            <v>TUNG PEARL</v>
          </cell>
          <cell r="X749" t="str">
            <v>150 55TH ST</v>
          </cell>
          <cell r="Y749" t="str">
            <v>BROOKLYN</v>
          </cell>
          <cell r="Z749" t="str">
            <v>NY</v>
          </cell>
          <cell r="AA749" t="str">
            <v>11220-2559</v>
          </cell>
          <cell r="AB749" t="str">
            <v>NURSE</v>
          </cell>
          <cell r="AC749" t="str">
            <v>M</v>
          </cell>
          <cell r="AD749" t="str">
            <v>No</v>
          </cell>
          <cell r="AE749" t="str">
            <v>MMIS</v>
          </cell>
          <cell r="AF749" t="str">
            <v>cbwchc</v>
          </cell>
          <cell r="AG749" t="str">
            <v>P</v>
          </cell>
        </row>
        <row r="750">
          <cell r="A750" t="str">
            <v>1720077506</v>
          </cell>
          <cell r="B750" t="str">
            <v>01886135</v>
          </cell>
          <cell r="C750" t="str">
            <v xml:space="preserve">Au, Loretta Young        </v>
          </cell>
          <cell r="D750" t="str">
            <v>E0111431</v>
          </cell>
          <cell r="E750" t="str">
            <v>AU LORETTA</v>
          </cell>
          <cell r="G750" t="str">
            <v>Betty Cheng</v>
          </cell>
          <cell r="H750" t="str">
            <v>(212) 379-6988</v>
          </cell>
          <cell r="I750">
            <v>2604</v>
          </cell>
          <cell r="J750" t="str">
            <v>bcheng@cbwchc.org</v>
          </cell>
          <cell r="L750" t="str">
            <v>All Other:: Practitioner - Primary Care Provider (PCP)</v>
          </cell>
          <cell r="M750" t="str">
            <v>Yes</v>
          </cell>
          <cell r="R750" t="str">
            <v>AU LORETTA</v>
          </cell>
          <cell r="W750" t="str">
            <v>AU LORETTA</v>
          </cell>
          <cell r="X750" t="str">
            <v>125 WALKER ST</v>
          </cell>
          <cell r="Y750" t="str">
            <v>NEW YORK</v>
          </cell>
          <cell r="Z750" t="str">
            <v>NY</v>
          </cell>
          <cell r="AA750" t="str">
            <v>10013-4135</v>
          </cell>
          <cell r="AB750" t="str">
            <v>PHYSICIAN</v>
          </cell>
          <cell r="AC750" t="str">
            <v>M</v>
          </cell>
          <cell r="AD750" t="str">
            <v>No</v>
          </cell>
          <cell r="AE750" t="str">
            <v>MMIS</v>
          </cell>
          <cell r="AF750" t="str">
            <v>cbwchc</v>
          </cell>
          <cell r="AG750" t="str">
            <v>P</v>
          </cell>
        </row>
        <row r="751">
          <cell r="A751" t="str">
            <v>1275620361</v>
          </cell>
          <cell r="B751" t="str">
            <v>02727402</v>
          </cell>
          <cell r="C751" t="str">
            <v xml:space="preserve">SOBEL, VIVIAN </v>
          </cell>
          <cell r="D751" t="str">
            <v>E0027446</v>
          </cell>
          <cell r="E751" t="str">
            <v>SOBEL VIVIAN MD</v>
          </cell>
          <cell r="G751" t="str">
            <v>Kathryn Spaziani</v>
          </cell>
          <cell r="H751" t="str">
            <v>(212) 305-1190</v>
          </cell>
          <cell r="J751" t="str">
            <v>kas9171@nyp.org</v>
          </cell>
          <cell r="L751" t="str">
            <v>All Other:: Practitioner - Non-Primary Care Provider (PCP)</v>
          </cell>
          <cell r="M751" t="str">
            <v>No</v>
          </cell>
          <cell r="R751" t="str">
            <v>SOBEL VIVIAN</v>
          </cell>
          <cell r="W751" t="str">
            <v>SOBEL VIVIAN</v>
          </cell>
          <cell r="X751" t="str">
            <v>525 E 68TH ST # F2008 # 136</v>
          </cell>
          <cell r="Y751" t="str">
            <v>NEW YORK</v>
          </cell>
          <cell r="Z751" t="str">
            <v>NY</v>
          </cell>
          <cell r="AA751" t="str">
            <v>10065-4870</v>
          </cell>
          <cell r="AB751" t="str">
            <v>PHYSICIAN</v>
          </cell>
          <cell r="AC751" t="str">
            <v>M</v>
          </cell>
          <cell r="AD751" t="str">
            <v>No</v>
          </cell>
          <cell r="AE751" t="str">
            <v>MMIS</v>
          </cell>
          <cell r="AF751" t="str">
            <v>nypeastcampus</v>
          </cell>
          <cell r="AG751" t="str">
            <v>P</v>
          </cell>
        </row>
        <row r="752">
          <cell r="A752" t="str">
            <v>1659539088</v>
          </cell>
          <cell r="B752" t="str">
            <v>03407150</v>
          </cell>
          <cell r="C752" t="str">
            <v>POWERS, AMANDA</v>
          </cell>
          <cell r="D752" t="str">
            <v>E0328639</v>
          </cell>
          <cell r="E752" t="str">
            <v>POWERS AMANDA J</v>
          </cell>
          <cell r="G752" t="str">
            <v>Kathryn Spaziani</v>
          </cell>
          <cell r="H752" t="str">
            <v>(212) 305-1316</v>
          </cell>
          <cell r="J752" t="str">
            <v>kas9171@nyp.org</v>
          </cell>
          <cell r="L752" t="str">
            <v>Practitioner - Non-Primary Care Provider (PCP)</v>
          </cell>
          <cell r="M752" t="str">
            <v>Yes</v>
          </cell>
          <cell r="R752" t="str">
            <v>POWERS AMANDA DR.</v>
          </cell>
          <cell r="W752" t="str">
            <v>POWERS AMANDA JAYNE</v>
          </cell>
          <cell r="X752" t="str">
            <v>161 FORT WASHINGTON, 5 FLOOR</v>
          </cell>
          <cell r="Y752" t="str">
            <v>NEW YORK</v>
          </cell>
          <cell r="Z752" t="str">
            <v>NY</v>
          </cell>
          <cell r="AA752" t="str">
            <v>10032-0001</v>
          </cell>
          <cell r="AB752" t="str">
            <v>PHYSICIAN</v>
          </cell>
          <cell r="AC752" t="str">
            <v>M</v>
          </cell>
          <cell r="AD752" t="str">
            <v>No</v>
          </cell>
          <cell r="AE752" t="str">
            <v>MMIS</v>
          </cell>
          <cell r="AF752" t="str">
            <v>nypwestcampus</v>
          </cell>
          <cell r="AG752" t="str">
            <v>P</v>
          </cell>
        </row>
        <row r="753">
          <cell r="A753" t="str">
            <v>1962463729</v>
          </cell>
          <cell r="B753" t="str">
            <v>02313064</v>
          </cell>
          <cell r="C753" t="str">
            <v>SASLAW, MINNA M</v>
          </cell>
          <cell r="D753" t="str">
            <v>E0068795</v>
          </cell>
          <cell r="E753" t="str">
            <v>SASLAW MINNA M MD</v>
          </cell>
          <cell r="G753" t="str">
            <v>Kathryn Spaziani</v>
          </cell>
          <cell r="H753" t="str">
            <v>(212) 305-1190</v>
          </cell>
          <cell r="J753" t="str">
            <v>kas9171@nyp.org</v>
          </cell>
          <cell r="L753" t="str">
            <v>All Other:: Practitioner - Primary Care Provider (PCP)</v>
          </cell>
          <cell r="M753" t="str">
            <v>Yes</v>
          </cell>
          <cell r="R753" t="str">
            <v>SASLAW MINNA DR.</v>
          </cell>
          <cell r="W753" t="str">
            <v>SASLAW MINNA M MD</v>
          </cell>
          <cell r="X753" t="str">
            <v>CPMC PH 1-137</v>
          </cell>
          <cell r="Y753" t="str">
            <v>NEW YORK</v>
          </cell>
          <cell r="Z753" t="str">
            <v>NY</v>
          </cell>
          <cell r="AA753" t="str">
            <v>10032-3720</v>
          </cell>
          <cell r="AB753" t="str">
            <v>PHYSICIAN</v>
          </cell>
          <cell r="AC753" t="str">
            <v>M</v>
          </cell>
          <cell r="AD753" t="str">
            <v>No</v>
          </cell>
          <cell r="AE753" t="str">
            <v>MMIS</v>
          </cell>
          <cell r="AF753" t="str">
            <v>nypwestcampus</v>
          </cell>
          <cell r="AG753" t="str">
            <v>P</v>
          </cell>
        </row>
        <row r="754">
          <cell r="A754" t="str">
            <v>1720165400</v>
          </cell>
          <cell r="B754" t="str">
            <v>01365879</v>
          </cell>
          <cell r="C754" t="str">
            <v>DIMANGO, ANGELA M</v>
          </cell>
          <cell r="D754" t="str">
            <v>E0163363</v>
          </cell>
          <cell r="E754" t="str">
            <v>DIMANGO ANGELA M MD</v>
          </cell>
          <cell r="G754" t="str">
            <v>Kathryn Spaziani</v>
          </cell>
          <cell r="H754" t="str">
            <v>(212) 305-1190</v>
          </cell>
          <cell r="J754" t="str">
            <v>kas9171@nyp.org</v>
          </cell>
          <cell r="L754" t="str">
            <v>All Other:: Practitioner - Non-Primary Care Provider (PCP)</v>
          </cell>
          <cell r="M754" t="str">
            <v>No</v>
          </cell>
          <cell r="R754" t="str">
            <v>DIMANGO ANGELA DR.</v>
          </cell>
          <cell r="W754" t="str">
            <v>DIMANGO ANGELA M MD</v>
          </cell>
          <cell r="X754" t="str">
            <v># VC2-205</v>
          </cell>
          <cell r="Y754" t="str">
            <v>NEW YORK</v>
          </cell>
          <cell r="Z754" t="str">
            <v>NY</v>
          </cell>
          <cell r="AA754" t="str">
            <v>10032-3720</v>
          </cell>
          <cell r="AB754" t="str">
            <v>PHYSICIAN</v>
          </cell>
          <cell r="AC754" t="str">
            <v>M</v>
          </cell>
          <cell r="AD754" t="str">
            <v>No</v>
          </cell>
          <cell r="AE754" t="str">
            <v>MMIS</v>
          </cell>
          <cell r="AF754" t="str">
            <v>nypwestacn</v>
          </cell>
          <cell r="AG754" t="str">
            <v>P</v>
          </cell>
        </row>
        <row r="755">
          <cell r="A755" t="str">
            <v>1639145519</v>
          </cell>
          <cell r="B755" t="str">
            <v>02885367</v>
          </cell>
          <cell r="C755" t="str">
            <v xml:space="preserve">BRUDER, PHILIP </v>
          </cell>
          <cell r="D755" t="str">
            <v>E0011668</v>
          </cell>
          <cell r="E755" t="str">
            <v>BRUDER PHILIP</v>
          </cell>
          <cell r="G755" t="str">
            <v>Kathryn Spaziani</v>
          </cell>
          <cell r="H755" t="str">
            <v>(212) 305-1190</v>
          </cell>
          <cell r="J755" t="str">
            <v>kas9171@nyp.org</v>
          </cell>
          <cell r="L755" t="str">
            <v>Practitioner - Non-Primary Care Provider (PCP)</v>
          </cell>
          <cell r="M755" t="str">
            <v>No</v>
          </cell>
          <cell r="R755" t="str">
            <v>BRUDER PHILIP DR.</v>
          </cell>
          <cell r="W755" t="str">
            <v>BRUDER PHILIP</v>
          </cell>
          <cell r="X755" t="str">
            <v>IRVING PAVILLIONN DE</v>
          </cell>
          <cell r="Y755" t="str">
            <v>NEW YORK</v>
          </cell>
          <cell r="Z755" t="str">
            <v>NY</v>
          </cell>
          <cell r="AA755" t="str">
            <v>10032</v>
          </cell>
          <cell r="AB755" t="str">
            <v>PHYSICIAN</v>
          </cell>
          <cell r="AC755" t="str">
            <v>M</v>
          </cell>
          <cell r="AD755" t="str">
            <v>No</v>
          </cell>
          <cell r="AE755" t="str">
            <v>MMIS</v>
          </cell>
          <cell r="AF755" t="str">
            <v>nypwestacn</v>
          </cell>
          <cell r="AG755" t="str">
            <v>P</v>
          </cell>
        </row>
        <row r="756">
          <cell r="A756" t="str">
            <v>1114094315</v>
          </cell>
          <cell r="B756" t="str">
            <v>01845087</v>
          </cell>
          <cell r="C756" t="str">
            <v xml:space="preserve">SEISDEDOS, TOMAS </v>
          </cell>
          <cell r="D756" t="str">
            <v>E0115532</v>
          </cell>
          <cell r="E756" t="str">
            <v>SEISDEDOS-ESTEVEZ TOMAS</v>
          </cell>
          <cell r="G756" t="str">
            <v>Kathryn Spaziani</v>
          </cell>
          <cell r="H756" t="str">
            <v>(212) 305-1190</v>
          </cell>
          <cell r="J756" t="str">
            <v>kas9171@nyp.org</v>
          </cell>
          <cell r="L756" t="str">
            <v>Practitioner - Primary Care Provider (PCP)</v>
          </cell>
          <cell r="M756" t="str">
            <v>No</v>
          </cell>
          <cell r="R756" t="str">
            <v>SEISDEDOS TOMAS DR.</v>
          </cell>
          <cell r="W756" t="str">
            <v>SEISDEDOS-ESTEVEZ TOMAS</v>
          </cell>
          <cell r="X756" t="str">
            <v>462 1ST AVE</v>
          </cell>
          <cell r="Y756" t="str">
            <v>NEW YORK</v>
          </cell>
          <cell r="Z756" t="str">
            <v>NY</v>
          </cell>
          <cell r="AA756" t="str">
            <v>10016-9196</v>
          </cell>
          <cell r="AB756" t="str">
            <v>PHYSICIAN</v>
          </cell>
          <cell r="AC756" t="str">
            <v>M</v>
          </cell>
          <cell r="AD756" t="str">
            <v>No</v>
          </cell>
          <cell r="AE756" t="str">
            <v>MMIS</v>
          </cell>
          <cell r="AF756" t="str">
            <v>nypeastcampus</v>
          </cell>
          <cell r="AG756" t="str">
            <v>P</v>
          </cell>
        </row>
        <row r="757">
          <cell r="A757" t="str">
            <v>1114142916</v>
          </cell>
          <cell r="B757" t="str">
            <v>03059510</v>
          </cell>
          <cell r="C757" t="str">
            <v>BALLIN, MARY C</v>
          </cell>
          <cell r="D757" t="str">
            <v>E0288269</v>
          </cell>
          <cell r="E757" t="str">
            <v>BALLIN MARY</v>
          </cell>
          <cell r="G757" t="str">
            <v>Kathryn Spaziani</v>
          </cell>
          <cell r="H757" t="str">
            <v>(212) 305-1190</v>
          </cell>
          <cell r="J757" t="str">
            <v>kas9171@nyp.org</v>
          </cell>
          <cell r="L757" t="str">
            <v>Practitioner - Non-Primary Care Provider (PCP)</v>
          </cell>
          <cell r="M757" t="str">
            <v>No</v>
          </cell>
          <cell r="R757" t="str">
            <v>BALLIN MARY</v>
          </cell>
          <cell r="W757" t="str">
            <v>BALLIN MARY</v>
          </cell>
          <cell r="X757" t="str">
            <v>1484 1ST AVE</v>
          </cell>
          <cell r="Y757" t="str">
            <v>NEW YORK</v>
          </cell>
          <cell r="Z757" t="str">
            <v>NY</v>
          </cell>
          <cell r="AA757" t="str">
            <v>10075-2304</v>
          </cell>
          <cell r="AB757" t="str">
            <v>PHYSICIAN</v>
          </cell>
          <cell r="AC757" t="str">
            <v>M</v>
          </cell>
          <cell r="AD757" t="str">
            <v>No</v>
          </cell>
          <cell r="AE757" t="str">
            <v>MMIS</v>
          </cell>
          <cell r="AF757" t="str">
            <v>nypeastacn</v>
          </cell>
          <cell r="AG757" t="str">
            <v>P</v>
          </cell>
        </row>
        <row r="758">
          <cell r="A758" t="str">
            <v>1134202864</v>
          </cell>
          <cell r="B758" t="str">
            <v>02746463</v>
          </cell>
          <cell r="C758" t="str">
            <v xml:space="preserve">CARTWRIGHT, CRYSTAL </v>
          </cell>
          <cell r="D758" t="str">
            <v>E0025542</v>
          </cell>
          <cell r="E758" t="str">
            <v>CARTWRIGHT CRYSTAL LYNN</v>
          </cell>
          <cell r="G758" t="str">
            <v>Kathryn Spaziani</v>
          </cell>
          <cell r="H758" t="str">
            <v>(212) 305-1190</v>
          </cell>
          <cell r="J758" t="str">
            <v>kas9171@nyp.org</v>
          </cell>
          <cell r="L758" t="str">
            <v>All Other:: Practitioner - Primary Care Provider (PCP)</v>
          </cell>
          <cell r="M758" t="str">
            <v>Yes</v>
          </cell>
          <cell r="R758" t="str">
            <v>CARTWRIGHT CRYSTAL MS.</v>
          </cell>
          <cell r="W758" t="str">
            <v>CARTWRIGHT CRYSTAL LYNN</v>
          </cell>
          <cell r="X758" t="str">
            <v>575 W W 181ST ST</v>
          </cell>
          <cell r="Y758" t="str">
            <v>NEW YORK</v>
          </cell>
          <cell r="Z758" t="str">
            <v>NY</v>
          </cell>
          <cell r="AA758" t="str">
            <v>10033-5002</v>
          </cell>
          <cell r="AB758" t="str">
            <v>PHYSICIAN</v>
          </cell>
          <cell r="AC758" t="str">
            <v>M</v>
          </cell>
          <cell r="AD758" t="str">
            <v>No</v>
          </cell>
          <cell r="AE758" t="str">
            <v>MMIS</v>
          </cell>
          <cell r="AF758" t="str">
            <v>nypwestacn</v>
          </cell>
          <cell r="AG758" t="str">
            <v>P</v>
          </cell>
        </row>
        <row r="759">
          <cell r="A759" t="str">
            <v>1134216229</v>
          </cell>
          <cell r="B759" t="str">
            <v>01655009</v>
          </cell>
          <cell r="C759" t="str">
            <v>Frank, Maura D</v>
          </cell>
          <cell r="D759" t="str">
            <v>E0134515</v>
          </cell>
          <cell r="E759" t="str">
            <v>FRANK MAURA DIANE MD</v>
          </cell>
          <cell r="G759" t="str">
            <v>Kathryn Spaziani</v>
          </cell>
          <cell r="H759" t="str">
            <v>(212) 305-1190</v>
          </cell>
          <cell r="J759" t="str">
            <v>kas9171@nyp.org</v>
          </cell>
          <cell r="L759" t="str">
            <v>All Other:: Practitioner - Primary Care Provider (PCP)</v>
          </cell>
          <cell r="M759" t="str">
            <v>Yes</v>
          </cell>
          <cell r="R759" t="str">
            <v>FRANK MAURA</v>
          </cell>
          <cell r="W759" t="str">
            <v>FRANK MAURA DIANE MD</v>
          </cell>
          <cell r="X759" t="str">
            <v>525 E 68TH ST</v>
          </cell>
          <cell r="Y759" t="str">
            <v>NEW YORK</v>
          </cell>
          <cell r="Z759" t="str">
            <v>NY</v>
          </cell>
          <cell r="AA759" t="str">
            <v>10065-4870</v>
          </cell>
          <cell r="AB759" t="str">
            <v>PHYSICIAN</v>
          </cell>
          <cell r="AC759" t="str">
            <v>M</v>
          </cell>
          <cell r="AD759" t="str">
            <v>No</v>
          </cell>
          <cell r="AE759" t="str">
            <v>MMIS</v>
          </cell>
          <cell r="AF759" t="str">
            <v>nypeastacn</v>
          </cell>
          <cell r="AG759" t="str">
            <v>P</v>
          </cell>
        </row>
        <row r="760">
          <cell r="A760" t="str">
            <v>1528158797</v>
          </cell>
          <cell r="B760" t="str">
            <v>01013941</v>
          </cell>
          <cell r="C760" t="str">
            <v>Loughlin, Gerald</v>
          </cell>
          <cell r="D760" t="str">
            <v>E0198467</v>
          </cell>
          <cell r="E760" t="str">
            <v>LOUGHLIN GERALD MICHAEL MD</v>
          </cell>
          <cell r="G760" t="str">
            <v>Kathryn Spaziani</v>
          </cell>
          <cell r="H760" t="str">
            <v>(212) 305-1190</v>
          </cell>
          <cell r="J760" t="str">
            <v>kas9171@nyp.org</v>
          </cell>
          <cell r="L760" t="str">
            <v>Practitioner - Non-Primary Care Provider (PCP)</v>
          </cell>
          <cell r="M760" t="str">
            <v>No</v>
          </cell>
          <cell r="R760" t="str">
            <v>LOUGHLIN GERALD</v>
          </cell>
          <cell r="W760" t="str">
            <v>LOUGHLIN GERALD MICHAEL MD</v>
          </cell>
          <cell r="X760" t="str">
            <v>600 N WOLFE ST</v>
          </cell>
          <cell r="Y760" t="str">
            <v>BALTIMORE</v>
          </cell>
          <cell r="Z760" t="str">
            <v>MD</v>
          </cell>
          <cell r="AA760" t="str">
            <v>21205</v>
          </cell>
          <cell r="AB760" t="str">
            <v>PHYSICIAN</v>
          </cell>
          <cell r="AC760" t="str">
            <v>M</v>
          </cell>
          <cell r="AD760" t="str">
            <v>No</v>
          </cell>
          <cell r="AE760" t="str">
            <v>MMIS</v>
          </cell>
          <cell r="AF760" t="str">
            <v>nypeastcampus</v>
          </cell>
          <cell r="AG760" t="str">
            <v>P</v>
          </cell>
        </row>
        <row r="761">
          <cell r="A761" t="str">
            <v>1528212511</v>
          </cell>
          <cell r="B761" t="str">
            <v>03205516</v>
          </cell>
          <cell r="C761" t="str">
            <v>MANDIGO, GRACE K</v>
          </cell>
          <cell r="D761" t="str">
            <v>E0305049</v>
          </cell>
          <cell r="E761" t="str">
            <v>MANDIGO GRACE KIM</v>
          </cell>
          <cell r="G761" t="str">
            <v>Kathryn Spaziani</v>
          </cell>
          <cell r="H761" t="str">
            <v>(212) 305-1190</v>
          </cell>
          <cell r="J761" t="str">
            <v>kas9171@nyp.org</v>
          </cell>
          <cell r="L761" t="str">
            <v>All Other:: Practitioner - Non-Primary Care Provider (PCP)</v>
          </cell>
          <cell r="M761" t="str">
            <v>No</v>
          </cell>
          <cell r="R761" t="str">
            <v>MANDIGO GRACE DR.</v>
          </cell>
          <cell r="W761" t="str">
            <v>MANDIGO GRACE KIM</v>
          </cell>
          <cell r="X761" t="str">
            <v>5141 BROADWAY &amp; 219TH STREET</v>
          </cell>
          <cell r="Y761" t="str">
            <v>NEW YORK</v>
          </cell>
          <cell r="Z761" t="str">
            <v>NY</v>
          </cell>
          <cell r="AA761" t="str">
            <v>10034-0001</v>
          </cell>
          <cell r="AB761" t="str">
            <v>PHYSICIAN</v>
          </cell>
          <cell r="AC761" t="str">
            <v>M</v>
          </cell>
          <cell r="AD761" t="str">
            <v>No</v>
          </cell>
          <cell r="AE761" t="str">
            <v>MMIS</v>
          </cell>
          <cell r="AF761" t="str">
            <v>nypwestcampus</v>
          </cell>
          <cell r="AG761" t="str">
            <v>P</v>
          </cell>
        </row>
        <row r="762">
          <cell r="A762" t="str">
            <v>1528228756</v>
          </cell>
          <cell r="B762" t="str">
            <v>03491545</v>
          </cell>
          <cell r="C762" t="str">
            <v xml:space="preserve">WEAVER, JOSHUA </v>
          </cell>
          <cell r="D762" t="str">
            <v>E0338665</v>
          </cell>
          <cell r="E762" t="str">
            <v>WEAVER JOSHUA JASON</v>
          </cell>
          <cell r="G762" t="str">
            <v>Kathryn Spaziani</v>
          </cell>
          <cell r="H762" t="str">
            <v>(212) 305-1190</v>
          </cell>
          <cell r="J762" t="str">
            <v>kas9171@nyp.org</v>
          </cell>
          <cell r="L762" t="str">
            <v>All Other:: Practitioner - Non-Primary Care Provider (PCP)</v>
          </cell>
          <cell r="M762" t="str">
            <v>No</v>
          </cell>
          <cell r="R762" t="str">
            <v>WEAVER JOSHUA DR.</v>
          </cell>
          <cell r="W762" t="str">
            <v>WEAVER JOSHUA JASON</v>
          </cell>
          <cell r="X762" t="str">
            <v>77 MEDFORD AVE</v>
          </cell>
          <cell r="Y762" t="str">
            <v>PATCHOGUE</v>
          </cell>
          <cell r="Z762" t="str">
            <v>NY</v>
          </cell>
          <cell r="AA762" t="str">
            <v>11772-1281</v>
          </cell>
          <cell r="AB762" t="str">
            <v>PHYSICIAN</v>
          </cell>
          <cell r="AC762" t="str">
            <v>M</v>
          </cell>
          <cell r="AD762" t="str">
            <v>No</v>
          </cell>
          <cell r="AE762" t="str">
            <v>MMIS</v>
          </cell>
          <cell r="AF762" t="str">
            <v>nypeastcampus</v>
          </cell>
          <cell r="AG762" t="str">
            <v>P</v>
          </cell>
        </row>
        <row r="763">
          <cell r="A763" t="str">
            <v>1104252063</v>
          </cell>
          <cell r="C763" t="str">
            <v>Elaine Mullen</v>
          </cell>
          <cell r="G763" t="str">
            <v>Dianna Dragatsi</v>
          </cell>
          <cell r="H763" t="str">
            <v>(212) 942-8524</v>
          </cell>
          <cell r="J763" t="str">
            <v>Dragats@nyspi.columbia.edu</v>
          </cell>
          <cell r="K763" t="str">
            <v>Other Practitioners</v>
          </cell>
          <cell r="L763" t="str">
            <v>Uncategorized</v>
          </cell>
          <cell r="M763" t="str">
            <v>No</v>
          </cell>
          <cell r="R763" t="str">
            <v>MULLEN ELAINE</v>
          </cell>
          <cell r="S763" t="str">
            <v>513 W 166TH ST FL 4</v>
          </cell>
          <cell r="T763" t="str">
            <v>NEW YORK</v>
          </cell>
          <cell r="U763" t="str">
            <v>NY</v>
          </cell>
          <cell r="V763" t="str">
            <v>100324207</v>
          </cell>
          <cell r="AC763" t="str">
            <v>M</v>
          </cell>
          <cell r="AD763" t="str">
            <v>No</v>
          </cell>
          <cell r="AE763" t="str">
            <v>NPI only</v>
          </cell>
          <cell r="AF763" t="str">
            <v>nyspi</v>
          </cell>
          <cell r="AG763" t="str">
            <v>P</v>
          </cell>
        </row>
        <row r="764">
          <cell r="C764" t="str">
            <v>Yohannen Ness</v>
          </cell>
          <cell r="G764" t="str">
            <v>Dianna Dragatsi</v>
          </cell>
          <cell r="H764" t="str">
            <v>(212) 942-8525</v>
          </cell>
          <cell r="J764" t="str">
            <v>Dragats@nyspi.columbia.edu</v>
          </cell>
          <cell r="K764" t="str">
            <v>Other Practitioners</v>
          </cell>
          <cell r="L764" t="str">
            <v>CBO</v>
          </cell>
          <cell r="M764" t="str">
            <v>No</v>
          </cell>
          <cell r="AC764" t="str">
            <v>M</v>
          </cell>
          <cell r="AD764" t="str">
            <v>No</v>
          </cell>
          <cell r="AE764" t="str">
            <v>No NPI or MMIS</v>
          </cell>
          <cell r="AF764" t="str">
            <v>nyspi</v>
          </cell>
          <cell r="AG764" t="str">
            <v>P</v>
          </cell>
        </row>
        <row r="765">
          <cell r="A765" t="str">
            <v>1659455335</v>
          </cell>
          <cell r="B765" t="str">
            <v>02676460</v>
          </cell>
          <cell r="C765" t="str">
            <v>KODALI, SUSHEEL K</v>
          </cell>
          <cell r="D765" t="str">
            <v>E0032529</v>
          </cell>
          <cell r="E765" t="str">
            <v>KODALI SUSHEEL KUMAR MD</v>
          </cell>
          <cell r="G765" t="str">
            <v>Kathryn Spaziani</v>
          </cell>
          <cell r="H765" t="str">
            <v>(212) 305-1190</v>
          </cell>
          <cell r="J765" t="str">
            <v>kas9171@nyp.org</v>
          </cell>
          <cell r="L765" t="str">
            <v>All Other:: Practitioner - Non-Primary Care Provider (PCP)</v>
          </cell>
          <cell r="M765" t="str">
            <v>No</v>
          </cell>
          <cell r="R765" t="str">
            <v>KODALI SUSHEEL DR.</v>
          </cell>
          <cell r="W765" t="str">
            <v>KODALI SUSHEEL KUMAR MD</v>
          </cell>
          <cell r="X765" t="str">
            <v>622 W 168TH ST</v>
          </cell>
          <cell r="Y765" t="str">
            <v>NEW YORK</v>
          </cell>
          <cell r="Z765" t="str">
            <v>NY</v>
          </cell>
          <cell r="AA765" t="str">
            <v>10032-3720</v>
          </cell>
          <cell r="AB765" t="str">
            <v>PHYSICIAN</v>
          </cell>
          <cell r="AC765" t="str">
            <v>M</v>
          </cell>
          <cell r="AD765" t="str">
            <v>No</v>
          </cell>
          <cell r="AE765" t="str">
            <v>MMIS</v>
          </cell>
          <cell r="AF765" t="str">
            <v>nypwestcampus</v>
          </cell>
          <cell r="AG765" t="str">
            <v>P</v>
          </cell>
        </row>
        <row r="766">
          <cell r="A766" t="str">
            <v>1255639605</v>
          </cell>
          <cell r="B766" t="str">
            <v>03887134</v>
          </cell>
          <cell r="C766" t="str">
            <v>ROSENBERG, ELANA S</v>
          </cell>
          <cell r="D766" t="str">
            <v>E0379828</v>
          </cell>
          <cell r="E766" t="str">
            <v>ROSENBERG ELANA S</v>
          </cell>
          <cell r="G766" t="str">
            <v>Kathryn Spaziani</v>
          </cell>
          <cell r="H766" t="str">
            <v>(212) 305-1190</v>
          </cell>
          <cell r="J766" t="str">
            <v>kas9171@nyp.org</v>
          </cell>
          <cell r="L766" t="str">
            <v>All Other:: Practitioner - Non-Primary Care Provider (PCP)</v>
          </cell>
          <cell r="M766" t="str">
            <v>No</v>
          </cell>
          <cell r="R766" t="str">
            <v>ROSENBERG ELANA DR.</v>
          </cell>
          <cell r="W766" t="str">
            <v>ROSENBERG ELANA SARAH</v>
          </cell>
          <cell r="X766" t="str">
            <v>635 W 165TH ST BSMT</v>
          </cell>
          <cell r="Y766" t="str">
            <v>NEW YORK</v>
          </cell>
          <cell r="Z766" t="str">
            <v>NY</v>
          </cell>
          <cell r="AA766" t="str">
            <v>10032-3724</v>
          </cell>
          <cell r="AB766" t="str">
            <v>PHYSICIAN</v>
          </cell>
          <cell r="AC766" t="str">
            <v>M</v>
          </cell>
          <cell r="AD766" t="str">
            <v>No</v>
          </cell>
          <cell r="AE766" t="str">
            <v>MMIS</v>
          </cell>
          <cell r="AF766" t="str">
            <v>nypwestacn</v>
          </cell>
          <cell r="AG766" t="str">
            <v>P</v>
          </cell>
        </row>
        <row r="767">
          <cell r="A767" t="str">
            <v>1265461115</v>
          </cell>
          <cell r="B767" t="str">
            <v>02416104</v>
          </cell>
          <cell r="C767" t="str">
            <v xml:space="preserve">CEPIN, ANA </v>
          </cell>
          <cell r="D767" t="str">
            <v>E0058517</v>
          </cell>
          <cell r="E767" t="str">
            <v>CEPIN ANA G MD</v>
          </cell>
          <cell r="G767" t="str">
            <v>Kathryn Spaziani</v>
          </cell>
          <cell r="H767" t="str">
            <v>(212) 305-1190</v>
          </cell>
          <cell r="J767" t="str">
            <v>kas9171@nyp.org</v>
          </cell>
          <cell r="L767" t="str">
            <v>All Other:: Practitioner - Non-Primary Care Provider (PCP)</v>
          </cell>
          <cell r="M767" t="str">
            <v>No</v>
          </cell>
          <cell r="R767" t="str">
            <v>CEPIN ANA</v>
          </cell>
          <cell r="W767" t="str">
            <v>CEPIN ANA G MD</v>
          </cell>
          <cell r="X767" t="str">
            <v>NY PRESB/COLUM UNIV</v>
          </cell>
          <cell r="Y767" t="str">
            <v>NEW YORK</v>
          </cell>
          <cell r="Z767" t="str">
            <v>NY</v>
          </cell>
          <cell r="AA767" t="str">
            <v>10032-3720</v>
          </cell>
          <cell r="AB767" t="str">
            <v>PHYSICIAN</v>
          </cell>
          <cell r="AC767" t="str">
            <v>M</v>
          </cell>
          <cell r="AD767" t="str">
            <v>No</v>
          </cell>
          <cell r="AE767" t="str">
            <v>MMIS</v>
          </cell>
          <cell r="AF767" t="str">
            <v>nypwestacn</v>
          </cell>
          <cell r="AG767" t="str">
            <v>P</v>
          </cell>
        </row>
        <row r="768">
          <cell r="A768" t="str">
            <v>1649439266</v>
          </cell>
          <cell r="B768" t="str">
            <v>03624251</v>
          </cell>
          <cell r="C768" t="str">
            <v xml:space="preserve">VO, MARY </v>
          </cell>
          <cell r="D768" t="str">
            <v>E0352683</v>
          </cell>
          <cell r="E768" t="str">
            <v>VO MARY LAN</v>
          </cell>
          <cell r="G768" t="str">
            <v>Kathryn Spaziani</v>
          </cell>
          <cell r="H768" t="str">
            <v>(212) 305-1190</v>
          </cell>
          <cell r="J768" t="str">
            <v>kas9171@nyp.org</v>
          </cell>
          <cell r="L768" t="str">
            <v>All Other:: Practitioner - Non-Primary Care Provider (PCP)</v>
          </cell>
          <cell r="M768" t="str">
            <v>No</v>
          </cell>
          <cell r="R768" t="str">
            <v>VO MARY</v>
          </cell>
          <cell r="W768" t="str">
            <v>VO MARY LAN</v>
          </cell>
          <cell r="X768" t="str">
            <v>520 E 70TH ST</v>
          </cell>
          <cell r="Y768" t="str">
            <v>NEW YORK</v>
          </cell>
          <cell r="Z768" t="str">
            <v>NY</v>
          </cell>
          <cell r="AA768" t="str">
            <v>10021-9800</v>
          </cell>
          <cell r="AB768" t="str">
            <v>PHYSICIAN</v>
          </cell>
          <cell r="AC768" t="str">
            <v>M</v>
          </cell>
          <cell r="AD768" t="str">
            <v>No</v>
          </cell>
          <cell r="AE768" t="str">
            <v>MMIS</v>
          </cell>
          <cell r="AF768" t="str">
            <v>nypeastcampus</v>
          </cell>
          <cell r="AG768" t="str">
            <v>P</v>
          </cell>
        </row>
        <row r="769">
          <cell r="A769" t="str">
            <v>1033314257</v>
          </cell>
          <cell r="B769" t="str">
            <v>03225578</v>
          </cell>
          <cell r="C769" t="str">
            <v>HOANG, QUAN V.M.</v>
          </cell>
          <cell r="D769" t="str">
            <v>E0307266</v>
          </cell>
          <cell r="E769" t="str">
            <v>HOANG QUAN VAN MANH</v>
          </cell>
          <cell r="G769" t="str">
            <v>Kathryn Spaziani</v>
          </cell>
          <cell r="H769" t="str">
            <v>(212) 305-1190</v>
          </cell>
          <cell r="J769" t="str">
            <v>kas9171@nyp.org</v>
          </cell>
          <cell r="L769" t="str">
            <v>Practitioner - Non-Primary Care Provider (PCP)</v>
          </cell>
          <cell r="M769" t="str">
            <v>No</v>
          </cell>
          <cell r="R769" t="str">
            <v>HOANG QUAN DR.</v>
          </cell>
          <cell r="W769" t="str">
            <v>HOANG QUAN VAN MANH</v>
          </cell>
          <cell r="X769" t="str">
            <v>635 W 165TH ST BSMT</v>
          </cell>
          <cell r="Y769" t="str">
            <v>NEW YORK</v>
          </cell>
          <cell r="Z769" t="str">
            <v>NY</v>
          </cell>
          <cell r="AA769" t="str">
            <v>10032-3724</v>
          </cell>
          <cell r="AB769" t="str">
            <v>PHYSICIAN</v>
          </cell>
          <cell r="AC769" t="str">
            <v>M</v>
          </cell>
          <cell r="AD769" t="str">
            <v>No</v>
          </cell>
          <cell r="AE769" t="str">
            <v>MMIS</v>
          </cell>
          <cell r="AF769" t="str">
            <v>nypwestacn</v>
          </cell>
          <cell r="AG769" t="str">
            <v>P</v>
          </cell>
        </row>
        <row r="770">
          <cell r="A770" t="str">
            <v>1083946669</v>
          </cell>
          <cell r="B770" t="str">
            <v>03203376</v>
          </cell>
          <cell r="C770" t="str">
            <v xml:space="preserve">ARREOLA, CYNTHIA </v>
          </cell>
          <cell r="D770" t="str">
            <v>E0304823</v>
          </cell>
          <cell r="E770" t="str">
            <v>ARREOLA CYNTHIA</v>
          </cell>
          <cell r="G770" t="str">
            <v>Kathryn Spaziani</v>
          </cell>
          <cell r="H770" t="str">
            <v>(212) 305-1190</v>
          </cell>
          <cell r="J770" t="str">
            <v>kas9171@nyp.org</v>
          </cell>
          <cell r="L770" t="str">
            <v>Uncategorized</v>
          </cell>
          <cell r="M770" t="str">
            <v>No</v>
          </cell>
          <cell r="R770" t="str">
            <v>ARREOLA CYNTHIA</v>
          </cell>
          <cell r="W770" t="str">
            <v>ARREOLA CYNTHIA</v>
          </cell>
          <cell r="X770" t="str">
            <v>534 W 135TH ST</v>
          </cell>
          <cell r="Y770" t="str">
            <v>NEW YORK</v>
          </cell>
          <cell r="Z770" t="str">
            <v>NY</v>
          </cell>
          <cell r="AA770" t="str">
            <v>10031-8644</v>
          </cell>
          <cell r="AB770" t="str">
            <v>CLINICAL SOCIAL WORKER (CSW)</v>
          </cell>
          <cell r="AC770" t="str">
            <v>M</v>
          </cell>
          <cell r="AD770" t="str">
            <v>No</v>
          </cell>
          <cell r="AE770" t="str">
            <v>MMIS</v>
          </cell>
          <cell r="AF770" t="str">
            <v>nypwestacn</v>
          </cell>
          <cell r="AG770" t="str">
            <v>P</v>
          </cell>
        </row>
        <row r="771">
          <cell r="A771" t="str">
            <v>1093024283</v>
          </cell>
          <cell r="B771" t="str">
            <v>03686986</v>
          </cell>
          <cell r="C771" t="str">
            <v>CAROTHERS, KRISTIN J</v>
          </cell>
          <cell r="D771" t="str">
            <v>E0359190</v>
          </cell>
          <cell r="E771" t="str">
            <v>CAROTHERS KRISTIN</v>
          </cell>
          <cell r="G771" t="str">
            <v>Kathryn Spaziani</v>
          </cell>
          <cell r="H771" t="str">
            <v>(212) 305-1190</v>
          </cell>
          <cell r="J771" t="str">
            <v>kas9171@nyp.org</v>
          </cell>
          <cell r="L771" t="str">
            <v>Practitioner - Non-Primary Care Provider (PCP)</v>
          </cell>
          <cell r="M771" t="str">
            <v>No</v>
          </cell>
          <cell r="R771" t="str">
            <v>CAROTHERS KRISTIN DR.</v>
          </cell>
          <cell r="W771" t="str">
            <v>CAROTHERS KRISTIN</v>
          </cell>
          <cell r="X771" t="str">
            <v>3959 BROADWAY FL 6 # N</v>
          </cell>
          <cell r="Y771" t="str">
            <v>NEW YORK</v>
          </cell>
          <cell r="Z771" t="str">
            <v>NY</v>
          </cell>
          <cell r="AA771" t="str">
            <v>10032-1559</v>
          </cell>
          <cell r="AB771" t="str">
            <v>CLINICAL PSYCHOLOGIST</v>
          </cell>
          <cell r="AC771" t="str">
            <v>M</v>
          </cell>
          <cell r="AD771" t="str">
            <v>No</v>
          </cell>
          <cell r="AE771" t="str">
            <v>MMIS</v>
          </cell>
          <cell r="AF771" t="str">
            <v>nypeastacn</v>
          </cell>
          <cell r="AG771" t="str">
            <v>P</v>
          </cell>
        </row>
        <row r="772">
          <cell r="A772" t="str">
            <v>1730252891</v>
          </cell>
          <cell r="B772" t="str">
            <v>02712325</v>
          </cell>
          <cell r="C772" t="str">
            <v xml:space="preserve">PATEL, NINA </v>
          </cell>
          <cell r="D772" t="str">
            <v>E0028953</v>
          </cell>
          <cell r="E772" t="str">
            <v>PATEL NINA M MD</v>
          </cell>
          <cell r="G772" t="str">
            <v>Kathryn Spaziani</v>
          </cell>
          <cell r="H772" t="str">
            <v>(212) 305-1190</v>
          </cell>
          <cell r="J772" t="str">
            <v>kas9171@nyp.org</v>
          </cell>
          <cell r="L772" t="str">
            <v>All Other:: Practitioner - Primary Care Provider (PCP)</v>
          </cell>
          <cell r="M772" t="str">
            <v>Yes</v>
          </cell>
          <cell r="R772" t="str">
            <v>PATEL NINA DR.</v>
          </cell>
          <cell r="W772" t="str">
            <v>PATEL NINA M MD</v>
          </cell>
          <cell r="X772" t="str">
            <v>622 W 168TH ST</v>
          </cell>
          <cell r="Y772" t="str">
            <v>NEW YORK</v>
          </cell>
          <cell r="Z772" t="str">
            <v>NY</v>
          </cell>
          <cell r="AA772" t="str">
            <v>10032-3720</v>
          </cell>
          <cell r="AB772" t="str">
            <v>PHYSICIAN</v>
          </cell>
          <cell r="AC772" t="str">
            <v>M</v>
          </cell>
          <cell r="AD772" t="str">
            <v>No</v>
          </cell>
          <cell r="AE772" t="str">
            <v>MMIS</v>
          </cell>
          <cell r="AF772" t="str">
            <v>nypwestcampus</v>
          </cell>
          <cell r="AG772" t="str">
            <v>P</v>
          </cell>
        </row>
        <row r="773">
          <cell r="A773" t="str">
            <v>1972890309</v>
          </cell>
          <cell r="B773" t="str">
            <v>03703757</v>
          </cell>
          <cell r="C773" t="str">
            <v>VARGAS, WANDA G</v>
          </cell>
          <cell r="D773" t="str">
            <v>E0360923</v>
          </cell>
          <cell r="E773" t="str">
            <v>VARGAS WANDA G</v>
          </cell>
          <cell r="G773" t="str">
            <v>Kathryn Spaziani</v>
          </cell>
          <cell r="H773" t="str">
            <v>(212) 305-1190</v>
          </cell>
          <cell r="J773" t="str">
            <v>kas9171@nyp.org</v>
          </cell>
          <cell r="L773" t="str">
            <v>Practitioner - Non-Primary Care Provider (PCP)</v>
          </cell>
          <cell r="M773" t="str">
            <v>No</v>
          </cell>
          <cell r="R773" t="str">
            <v>VARGAS WANDA DR.</v>
          </cell>
          <cell r="W773" t="str">
            <v>VARGAS WANDA G</v>
          </cell>
          <cell r="X773" t="str">
            <v>99 FORT WASHINGTON AVE</v>
          </cell>
          <cell r="Y773" t="str">
            <v>NEW YORK</v>
          </cell>
          <cell r="Z773" t="str">
            <v>NY</v>
          </cell>
          <cell r="AA773" t="str">
            <v>10032-4655</v>
          </cell>
          <cell r="AB773" t="str">
            <v>CLINICAL PSYCHOLOGIST</v>
          </cell>
          <cell r="AC773" t="str">
            <v>M</v>
          </cell>
          <cell r="AD773" t="str">
            <v>No</v>
          </cell>
          <cell r="AE773" t="str">
            <v>MMIS</v>
          </cell>
          <cell r="AF773" t="str">
            <v>nypwestcampus</v>
          </cell>
          <cell r="AG773" t="str">
            <v>P</v>
          </cell>
        </row>
        <row r="774">
          <cell r="A774" t="str">
            <v>1982619318</v>
          </cell>
          <cell r="B774" t="str">
            <v>01892933</v>
          </cell>
          <cell r="C774" t="str">
            <v xml:space="preserve">ILARDA, ISABELLA </v>
          </cell>
          <cell r="D774" t="str">
            <v>E0110751</v>
          </cell>
          <cell r="E774" t="str">
            <v>ILARDA ISABELLA MD</v>
          </cell>
          <cell r="G774" t="str">
            <v>Kathryn Spaziani</v>
          </cell>
          <cell r="H774" t="str">
            <v>(212) 305-1190</v>
          </cell>
          <cell r="J774" t="str">
            <v>kas9171@nyp.org</v>
          </cell>
          <cell r="L774" t="str">
            <v>Practitioner - Non-Primary Care Provider (PCP)</v>
          </cell>
          <cell r="M774" t="str">
            <v>No</v>
          </cell>
          <cell r="R774" t="str">
            <v>ILARDA ISABELLA</v>
          </cell>
          <cell r="W774" t="str">
            <v>ILARDA ISABELLA MD</v>
          </cell>
          <cell r="X774" t="str">
            <v>2270 KIMBALL ST</v>
          </cell>
          <cell r="Y774" t="str">
            <v>BROOKLYN</v>
          </cell>
          <cell r="Z774" t="str">
            <v>NY</v>
          </cell>
          <cell r="AA774" t="str">
            <v>11234-5139</v>
          </cell>
          <cell r="AB774" t="str">
            <v>PHYSICIAN</v>
          </cell>
          <cell r="AC774" t="str">
            <v>M</v>
          </cell>
          <cell r="AD774" t="str">
            <v>No</v>
          </cell>
          <cell r="AE774" t="str">
            <v>MMIS</v>
          </cell>
          <cell r="AF774" t="str">
            <v>nypwestacn</v>
          </cell>
          <cell r="AG774" t="str">
            <v>P</v>
          </cell>
        </row>
        <row r="775">
          <cell r="A775" t="str">
            <v>1053305276</v>
          </cell>
          <cell r="B775" t="str">
            <v>00206964</v>
          </cell>
          <cell r="C775" t="str">
            <v>MITTL, RANIER N</v>
          </cell>
          <cell r="D775" t="str">
            <v>E0275875</v>
          </cell>
          <cell r="E775" t="str">
            <v>MITTL RAINER N PC          MD</v>
          </cell>
          <cell r="G775" t="str">
            <v>Kathryn Spaziani</v>
          </cell>
          <cell r="H775" t="str">
            <v>(212) 305-1190</v>
          </cell>
          <cell r="J775" t="str">
            <v>kas9171@nyp.org</v>
          </cell>
          <cell r="L775" t="str">
            <v>Practitioner - Non-Primary Care Provider (PCP)</v>
          </cell>
          <cell r="M775" t="str">
            <v>Yes</v>
          </cell>
          <cell r="R775" t="str">
            <v>MITTL RAINER DR.</v>
          </cell>
          <cell r="W775" t="str">
            <v>MITTL RAINER N PC          MD</v>
          </cell>
          <cell r="X775" t="str">
            <v>STE 314</v>
          </cell>
          <cell r="Y775" t="str">
            <v>NEW YORK</v>
          </cell>
          <cell r="Z775" t="str">
            <v>NY</v>
          </cell>
          <cell r="AA775" t="str">
            <v>10032-3724</v>
          </cell>
          <cell r="AB775" t="str">
            <v>PHYSICIAN</v>
          </cell>
          <cell r="AC775" t="str">
            <v>M</v>
          </cell>
          <cell r="AD775" t="str">
            <v>No</v>
          </cell>
          <cell r="AE775" t="str">
            <v>MMIS</v>
          </cell>
          <cell r="AF775" t="str">
            <v>nypwestcampus</v>
          </cell>
          <cell r="AG775" t="str">
            <v>P</v>
          </cell>
        </row>
        <row r="776">
          <cell r="A776" t="str">
            <v>1023048972</v>
          </cell>
          <cell r="B776" t="str">
            <v>02022420</v>
          </cell>
          <cell r="C776" t="str">
            <v>HYMAN, JOSHUA E</v>
          </cell>
          <cell r="D776" t="str">
            <v>E0097820</v>
          </cell>
          <cell r="E776" t="str">
            <v>HYMAN JOSHUA ETHAN MD</v>
          </cell>
          <cell r="G776" t="str">
            <v>Kathryn Spaziani</v>
          </cell>
          <cell r="H776" t="str">
            <v>(212) 305-1190</v>
          </cell>
          <cell r="J776" t="str">
            <v>kas9171@nyp.org</v>
          </cell>
          <cell r="L776" t="str">
            <v>All Other:: Practitioner - Non-Primary Care Provider (PCP)</v>
          </cell>
          <cell r="M776" t="str">
            <v>No</v>
          </cell>
          <cell r="R776" t="str">
            <v>HYMAN JOSHUA DR.</v>
          </cell>
          <cell r="W776" t="str">
            <v>HYMAN JOSHUA ETHAN MD</v>
          </cell>
          <cell r="X776" t="str">
            <v>COLUMBIA PRES BABIES</v>
          </cell>
          <cell r="Y776" t="str">
            <v>NEW YORK</v>
          </cell>
          <cell r="Z776" t="str">
            <v>NY</v>
          </cell>
          <cell r="AA776" t="str">
            <v>10032-1559</v>
          </cell>
          <cell r="AB776" t="str">
            <v>PHYSICIAN</v>
          </cell>
          <cell r="AC776" t="str">
            <v>M</v>
          </cell>
          <cell r="AD776" t="str">
            <v>No</v>
          </cell>
          <cell r="AE776" t="str">
            <v>MMIS</v>
          </cell>
          <cell r="AF776" t="str">
            <v>nypwestacn</v>
          </cell>
          <cell r="AG776" t="str">
            <v>P</v>
          </cell>
        </row>
        <row r="777">
          <cell r="A777" t="str">
            <v>1306899455</v>
          </cell>
          <cell r="B777" t="str">
            <v>00895267</v>
          </cell>
          <cell r="C777" t="str">
            <v>TRUSTEES OF COLUMBIA UNIVERSITY- DEPT. OF NEUROLOGY</v>
          </cell>
          <cell r="D777" t="str">
            <v>E0210223</v>
          </cell>
          <cell r="E777" t="str">
            <v>COLUMBIA U DEPT OF NEUROLOGY</v>
          </cell>
          <cell r="L777" t="str">
            <v>All Other</v>
          </cell>
          <cell r="M777" t="str">
            <v>No</v>
          </cell>
          <cell r="R777" t="str">
            <v>TRUSTEES OF COLUMBIA UNIVERSITY IN THE CITY OF NEW YORK</v>
          </cell>
          <cell r="W777" t="str">
            <v>TRUSTEES OF COLUMBIA UNIVERSITY IN</v>
          </cell>
          <cell r="X777" t="str">
            <v>710 W 168TH ST</v>
          </cell>
          <cell r="Y777" t="str">
            <v>NEW YORK</v>
          </cell>
          <cell r="Z777" t="str">
            <v>NY</v>
          </cell>
          <cell r="AA777" t="str">
            <v>10032-3726</v>
          </cell>
          <cell r="AB777" t="str">
            <v>PHYSICIANS GROUP</v>
          </cell>
          <cell r="AC777" t="str">
            <v>M</v>
          </cell>
          <cell r="AD777" t="str">
            <v>No</v>
          </cell>
          <cell r="AE777" t="str">
            <v>MMIS</v>
          </cell>
          <cell r="AF777" t="str">
            <v>nypeastacn</v>
          </cell>
          <cell r="AG777" t="str">
            <v>P</v>
          </cell>
        </row>
        <row r="778">
          <cell r="A778" t="str">
            <v>1841358686</v>
          </cell>
          <cell r="B778" t="str">
            <v>01195913</v>
          </cell>
          <cell r="C778" t="str">
            <v>MARKOWITZ, DAVID D</v>
          </cell>
          <cell r="D778" t="str">
            <v>E0180298</v>
          </cell>
          <cell r="E778" t="str">
            <v>MARKOWITZ DAVID D MD</v>
          </cell>
          <cell r="G778" t="str">
            <v>Kathryn Spaziani</v>
          </cell>
          <cell r="H778" t="str">
            <v>(212) 305-1190</v>
          </cell>
          <cell r="J778" t="str">
            <v>kas9171@nyp.org</v>
          </cell>
          <cell r="L778" t="str">
            <v>Practitioner - Non-Primary Care Provider (PCP)</v>
          </cell>
          <cell r="M778" t="str">
            <v>No</v>
          </cell>
          <cell r="R778" t="str">
            <v>MARKOWITZ DAVID DR.</v>
          </cell>
          <cell r="W778" t="str">
            <v>MARKOWITZ DAVID DANIEL</v>
          </cell>
          <cell r="Y778" t="str">
            <v>NEW YORK</v>
          </cell>
          <cell r="Z778" t="str">
            <v>NY</v>
          </cell>
          <cell r="AA778" t="str">
            <v>10032-3720</v>
          </cell>
          <cell r="AB778" t="str">
            <v>PHYSICIAN</v>
          </cell>
          <cell r="AC778" t="str">
            <v>M</v>
          </cell>
          <cell r="AD778" t="str">
            <v>No</v>
          </cell>
          <cell r="AE778" t="str">
            <v>MMIS</v>
          </cell>
          <cell r="AF778" t="str">
            <v>nypwestcampus</v>
          </cell>
          <cell r="AG778" t="str">
            <v>P</v>
          </cell>
        </row>
        <row r="779">
          <cell r="A779" t="str">
            <v>1841392131</v>
          </cell>
          <cell r="B779" t="str">
            <v>01828284</v>
          </cell>
          <cell r="C779" t="str">
            <v xml:space="preserve">DOGAN, OZGEN </v>
          </cell>
          <cell r="D779" t="str">
            <v>E0117211</v>
          </cell>
          <cell r="E779" t="str">
            <v>DOGAN OZGEN MMD</v>
          </cell>
          <cell r="G779" t="str">
            <v>Kathryn Spaziani</v>
          </cell>
          <cell r="H779" t="str">
            <v>(212) 305-1190</v>
          </cell>
          <cell r="J779" t="str">
            <v>kas9171@nyp.org</v>
          </cell>
          <cell r="L779" t="str">
            <v>All Other:: Practitioner - Primary Care Provider (PCP)</v>
          </cell>
          <cell r="M779" t="str">
            <v>No</v>
          </cell>
          <cell r="R779" t="str">
            <v>DOGAN OZGEN</v>
          </cell>
          <cell r="W779" t="str">
            <v>DOGAN OZGEN MMD</v>
          </cell>
          <cell r="X779" t="str">
            <v>52 REMSEN ST</v>
          </cell>
          <cell r="Y779" t="str">
            <v>BROOKLYN</v>
          </cell>
          <cell r="Z779" t="str">
            <v>NY</v>
          </cell>
          <cell r="AA779" t="str">
            <v>11201-4106</v>
          </cell>
          <cell r="AB779" t="str">
            <v>PHYSICIAN</v>
          </cell>
          <cell r="AC779" t="str">
            <v>M</v>
          </cell>
          <cell r="AD779" t="str">
            <v>No</v>
          </cell>
          <cell r="AE779" t="str">
            <v>MMIS</v>
          </cell>
          <cell r="AF779" t="str">
            <v>nypwestacn</v>
          </cell>
          <cell r="AG779" t="str">
            <v>P</v>
          </cell>
        </row>
        <row r="780">
          <cell r="A780" t="str">
            <v>1841429859</v>
          </cell>
          <cell r="B780" t="str">
            <v>03602691</v>
          </cell>
          <cell r="C780" t="str">
            <v>CIOE, ERIC C</v>
          </cell>
          <cell r="D780" t="str">
            <v>E0350434</v>
          </cell>
          <cell r="E780" t="str">
            <v>CIOE ERIC</v>
          </cell>
          <cell r="G780" t="str">
            <v>Kathryn Spaziani</v>
          </cell>
          <cell r="H780" t="str">
            <v>(212) 305-1190</v>
          </cell>
          <cell r="J780" t="str">
            <v>kas9171@nyp.org</v>
          </cell>
          <cell r="L780" t="str">
            <v>All Other:: Practitioner - Non-Primary Care Provider (PCP)</v>
          </cell>
          <cell r="M780" t="str">
            <v>No</v>
          </cell>
          <cell r="R780" t="str">
            <v>CIOE ERIC DR.</v>
          </cell>
          <cell r="W780" t="str">
            <v>CIOE ERIC CHRISTOPHER</v>
          </cell>
          <cell r="X780" t="str">
            <v>622 W 168TH ST</v>
          </cell>
          <cell r="Y780" t="str">
            <v>NEW YORK</v>
          </cell>
          <cell r="Z780" t="str">
            <v>NY</v>
          </cell>
          <cell r="AA780" t="str">
            <v>10032-3720</v>
          </cell>
          <cell r="AB780" t="str">
            <v>PHYSICIAN</v>
          </cell>
          <cell r="AC780" t="str">
            <v>M</v>
          </cell>
          <cell r="AD780" t="str">
            <v>No</v>
          </cell>
          <cell r="AE780" t="str">
            <v>MMIS</v>
          </cell>
          <cell r="AF780" t="str">
            <v>nypwestacn</v>
          </cell>
          <cell r="AG780" t="str">
            <v>P</v>
          </cell>
        </row>
        <row r="781">
          <cell r="A781" t="str">
            <v>1306041009</v>
          </cell>
          <cell r="B781" t="str">
            <v>03507788</v>
          </cell>
          <cell r="C781" t="str">
            <v>HUGO, JONATHAN L</v>
          </cell>
          <cell r="D781" t="str">
            <v>E0340415</v>
          </cell>
          <cell r="E781" t="str">
            <v>HUGO JONATHAN L</v>
          </cell>
          <cell r="G781" t="str">
            <v>Kathryn Spaziani</v>
          </cell>
          <cell r="H781" t="str">
            <v>(212) 305-1190</v>
          </cell>
          <cell r="J781" t="str">
            <v>kas9171@nyp.org</v>
          </cell>
          <cell r="L781" t="str">
            <v>All Other:: Practitioner - Non-Primary Care Provider (PCP)</v>
          </cell>
          <cell r="M781" t="str">
            <v>No</v>
          </cell>
          <cell r="R781" t="str">
            <v>HUGO JONATHAN DR.</v>
          </cell>
          <cell r="W781" t="str">
            <v>HUGO JONATHAN L</v>
          </cell>
          <cell r="X781" t="str">
            <v>425 E 61ST ST</v>
          </cell>
          <cell r="Y781" t="str">
            <v>NEW YORK</v>
          </cell>
          <cell r="Z781" t="str">
            <v>NY</v>
          </cell>
          <cell r="AA781" t="str">
            <v>10065-8722</v>
          </cell>
          <cell r="AB781" t="str">
            <v>PHYSICIAN</v>
          </cell>
          <cell r="AC781" t="str">
            <v>M</v>
          </cell>
          <cell r="AD781" t="str">
            <v>No</v>
          </cell>
          <cell r="AE781" t="str">
            <v>MMIS</v>
          </cell>
          <cell r="AF781" t="str">
            <v>nypeastacn</v>
          </cell>
          <cell r="AG781" t="str">
            <v>P</v>
          </cell>
        </row>
        <row r="782">
          <cell r="A782" t="str">
            <v>1306066741</v>
          </cell>
          <cell r="B782" t="str">
            <v>02404662</v>
          </cell>
          <cell r="C782" t="str">
            <v>JOSEPH, TRISHA N</v>
          </cell>
          <cell r="D782" t="str">
            <v>E0059661</v>
          </cell>
          <cell r="E782" t="str">
            <v>JOSEPH TRISHA NICOLE</v>
          </cell>
          <cell r="G782" t="str">
            <v>Kathryn Spaziani</v>
          </cell>
          <cell r="H782" t="str">
            <v>(212) 305-1190</v>
          </cell>
          <cell r="J782" t="str">
            <v>kas9171@nyp.org</v>
          </cell>
          <cell r="L782" t="str">
            <v>Practitioner - Non-Primary Care Provider (PCP)</v>
          </cell>
          <cell r="M782" t="str">
            <v>Yes</v>
          </cell>
          <cell r="R782" t="str">
            <v>JOSEPH TRISHA</v>
          </cell>
          <cell r="W782" t="str">
            <v>JOSEPH TRISHA NICOLE</v>
          </cell>
          <cell r="X782" t="str">
            <v>21 AUDUBON AVE</v>
          </cell>
          <cell r="Y782" t="str">
            <v>NEW YORK</v>
          </cell>
          <cell r="Z782" t="str">
            <v>NY</v>
          </cell>
          <cell r="AA782" t="str">
            <v>10459-2417</v>
          </cell>
          <cell r="AB782" t="str">
            <v>PHYSICIAN</v>
          </cell>
          <cell r="AC782" t="str">
            <v>M</v>
          </cell>
          <cell r="AD782" t="str">
            <v>No</v>
          </cell>
          <cell r="AE782" t="str">
            <v>MMIS</v>
          </cell>
          <cell r="AF782" t="str">
            <v>nypwestacn</v>
          </cell>
          <cell r="AG782" t="str">
            <v>P</v>
          </cell>
        </row>
        <row r="783">
          <cell r="A783" t="str">
            <v>1447388558</v>
          </cell>
          <cell r="C783" t="str">
            <v>Mathew Susan</v>
          </cell>
          <cell r="G783" t="str">
            <v>Kathryn Spaziani</v>
          </cell>
          <cell r="H783" t="str">
            <v>(212) 305-1211</v>
          </cell>
          <cell r="J783" t="str">
            <v>kas9171@nyp.org</v>
          </cell>
          <cell r="K783" t="str">
            <v>Physician</v>
          </cell>
          <cell r="L783" t="str">
            <v>Uncategorized</v>
          </cell>
          <cell r="M783" t="str">
            <v>No</v>
          </cell>
          <cell r="R783" t="str">
            <v>MATHEW SUSAN DR.</v>
          </cell>
          <cell r="S783" t="str">
            <v>525 E 68TH ST, BOX 69</v>
          </cell>
          <cell r="T783" t="str">
            <v>NEW YORK</v>
          </cell>
          <cell r="U783" t="str">
            <v>NY</v>
          </cell>
          <cell r="V783" t="str">
            <v>100214870</v>
          </cell>
          <cell r="AC783" t="str">
            <v>M</v>
          </cell>
          <cell r="AD783" t="str">
            <v>No</v>
          </cell>
          <cell r="AE783" t="str">
            <v>NPI only</v>
          </cell>
          <cell r="AF783" t="str">
            <v>nypeastcampus</v>
          </cell>
          <cell r="AG783" t="str">
            <v>P</v>
          </cell>
        </row>
        <row r="784">
          <cell r="A784" t="str">
            <v>1841437076</v>
          </cell>
          <cell r="B784" t="str">
            <v>03697569</v>
          </cell>
          <cell r="C784" t="str">
            <v>PERALTA, DIGNA M</v>
          </cell>
          <cell r="D784" t="str">
            <v>E0360266</v>
          </cell>
          <cell r="E784" t="str">
            <v>PERALTA DIGNA M</v>
          </cell>
          <cell r="G784" t="str">
            <v>Kathryn Spaziani</v>
          </cell>
          <cell r="H784" t="str">
            <v>(212) 305-1190</v>
          </cell>
          <cell r="J784" t="str">
            <v>kas9171@nyp.org</v>
          </cell>
          <cell r="L784" t="str">
            <v>Practitioner - Non-Primary Care Provider (PCP)</v>
          </cell>
          <cell r="M784" t="str">
            <v>No</v>
          </cell>
          <cell r="R784" t="str">
            <v>PERALTA DIGNA</v>
          </cell>
          <cell r="W784" t="str">
            <v>PERALTA DIGNA MARY</v>
          </cell>
          <cell r="X784" t="str">
            <v>650 ACADEMY ST RM 229</v>
          </cell>
          <cell r="Y784" t="str">
            <v>NEW YORK</v>
          </cell>
          <cell r="Z784" t="str">
            <v>NY</v>
          </cell>
          <cell r="AA784" t="str">
            <v>10034-5004</v>
          </cell>
          <cell r="AB784" t="str">
            <v>CLINICAL PSYCHOLOGIST</v>
          </cell>
          <cell r="AC784" t="str">
            <v>M</v>
          </cell>
          <cell r="AD784" t="str">
            <v>No</v>
          </cell>
          <cell r="AE784" t="str">
            <v>MMIS</v>
          </cell>
          <cell r="AF784" t="str">
            <v>nypwestcampus</v>
          </cell>
          <cell r="AG784" t="str">
            <v>P</v>
          </cell>
        </row>
        <row r="785">
          <cell r="A785" t="str">
            <v>1922278720</v>
          </cell>
          <cell r="B785" t="str">
            <v>03280453</v>
          </cell>
          <cell r="C785" t="str">
            <v>Sandra Nieves-Rosado</v>
          </cell>
          <cell r="D785" t="str">
            <v>E0313507</v>
          </cell>
          <cell r="E785" t="str">
            <v>NIEVES ROSADO SANDRA</v>
          </cell>
          <cell r="G785" t="str">
            <v>Eva Eng</v>
          </cell>
          <cell r="H785" t="str">
            <v>(212) 752-5020</v>
          </cell>
          <cell r="J785" t="str">
            <v>eeng@archcare.org</v>
          </cell>
          <cell r="L785" t="str">
            <v>All Other:: Practitioner - Non-Primary Care Provider (PCP)</v>
          </cell>
          <cell r="M785" t="str">
            <v>Yes</v>
          </cell>
          <cell r="R785" t="str">
            <v>NIEVES ROSADO SANDRA DR.</v>
          </cell>
          <cell r="W785" t="str">
            <v>NIEVES ROSADO SANDRA</v>
          </cell>
          <cell r="X785" t="str">
            <v>1432 5TH AVE</v>
          </cell>
          <cell r="Y785" t="str">
            <v>NEW YORK</v>
          </cell>
          <cell r="Z785" t="str">
            <v>NY</v>
          </cell>
          <cell r="AA785" t="str">
            <v>10035-4521</v>
          </cell>
          <cell r="AB785" t="str">
            <v>PHYSICIAN</v>
          </cell>
          <cell r="AC785" t="str">
            <v>M</v>
          </cell>
          <cell r="AD785" t="str">
            <v>No</v>
          </cell>
          <cell r="AE785" t="str">
            <v>MMIS</v>
          </cell>
          <cell r="AF785" t="str">
            <v>nypwestacn</v>
          </cell>
          <cell r="AG785" t="str">
            <v>P</v>
          </cell>
        </row>
        <row r="786">
          <cell r="A786" t="str">
            <v>1528134962</v>
          </cell>
          <cell r="C786" t="str">
            <v>Dwyer Donna</v>
          </cell>
          <cell r="G786" t="str">
            <v>Kathryn Spaziani</v>
          </cell>
          <cell r="H786" t="str">
            <v>(212) 305-1255</v>
          </cell>
          <cell r="J786" t="str">
            <v>kas9171@nyp.org</v>
          </cell>
          <cell r="K786" t="str">
            <v>Physician</v>
          </cell>
          <cell r="L786" t="str">
            <v>Uncategorized</v>
          </cell>
          <cell r="M786" t="str">
            <v>No</v>
          </cell>
          <cell r="R786" t="str">
            <v>DWYER DONNA</v>
          </cell>
          <cell r="S786" t="str">
            <v>310 E 14TH ST, NY EYE &amp; EAR INFIRMARY</v>
          </cell>
          <cell r="T786" t="str">
            <v>NEW YORK</v>
          </cell>
          <cell r="U786" t="str">
            <v>NY</v>
          </cell>
          <cell r="V786" t="str">
            <v>100034201</v>
          </cell>
          <cell r="AC786" t="str">
            <v>M</v>
          </cell>
          <cell r="AD786" t="str">
            <v>No</v>
          </cell>
          <cell r="AE786" t="str">
            <v>NPI only</v>
          </cell>
          <cell r="AF786" t="str">
            <v>nypwestcampus</v>
          </cell>
          <cell r="AG786" t="str">
            <v>P</v>
          </cell>
        </row>
        <row r="787">
          <cell r="A787" t="str">
            <v>1245503762</v>
          </cell>
          <cell r="C787" t="str">
            <v>England Elizabeth</v>
          </cell>
          <cell r="G787" t="str">
            <v>Kathryn Spaziani</v>
          </cell>
          <cell r="H787" t="str">
            <v>(212) 305-1255</v>
          </cell>
          <cell r="J787" t="str">
            <v>kas9171@nyp.org</v>
          </cell>
          <cell r="K787" t="str">
            <v>Physician</v>
          </cell>
          <cell r="L787" t="str">
            <v>Practitioner - Non-Primary Care Provider (PCP)</v>
          </cell>
          <cell r="M787" t="str">
            <v>No</v>
          </cell>
          <cell r="R787" t="str">
            <v>ENGLAND ELIZABETH</v>
          </cell>
          <cell r="S787" t="str">
            <v>1650 GRAND CONCOURSE, DEPT OF ANESTHESIA</v>
          </cell>
          <cell r="T787" t="str">
            <v>BRONX</v>
          </cell>
          <cell r="U787" t="str">
            <v>NY</v>
          </cell>
          <cell r="V787" t="str">
            <v>104577606</v>
          </cell>
          <cell r="AC787" t="str">
            <v>M</v>
          </cell>
          <cell r="AD787" t="str">
            <v>No</v>
          </cell>
          <cell r="AE787" t="str">
            <v>NPI only</v>
          </cell>
          <cell r="AF787" t="str">
            <v>nypwestcampus</v>
          </cell>
          <cell r="AG787" t="str">
            <v>P</v>
          </cell>
        </row>
        <row r="788">
          <cell r="A788" t="str">
            <v>1558653980</v>
          </cell>
          <cell r="C788" t="str">
            <v>Charalel Resmi</v>
          </cell>
          <cell r="G788" t="str">
            <v>Kathryn Spaziani</v>
          </cell>
          <cell r="H788" t="str">
            <v>(212) 305-1255</v>
          </cell>
          <cell r="J788" t="str">
            <v>kas9171@nyp.org</v>
          </cell>
          <cell r="K788" t="str">
            <v>Physician</v>
          </cell>
          <cell r="L788" t="str">
            <v>Uncategorized</v>
          </cell>
          <cell r="M788" t="str">
            <v>No</v>
          </cell>
          <cell r="R788" t="str">
            <v>CHARALEL RESMI DR.</v>
          </cell>
          <cell r="S788" t="str">
            <v>15 KNAPP RD</v>
          </cell>
          <cell r="T788" t="str">
            <v>POUND RIDGE</v>
          </cell>
          <cell r="U788" t="str">
            <v>NY</v>
          </cell>
          <cell r="V788" t="str">
            <v>105761313</v>
          </cell>
          <cell r="AC788" t="str">
            <v>M</v>
          </cell>
          <cell r="AD788" t="str">
            <v>No</v>
          </cell>
          <cell r="AE788" t="str">
            <v>NPI only</v>
          </cell>
          <cell r="AF788" t="str">
            <v>nypeastcampus</v>
          </cell>
          <cell r="AG788" t="str">
            <v>P</v>
          </cell>
        </row>
        <row r="789">
          <cell r="A789" t="str">
            <v>1467493478</v>
          </cell>
          <cell r="B789" t="str">
            <v>01872908</v>
          </cell>
          <cell r="C789" t="str">
            <v>LEVINE, WILLIAM N</v>
          </cell>
          <cell r="D789" t="str">
            <v>E0112754</v>
          </cell>
          <cell r="E789" t="str">
            <v>LEVINE WILLIAM NOAH MD</v>
          </cell>
          <cell r="G789" t="str">
            <v>Kathryn Spaziani</v>
          </cell>
          <cell r="H789" t="str">
            <v>(212) 305-1190</v>
          </cell>
          <cell r="J789" t="str">
            <v>kas9171@nyp.org</v>
          </cell>
          <cell r="L789" t="str">
            <v>All Other:: Practitioner - Non-Primary Care Provider (PCP)</v>
          </cell>
          <cell r="M789" t="str">
            <v>No</v>
          </cell>
          <cell r="R789" t="str">
            <v>LEVINE WILLIAM</v>
          </cell>
          <cell r="W789" t="str">
            <v>LEVINE WILLIAM NOAH MD</v>
          </cell>
          <cell r="X789" t="str">
            <v>COLUMBIA PRESBY MC</v>
          </cell>
          <cell r="Y789" t="str">
            <v>NEW YORK</v>
          </cell>
          <cell r="Z789" t="str">
            <v>NY</v>
          </cell>
          <cell r="AA789" t="str">
            <v>10032-3733</v>
          </cell>
          <cell r="AB789" t="str">
            <v>PHYSICIAN</v>
          </cell>
          <cell r="AC789" t="str">
            <v>M</v>
          </cell>
          <cell r="AD789" t="str">
            <v>No</v>
          </cell>
          <cell r="AE789" t="str">
            <v>MMIS</v>
          </cell>
          <cell r="AF789" t="str">
            <v>nypwestcampus</v>
          </cell>
          <cell r="AG789" t="str">
            <v>P</v>
          </cell>
        </row>
        <row r="790">
          <cell r="A790" t="str">
            <v>1477610426</v>
          </cell>
          <cell r="B790" t="str">
            <v>00886159</v>
          </cell>
          <cell r="C790" t="str">
            <v>MC CONNELL, ROBERT J</v>
          </cell>
          <cell r="D790" t="str">
            <v>E0211133</v>
          </cell>
          <cell r="E790" t="str">
            <v>MCCONNELL ROBERT JOHN</v>
          </cell>
          <cell r="G790" t="str">
            <v>Kathryn Spaziani</v>
          </cell>
          <cell r="H790" t="str">
            <v>(212) 305-1190</v>
          </cell>
          <cell r="J790" t="str">
            <v>kas9171@nyp.org</v>
          </cell>
          <cell r="L790" t="str">
            <v>All Other:: Practitioner - Non-Primary Care Provider (PCP)</v>
          </cell>
          <cell r="M790" t="str">
            <v>No</v>
          </cell>
          <cell r="R790" t="str">
            <v>MCCONNELL ROBERT DR.</v>
          </cell>
          <cell r="W790" t="str">
            <v>MCCONNELL ROBERT JOHN</v>
          </cell>
          <cell r="Y790" t="str">
            <v>NEW YORK</v>
          </cell>
          <cell r="Z790" t="str">
            <v>NY</v>
          </cell>
          <cell r="AA790" t="str">
            <v>10032-3720</v>
          </cell>
          <cell r="AB790" t="str">
            <v>PHYSICIAN</v>
          </cell>
          <cell r="AC790" t="str">
            <v>M</v>
          </cell>
          <cell r="AD790" t="str">
            <v>No</v>
          </cell>
          <cell r="AE790" t="str">
            <v>MMIS</v>
          </cell>
          <cell r="AF790" t="str">
            <v>nypwestcampus</v>
          </cell>
          <cell r="AG790" t="str">
            <v>P</v>
          </cell>
        </row>
        <row r="791">
          <cell r="A791" t="str">
            <v>1649528068</v>
          </cell>
          <cell r="B791" t="str">
            <v>03504198</v>
          </cell>
          <cell r="C791" t="str">
            <v>Fan, Sharon Kei Yan</v>
          </cell>
          <cell r="D791" t="str">
            <v>E0340027</v>
          </cell>
          <cell r="E791" t="str">
            <v>FAN SHARON KEI YAN</v>
          </cell>
          <cell r="G791" t="str">
            <v>Betty Cheng</v>
          </cell>
          <cell r="H791" t="str">
            <v>(212) 379-6988</v>
          </cell>
          <cell r="I791">
            <v>2604</v>
          </cell>
          <cell r="J791" t="str">
            <v>bcheng@cbwchc.org</v>
          </cell>
          <cell r="L791" t="str">
            <v>All Other:: Practitioner - Primary Care Provider (PCP)</v>
          </cell>
          <cell r="M791" t="str">
            <v>Yes</v>
          </cell>
          <cell r="R791" t="str">
            <v>MACARTHUR SHARON MS.</v>
          </cell>
          <cell r="W791" t="str">
            <v>MACARTHUR SHARON KEI YAN</v>
          </cell>
          <cell r="X791" t="str">
            <v>268 CANAL ST</v>
          </cell>
          <cell r="Y791" t="str">
            <v>NEW YORK</v>
          </cell>
          <cell r="Z791" t="str">
            <v>NY</v>
          </cell>
          <cell r="AA791" t="str">
            <v>10013-3599</v>
          </cell>
          <cell r="AB791" t="str">
            <v>PHYSICIAN</v>
          </cell>
          <cell r="AC791" t="str">
            <v>M</v>
          </cell>
          <cell r="AD791" t="str">
            <v>No</v>
          </cell>
          <cell r="AE791" t="str">
            <v>MMIS</v>
          </cell>
          <cell r="AF791" t="str">
            <v>cbwchc</v>
          </cell>
          <cell r="AG791" t="str">
            <v>P</v>
          </cell>
        </row>
        <row r="792">
          <cell r="A792" t="str">
            <v>1689094443</v>
          </cell>
          <cell r="C792" t="str">
            <v>Faloba Kathryn</v>
          </cell>
          <cell r="G792" t="str">
            <v>Kathryn Spaziani</v>
          </cell>
          <cell r="H792" t="str">
            <v>(212) 305-1255</v>
          </cell>
          <cell r="J792" t="str">
            <v>kas9171@nyp.org</v>
          </cell>
          <cell r="K792" t="str">
            <v>Physician</v>
          </cell>
          <cell r="L792" t="str">
            <v>Uncategorized</v>
          </cell>
          <cell r="M792" t="str">
            <v>No</v>
          </cell>
          <cell r="R792" t="str">
            <v>FALOBA KATHRYN</v>
          </cell>
          <cell r="S792" t="str">
            <v>622 W 168TH ST, PH5-133</v>
          </cell>
          <cell r="T792" t="str">
            <v>NEW YORK</v>
          </cell>
          <cell r="U792" t="str">
            <v>NY</v>
          </cell>
          <cell r="V792" t="str">
            <v>100323720</v>
          </cell>
          <cell r="AC792" t="str">
            <v>M</v>
          </cell>
          <cell r="AD792" t="str">
            <v>No</v>
          </cell>
          <cell r="AE792" t="str">
            <v>NPI only</v>
          </cell>
          <cell r="AF792" t="str">
            <v>nypwestcampus</v>
          </cell>
          <cell r="AG792" t="str">
            <v>P</v>
          </cell>
        </row>
        <row r="793">
          <cell r="A793" t="str">
            <v>1093158552</v>
          </cell>
          <cell r="C793" t="str">
            <v>Fernandes Anthony</v>
          </cell>
          <cell r="G793" t="str">
            <v>Kathryn Spaziani</v>
          </cell>
          <cell r="H793" t="str">
            <v>(212) 305-1255</v>
          </cell>
          <cell r="J793" t="str">
            <v>kas9171@nyp.org</v>
          </cell>
          <cell r="K793" t="str">
            <v>Physician</v>
          </cell>
          <cell r="L793" t="str">
            <v>Uncategorized</v>
          </cell>
          <cell r="M793" t="str">
            <v>No</v>
          </cell>
          <cell r="R793" t="str">
            <v>FERNANDES ANTHONY</v>
          </cell>
          <cell r="S793" t="str">
            <v>622 W 168TH ST, PH5-133 STEM</v>
          </cell>
          <cell r="T793" t="str">
            <v>NEW YORK</v>
          </cell>
          <cell r="U793" t="str">
            <v>NY</v>
          </cell>
          <cell r="V793" t="str">
            <v>100323720</v>
          </cell>
          <cell r="AC793" t="str">
            <v>M</v>
          </cell>
          <cell r="AD793" t="str">
            <v>No</v>
          </cell>
          <cell r="AE793" t="str">
            <v>NPI only</v>
          </cell>
          <cell r="AF793" t="str">
            <v>nypwestcampus</v>
          </cell>
          <cell r="AG793" t="str">
            <v>P</v>
          </cell>
        </row>
        <row r="794">
          <cell r="A794" t="str">
            <v>1447426697</v>
          </cell>
          <cell r="B794" t="str">
            <v>03579100</v>
          </cell>
          <cell r="C794" t="str">
            <v>Wehrli Natasha</v>
          </cell>
          <cell r="D794" t="str">
            <v>E0348004</v>
          </cell>
          <cell r="E794" t="str">
            <v>WEHRLI NATASHA</v>
          </cell>
          <cell r="L794" t="str">
            <v>All Other:: Practitioner - Non-Primary Care Provider (PCP)</v>
          </cell>
          <cell r="M794" t="str">
            <v>No</v>
          </cell>
          <cell r="R794" t="str">
            <v>WEHRLI NATASHA MS.</v>
          </cell>
          <cell r="W794" t="str">
            <v>WEHRLI NATASHA ELIZABETH</v>
          </cell>
          <cell r="X794" t="str">
            <v>525 E 68TH ST</v>
          </cell>
          <cell r="Y794" t="str">
            <v>NEW YORK</v>
          </cell>
          <cell r="Z794" t="str">
            <v>NY</v>
          </cell>
          <cell r="AA794" t="str">
            <v>10065-4870</v>
          </cell>
          <cell r="AB794" t="str">
            <v>PHYSICIAN</v>
          </cell>
          <cell r="AC794" t="str">
            <v>M</v>
          </cell>
          <cell r="AD794" t="str">
            <v>No</v>
          </cell>
          <cell r="AE794" t="str">
            <v>MMIS</v>
          </cell>
          <cell r="AF794" t="str">
            <v>nypeastcampus</v>
          </cell>
          <cell r="AG794" t="str">
            <v>P</v>
          </cell>
        </row>
        <row r="795">
          <cell r="A795" t="str">
            <v>1598815011</v>
          </cell>
          <cell r="B795" t="str">
            <v>03203358</v>
          </cell>
          <cell r="C795" t="str">
            <v>MELLINS, CLAUDE A</v>
          </cell>
          <cell r="D795" t="str">
            <v>E0304821</v>
          </cell>
          <cell r="E795" t="str">
            <v>MELLINS CLAUDE ANN</v>
          </cell>
          <cell r="G795" t="str">
            <v>Kathryn Spaziani</v>
          </cell>
          <cell r="H795" t="str">
            <v>(212) 305-1190</v>
          </cell>
          <cell r="J795" t="str">
            <v>kas9171@nyp.org</v>
          </cell>
          <cell r="L795" t="str">
            <v>Practitioner - Non-Primary Care Provider (PCP)</v>
          </cell>
          <cell r="M795" t="str">
            <v>No</v>
          </cell>
          <cell r="R795" t="str">
            <v>MELLINS CLAUDE DR.</v>
          </cell>
          <cell r="W795" t="str">
            <v>MELLINS CLAUDE ANN</v>
          </cell>
          <cell r="X795" t="str">
            <v>622 W 168TH ST FL 4</v>
          </cell>
          <cell r="Y795" t="str">
            <v>NEW YORK</v>
          </cell>
          <cell r="Z795" t="str">
            <v>NY</v>
          </cell>
          <cell r="AA795" t="str">
            <v>10032-3720</v>
          </cell>
          <cell r="AB795" t="str">
            <v>CLINICAL PSYCHOLOGIST</v>
          </cell>
          <cell r="AC795" t="str">
            <v>M</v>
          </cell>
          <cell r="AD795" t="str">
            <v>No</v>
          </cell>
          <cell r="AE795" t="str">
            <v>MMIS</v>
          </cell>
          <cell r="AF795" t="str">
            <v>nypwestcampus</v>
          </cell>
          <cell r="AG795" t="str">
            <v>P</v>
          </cell>
        </row>
        <row r="796">
          <cell r="A796" t="str">
            <v>1003858390</v>
          </cell>
          <cell r="B796" t="str">
            <v>00273107</v>
          </cell>
          <cell r="C796" t="str">
            <v>Calvary Hospital (Hospital)</v>
          </cell>
          <cell r="D796" t="str">
            <v>E0271758</v>
          </cell>
          <cell r="E796" t="str">
            <v>CALVARY HOSPITAL INC</v>
          </cell>
          <cell r="G796" t="str">
            <v>David Grayson</v>
          </cell>
          <cell r="J796" t="str">
            <v>david@graysonandco.com</v>
          </cell>
          <cell r="L796" t="str">
            <v>All Other:: Clinic:: Hospice:: Hospital</v>
          </cell>
          <cell r="M796" t="str">
            <v>Yes</v>
          </cell>
          <cell r="R796" t="str">
            <v>CALVARY HOSPITAL INC</v>
          </cell>
          <cell r="W796" t="str">
            <v>CALVARY HOSPITAL INC</v>
          </cell>
          <cell r="X796" t="str">
            <v>1740 EASTCHESTER RD</v>
          </cell>
          <cell r="Y796" t="str">
            <v>BRONX</v>
          </cell>
          <cell r="Z796" t="str">
            <v>NY</v>
          </cell>
          <cell r="AA796" t="str">
            <v>10461-2392</v>
          </cell>
          <cell r="AB796" t="str">
            <v>MULTI-TYPE</v>
          </cell>
          <cell r="AC796" t="str">
            <v>M</v>
          </cell>
          <cell r="AD796" t="str">
            <v>No</v>
          </cell>
          <cell r="AE796" t="str">
            <v>MMIS</v>
          </cell>
          <cell r="AF796" t="str">
            <v>nypwestacn</v>
          </cell>
          <cell r="AG796" t="str">
            <v>P</v>
          </cell>
        </row>
        <row r="797">
          <cell r="A797" t="str">
            <v>1598795445</v>
          </cell>
          <cell r="B797" t="str">
            <v>02255085</v>
          </cell>
          <cell r="C797" t="str">
            <v>AHMAD, CHRISTOPHER S</v>
          </cell>
          <cell r="D797" t="str">
            <v>E0074587</v>
          </cell>
          <cell r="E797" t="str">
            <v>AHMAD CHRISTOPHER S MD</v>
          </cell>
          <cell r="G797" t="str">
            <v>Kathryn Spaziani</v>
          </cell>
          <cell r="H797" t="str">
            <v>(212) 305-1190</v>
          </cell>
          <cell r="J797" t="str">
            <v>kas9171@nyp.org</v>
          </cell>
          <cell r="L797" t="str">
            <v>All Other:: Practitioner - Non-Primary Care Provider (PCP)</v>
          </cell>
          <cell r="M797" t="str">
            <v>No</v>
          </cell>
          <cell r="R797" t="str">
            <v>AHMAD CHRISTOPHER DR.</v>
          </cell>
          <cell r="W797" t="str">
            <v>AHMAD CHRISTOPHER S MD</v>
          </cell>
          <cell r="X797" t="str">
            <v>622 W 168TH ST</v>
          </cell>
          <cell r="Y797" t="str">
            <v>NEW YORK</v>
          </cell>
          <cell r="Z797" t="str">
            <v>NY</v>
          </cell>
          <cell r="AA797" t="str">
            <v>10032-3720</v>
          </cell>
          <cell r="AB797" t="str">
            <v>PHYSICIAN</v>
          </cell>
          <cell r="AC797" t="str">
            <v>M</v>
          </cell>
          <cell r="AD797" t="str">
            <v>No</v>
          </cell>
          <cell r="AE797" t="str">
            <v>MMIS</v>
          </cell>
          <cell r="AF797" t="str">
            <v>nypwestacn</v>
          </cell>
          <cell r="AG797" t="str">
            <v>P</v>
          </cell>
        </row>
        <row r="798">
          <cell r="A798" t="str">
            <v>1609874395</v>
          </cell>
          <cell r="B798" t="str">
            <v>00564681</v>
          </cell>
          <cell r="C798" t="str">
            <v>KEZIS, JEFFERY S</v>
          </cell>
          <cell r="D798" t="str">
            <v>E0243204</v>
          </cell>
          <cell r="E798" t="str">
            <v>KEZIS JEFFREY S            MD</v>
          </cell>
          <cell r="G798" t="str">
            <v>Kathryn Spaziani</v>
          </cell>
          <cell r="H798" t="str">
            <v>(212) 305-1190</v>
          </cell>
          <cell r="J798" t="str">
            <v>kas9171@nyp.org</v>
          </cell>
          <cell r="L798" t="str">
            <v>All Other:: Practitioner - Non-Primary Care Provider (PCP)</v>
          </cell>
          <cell r="M798" t="str">
            <v>No</v>
          </cell>
          <cell r="R798" t="str">
            <v>KEZIS JEFFREY DR.</v>
          </cell>
          <cell r="W798" t="str">
            <v>KEZIS JEFFREY S            MD</v>
          </cell>
          <cell r="X798" t="str">
            <v>167 MAIN ST</v>
          </cell>
          <cell r="Y798" t="str">
            <v>FISHKILL</v>
          </cell>
          <cell r="Z798" t="str">
            <v>NY</v>
          </cell>
          <cell r="AA798" t="str">
            <v>12524-1724</v>
          </cell>
          <cell r="AB798" t="str">
            <v>PHYSICIAN</v>
          </cell>
          <cell r="AC798" t="str">
            <v>M</v>
          </cell>
          <cell r="AD798" t="str">
            <v>No</v>
          </cell>
          <cell r="AE798" t="str">
            <v>MMIS</v>
          </cell>
          <cell r="AF798" t="str">
            <v>nypwestacn</v>
          </cell>
          <cell r="AG798" t="str">
            <v>P</v>
          </cell>
        </row>
        <row r="799">
          <cell r="A799" t="str">
            <v>1609891076</v>
          </cell>
          <cell r="B799" t="str">
            <v>01807592</v>
          </cell>
          <cell r="C799" t="str">
            <v xml:space="preserve">Herlick, Anne  </v>
          </cell>
          <cell r="D799" t="str">
            <v>E0119277</v>
          </cell>
          <cell r="E799" t="str">
            <v>HERLICK ANNE</v>
          </cell>
          <cell r="G799" t="str">
            <v>Betty Cheng</v>
          </cell>
          <cell r="H799" t="str">
            <v>(212) 379-6988</v>
          </cell>
          <cell r="I799">
            <v>2604</v>
          </cell>
          <cell r="J799" t="str">
            <v>bcheng@cbwchc.org</v>
          </cell>
          <cell r="L799" t="str">
            <v>All Other:: Practitioner - Non-Primary Care Provider (PCP)</v>
          </cell>
          <cell r="M799" t="str">
            <v>Yes</v>
          </cell>
          <cell r="R799" t="str">
            <v>HERLICK ANNE</v>
          </cell>
          <cell r="W799" t="str">
            <v>HERLICK ANNE</v>
          </cell>
          <cell r="X799" t="str">
            <v>161 FORT WASHINGTON AVE</v>
          </cell>
          <cell r="Y799" t="str">
            <v>NEW YORK</v>
          </cell>
          <cell r="Z799" t="str">
            <v>NY</v>
          </cell>
          <cell r="AA799" t="str">
            <v>10032-3729</v>
          </cell>
          <cell r="AB799" t="str">
            <v>PHYSICIAN</v>
          </cell>
          <cell r="AC799" t="str">
            <v>M</v>
          </cell>
          <cell r="AD799" t="str">
            <v>No</v>
          </cell>
          <cell r="AE799" t="str">
            <v>MMIS</v>
          </cell>
          <cell r="AF799" t="str">
            <v>cbwchc</v>
          </cell>
          <cell r="AG799" t="str">
            <v>P</v>
          </cell>
        </row>
        <row r="800">
          <cell r="A800" t="str">
            <v>1992732275</v>
          </cell>
          <cell r="B800" t="str">
            <v>02297914</v>
          </cell>
          <cell r="C800" t="str">
            <v xml:space="preserve">Ko,  Ruby Mei    </v>
          </cell>
          <cell r="D800" t="str">
            <v>E0070309</v>
          </cell>
          <cell r="E800" t="str">
            <v>KO RUBY</v>
          </cell>
          <cell r="G800" t="str">
            <v>Betty Cheng</v>
          </cell>
          <cell r="H800" t="str">
            <v>(212) 379-6988</v>
          </cell>
          <cell r="I800">
            <v>2604</v>
          </cell>
          <cell r="J800" t="str">
            <v>bcheng@cbwchc.org</v>
          </cell>
          <cell r="L800" t="str">
            <v>All Other:: Practitioner - Non-Primary Care Provider (PCP)</v>
          </cell>
          <cell r="M800" t="str">
            <v>Yes</v>
          </cell>
          <cell r="R800" t="str">
            <v>KO RUBY MS.</v>
          </cell>
          <cell r="W800" t="str">
            <v>KO RUBY MEI</v>
          </cell>
          <cell r="X800" t="str">
            <v>268 CANAL ST</v>
          </cell>
          <cell r="Y800" t="str">
            <v>NEW YORK</v>
          </cell>
          <cell r="Z800" t="str">
            <v>NY</v>
          </cell>
          <cell r="AA800" t="str">
            <v>10013-3599</v>
          </cell>
          <cell r="AB800" t="str">
            <v>NURSE</v>
          </cell>
          <cell r="AC800" t="str">
            <v>M</v>
          </cell>
          <cell r="AD800" t="str">
            <v>No</v>
          </cell>
          <cell r="AE800" t="str">
            <v>MMIS</v>
          </cell>
          <cell r="AF800" t="str">
            <v>cbwchc</v>
          </cell>
          <cell r="AG800" t="str">
            <v>P</v>
          </cell>
        </row>
        <row r="801">
          <cell r="A801" t="str">
            <v>1992762371</v>
          </cell>
          <cell r="B801" t="str">
            <v>02925208</v>
          </cell>
          <cell r="C801" t="str">
            <v xml:space="preserve">CORREIA, LUCY </v>
          </cell>
          <cell r="D801" t="str">
            <v>E0000562</v>
          </cell>
          <cell r="E801" t="str">
            <v>CORREIA LUCY</v>
          </cell>
          <cell r="G801" t="str">
            <v>Kathryn Spaziani</v>
          </cell>
          <cell r="H801" t="str">
            <v>(212) 305-1190</v>
          </cell>
          <cell r="J801" t="str">
            <v>kas9171@nyp.org</v>
          </cell>
          <cell r="L801" t="str">
            <v>All Other:: Practitioner - Non-Primary Care Provider (PCP)</v>
          </cell>
          <cell r="M801" t="str">
            <v>Yes</v>
          </cell>
          <cell r="R801" t="str">
            <v>CORREIA LUCY MS.</v>
          </cell>
          <cell r="W801" t="str">
            <v>CORREIA LUCY</v>
          </cell>
          <cell r="X801" t="str">
            <v>21 AUDUBON AVE</v>
          </cell>
          <cell r="Y801" t="str">
            <v>NEW YORK</v>
          </cell>
          <cell r="Z801" t="str">
            <v>NY</v>
          </cell>
          <cell r="AA801" t="str">
            <v>10032-4220</v>
          </cell>
          <cell r="AB801" t="str">
            <v>PHYSICIAN</v>
          </cell>
          <cell r="AC801" t="str">
            <v>M</v>
          </cell>
          <cell r="AD801" t="str">
            <v>No</v>
          </cell>
          <cell r="AE801" t="str">
            <v>MMIS</v>
          </cell>
          <cell r="AF801" t="str">
            <v>nypwestacn</v>
          </cell>
          <cell r="AG801" t="str">
            <v>P</v>
          </cell>
        </row>
        <row r="802">
          <cell r="A802" t="str">
            <v>1477686855</v>
          </cell>
          <cell r="B802" t="str">
            <v>03089503</v>
          </cell>
          <cell r="C802" t="str">
            <v>GERBER, ANDREW J</v>
          </cell>
          <cell r="D802" t="str">
            <v>E0291809</v>
          </cell>
          <cell r="E802" t="str">
            <v>GERBER ANDREW</v>
          </cell>
          <cell r="G802" t="str">
            <v>Kathryn Spaziani</v>
          </cell>
          <cell r="H802" t="str">
            <v>(212) 305-1190</v>
          </cell>
          <cell r="J802" t="str">
            <v>kas9171@nyp.org</v>
          </cell>
          <cell r="L802" t="str">
            <v>Practitioner - Non-Primary Care Provider (PCP)</v>
          </cell>
          <cell r="M802" t="str">
            <v>No</v>
          </cell>
          <cell r="R802" t="str">
            <v>GERBER ANDREW DR.</v>
          </cell>
          <cell r="W802" t="str">
            <v>GERBER ANDREW</v>
          </cell>
          <cell r="X802" t="str">
            <v>21 BLOOMINGDALE RD</v>
          </cell>
          <cell r="Y802" t="str">
            <v>WHITE PLAINS</v>
          </cell>
          <cell r="Z802" t="str">
            <v>NY</v>
          </cell>
          <cell r="AA802" t="str">
            <v>10605-1504</v>
          </cell>
          <cell r="AB802" t="str">
            <v>PHYSICIAN</v>
          </cell>
          <cell r="AC802" t="str">
            <v>M</v>
          </cell>
          <cell r="AD802" t="str">
            <v>No</v>
          </cell>
          <cell r="AE802" t="str">
            <v>MMIS</v>
          </cell>
          <cell r="AF802" t="str">
            <v>nypwestacn</v>
          </cell>
          <cell r="AG802" t="str">
            <v>P</v>
          </cell>
        </row>
        <row r="803">
          <cell r="A803" t="str">
            <v>1699708883</v>
          </cell>
          <cell r="B803" t="str">
            <v>02694333</v>
          </cell>
          <cell r="C803" t="str">
            <v>BOUCHARD, NICOLE C</v>
          </cell>
          <cell r="D803" t="str">
            <v>E0030746</v>
          </cell>
          <cell r="E803" t="str">
            <v>BOUCHARD NICOLE COLETTE MD</v>
          </cell>
          <cell r="G803" t="str">
            <v>Kathryn Spaziani</v>
          </cell>
          <cell r="H803" t="str">
            <v>(212) 305-1190</v>
          </cell>
          <cell r="J803" t="str">
            <v>kas9171@nyp.org</v>
          </cell>
          <cell r="L803" t="str">
            <v>All Other:: Practitioner - Non-Primary Care Provider (PCP)</v>
          </cell>
          <cell r="M803" t="str">
            <v>No</v>
          </cell>
          <cell r="R803" t="str">
            <v>BOUCHARD NICOLE</v>
          </cell>
          <cell r="W803" t="str">
            <v>BOUCHARD NICOLE COLETTE MD</v>
          </cell>
          <cell r="X803" t="str">
            <v>CUMC 622 WEST 168 ST</v>
          </cell>
          <cell r="Y803" t="str">
            <v>NEW YORK</v>
          </cell>
          <cell r="Z803" t="str">
            <v>NY</v>
          </cell>
          <cell r="AA803" t="str">
            <v>10032</v>
          </cell>
          <cell r="AB803" t="str">
            <v>PHYSICIAN</v>
          </cell>
          <cell r="AC803" t="str">
            <v>M</v>
          </cell>
          <cell r="AD803" t="str">
            <v>No</v>
          </cell>
          <cell r="AE803" t="str">
            <v>MMIS</v>
          </cell>
          <cell r="AF803" t="str">
            <v>nypwestcampus</v>
          </cell>
          <cell r="AG803" t="str">
            <v>P</v>
          </cell>
        </row>
        <row r="804">
          <cell r="A804" t="str">
            <v>1861589947</v>
          </cell>
          <cell r="B804" t="str">
            <v>02134825</v>
          </cell>
          <cell r="C804" t="str">
            <v xml:space="preserve">HUPERT, NATHANIEL </v>
          </cell>
          <cell r="D804" t="str">
            <v>E0086588</v>
          </cell>
          <cell r="E804" t="str">
            <v>HUPERT NATHANIEL MD</v>
          </cell>
          <cell r="G804" t="str">
            <v>Kathryn Spaziani</v>
          </cell>
          <cell r="H804" t="str">
            <v>(212) 305-1190</v>
          </cell>
          <cell r="J804" t="str">
            <v>kas9171@nyp.org</v>
          </cell>
          <cell r="L804" t="str">
            <v>All Other:: Practitioner - Primary Care Provider (PCP)</v>
          </cell>
          <cell r="M804" t="str">
            <v>No</v>
          </cell>
          <cell r="R804" t="str">
            <v>HUPERT NATHANIEL</v>
          </cell>
          <cell r="W804" t="str">
            <v>HUPERT NATHANIEL MD</v>
          </cell>
          <cell r="X804" t="str">
            <v># HT-4</v>
          </cell>
          <cell r="Y804" t="str">
            <v>NEW YORK</v>
          </cell>
          <cell r="Z804" t="str">
            <v>NY</v>
          </cell>
          <cell r="AA804" t="str">
            <v>10021-4872</v>
          </cell>
          <cell r="AB804" t="str">
            <v>PHYSICIAN</v>
          </cell>
          <cell r="AC804" t="str">
            <v>M</v>
          </cell>
          <cell r="AD804" t="str">
            <v>No</v>
          </cell>
          <cell r="AE804" t="str">
            <v>MMIS</v>
          </cell>
          <cell r="AF804" t="str">
            <v>nypeastcampus</v>
          </cell>
          <cell r="AG804" t="str">
            <v>P</v>
          </cell>
        </row>
        <row r="805">
          <cell r="A805" t="str">
            <v>1063509149</v>
          </cell>
          <cell r="B805" t="str">
            <v>00179153</v>
          </cell>
          <cell r="C805" t="str">
            <v>FEIN, OLIVER T</v>
          </cell>
          <cell r="D805" t="str">
            <v>E0277227</v>
          </cell>
          <cell r="E805" t="str">
            <v>FEIN OLIVER T              MD</v>
          </cell>
          <cell r="G805" t="str">
            <v>Kathryn Spaziani</v>
          </cell>
          <cell r="H805" t="str">
            <v>(212) 305-1190</v>
          </cell>
          <cell r="J805" t="str">
            <v>kas9171@nyp.org</v>
          </cell>
          <cell r="L805" t="str">
            <v>All Other:: Practitioner - Primary Care Provider (PCP)</v>
          </cell>
          <cell r="M805" t="str">
            <v>No</v>
          </cell>
          <cell r="R805" t="str">
            <v>FEIN OLIVER</v>
          </cell>
          <cell r="W805" t="str">
            <v>FEIN OLIVER T              MD</v>
          </cell>
          <cell r="X805" t="str">
            <v>COLUMBIA PRESBY HOSP</v>
          </cell>
          <cell r="Y805" t="str">
            <v>NEW YORK</v>
          </cell>
          <cell r="Z805" t="str">
            <v>NY</v>
          </cell>
          <cell r="AA805" t="str">
            <v>10032-3720</v>
          </cell>
          <cell r="AB805" t="str">
            <v>PHYSICIAN</v>
          </cell>
          <cell r="AC805" t="str">
            <v>M</v>
          </cell>
          <cell r="AD805" t="str">
            <v>No</v>
          </cell>
          <cell r="AE805" t="str">
            <v>MMIS</v>
          </cell>
          <cell r="AF805" t="str">
            <v>nypeastacn</v>
          </cell>
          <cell r="AG805" t="str">
            <v>P</v>
          </cell>
        </row>
        <row r="806">
          <cell r="A806" t="str">
            <v>1003005745</v>
          </cell>
          <cell r="B806" t="str">
            <v>04015936</v>
          </cell>
          <cell r="C806" t="str">
            <v xml:space="preserve">DASTGIR, JAHANNAZ </v>
          </cell>
          <cell r="D806" t="str">
            <v>E0393086</v>
          </cell>
          <cell r="E806" t="str">
            <v>DASTGIR JAHANNAZ</v>
          </cell>
          <cell r="G806" t="str">
            <v>Kathryn Spaziani</v>
          </cell>
          <cell r="H806" t="str">
            <v>(212) 305-1190</v>
          </cell>
          <cell r="J806" t="str">
            <v>kas9171@nyp.org</v>
          </cell>
          <cell r="L806" t="str">
            <v>Practitioner - Non-Primary Care Provider (PCP)</v>
          </cell>
          <cell r="M806" t="str">
            <v>No</v>
          </cell>
          <cell r="R806" t="str">
            <v>DASTGIR JAHANNAZ DR.</v>
          </cell>
          <cell r="W806" t="str">
            <v>DASTGIR JAHANNAZ</v>
          </cell>
          <cell r="X806" t="str">
            <v>180 FORT WASHINGTON AVE</v>
          </cell>
          <cell r="Y806" t="str">
            <v>NEW YORK</v>
          </cell>
          <cell r="Z806" t="str">
            <v>NY</v>
          </cell>
          <cell r="AA806" t="str">
            <v>10032-3722</v>
          </cell>
          <cell r="AB806" t="str">
            <v>PHYSICIAN</v>
          </cell>
          <cell r="AC806" t="str">
            <v>M</v>
          </cell>
          <cell r="AD806" t="str">
            <v>No</v>
          </cell>
          <cell r="AE806" t="str">
            <v>MMIS</v>
          </cell>
          <cell r="AF806" t="str">
            <v>nypwestcampus</v>
          </cell>
          <cell r="AG806" t="str">
            <v>P</v>
          </cell>
        </row>
        <row r="807">
          <cell r="A807" t="str">
            <v>1003013533</v>
          </cell>
          <cell r="B807" t="str">
            <v>03475101</v>
          </cell>
          <cell r="C807" t="str">
            <v>CIOFFI, GEORGE A</v>
          </cell>
          <cell r="D807" t="str">
            <v>E0336794</v>
          </cell>
          <cell r="E807" t="str">
            <v>CIOFFI GEORGE A</v>
          </cell>
          <cell r="G807" t="str">
            <v>Kathryn Spaziani</v>
          </cell>
          <cell r="H807" t="str">
            <v>(212) 305-1190</v>
          </cell>
          <cell r="J807" t="str">
            <v>kas9171@nyp.org</v>
          </cell>
          <cell r="L807" t="str">
            <v>All Other:: Practitioner - Non-Primary Care Provider (PCP)</v>
          </cell>
          <cell r="M807" t="str">
            <v>No</v>
          </cell>
          <cell r="R807" t="str">
            <v>CIOFFI GEORGE</v>
          </cell>
          <cell r="W807" t="str">
            <v>CIOFFI GEORGE A</v>
          </cell>
          <cell r="X807" t="str">
            <v>635 W 165TH ST BSMT</v>
          </cell>
          <cell r="Y807" t="str">
            <v>NEW YORK</v>
          </cell>
          <cell r="Z807" t="str">
            <v>NY</v>
          </cell>
          <cell r="AA807" t="str">
            <v>10032-3724</v>
          </cell>
          <cell r="AB807" t="str">
            <v>PHYSICIAN</v>
          </cell>
          <cell r="AC807" t="str">
            <v>M</v>
          </cell>
          <cell r="AD807" t="str">
            <v>No</v>
          </cell>
          <cell r="AE807" t="str">
            <v>MMIS</v>
          </cell>
          <cell r="AF807" t="str">
            <v>nypwestacn</v>
          </cell>
          <cell r="AG807" t="str">
            <v>P</v>
          </cell>
        </row>
        <row r="808">
          <cell r="A808" t="str">
            <v>1003015439</v>
          </cell>
          <cell r="B808" t="str">
            <v>03230182</v>
          </cell>
          <cell r="C808" t="str">
            <v>CANETTA, PIETRO A</v>
          </cell>
          <cell r="D808" t="str">
            <v>E0307826</v>
          </cell>
          <cell r="E808" t="str">
            <v>PIETRO A CANETTA</v>
          </cell>
          <cell r="G808" t="str">
            <v>Kathryn Spaziani</v>
          </cell>
          <cell r="H808" t="str">
            <v>(212) 305-1190</v>
          </cell>
          <cell r="J808" t="str">
            <v>kas9171@nyp.org</v>
          </cell>
          <cell r="L808" t="str">
            <v>All Other:: Practitioner - Primary Care Provider (PCP)</v>
          </cell>
          <cell r="M808" t="str">
            <v>No</v>
          </cell>
          <cell r="R808" t="str">
            <v>CANETTA PIETRO DR.</v>
          </cell>
          <cell r="W808" t="str">
            <v>CANETTA PIETRO A</v>
          </cell>
          <cell r="X808" t="str">
            <v>622 W 168TH ST</v>
          </cell>
          <cell r="Y808" t="str">
            <v>NEW YORK</v>
          </cell>
          <cell r="Z808" t="str">
            <v>NY</v>
          </cell>
          <cell r="AA808" t="str">
            <v>10032-3720</v>
          </cell>
          <cell r="AB808" t="str">
            <v>PHYSICIAN</v>
          </cell>
          <cell r="AC808" t="str">
            <v>M</v>
          </cell>
          <cell r="AD808" t="str">
            <v>No</v>
          </cell>
          <cell r="AE808" t="str">
            <v>MMIS</v>
          </cell>
          <cell r="AF808" t="str">
            <v>nypwestacn</v>
          </cell>
          <cell r="AG808" t="str">
            <v>P</v>
          </cell>
        </row>
        <row r="809">
          <cell r="A809" t="str">
            <v>1609162957</v>
          </cell>
          <cell r="B809" t="str">
            <v>03703688</v>
          </cell>
          <cell r="C809" t="str">
            <v>WHITE, KALI</v>
          </cell>
          <cell r="D809" t="str">
            <v>E0360870</v>
          </cell>
          <cell r="E809" t="str">
            <v>WHITE KALI</v>
          </cell>
          <cell r="G809" t="str">
            <v>Kathryn Spaziani</v>
          </cell>
          <cell r="H809" t="str">
            <v>(212) 305-1353</v>
          </cell>
          <cell r="J809" t="str">
            <v>kas9171@nyp.org</v>
          </cell>
          <cell r="L809" t="str">
            <v>Practitioner - Non-Primary Care Provider (PCP)</v>
          </cell>
          <cell r="M809" t="str">
            <v>No</v>
          </cell>
          <cell r="R809" t="str">
            <v>WHITE KALI</v>
          </cell>
          <cell r="W809" t="str">
            <v>WHITE KALI</v>
          </cell>
          <cell r="X809" t="str">
            <v>622 W 168TH ST</v>
          </cell>
          <cell r="Y809" t="str">
            <v>NEW YORK</v>
          </cell>
          <cell r="Z809" t="str">
            <v>NY</v>
          </cell>
          <cell r="AA809" t="str">
            <v>10032-3720</v>
          </cell>
          <cell r="AB809" t="str">
            <v>PHYSICIAN</v>
          </cell>
          <cell r="AC809" t="str">
            <v>M</v>
          </cell>
          <cell r="AD809" t="str">
            <v>No</v>
          </cell>
          <cell r="AE809" t="str">
            <v>MMIS</v>
          </cell>
          <cell r="AF809" t="str">
            <v>nypwestcampus</v>
          </cell>
          <cell r="AG809" t="str">
            <v>P</v>
          </cell>
        </row>
        <row r="810">
          <cell r="A810" t="str">
            <v>1174692024</v>
          </cell>
          <cell r="B810" t="str">
            <v>02887956</v>
          </cell>
          <cell r="C810" t="str">
            <v>CRIMMINS, TIMOTHY J</v>
          </cell>
          <cell r="D810" t="str">
            <v>E0011410</v>
          </cell>
          <cell r="E810" t="str">
            <v>CRIMMINS TIMOTHY J MD</v>
          </cell>
          <cell r="G810" t="str">
            <v>Kathryn Spaziani</v>
          </cell>
          <cell r="H810" t="str">
            <v>(212) 305-1190</v>
          </cell>
          <cell r="J810" t="str">
            <v>kas9171@nyp.org</v>
          </cell>
          <cell r="L810" t="str">
            <v>Practitioner - Primary Care Provider (PCP)</v>
          </cell>
          <cell r="M810" t="str">
            <v>No</v>
          </cell>
          <cell r="R810" t="str">
            <v>CRIMMINS TIMOTHY</v>
          </cell>
          <cell r="W810" t="str">
            <v>CRIMMINS TIMOTHY J MD</v>
          </cell>
          <cell r="X810" t="str">
            <v>622 W 168TH ST</v>
          </cell>
          <cell r="Y810" t="str">
            <v>NEW YORK</v>
          </cell>
          <cell r="Z810" t="str">
            <v>NY</v>
          </cell>
          <cell r="AA810" t="str">
            <v>10032-3720</v>
          </cell>
          <cell r="AB810" t="str">
            <v>PHYSICIAN</v>
          </cell>
          <cell r="AC810" t="str">
            <v>M</v>
          </cell>
          <cell r="AD810" t="str">
            <v>No</v>
          </cell>
          <cell r="AE810" t="str">
            <v>MMIS</v>
          </cell>
          <cell r="AF810" t="str">
            <v>nypwestacn</v>
          </cell>
          <cell r="AG810" t="str">
            <v>P</v>
          </cell>
        </row>
        <row r="811">
          <cell r="A811" t="str">
            <v>1174781009</v>
          </cell>
          <cell r="B811" t="str">
            <v>03153546</v>
          </cell>
          <cell r="C811" t="str">
            <v>Amin, Prina</v>
          </cell>
          <cell r="D811" t="str">
            <v>E0299123</v>
          </cell>
          <cell r="E811" t="str">
            <v>AMIN PRINA PANDYA</v>
          </cell>
          <cell r="G811" t="str">
            <v>Kathryn Spaziani</v>
          </cell>
          <cell r="H811" t="str">
            <v>(212) 305-1190</v>
          </cell>
          <cell r="J811" t="str">
            <v>kas9171@nyp.org</v>
          </cell>
          <cell r="L811" t="str">
            <v>All Other:: Practitioner - Primary Care Provider (PCP)</v>
          </cell>
          <cell r="M811" t="str">
            <v>Yes</v>
          </cell>
          <cell r="R811" t="str">
            <v>AMIN PRINA</v>
          </cell>
          <cell r="W811" t="str">
            <v>AMIN PRINA PANDYA</v>
          </cell>
          <cell r="X811" t="str">
            <v>525 E 68TH ST # M-6</v>
          </cell>
          <cell r="Y811" t="str">
            <v>NEW YORK</v>
          </cell>
          <cell r="Z811" t="str">
            <v>NY</v>
          </cell>
          <cell r="AA811" t="str">
            <v>10065-4870</v>
          </cell>
          <cell r="AB811" t="str">
            <v>PHYSICIAN</v>
          </cell>
          <cell r="AC811" t="str">
            <v>M</v>
          </cell>
          <cell r="AD811" t="str">
            <v>No</v>
          </cell>
          <cell r="AE811" t="str">
            <v>MMIS</v>
          </cell>
          <cell r="AF811" t="str">
            <v>nypeastcampus</v>
          </cell>
          <cell r="AG811" t="str">
            <v>P</v>
          </cell>
        </row>
        <row r="812">
          <cell r="A812" t="str">
            <v>1427176833</v>
          </cell>
          <cell r="B812" t="str">
            <v>02819872</v>
          </cell>
          <cell r="C812" t="str">
            <v>ORPILLA, EVANGELINE M</v>
          </cell>
          <cell r="D812" t="str">
            <v>E0018208</v>
          </cell>
          <cell r="E812" t="str">
            <v>ORPILLA EVANGELINE</v>
          </cell>
          <cell r="G812" t="str">
            <v>Kathryn Spaziani</v>
          </cell>
          <cell r="H812" t="str">
            <v>(212) 305-1190</v>
          </cell>
          <cell r="J812" t="str">
            <v>kas9171@nyp.org</v>
          </cell>
          <cell r="L812" t="str">
            <v>Practitioner - Non-Primary Care Provider (PCP)</v>
          </cell>
          <cell r="M812" t="str">
            <v>No</v>
          </cell>
          <cell r="R812" t="str">
            <v>ORPILLA EVANGELINE MRS.</v>
          </cell>
          <cell r="W812" t="str">
            <v>ORPILLA EVANGELINE</v>
          </cell>
          <cell r="X812" t="str">
            <v>64 NAGLE AVE</v>
          </cell>
          <cell r="Y812" t="str">
            <v>NEW YORK</v>
          </cell>
          <cell r="Z812" t="str">
            <v>NY</v>
          </cell>
          <cell r="AA812" t="str">
            <v>10040-1406</v>
          </cell>
          <cell r="AB812" t="str">
            <v>PHYSICIAN</v>
          </cell>
          <cell r="AC812" t="str">
            <v>M</v>
          </cell>
          <cell r="AD812" t="str">
            <v>No</v>
          </cell>
          <cell r="AE812" t="str">
            <v>MMIS</v>
          </cell>
          <cell r="AF812" t="str">
            <v>nypwestcampus</v>
          </cell>
          <cell r="AG812" t="str">
            <v>P</v>
          </cell>
        </row>
        <row r="813">
          <cell r="A813" t="str">
            <v>1497844039</v>
          </cell>
          <cell r="B813" t="str">
            <v>00715435</v>
          </cell>
          <cell r="C813" t="str">
            <v>CHARON, RITA A</v>
          </cell>
          <cell r="D813" t="str">
            <v>E0228163</v>
          </cell>
          <cell r="E813" t="str">
            <v>CHARON RITA AM             MD</v>
          </cell>
          <cell r="G813" t="str">
            <v>Kathryn Spaziani</v>
          </cell>
          <cell r="H813" t="str">
            <v>(212) 305-1190</v>
          </cell>
          <cell r="J813" t="str">
            <v>kas9171@nyp.org</v>
          </cell>
          <cell r="L813" t="str">
            <v>All Other:: Practitioner - Primary Care Provider (PCP)</v>
          </cell>
          <cell r="M813" t="str">
            <v>Yes</v>
          </cell>
          <cell r="R813" t="str">
            <v>CHARON RITA DR.</v>
          </cell>
          <cell r="W813" t="str">
            <v>CHARON RITA AM             MD</v>
          </cell>
          <cell r="Y813" t="str">
            <v>NEW YORK</v>
          </cell>
          <cell r="Z813" t="str">
            <v>NY</v>
          </cell>
          <cell r="AA813" t="str">
            <v>10032-3720</v>
          </cell>
          <cell r="AB813" t="str">
            <v>PHYSICIAN</v>
          </cell>
          <cell r="AC813" t="str">
            <v>M</v>
          </cell>
          <cell r="AD813" t="str">
            <v>No</v>
          </cell>
          <cell r="AE813" t="str">
            <v>MMIS</v>
          </cell>
          <cell r="AF813" t="str">
            <v>nypwestacn</v>
          </cell>
          <cell r="AG813" t="str">
            <v>P</v>
          </cell>
        </row>
        <row r="814">
          <cell r="A814" t="str">
            <v>1093953952</v>
          </cell>
          <cell r="B814" t="str">
            <v>03348074</v>
          </cell>
          <cell r="C814" t="str">
            <v>Fitzgerald Meghann</v>
          </cell>
          <cell r="D814" t="str">
            <v>E0321180</v>
          </cell>
          <cell r="E814" t="str">
            <v>FITZGERALD MEGHANN M</v>
          </cell>
          <cell r="L814" t="str">
            <v>All Other:: Practitioner - Non-Primary Care Provider (PCP)</v>
          </cell>
          <cell r="M814" t="str">
            <v>No</v>
          </cell>
          <cell r="R814" t="str">
            <v>FITZGERALD MEGHANN DR.</v>
          </cell>
          <cell r="W814" t="str">
            <v>FITZGERALD MEGHANN M</v>
          </cell>
          <cell r="X814" t="str">
            <v>525 E 68TH ST</v>
          </cell>
          <cell r="Y814" t="str">
            <v>NEW YORK</v>
          </cell>
          <cell r="Z814" t="str">
            <v>NY</v>
          </cell>
          <cell r="AA814" t="str">
            <v>10065-4870</v>
          </cell>
          <cell r="AB814" t="str">
            <v>PHYSICIAN</v>
          </cell>
          <cell r="AC814" t="str">
            <v>M</v>
          </cell>
          <cell r="AD814" t="str">
            <v>No</v>
          </cell>
          <cell r="AE814" t="str">
            <v>MMIS</v>
          </cell>
          <cell r="AF814" t="str">
            <v>nypeastcampus</v>
          </cell>
          <cell r="AG814" t="str">
            <v>P</v>
          </cell>
        </row>
        <row r="815">
          <cell r="A815" t="str">
            <v>1215195326</v>
          </cell>
          <cell r="B815" t="str">
            <v>03249570</v>
          </cell>
          <cell r="C815" t="str">
            <v>Fleischut Peter</v>
          </cell>
          <cell r="D815" t="str">
            <v>E0310008</v>
          </cell>
          <cell r="E815" t="str">
            <v>FLEISCHUT PETER MATTHEW</v>
          </cell>
          <cell r="L815" t="str">
            <v>All Other:: Practitioner - Non-Primary Care Provider (PCP)</v>
          </cell>
          <cell r="M815" t="str">
            <v>No</v>
          </cell>
          <cell r="R815" t="str">
            <v>FLEISCHUT PETER DR.</v>
          </cell>
          <cell r="W815" t="str">
            <v>FLEISCHUT PETER MATTHEW</v>
          </cell>
          <cell r="X815" t="str">
            <v>525 E 68TH ST</v>
          </cell>
          <cell r="Y815" t="str">
            <v>NEW YORK</v>
          </cell>
          <cell r="Z815" t="str">
            <v>NY</v>
          </cell>
          <cell r="AA815" t="str">
            <v>10065-4870</v>
          </cell>
          <cell r="AB815" t="str">
            <v>PHYSICIAN</v>
          </cell>
          <cell r="AC815" t="str">
            <v>M</v>
          </cell>
          <cell r="AD815" t="str">
            <v>No</v>
          </cell>
          <cell r="AE815" t="str">
            <v>MMIS</v>
          </cell>
          <cell r="AF815" t="str">
            <v>nypeastcampus</v>
          </cell>
          <cell r="AG815" t="str">
            <v>P</v>
          </cell>
        </row>
        <row r="816">
          <cell r="A816" t="str">
            <v>1780926089</v>
          </cell>
          <cell r="C816" t="str">
            <v>Chen Alisa</v>
          </cell>
          <cell r="G816" t="str">
            <v>Kathryn Spaziani</v>
          </cell>
          <cell r="H816" t="str">
            <v>(212) 305-1255</v>
          </cell>
          <cell r="J816" t="str">
            <v>kas9171@nyp.org</v>
          </cell>
          <cell r="K816" t="str">
            <v>Physician</v>
          </cell>
          <cell r="L816" t="str">
            <v>Uncategorized</v>
          </cell>
          <cell r="M816" t="str">
            <v>No</v>
          </cell>
          <cell r="R816" t="str">
            <v>CHEN ALISA DR.</v>
          </cell>
          <cell r="S816" t="str">
            <v>23 LORD WILLIAM PENN DR</v>
          </cell>
          <cell r="T816" t="str">
            <v>MORRISTOWN</v>
          </cell>
          <cell r="U816" t="str">
            <v>NJ</v>
          </cell>
          <cell r="V816" t="str">
            <v>079603214</v>
          </cell>
          <cell r="AC816" t="str">
            <v>M</v>
          </cell>
          <cell r="AD816" t="str">
            <v>No</v>
          </cell>
          <cell r="AE816" t="str">
            <v>NPI only</v>
          </cell>
          <cell r="AF816" t="str">
            <v>nypwestcampus</v>
          </cell>
          <cell r="AG816" t="str">
            <v>P</v>
          </cell>
        </row>
        <row r="817">
          <cell r="A817" t="str">
            <v>1699017004</v>
          </cell>
          <cell r="C817" t="str">
            <v>Chen Jerri</v>
          </cell>
          <cell r="G817" t="str">
            <v>Kathryn Spaziani</v>
          </cell>
          <cell r="H817" t="str">
            <v>(212) 305-1255</v>
          </cell>
          <cell r="J817" t="str">
            <v>kas9171@nyp.org</v>
          </cell>
          <cell r="K817" t="str">
            <v>Physician</v>
          </cell>
          <cell r="L817" t="str">
            <v>Uncategorized</v>
          </cell>
          <cell r="M817" t="str">
            <v>No</v>
          </cell>
          <cell r="R817" t="str">
            <v>CHEN JERRI DR.</v>
          </cell>
          <cell r="S817" t="str">
            <v>630 W 168TH ST, DEPARTMENT OF ANESTHESIOLOGY</v>
          </cell>
          <cell r="T817" t="str">
            <v>NEW YORK</v>
          </cell>
          <cell r="U817" t="str">
            <v>NY</v>
          </cell>
          <cell r="V817" t="str">
            <v>100323725</v>
          </cell>
          <cell r="AC817" t="str">
            <v>M</v>
          </cell>
          <cell r="AD817" t="str">
            <v>No</v>
          </cell>
          <cell r="AE817" t="str">
            <v>NPI only</v>
          </cell>
          <cell r="AF817" t="str">
            <v>nypwestcampus</v>
          </cell>
          <cell r="AG817" t="str">
            <v>P</v>
          </cell>
        </row>
        <row r="818">
          <cell r="A818" t="str">
            <v>1447526801</v>
          </cell>
          <cell r="C818" t="str">
            <v>Cheng Timothy</v>
          </cell>
          <cell r="G818" t="str">
            <v>Kathryn Spaziani</v>
          </cell>
          <cell r="H818" t="str">
            <v>(212) 305-1255</v>
          </cell>
          <cell r="J818" t="str">
            <v>kas9171@nyp.org</v>
          </cell>
          <cell r="K818" t="str">
            <v>Physician</v>
          </cell>
          <cell r="L818" t="str">
            <v>Uncategorized</v>
          </cell>
          <cell r="M818" t="str">
            <v>No</v>
          </cell>
          <cell r="R818" t="str">
            <v>CHENG TIMOTHY DR.</v>
          </cell>
          <cell r="S818" t="str">
            <v>622 W 168TH ST, PH5-133</v>
          </cell>
          <cell r="T818" t="str">
            <v>NEW YORK</v>
          </cell>
          <cell r="U818" t="str">
            <v>NY</v>
          </cell>
          <cell r="V818" t="str">
            <v>100323720</v>
          </cell>
          <cell r="AC818" t="str">
            <v>M</v>
          </cell>
          <cell r="AD818" t="str">
            <v>No</v>
          </cell>
          <cell r="AE818" t="str">
            <v>NPI only</v>
          </cell>
          <cell r="AF818" t="str">
            <v>nypwestcampus</v>
          </cell>
          <cell r="AG818" t="str">
            <v>P</v>
          </cell>
        </row>
        <row r="819">
          <cell r="A819" t="str">
            <v>1942488366</v>
          </cell>
          <cell r="B819" t="str">
            <v>03223952</v>
          </cell>
          <cell r="C819" t="str">
            <v>Dubroff Rachel</v>
          </cell>
          <cell r="D819" t="str">
            <v>E0307088</v>
          </cell>
          <cell r="E819" t="str">
            <v>DUBROFF RACHEL PHYLLIS</v>
          </cell>
          <cell r="L819" t="str">
            <v>Practitioner - Non-Primary Care Provider (PCP)</v>
          </cell>
          <cell r="M819" t="str">
            <v>No</v>
          </cell>
          <cell r="R819" t="str">
            <v>DUBROFF RACHEL DR.</v>
          </cell>
          <cell r="W819" t="str">
            <v>DUBROFF RACHEL PHYLLIS</v>
          </cell>
          <cell r="X819" t="str">
            <v>525 E 68TH ST</v>
          </cell>
          <cell r="Y819" t="str">
            <v>NEW YORK</v>
          </cell>
          <cell r="Z819" t="str">
            <v>NY</v>
          </cell>
          <cell r="AA819" t="str">
            <v>10065-4870</v>
          </cell>
          <cell r="AB819" t="str">
            <v>PHYSICIAN</v>
          </cell>
          <cell r="AC819" t="str">
            <v>M</v>
          </cell>
          <cell r="AD819" t="str">
            <v>No</v>
          </cell>
          <cell r="AE819" t="str">
            <v>MMIS</v>
          </cell>
          <cell r="AF819" t="str">
            <v>nypeastcampus</v>
          </cell>
          <cell r="AG819" t="str">
            <v>P</v>
          </cell>
        </row>
        <row r="820">
          <cell r="A820" t="str">
            <v>1295749273</v>
          </cell>
          <cell r="B820" t="str">
            <v>02517797</v>
          </cell>
          <cell r="C820" t="str">
            <v>Manczur Terezia</v>
          </cell>
          <cell r="D820" t="str">
            <v>E0048363</v>
          </cell>
          <cell r="E820" t="str">
            <v>MANCZUR TEREZIA MD</v>
          </cell>
          <cell r="L820" t="str">
            <v>All Other:: Practitioner - Non-Primary Care Provider (PCP)</v>
          </cell>
          <cell r="M820" t="str">
            <v>No</v>
          </cell>
          <cell r="R820" t="str">
            <v>MANCZUR TEREZIA DR.</v>
          </cell>
          <cell r="W820" t="str">
            <v>MANCZUR TEREZIA MD</v>
          </cell>
          <cell r="X820" t="str">
            <v>622 W 168TH ST</v>
          </cell>
          <cell r="Y820" t="str">
            <v>NEW YORK</v>
          </cell>
          <cell r="Z820" t="str">
            <v>NY</v>
          </cell>
          <cell r="AA820" t="str">
            <v>10032-3720</v>
          </cell>
          <cell r="AB820" t="str">
            <v>PHYSICIAN</v>
          </cell>
          <cell r="AC820" t="str">
            <v>M</v>
          </cell>
          <cell r="AD820" t="str">
            <v>No</v>
          </cell>
          <cell r="AE820" t="str">
            <v>MMIS</v>
          </cell>
          <cell r="AF820" t="str">
            <v>nypwestcampus</v>
          </cell>
          <cell r="AG820" t="str">
            <v>P</v>
          </cell>
        </row>
        <row r="821">
          <cell r="A821" t="str">
            <v>1124041538</v>
          </cell>
          <cell r="B821" t="str">
            <v>03127502</v>
          </cell>
          <cell r="C821" t="str">
            <v>Suzzane Palinski</v>
          </cell>
          <cell r="D821" t="str">
            <v>E0296262</v>
          </cell>
          <cell r="E821" t="str">
            <v>PALINSKI SUZANNE</v>
          </cell>
          <cell r="L821" t="str">
            <v>All Other:: Practitioner - Primary Care Provider (PCP)</v>
          </cell>
          <cell r="M821" t="str">
            <v>Yes</v>
          </cell>
          <cell r="R821" t="str">
            <v>PALINSKI SUZANNE</v>
          </cell>
          <cell r="W821" t="str">
            <v>PALINSKI SUZANNE MARGARITA</v>
          </cell>
          <cell r="X821" t="str">
            <v>150 ESSEX ST</v>
          </cell>
          <cell r="Y821" t="str">
            <v>NEW YORK</v>
          </cell>
          <cell r="Z821" t="str">
            <v>NY</v>
          </cell>
          <cell r="AA821" t="str">
            <v>10002-2301</v>
          </cell>
          <cell r="AB821" t="str">
            <v>PHYSICIAN</v>
          </cell>
          <cell r="AC821" t="str">
            <v>M</v>
          </cell>
          <cell r="AD821" t="str">
            <v>No</v>
          </cell>
          <cell r="AE821" t="str">
            <v>MMIS</v>
          </cell>
          <cell r="AF821" t="str">
            <v>nypeastacn</v>
          </cell>
          <cell r="AG821" t="str">
            <v>P</v>
          </cell>
        </row>
        <row r="822">
          <cell r="A822" t="str">
            <v>1558372326</v>
          </cell>
          <cell r="B822" t="str">
            <v>01524712</v>
          </cell>
          <cell r="C822" t="str">
            <v>Goldstein Peter</v>
          </cell>
          <cell r="D822" t="str">
            <v>E0147523</v>
          </cell>
          <cell r="E822" t="str">
            <v>GOLDSTEIN PETER A MD</v>
          </cell>
          <cell r="L822" t="str">
            <v>All Other:: Practitioner - Non-Primary Care Provider (PCP)</v>
          </cell>
          <cell r="M822" t="str">
            <v>No</v>
          </cell>
          <cell r="R822" t="str">
            <v>GOLDSTEIN PETER DR.</v>
          </cell>
          <cell r="W822" t="str">
            <v>GOLDSTEIN PETER A MD</v>
          </cell>
          <cell r="X822" t="str">
            <v>COLUMBIA PRES/ANES</v>
          </cell>
          <cell r="Y822" t="str">
            <v>NEW YORK</v>
          </cell>
          <cell r="Z822" t="str">
            <v>NY</v>
          </cell>
          <cell r="AA822" t="str">
            <v>10032-3720</v>
          </cell>
          <cell r="AB822" t="str">
            <v>PHYSICIAN</v>
          </cell>
          <cell r="AC822" t="str">
            <v>M</v>
          </cell>
          <cell r="AD822" t="str">
            <v>No</v>
          </cell>
          <cell r="AE822" t="str">
            <v>MMIS</v>
          </cell>
          <cell r="AF822" t="str">
            <v>nypeastcampus</v>
          </cell>
          <cell r="AG822" t="str">
            <v>P</v>
          </cell>
        </row>
        <row r="823">
          <cell r="A823" t="str">
            <v>1902974488</v>
          </cell>
          <cell r="C823" t="str">
            <v>Engram Claudette</v>
          </cell>
          <cell r="G823" t="str">
            <v>Kathryn Spaziani</v>
          </cell>
          <cell r="H823" t="str">
            <v>(212) 305-1255</v>
          </cell>
          <cell r="J823" t="str">
            <v>kas9171@nyp.org</v>
          </cell>
          <cell r="K823" t="str">
            <v>Physician</v>
          </cell>
          <cell r="L823" t="str">
            <v>Uncategorized</v>
          </cell>
          <cell r="M823" t="str">
            <v>No</v>
          </cell>
          <cell r="R823" t="str">
            <v>ENGRAM CLAUDETTE MS.</v>
          </cell>
          <cell r="S823" t="str">
            <v>622 W 168TH ST</v>
          </cell>
          <cell r="T823" t="str">
            <v>NEW YORK</v>
          </cell>
          <cell r="U823" t="str">
            <v>NY</v>
          </cell>
          <cell r="V823" t="str">
            <v>100323720</v>
          </cell>
          <cell r="AC823" t="str">
            <v>M</v>
          </cell>
          <cell r="AD823" t="str">
            <v>No</v>
          </cell>
          <cell r="AE823" t="str">
            <v>NPI only</v>
          </cell>
          <cell r="AF823" t="str">
            <v>nypwestcampus</v>
          </cell>
          <cell r="AG823" t="str">
            <v>P</v>
          </cell>
        </row>
        <row r="824">
          <cell r="A824" t="str">
            <v>1427291301</v>
          </cell>
          <cell r="B824" t="str">
            <v>04122712</v>
          </cell>
          <cell r="C824" t="str">
            <v>Yeung Albert</v>
          </cell>
          <cell r="D824" t="str">
            <v>E0404001</v>
          </cell>
          <cell r="E824" t="str">
            <v>YEUNG ALBERT CHI FUNG</v>
          </cell>
          <cell r="G824" t="str">
            <v>Kathryn Spaziani</v>
          </cell>
          <cell r="H824" t="str">
            <v>(212) 305-1255</v>
          </cell>
          <cell r="J824" t="str">
            <v>kas9171@nyp.org</v>
          </cell>
          <cell r="L824" t="str">
            <v>Practitioner - Non-Primary Care Provider (PCP)</v>
          </cell>
          <cell r="M824" t="str">
            <v>No</v>
          </cell>
          <cell r="R824" t="str">
            <v>YEUNG ALBERT</v>
          </cell>
          <cell r="W824" t="str">
            <v>YEUNG ALBERT CHI FUNG</v>
          </cell>
          <cell r="X824" t="str">
            <v>525 E 68TH ST</v>
          </cell>
          <cell r="Y824" t="str">
            <v>NEW YORK</v>
          </cell>
          <cell r="Z824" t="str">
            <v>NY</v>
          </cell>
          <cell r="AA824" t="str">
            <v>10065-4870</v>
          </cell>
          <cell r="AB824" t="str">
            <v>PHYSICIAN</v>
          </cell>
          <cell r="AC824" t="str">
            <v>M</v>
          </cell>
          <cell r="AD824" t="str">
            <v>No</v>
          </cell>
          <cell r="AE824" t="str">
            <v>MMIS</v>
          </cell>
          <cell r="AF824" t="str">
            <v>nypeastcampus</v>
          </cell>
          <cell r="AG824" t="str">
            <v>P</v>
          </cell>
        </row>
        <row r="825">
          <cell r="A825" t="str">
            <v>1407197825</v>
          </cell>
          <cell r="C825" t="str">
            <v>Yong May</v>
          </cell>
          <cell r="G825" t="str">
            <v>Kathryn Spaziani</v>
          </cell>
          <cell r="H825" t="str">
            <v>(212) 305-1255</v>
          </cell>
          <cell r="J825" t="str">
            <v>kas9171@nyp.org</v>
          </cell>
          <cell r="K825" t="str">
            <v>Physician</v>
          </cell>
          <cell r="L825" t="str">
            <v>Uncategorized</v>
          </cell>
          <cell r="M825" t="str">
            <v>No</v>
          </cell>
          <cell r="R825" t="str">
            <v>YONG MAY MS.</v>
          </cell>
          <cell r="S825" t="str">
            <v>525 E 68TH ST</v>
          </cell>
          <cell r="T825" t="str">
            <v>NEW YORK</v>
          </cell>
          <cell r="U825" t="str">
            <v>NY</v>
          </cell>
          <cell r="V825" t="str">
            <v>100654870</v>
          </cell>
          <cell r="AC825" t="str">
            <v>M</v>
          </cell>
          <cell r="AD825" t="str">
            <v>No</v>
          </cell>
          <cell r="AE825" t="str">
            <v>NPI only</v>
          </cell>
          <cell r="AF825" t="str">
            <v>nypeastcampus</v>
          </cell>
          <cell r="AG825" t="str">
            <v>P</v>
          </cell>
        </row>
        <row r="826">
          <cell r="A826" t="str">
            <v>1043307127</v>
          </cell>
          <cell r="B826" t="str">
            <v>02113073</v>
          </cell>
          <cell r="C826" t="str">
            <v>Zylberger David</v>
          </cell>
          <cell r="D826" t="str">
            <v>E0088762</v>
          </cell>
          <cell r="E826" t="str">
            <v>ZYLBERGER DAVID A MD</v>
          </cell>
          <cell r="L826" t="str">
            <v>All Other:: Practitioner - Non-Primary Care Provider (PCP)</v>
          </cell>
          <cell r="M826" t="str">
            <v>No</v>
          </cell>
          <cell r="R826" t="str">
            <v>ZYLBERGER DAVID</v>
          </cell>
          <cell r="W826" t="str">
            <v>ZYLBERGER DAVID A MD</v>
          </cell>
          <cell r="X826" t="str">
            <v>NY UNIVERSITY</v>
          </cell>
          <cell r="Y826" t="str">
            <v>NEW YORK</v>
          </cell>
          <cell r="Z826" t="str">
            <v>NY</v>
          </cell>
          <cell r="AA826" t="str">
            <v>10016-4901</v>
          </cell>
          <cell r="AB826" t="str">
            <v>PHYSICIAN</v>
          </cell>
          <cell r="AC826" t="str">
            <v>M</v>
          </cell>
          <cell r="AD826" t="str">
            <v>No</v>
          </cell>
          <cell r="AE826" t="str">
            <v>MMIS</v>
          </cell>
          <cell r="AF826" t="str">
            <v>nypwestacn</v>
          </cell>
          <cell r="AG826" t="str">
            <v>P</v>
          </cell>
        </row>
        <row r="827">
          <cell r="A827" t="str">
            <v>1093973448</v>
          </cell>
          <cell r="B827" t="str">
            <v>03287125</v>
          </cell>
          <cell r="C827" t="str">
            <v>Stotler Brie</v>
          </cell>
          <cell r="D827" t="str">
            <v>E0314247</v>
          </cell>
          <cell r="E827" t="str">
            <v>STOTLER BRIE</v>
          </cell>
          <cell r="L827" t="str">
            <v>All Other:: Practitioner - Non-Primary Care Provider (PCP)</v>
          </cell>
          <cell r="M827" t="str">
            <v>No</v>
          </cell>
          <cell r="R827" t="str">
            <v>STOTLER BRIE DR.</v>
          </cell>
          <cell r="W827" t="str">
            <v>STOTLER BRIE</v>
          </cell>
          <cell r="X827" t="str">
            <v>622 WEST 168TH STREE</v>
          </cell>
          <cell r="Y827" t="str">
            <v>NEW YORK</v>
          </cell>
          <cell r="Z827" t="str">
            <v>NY</v>
          </cell>
          <cell r="AA827" t="str">
            <v>10032</v>
          </cell>
          <cell r="AB827" t="str">
            <v>PHYSICIAN</v>
          </cell>
          <cell r="AC827" t="str">
            <v>M</v>
          </cell>
          <cell r="AD827" t="str">
            <v>No</v>
          </cell>
          <cell r="AE827" t="str">
            <v>MMIS</v>
          </cell>
          <cell r="AF827" t="str">
            <v>nypwestcampus</v>
          </cell>
          <cell r="AG827" t="str">
            <v>P</v>
          </cell>
        </row>
        <row r="828">
          <cell r="A828" t="str">
            <v>1629102843</v>
          </cell>
          <cell r="C828" t="str">
            <v>Vundavalli Murty</v>
          </cell>
          <cell r="G828" t="str">
            <v>Kathryn Spaziani</v>
          </cell>
          <cell r="H828" t="str">
            <v>(212) 305-1255</v>
          </cell>
          <cell r="J828" t="str">
            <v>kas9171@nyp.org</v>
          </cell>
          <cell r="K828" t="str">
            <v>Physician</v>
          </cell>
          <cell r="L828" t="str">
            <v>Uncategorized</v>
          </cell>
          <cell r="M828" t="str">
            <v>No</v>
          </cell>
          <cell r="R828" t="str">
            <v>VUNDAVALLI MURTY</v>
          </cell>
          <cell r="S828" t="str">
            <v>622 W 168TH ST, PH 1564W</v>
          </cell>
          <cell r="T828" t="str">
            <v>NEW YORK</v>
          </cell>
          <cell r="U828" t="str">
            <v>NY</v>
          </cell>
          <cell r="V828" t="str">
            <v>100323720</v>
          </cell>
          <cell r="AC828" t="str">
            <v>M</v>
          </cell>
          <cell r="AD828" t="str">
            <v>No</v>
          </cell>
          <cell r="AE828" t="str">
            <v>NPI only</v>
          </cell>
          <cell r="AF828" t="str">
            <v>nypwestacn</v>
          </cell>
          <cell r="AG828" t="str">
            <v>P</v>
          </cell>
        </row>
        <row r="829">
          <cell r="A829" t="str">
            <v>1386773901</v>
          </cell>
          <cell r="B829" t="str">
            <v>02863321</v>
          </cell>
          <cell r="C829" t="str">
            <v>Worgall Tilla</v>
          </cell>
          <cell r="D829" t="str">
            <v>E0013866</v>
          </cell>
          <cell r="E829" t="str">
            <v>WORGALL TILLA</v>
          </cell>
          <cell r="L829" t="str">
            <v>All Other:: Practitioner - Non-Primary Care Provider (PCP)</v>
          </cell>
          <cell r="M829" t="str">
            <v>No</v>
          </cell>
          <cell r="R829" t="str">
            <v>POHL TILLA</v>
          </cell>
          <cell r="W829" t="str">
            <v>WORGALL TILLA</v>
          </cell>
          <cell r="X829" t="str">
            <v>630 W 168TH ST STE P</v>
          </cell>
          <cell r="Y829" t="str">
            <v>NEW YORK</v>
          </cell>
          <cell r="Z829" t="str">
            <v>NY</v>
          </cell>
          <cell r="AA829" t="str">
            <v>10032-3725</v>
          </cell>
          <cell r="AB829" t="str">
            <v>PHYSICIAN</v>
          </cell>
          <cell r="AC829" t="str">
            <v>M</v>
          </cell>
          <cell r="AD829" t="str">
            <v>No</v>
          </cell>
          <cell r="AE829" t="str">
            <v>MMIS</v>
          </cell>
          <cell r="AF829" t="str">
            <v>nypwestcampus</v>
          </cell>
          <cell r="AG829" t="str">
            <v>P</v>
          </cell>
        </row>
        <row r="830">
          <cell r="A830" t="str">
            <v>1972802262</v>
          </cell>
          <cell r="C830" t="str">
            <v>Brejt Sidney</v>
          </cell>
          <cell r="G830" t="str">
            <v>Kathryn Spaziani</v>
          </cell>
          <cell r="H830" t="str">
            <v>(212) 305-1255</v>
          </cell>
          <cell r="J830" t="str">
            <v>kas9171@nyp.org</v>
          </cell>
          <cell r="K830" t="str">
            <v>Physician</v>
          </cell>
          <cell r="L830" t="str">
            <v>Uncategorized</v>
          </cell>
          <cell r="M830" t="str">
            <v>No</v>
          </cell>
          <cell r="R830" t="str">
            <v>BREJT SIDNEY</v>
          </cell>
          <cell r="S830" t="str">
            <v>4802 10TH AVE</v>
          </cell>
          <cell r="T830" t="str">
            <v>BROOKLYN</v>
          </cell>
          <cell r="U830" t="str">
            <v>NY</v>
          </cell>
          <cell r="V830" t="str">
            <v>112192916</v>
          </cell>
          <cell r="AC830" t="str">
            <v>M</v>
          </cell>
          <cell r="AD830" t="str">
            <v>No</v>
          </cell>
          <cell r="AE830" t="str">
            <v>NPI only</v>
          </cell>
          <cell r="AF830" t="str">
            <v>nypwestcampus</v>
          </cell>
          <cell r="AG830" t="str">
            <v>P</v>
          </cell>
        </row>
        <row r="831">
          <cell r="A831" t="str">
            <v>1255574786</v>
          </cell>
          <cell r="B831" t="str">
            <v>03589562</v>
          </cell>
          <cell r="C831" t="str">
            <v>ZANG, JULIE</v>
          </cell>
          <cell r="D831" t="str">
            <v>E0349108</v>
          </cell>
          <cell r="E831" t="str">
            <v>ZANG JULIE</v>
          </cell>
          <cell r="G831" t="str">
            <v>Kathryn Spaziani</v>
          </cell>
          <cell r="H831" t="str">
            <v>(212) 305-1362</v>
          </cell>
          <cell r="J831" t="str">
            <v>kas9171@nyp.org</v>
          </cell>
          <cell r="L831" t="str">
            <v>All Other:: Practitioner - Non-Primary Care Provider (PCP)</v>
          </cell>
          <cell r="M831" t="str">
            <v>No</v>
          </cell>
          <cell r="R831" t="str">
            <v>ZANG JULIE</v>
          </cell>
          <cell r="W831" t="str">
            <v>ZANG JULIE</v>
          </cell>
          <cell r="X831" t="str">
            <v>1305 YORK AVE FL 9</v>
          </cell>
          <cell r="Y831" t="str">
            <v>NEW YORK</v>
          </cell>
          <cell r="Z831" t="str">
            <v>NY</v>
          </cell>
          <cell r="AA831" t="str">
            <v>10021-5663</v>
          </cell>
          <cell r="AB831" t="str">
            <v>PHYSICIAN</v>
          </cell>
          <cell r="AC831" t="str">
            <v>M</v>
          </cell>
          <cell r="AD831" t="str">
            <v>No</v>
          </cell>
          <cell r="AE831" t="str">
            <v>MMIS</v>
          </cell>
          <cell r="AF831" t="str">
            <v>nypeastcampus</v>
          </cell>
          <cell r="AG831" t="str">
            <v>P</v>
          </cell>
        </row>
        <row r="832">
          <cell r="A832" t="str">
            <v>1891747465</v>
          </cell>
          <cell r="B832" t="str">
            <v>01151899</v>
          </cell>
          <cell r="C832" t="str">
            <v>Moscona, Anne</v>
          </cell>
          <cell r="D832" t="str">
            <v>E0184694</v>
          </cell>
          <cell r="E832" t="str">
            <v>MOSCONA ANNE MD</v>
          </cell>
          <cell r="G832" t="str">
            <v>Kathryn Spaziani</v>
          </cell>
          <cell r="H832" t="str">
            <v>(212) 305-1190</v>
          </cell>
          <cell r="J832" t="str">
            <v>kas9171@nyp.org</v>
          </cell>
          <cell r="L832" t="str">
            <v>Uncategorized</v>
          </cell>
          <cell r="M832" t="str">
            <v>No</v>
          </cell>
          <cell r="R832" t="str">
            <v>MOSCONA ANNE</v>
          </cell>
          <cell r="W832" t="str">
            <v>MOSCONA ANNE MD</v>
          </cell>
          <cell r="X832" t="str">
            <v>MT SINAI PEDS BX1198</v>
          </cell>
          <cell r="Y832" t="str">
            <v>NEW YORK</v>
          </cell>
          <cell r="Z832" t="str">
            <v>NY</v>
          </cell>
          <cell r="AA832" t="str">
            <v>10029-6500</v>
          </cell>
          <cell r="AB832" t="str">
            <v>PHYSICIAN</v>
          </cell>
          <cell r="AC832" t="str">
            <v>M</v>
          </cell>
          <cell r="AD832" t="str">
            <v>No</v>
          </cell>
          <cell r="AE832" t="str">
            <v>MMIS</v>
          </cell>
          <cell r="AF832" t="str">
            <v>nypeastcampus</v>
          </cell>
          <cell r="AG832" t="str">
            <v>P</v>
          </cell>
        </row>
        <row r="833">
          <cell r="A833" t="str">
            <v>1003109893</v>
          </cell>
          <cell r="B833" t="str">
            <v>03988281</v>
          </cell>
          <cell r="C833" t="str">
            <v>Dienna, Erik M.</v>
          </cell>
          <cell r="D833" t="str">
            <v>E0390228</v>
          </cell>
          <cell r="E833" t="str">
            <v>DIENNA ERIK MATTHEW</v>
          </cell>
          <cell r="G833" t="str">
            <v>Kathryn Spaziani</v>
          </cell>
          <cell r="H833" t="str">
            <v>(212) 305-1190</v>
          </cell>
          <cell r="J833" t="str">
            <v>kas9171@nyp.org</v>
          </cell>
          <cell r="L833" t="str">
            <v>Practitioner - Non-Primary Care Provider (PCP)</v>
          </cell>
          <cell r="M833" t="str">
            <v>No</v>
          </cell>
          <cell r="R833" t="str">
            <v>DIENNA ERIK DR.</v>
          </cell>
          <cell r="W833" t="str">
            <v>DIENNA ERIK MATTHEW</v>
          </cell>
          <cell r="X833" t="str">
            <v>525 E 68TH ST # M610</v>
          </cell>
          <cell r="Y833" t="str">
            <v>NEW YORK</v>
          </cell>
          <cell r="Z833" t="str">
            <v>NY</v>
          </cell>
          <cell r="AA833" t="str">
            <v>10065-4870</v>
          </cell>
          <cell r="AB833" t="str">
            <v>PHYSICIAN</v>
          </cell>
          <cell r="AC833" t="str">
            <v>M</v>
          </cell>
          <cell r="AD833" t="str">
            <v>No</v>
          </cell>
          <cell r="AE833" t="str">
            <v>MMIS</v>
          </cell>
          <cell r="AF833" t="str">
            <v>nypeastcampus</v>
          </cell>
          <cell r="AG833" t="str">
            <v>P</v>
          </cell>
        </row>
        <row r="834">
          <cell r="A834" t="str">
            <v>1629018205</v>
          </cell>
          <cell r="B834" t="str">
            <v>02996578</v>
          </cell>
          <cell r="C834" t="str">
            <v>WEILL MEDICAL COLLEGE OF CORNELL</v>
          </cell>
          <cell r="D834" t="str">
            <v>E0128642</v>
          </cell>
          <cell r="E834" t="str">
            <v>CORNELL UNIVERSITY MEDICAL CO</v>
          </cell>
          <cell r="G834" t="str">
            <v>Kathryn Spaziani</v>
          </cell>
          <cell r="H834" t="str">
            <v>(212) 305-1188</v>
          </cell>
          <cell r="J834" t="str">
            <v>kas9171@nyp.org</v>
          </cell>
          <cell r="L834" t="str">
            <v>All Other</v>
          </cell>
          <cell r="M834" t="str">
            <v>No</v>
          </cell>
          <cell r="R834" t="str">
            <v>WEILL MEDICAL COLLEGE OF CORNELL</v>
          </cell>
          <cell r="W834" t="str">
            <v>WEILL MEDICAL COLLEGE OF CORNELL</v>
          </cell>
          <cell r="X834" t="str">
            <v># N-506</v>
          </cell>
          <cell r="Y834" t="str">
            <v>NEW YORK</v>
          </cell>
          <cell r="Z834" t="str">
            <v>NY</v>
          </cell>
          <cell r="AA834" t="str">
            <v>10065-4870</v>
          </cell>
          <cell r="AB834" t="str">
            <v>MULTI-TYPE</v>
          </cell>
          <cell r="AC834" t="str">
            <v>M</v>
          </cell>
          <cell r="AD834" t="str">
            <v>No</v>
          </cell>
          <cell r="AE834" t="str">
            <v>MMIS</v>
          </cell>
          <cell r="AF834" t="str">
            <v>nypwestacn</v>
          </cell>
          <cell r="AG834" t="str">
            <v>P</v>
          </cell>
        </row>
        <row r="835">
          <cell r="A835" t="str">
            <v>1851617237</v>
          </cell>
          <cell r="B835" t="str">
            <v>03734838</v>
          </cell>
          <cell r="C835" t="str">
            <v>Mitchell James</v>
          </cell>
          <cell r="D835" t="str">
            <v>E0364104</v>
          </cell>
          <cell r="E835" t="str">
            <v>MITCHELL JAMES</v>
          </cell>
          <cell r="G835" t="str">
            <v>Kathryn Spaziani</v>
          </cell>
          <cell r="H835" t="str">
            <v>(212) 305-1189</v>
          </cell>
          <cell r="J835" t="str">
            <v>kas9171@nyp.org</v>
          </cell>
          <cell r="L835" t="str">
            <v>All Other:: Practitioner - Non-Primary Care Provider (PCP)</v>
          </cell>
          <cell r="M835" t="str">
            <v>No</v>
          </cell>
          <cell r="R835" t="str">
            <v>MITCHELL JAMES DR.</v>
          </cell>
          <cell r="W835" t="str">
            <v>MITCHELL JAMES</v>
          </cell>
          <cell r="X835" t="str">
            <v>622 WEST 168TH STREE</v>
          </cell>
          <cell r="Y835" t="str">
            <v>NEW YORK</v>
          </cell>
          <cell r="Z835" t="str">
            <v>NY</v>
          </cell>
          <cell r="AA835" t="str">
            <v>10032</v>
          </cell>
          <cell r="AB835" t="str">
            <v>PHYSICIAN</v>
          </cell>
          <cell r="AC835" t="str">
            <v>M</v>
          </cell>
          <cell r="AD835" t="str">
            <v>No</v>
          </cell>
          <cell r="AE835" t="str">
            <v>MMIS</v>
          </cell>
          <cell r="AF835" t="str">
            <v>nypwestacn</v>
          </cell>
          <cell r="AG835" t="str">
            <v>P</v>
          </cell>
        </row>
        <row r="836">
          <cell r="A836" t="str">
            <v>1427181569</v>
          </cell>
          <cell r="B836" t="str">
            <v>01884257</v>
          </cell>
          <cell r="C836" t="str">
            <v>CARUANA, SALVATORE M</v>
          </cell>
          <cell r="D836" t="str">
            <v>E0111619</v>
          </cell>
          <cell r="E836" t="str">
            <v>CARUANA SALVATORE M MD</v>
          </cell>
          <cell r="G836" t="str">
            <v>Kathryn Spaziani</v>
          </cell>
          <cell r="H836" t="str">
            <v>(212) 305-1190</v>
          </cell>
          <cell r="J836" t="str">
            <v>kas9171@nyp.org</v>
          </cell>
          <cell r="L836" t="str">
            <v>All Other:: Practitioner - Non-Primary Care Provider (PCP)</v>
          </cell>
          <cell r="M836" t="str">
            <v>No</v>
          </cell>
          <cell r="R836" t="str">
            <v>CARUANA SALVATORE</v>
          </cell>
          <cell r="W836" t="str">
            <v>CARUANA SALVATORE MICHAEL MD</v>
          </cell>
          <cell r="X836" t="str">
            <v>622 W 168TH ST</v>
          </cell>
          <cell r="Y836" t="str">
            <v>NEW YORK</v>
          </cell>
          <cell r="Z836" t="str">
            <v>NY</v>
          </cell>
          <cell r="AA836" t="str">
            <v>10032-3720</v>
          </cell>
          <cell r="AB836" t="str">
            <v>PHYSICIAN</v>
          </cell>
          <cell r="AC836" t="str">
            <v>M</v>
          </cell>
          <cell r="AD836" t="str">
            <v>No</v>
          </cell>
          <cell r="AE836" t="str">
            <v>MMIS</v>
          </cell>
          <cell r="AF836" t="str">
            <v>nypwestacn</v>
          </cell>
          <cell r="AG836" t="str">
            <v>P</v>
          </cell>
        </row>
        <row r="837">
          <cell r="A837" t="str">
            <v>1427199058</v>
          </cell>
          <cell r="B837" t="str">
            <v>01902592</v>
          </cell>
          <cell r="C837" t="str">
            <v>MCKHANN, GUY M</v>
          </cell>
          <cell r="D837" t="str">
            <v>E0109789</v>
          </cell>
          <cell r="E837" t="str">
            <v>MCKHANN GUY M II MD</v>
          </cell>
          <cell r="G837" t="str">
            <v>Kathryn Spaziani</v>
          </cell>
          <cell r="H837" t="str">
            <v>(212) 305-1190</v>
          </cell>
          <cell r="J837" t="str">
            <v>kas9171@nyp.org</v>
          </cell>
          <cell r="L837" t="str">
            <v>Practitioner - Non-Primary Care Provider (PCP)</v>
          </cell>
          <cell r="M837" t="str">
            <v>No</v>
          </cell>
          <cell r="R837" t="str">
            <v>MCKHANN GUY DR.</v>
          </cell>
          <cell r="W837" t="str">
            <v>MCKHANN GUY M II MD</v>
          </cell>
          <cell r="Y837" t="str">
            <v>NEW YORK</v>
          </cell>
          <cell r="Z837" t="str">
            <v>NY</v>
          </cell>
          <cell r="AA837" t="str">
            <v>10032-3726</v>
          </cell>
          <cell r="AB837" t="str">
            <v>PHYSICIAN</v>
          </cell>
          <cell r="AC837" t="str">
            <v>M</v>
          </cell>
          <cell r="AD837" t="str">
            <v>No</v>
          </cell>
          <cell r="AE837" t="str">
            <v>MMIS</v>
          </cell>
          <cell r="AF837" t="str">
            <v>nypwestcampus</v>
          </cell>
          <cell r="AG837" t="str">
            <v>P</v>
          </cell>
        </row>
        <row r="838">
          <cell r="A838" t="str">
            <v>1922128842</v>
          </cell>
          <cell r="B838" t="str">
            <v>02985440</v>
          </cell>
          <cell r="C838" t="str">
            <v>Sales Rachel</v>
          </cell>
          <cell r="D838" t="str">
            <v>E0007192</v>
          </cell>
          <cell r="E838" t="str">
            <v>RACHEL LEA MARCUS</v>
          </cell>
          <cell r="L838" t="str">
            <v>All Other:: Practitioner - Non-Primary Care Provider (PCP)</v>
          </cell>
          <cell r="M838" t="str">
            <v>No</v>
          </cell>
          <cell r="R838" t="str">
            <v>SALES RACHEL DR.</v>
          </cell>
          <cell r="W838" t="str">
            <v>SALES RACHEL MARCUS MD</v>
          </cell>
          <cell r="X838" t="str">
            <v>525 E 68TH ST</v>
          </cell>
          <cell r="Y838" t="str">
            <v>NEW YORK</v>
          </cell>
          <cell r="Z838" t="str">
            <v>NY</v>
          </cell>
          <cell r="AA838" t="str">
            <v>10065-4870</v>
          </cell>
          <cell r="AB838" t="str">
            <v>PHYSICIAN</v>
          </cell>
          <cell r="AC838" t="str">
            <v>M</v>
          </cell>
          <cell r="AD838" t="str">
            <v>No</v>
          </cell>
          <cell r="AE838" t="str">
            <v>MMIS</v>
          </cell>
          <cell r="AF838" t="str">
            <v>nypeastcampus</v>
          </cell>
          <cell r="AG838" t="str">
            <v>P</v>
          </cell>
        </row>
        <row r="839">
          <cell r="A839" t="str">
            <v>1710983010</v>
          </cell>
          <cell r="B839" t="str">
            <v>00812304</v>
          </cell>
          <cell r="C839" t="str">
            <v>Brady James</v>
          </cell>
          <cell r="D839" t="str">
            <v>E0218502</v>
          </cell>
          <cell r="E839" t="str">
            <v>BRADY JAMES W              MD</v>
          </cell>
          <cell r="L839" t="str">
            <v>All Other:: Practitioner - Non-Primary Care Provider (PCP)</v>
          </cell>
          <cell r="M839" t="str">
            <v>No</v>
          </cell>
          <cell r="R839" t="str">
            <v>BRADY JAMES DR.</v>
          </cell>
          <cell r="W839" t="str">
            <v>BRADY JAMES W              MD</v>
          </cell>
          <cell r="X839" t="str">
            <v>MERCY HOSPITAL</v>
          </cell>
          <cell r="Y839" t="str">
            <v>ROCKVILLE CENTRE</v>
          </cell>
          <cell r="Z839" t="str">
            <v>NY</v>
          </cell>
          <cell r="AA839" t="str">
            <v>11570</v>
          </cell>
          <cell r="AB839" t="str">
            <v>PHYSICIAN</v>
          </cell>
          <cell r="AC839" t="str">
            <v>M</v>
          </cell>
          <cell r="AD839" t="str">
            <v>No</v>
          </cell>
          <cell r="AE839" t="str">
            <v>MMIS</v>
          </cell>
          <cell r="AF839" t="str">
            <v>nypeastcampus</v>
          </cell>
          <cell r="AG839" t="str">
            <v>P</v>
          </cell>
        </row>
        <row r="840">
          <cell r="A840" t="str">
            <v>1033344148</v>
          </cell>
          <cell r="C840" t="str">
            <v>Ganapathi Karthik</v>
          </cell>
          <cell r="G840" t="str">
            <v>Kathryn Spaziani</v>
          </cell>
          <cell r="H840" t="str">
            <v>(212) 305-1255</v>
          </cell>
          <cell r="J840" t="str">
            <v>kas9171@nyp.org</v>
          </cell>
          <cell r="K840" t="str">
            <v>Physician</v>
          </cell>
          <cell r="L840" t="str">
            <v>Uncategorized</v>
          </cell>
          <cell r="M840" t="str">
            <v>No</v>
          </cell>
          <cell r="R840" t="str">
            <v>GANAPATHI KARTHIK</v>
          </cell>
          <cell r="S840" t="str">
            <v>74 DAYS PARK, # 6</v>
          </cell>
          <cell r="T840" t="str">
            <v>BUFFALO</v>
          </cell>
          <cell r="U840" t="str">
            <v>NY</v>
          </cell>
          <cell r="V840" t="str">
            <v>142012027</v>
          </cell>
          <cell r="AC840" t="str">
            <v>M</v>
          </cell>
          <cell r="AD840" t="str">
            <v>No</v>
          </cell>
          <cell r="AE840" t="str">
            <v>NPI only</v>
          </cell>
          <cell r="AF840" t="str">
            <v>nypwestcampus</v>
          </cell>
          <cell r="AG840" t="str">
            <v>P</v>
          </cell>
        </row>
        <row r="841">
          <cell r="A841" t="str">
            <v>1740449644</v>
          </cell>
          <cell r="C841" t="str">
            <v>Gindin Tatyana</v>
          </cell>
          <cell r="G841" t="str">
            <v>Kathryn Spaziani</v>
          </cell>
          <cell r="H841" t="str">
            <v>(212) 305-1255</v>
          </cell>
          <cell r="J841" t="str">
            <v>kas9171@nyp.org</v>
          </cell>
          <cell r="K841" t="str">
            <v>Physician</v>
          </cell>
          <cell r="L841" t="str">
            <v>Uncategorized</v>
          </cell>
          <cell r="M841" t="str">
            <v>No</v>
          </cell>
          <cell r="R841" t="str">
            <v>GINDIN TATYANA</v>
          </cell>
          <cell r="S841" t="str">
            <v>622 W 168TH ST, PH 1564W</v>
          </cell>
          <cell r="T841" t="str">
            <v>NEW YORK</v>
          </cell>
          <cell r="U841" t="str">
            <v>NY</v>
          </cell>
          <cell r="V841" t="str">
            <v>100323720</v>
          </cell>
          <cell r="AC841" t="str">
            <v>M</v>
          </cell>
          <cell r="AD841" t="str">
            <v>No</v>
          </cell>
          <cell r="AE841" t="str">
            <v>NPI only</v>
          </cell>
          <cell r="AF841" t="str">
            <v>nypwestcampus</v>
          </cell>
          <cell r="AG841" t="str">
            <v>P</v>
          </cell>
        </row>
        <row r="842">
          <cell r="A842" t="str">
            <v>1548488505</v>
          </cell>
          <cell r="C842" t="str">
            <v>Gonzalez Abel</v>
          </cell>
          <cell r="G842" t="str">
            <v>Kathryn Spaziani</v>
          </cell>
          <cell r="H842" t="str">
            <v>(212) 305-1255</v>
          </cell>
          <cell r="J842" t="str">
            <v>kas9171@nyp.org</v>
          </cell>
          <cell r="K842" t="str">
            <v>Physician</v>
          </cell>
          <cell r="L842" t="str">
            <v>Practitioner - Non-Primary Care Provider (PCP)</v>
          </cell>
          <cell r="M842" t="str">
            <v>No</v>
          </cell>
          <cell r="R842" t="str">
            <v>GONZALEZ ABEL DR.</v>
          </cell>
          <cell r="S842" t="str">
            <v>5201 HARRY HINES BLVD, ANATOMIC PATHOLOGY DEPARTMENT, CYTOLOGY SERVICE</v>
          </cell>
          <cell r="T842" t="str">
            <v>DALLAS</v>
          </cell>
          <cell r="U842" t="str">
            <v>TX</v>
          </cell>
          <cell r="V842" t="str">
            <v>752357708</v>
          </cell>
          <cell r="AC842" t="str">
            <v>M</v>
          </cell>
          <cell r="AD842" t="str">
            <v>No</v>
          </cell>
          <cell r="AE842" t="str">
            <v>NPI only</v>
          </cell>
          <cell r="AF842" t="str">
            <v>nypwestcampus</v>
          </cell>
          <cell r="AG842" t="str">
            <v>P</v>
          </cell>
        </row>
        <row r="843">
          <cell r="A843" t="str">
            <v>1043402597</v>
          </cell>
          <cell r="B843" t="str">
            <v>03784416</v>
          </cell>
          <cell r="C843" t="str">
            <v>Haghighi Mehrvash</v>
          </cell>
          <cell r="D843" t="str">
            <v>E0369242</v>
          </cell>
          <cell r="E843" t="str">
            <v>HAGHIGHI MEHRVASH</v>
          </cell>
          <cell r="L843" t="str">
            <v>All Other:: Practitioner - Non-Primary Care Provider (PCP)</v>
          </cell>
          <cell r="M843" t="str">
            <v>No</v>
          </cell>
          <cell r="R843" t="str">
            <v>HAGHIGHI MEHRVASH DR.</v>
          </cell>
          <cell r="W843" t="str">
            <v>HAGHIGHI MEHRVASH</v>
          </cell>
          <cell r="X843" t="str">
            <v>622 WEST 168TH STREE</v>
          </cell>
          <cell r="Y843" t="str">
            <v>NEW YORK</v>
          </cell>
          <cell r="Z843" t="str">
            <v>NY</v>
          </cell>
          <cell r="AA843" t="str">
            <v>10032</v>
          </cell>
          <cell r="AB843" t="str">
            <v>PHYSICIAN</v>
          </cell>
          <cell r="AC843" t="str">
            <v>M</v>
          </cell>
          <cell r="AD843" t="str">
            <v>No</v>
          </cell>
          <cell r="AE843" t="str">
            <v>MMIS</v>
          </cell>
          <cell r="AF843" t="str">
            <v>nypwestcampus</v>
          </cell>
          <cell r="AG843" t="str">
            <v>P</v>
          </cell>
        </row>
        <row r="844">
          <cell r="A844" t="str">
            <v>1801144274</v>
          </cell>
          <cell r="B844" t="str">
            <v>03652164</v>
          </cell>
          <cell r="C844" t="str">
            <v>Hoehn Daniela</v>
          </cell>
          <cell r="D844" t="str">
            <v>E0355687</v>
          </cell>
          <cell r="E844" t="str">
            <v>HOEHN DANIELA</v>
          </cell>
          <cell r="L844" t="str">
            <v>All Other:: Practitioner - Non-Primary Care Provider (PCP)</v>
          </cell>
          <cell r="M844" t="str">
            <v>No</v>
          </cell>
          <cell r="R844" t="str">
            <v>HOEHN DANIELA</v>
          </cell>
          <cell r="W844" t="str">
            <v>HOEHN DANIELA</v>
          </cell>
          <cell r="X844" t="str">
            <v>622 WEST 168TH STREE</v>
          </cell>
          <cell r="Y844" t="str">
            <v>NEW YORK</v>
          </cell>
          <cell r="Z844" t="str">
            <v>NY</v>
          </cell>
          <cell r="AA844" t="str">
            <v>10032</v>
          </cell>
          <cell r="AB844" t="str">
            <v>PHYSICIAN</v>
          </cell>
          <cell r="AC844" t="str">
            <v>M</v>
          </cell>
          <cell r="AD844" t="str">
            <v>No</v>
          </cell>
          <cell r="AE844" t="str">
            <v>MMIS</v>
          </cell>
          <cell r="AF844" t="str">
            <v>nypwestcampus</v>
          </cell>
          <cell r="AG844" t="str">
            <v>P</v>
          </cell>
        </row>
        <row r="845">
          <cell r="C845" t="str">
            <v>1199 Training and Employment Funds</v>
          </cell>
          <cell r="G845" t="str">
            <v>Rebecca Hall</v>
          </cell>
          <cell r="J845" t="str">
            <v>rebecca.hall@1199funds.org</v>
          </cell>
          <cell r="K845" t="str">
            <v>Community Advocacy and Support</v>
          </cell>
          <cell r="L845" t="str">
            <v>CBO</v>
          </cell>
          <cell r="M845" t="str">
            <v>No</v>
          </cell>
          <cell r="AC845" t="str">
            <v>M</v>
          </cell>
          <cell r="AD845" t="str">
            <v>No</v>
          </cell>
          <cell r="AE845" t="str">
            <v>No NPI or MMIS</v>
          </cell>
          <cell r="AF845" t="str">
            <v>nypwestacn</v>
          </cell>
          <cell r="AG845" t="str">
            <v>P</v>
          </cell>
        </row>
        <row r="846">
          <cell r="A846" t="str">
            <v>1700963535</v>
          </cell>
          <cell r="B846" t="str">
            <v>01288715</v>
          </cell>
          <cell r="C846" t="str">
            <v>RUBIN, MARSHA E</v>
          </cell>
          <cell r="D846" t="str">
            <v>E0171040</v>
          </cell>
          <cell r="E846" t="str">
            <v>RUBIN MARSHA EVELYN DDS</v>
          </cell>
          <cell r="G846" t="str">
            <v>Kathryn Spaziani</v>
          </cell>
          <cell r="H846" t="str">
            <v>(212) 305-1190</v>
          </cell>
          <cell r="J846" t="str">
            <v>kas9171@nyp.org</v>
          </cell>
          <cell r="L846" t="str">
            <v>Practitioner - Non-Primary Care Provider (PCP)</v>
          </cell>
          <cell r="M846" t="str">
            <v>No</v>
          </cell>
          <cell r="R846" t="str">
            <v>RUBIN MARSHA</v>
          </cell>
          <cell r="W846" t="str">
            <v>RUBIN MARSHA EVELYN DDS</v>
          </cell>
          <cell r="X846" t="str">
            <v>525 E 68TH ST # B21</v>
          </cell>
          <cell r="Y846" t="str">
            <v>NEW YORK</v>
          </cell>
          <cell r="Z846" t="str">
            <v>NY</v>
          </cell>
          <cell r="AA846" t="str">
            <v>10065-4870</v>
          </cell>
          <cell r="AB846" t="str">
            <v>DENTIST</v>
          </cell>
          <cell r="AC846" t="str">
            <v>M</v>
          </cell>
          <cell r="AD846" t="str">
            <v>No</v>
          </cell>
          <cell r="AE846" t="str">
            <v>MMIS</v>
          </cell>
          <cell r="AF846" t="str">
            <v>nypeastcampus</v>
          </cell>
          <cell r="AG846" t="str">
            <v>P</v>
          </cell>
        </row>
        <row r="847">
          <cell r="A847" t="str">
            <v>1992946016</v>
          </cell>
          <cell r="B847" t="str">
            <v>03233612</v>
          </cell>
          <cell r="C847" t="str">
            <v>PANT, CASEY R</v>
          </cell>
          <cell r="D847" t="str">
            <v>E0308191</v>
          </cell>
          <cell r="E847" t="str">
            <v>PANT CASEY</v>
          </cell>
          <cell r="G847" t="str">
            <v>Kathryn Spaziani</v>
          </cell>
          <cell r="H847" t="str">
            <v>(212) 305-1190</v>
          </cell>
          <cell r="J847" t="str">
            <v>kas9171@nyp.org</v>
          </cell>
          <cell r="L847" t="str">
            <v>Uncategorized</v>
          </cell>
          <cell r="M847" t="str">
            <v>No</v>
          </cell>
          <cell r="R847" t="str">
            <v>PANT CASEY</v>
          </cell>
          <cell r="W847" t="str">
            <v>PANT CASEY</v>
          </cell>
          <cell r="X847" t="str">
            <v>4588 BROADWAY</v>
          </cell>
          <cell r="Y847" t="str">
            <v>NEW YORK</v>
          </cell>
          <cell r="Z847" t="str">
            <v>NY</v>
          </cell>
          <cell r="AA847" t="str">
            <v>10040-2101</v>
          </cell>
          <cell r="AB847" t="str">
            <v>CLINICAL SOCIAL WORKER (CSW)</v>
          </cell>
          <cell r="AC847" t="str">
            <v>M</v>
          </cell>
          <cell r="AD847" t="str">
            <v>No</v>
          </cell>
          <cell r="AE847" t="str">
            <v>MMIS</v>
          </cell>
          <cell r="AF847" t="str">
            <v>nypwestacn</v>
          </cell>
          <cell r="AG847" t="str">
            <v>P</v>
          </cell>
        </row>
        <row r="848">
          <cell r="A848" t="str">
            <v>1083661987</v>
          </cell>
          <cell r="B848" t="str">
            <v>01792965</v>
          </cell>
          <cell r="C848" t="str">
            <v xml:space="preserve">GEORGIOU, DEMETRIOS </v>
          </cell>
          <cell r="D848" t="str">
            <v>E0120735</v>
          </cell>
          <cell r="E848" t="str">
            <v>GEORGIOU DEMETRIOS MD</v>
          </cell>
          <cell r="G848" t="str">
            <v>Kathryn Spaziani</v>
          </cell>
          <cell r="H848" t="str">
            <v>(212) 305-1190</v>
          </cell>
          <cell r="J848" t="str">
            <v>kas9171@nyp.org</v>
          </cell>
          <cell r="L848" t="str">
            <v>All Other:: Practitioner - Non-Primary Care Provider (PCP)</v>
          </cell>
          <cell r="M848" t="str">
            <v>No</v>
          </cell>
          <cell r="R848" t="str">
            <v>GEORGIOU DEMETRIOS</v>
          </cell>
          <cell r="W848" t="str">
            <v>GEORGIOU DEMETRIOS MD</v>
          </cell>
          <cell r="X848" t="str">
            <v>3503 31ST AVE</v>
          </cell>
          <cell r="Y848" t="str">
            <v>ASTORIA</v>
          </cell>
          <cell r="Z848" t="str">
            <v>NY</v>
          </cell>
          <cell r="AA848" t="str">
            <v>11106-1434</v>
          </cell>
          <cell r="AB848" t="str">
            <v>PHYSICIAN</v>
          </cell>
          <cell r="AC848" t="str">
            <v>M</v>
          </cell>
          <cell r="AD848" t="str">
            <v>No</v>
          </cell>
          <cell r="AE848" t="str">
            <v>MMIS</v>
          </cell>
          <cell r="AF848" t="str">
            <v>nypwestacn</v>
          </cell>
          <cell r="AG848" t="str">
            <v>P</v>
          </cell>
        </row>
        <row r="849">
          <cell r="A849" t="str">
            <v>1730260605</v>
          </cell>
          <cell r="B849" t="str">
            <v>01971131</v>
          </cell>
          <cell r="C849" t="str">
            <v>LOUIS, ELAN D</v>
          </cell>
          <cell r="D849" t="str">
            <v>E0102943</v>
          </cell>
          <cell r="E849" t="str">
            <v>LOUIS ELAN</v>
          </cell>
          <cell r="G849" t="str">
            <v>Kathryn Spaziani</v>
          </cell>
          <cell r="H849" t="str">
            <v>(212) 305-1190</v>
          </cell>
          <cell r="J849" t="str">
            <v>kas9171@nyp.org</v>
          </cell>
          <cell r="L849" t="str">
            <v>Practitioner - Non-Primary Care Provider (PCP)</v>
          </cell>
          <cell r="M849" t="str">
            <v>No</v>
          </cell>
          <cell r="R849" t="str">
            <v>LOUIS ELAN DR.</v>
          </cell>
          <cell r="W849" t="str">
            <v>LOUIS ELAN</v>
          </cell>
          <cell r="X849" t="str">
            <v>710 W 168TH ST</v>
          </cell>
          <cell r="Y849" t="str">
            <v>NEW YORK</v>
          </cell>
          <cell r="Z849" t="str">
            <v>NY</v>
          </cell>
          <cell r="AA849" t="str">
            <v>10032-3726</v>
          </cell>
          <cell r="AB849" t="str">
            <v>PHYSICIAN</v>
          </cell>
          <cell r="AC849" t="str">
            <v>M</v>
          </cell>
          <cell r="AD849" t="str">
            <v>No</v>
          </cell>
          <cell r="AE849" t="str">
            <v>MMIS</v>
          </cell>
          <cell r="AF849" t="str">
            <v>nypeastacn</v>
          </cell>
          <cell r="AG849" t="str">
            <v>P</v>
          </cell>
        </row>
        <row r="850">
          <cell r="A850" t="str">
            <v>1174629778</v>
          </cell>
          <cell r="B850" t="str">
            <v>03338112</v>
          </cell>
          <cell r="C850" t="str">
            <v>Birdsall, Stacia Beth</v>
          </cell>
          <cell r="D850" t="str">
            <v>E0320069</v>
          </cell>
          <cell r="E850" t="str">
            <v>BIRDSALL STACIA BETH</v>
          </cell>
          <cell r="G850" t="str">
            <v>Betty Cheng</v>
          </cell>
          <cell r="H850" t="str">
            <v>(212) 379-6988</v>
          </cell>
          <cell r="I850">
            <v>2604</v>
          </cell>
          <cell r="J850" t="str">
            <v>bcheng@cbwchc.org</v>
          </cell>
          <cell r="L850" t="str">
            <v>All Other:: Practitioner - Non-Primary Care Provider (PCP)</v>
          </cell>
          <cell r="M850" t="str">
            <v>No</v>
          </cell>
          <cell r="R850" t="str">
            <v>BIRDSALL STACIA</v>
          </cell>
          <cell r="W850" t="str">
            <v>BIRDSALL STACIA BETH</v>
          </cell>
          <cell r="X850" t="str">
            <v>268 CANAL ST</v>
          </cell>
          <cell r="Y850" t="str">
            <v>NEW YORK</v>
          </cell>
          <cell r="Z850" t="str">
            <v>NY</v>
          </cell>
          <cell r="AA850" t="str">
            <v>10013-3599</v>
          </cell>
          <cell r="AB850" t="str">
            <v>NURSE</v>
          </cell>
          <cell r="AC850" t="str">
            <v>M</v>
          </cell>
          <cell r="AD850" t="str">
            <v>No</v>
          </cell>
          <cell r="AE850" t="str">
            <v>MMIS</v>
          </cell>
          <cell r="AF850" t="str">
            <v>cbwchc</v>
          </cell>
          <cell r="AG850" t="str">
            <v>P</v>
          </cell>
        </row>
        <row r="851">
          <cell r="A851" t="str">
            <v>1366431389</v>
          </cell>
          <cell r="B851" t="str">
            <v>02643052</v>
          </cell>
          <cell r="C851" t="str">
            <v xml:space="preserve">Duan, Dewan     </v>
          </cell>
          <cell r="D851" t="str">
            <v>E0035858</v>
          </cell>
          <cell r="E851" t="str">
            <v>DUAN DEWAN</v>
          </cell>
          <cell r="G851" t="str">
            <v>Betty Cheng</v>
          </cell>
          <cell r="H851" t="str">
            <v>(212) 379-6988</v>
          </cell>
          <cell r="I851">
            <v>2604</v>
          </cell>
          <cell r="J851" t="str">
            <v>bcheng@cbwchc.org</v>
          </cell>
          <cell r="L851" t="str">
            <v>All Other:: Practitioner - Non-Primary Care Provider (PCP)</v>
          </cell>
          <cell r="M851" t="str">
            <v>No</v>
          </cell>
          <cell r="R851" t="str">
            <v>DUAN DEWAN</v>
          </cell>
          <cell r="W851" t="str">
            <v>DUAN DEWAN</v>
          </cell>
          <cell r="X851" t="str">
            <v>268 CANAL ST</v>
          </cell>
          <cell r="Y851" t="str">
            <v>NEW YORK</v>
          </cell>
          <cell r="Z851" t="str">
            <v>NY</v>
          </cell>
          <cell r="AA851" t="str">
            <v>10013-3599</v>
          </cell>
          <cell r="AB851" t="str">
            <v>NURSE</v>
          </cell>
          <cell r="AC851" t="str">
            <v>M</v>
          </cell>
          <cell r="AD851" t="str">
            <v>No</v>
          </cell>
          <cell r="AE851" t="str">
            <v>MMIS</v>
          </cell>
          <cell r="AF851" t="str">
            <v>cbwchc</v>
          </cell>
          <cell r="AG851" t="str">
            <v>P</v>
          </cell>
        </row>
        <row r="852">
          <cell r="A852" t="str">
            <v>1528313780</v>
          </cell>
          <cell r="B852" t="str">
            <v>03503913</v>
          </cell>
          <cell r="C852" t="str">
            <v>Kim, Yuhan</v>
          </cell>
          <cell r="D852" t="str">
            <v>E0339999</v>
          </cell>
          <cell r="E852" t="str">
            <v>KIM YUHAN</v>
          </cell>
          <cell r="G852" t="str">
            <v>Betty Cheng</v>
          </cell>
          <cell r="H852" t="str">
            <v>(212) 379-6988</v>
          </cell>
          <cell r="I852">
            <v>2604</v>
          </cell>
          <cell r="J852" t="str">
            <v>bcheng@cbwchc.org</v>
          </cell>
          <cell r="L852" t="str">
            <v>All Other:: Practitioner - Non-Primary Care Provider (PCP)</v>
          </cell>
          <cell r="M852" t="str">
            <v>Yes</v>
          </cell>
          <cell r="R852" t="str">
            <v>KIM YUHAN</v>
          </cell>
          <cell r="W852" t="str">
            <v>KIM YUHAN</v>
          </cell>
          <cell r="X852" t="str">
            <v>268 CANAL ST</v>
          </cell>
          <cell r="Y852" t="str">
            <v>NEW YORK</v>
          </cell>
          <cell r="Z852" t="str">
            <v>NY</v>
          </cell>
          <cell r="AA852" t="str">
            <v>10013-3599</v>
          </cell>
          <cell r="AB852" t="str">
            <v>NURSE</v>
          </cell>
          <cell r="AC852" t="str">
            <v>M</v>
          </cell>
          <cell r="AD852" t="str">
            <v>No</v>
          </cell>
          <cell r="AE852" t="str">
            <v>MMIS</v>
          </cell>
          <cell r="AF852" t="str">
            <v>cbwchc</v>
          </cell>
          <cell r="AG852" t="str">
            <v>P</v>
          </cell>
        </row>
        <row r="853">
          <cell r="A853" t="str">
            <v>1073605291</v>
          </cell>
          <cell r="B853" t="str">
            <v>02827925</v>
          </cell>
          <cell r="C853" t="str">
            <v>HERMAN, ERIC W</v>
          </cell>
          <cell r="D853" t="str">
            <v>E0017403</v>
          </cell>
          <cell r="E853" t="str">
            <v>HERMAN ERIC</v>
          </cell>
          <cell r="G853" t="str">
            <v>Kathryn Spaziani</v>
          </cell>
          <cell r="H853" t="str">
            <v>(212) 305-1190</v>
          </cell>
          <cell r="J853" t="str">
            <v>kas9171@nyp.org</v>
          </cell>
          <cell r="L853" t="str">
            <v>Practitioner - Non-Primary Care Provider (PCP)</v>
          </cell>
          <cell r="M853" t="str">
            <v>No</v>
          </cell>
          <cell r="R853" t="str">
            <v>HERMAN ERIC DR.</v>
          </cell>
          <cell r="W853" t="str">
            <v>HERMAN ERIC</v>
          </cell>
          <cell r="X853" t="str">
            <v>161 FORT WASHINGTON AVE</v>
          </cell>
          <cell r="Y853" t="str">
            <v>NEW YORK</v>
          </cell>
          <cell r="Z853" t="str">
            <v>NY</v>
          </cell>
          <cell r="AA853" t="str">
            <v>10032-3729</v>
          </cell>
          <cell r="AB853" t="str">
            <v>PHYSICIAN</v>
          </cell>
          <cell r="AC853" t="str">
            <v>M</v>
          </cell>
          <cell r="AD853" t="str">
            <v>No</v>
          </cell>
          <cell r="AE853" t="str">
            <v>MMIS</v>
          </cell>
          <cell r="AF853" t="str">
            <v>nypwestacn</v>
          </cell>
          <cell r="AG853" t="str">
            <v>P</v>
          </cell>
        </row>
        <row r="854">
          <cell r="A854" t="str">
            <v>1073646402</v>
          </cell>
          <cell r="C854" t="str">
            <v>GOLDMAN, ELIOT E</v>
          </cell>
          <cell r="G854" t="str">
            <v>Kathryn Spaziani</v>
          </cell>
          <cell r="H854" t="str">
            <v>(212) 305-1190</v>
          </cell>
          <cell r="J854" t="str">
            <v>kas9171@nyp.org</v>
          </cell>
          <cell r="K854" t="str">
            <v>Physician</v>
          </cell>
          <cell r="L854" t="str">
            <v>Uncategorized</v>
          </cell>
          <cell r="M854" t="str">
            <v>No</v>
          </cell>
          <cell r="R854" t="str">
            <v>NYSPI</v>
          </cell>
          <cell r="S854" t="str">
            <v>623 WARBURTON AVE</v>
          </cell>
          <cell r="T854" t="str">
            <v>HASTINGS ON HUDSON</v>
          </cell>
          <cell r="U854" t="str">
            <v>NY</v>
          </cell>
          <cell r="V854" t="str">
            <v>107061523</v>
          </cell>
          <cell r="AC854" t="str">
            <v>M</v>
          </cell>
          <cell r="AD854" t="str">
            <v>No</v>
          </cell>
          <cell r="AE854" t="str">
            <v>NPI only</v>
          </cell>
          <cell r="AF854" t="str">
            <v>nypwestacn</v>
          </cell>
          <cell r="AG854" t="str">
            <v>P</v>
          </cell>
        </row>
        <row r="855">
          <cell r="C855" t="str">
            <v>Service program for older people - Personalized recovery oriented services (PROS)</v>
          </cell>
          <cell r="G855" t="str">
            <v>Dan Del Bene, LCSW</v>
          </cell>
          <cell r="H855" t="str">
            <v>(212) 787-7120</v>
          </cell>
          <cell r="I855">
            <v>528</v>
          </cell>
          <cell r="J855" t="str">
            <v>ddelbene@spop.org</v>
          </cell>
          <cell r="K855" t="str">
            <v>Unknown</v>
          </cell>
          <cell r="L855" t="str">
            <v>CBO</v>
          </cell>
          <cell r="M855" t="str">
            <v>No</v>
          </cell>
          <cell r="AC855" t="str">
            <v>M</v>
          </cell>
          <cell r="AD855" t="str">
            <v>No</v>
          </cell>
          <cell r="AE855" t="str">
            <v>No NPI or MMIS</v>
          </cell>
          <cell r="AF855" t="str">
            <v>nypwestacn</v>
          </cell>
          <cell r="AG855" t="str">
            <v>P</v>
          </cell>
        </row>
        <row r="856">
          <cell r="A856" t="str">
            <v>1093823932</v>
          </cell>
          <cell r="C856" t="str">
            <v>WEILL MEDICAL COLLEGE OF CORNELL UNIVERSITY</v>
          </cell>
          <cell r="K856" t="str">
            <v>All Other</v>
          </cell>
          <cell r="L856" t="str">
            <v>Uncategorized</v>
          </cell>
          <cell r="M856" t="str">
            <v>No</v>
          </cell>
          <cell r="R856" t="str">
            <v>WEILL MEDICAL COLLEGE OF CORNELL UNIVERSITY</v>
          </cell>
          <cell r="S856" t="str">
            <v>525 E 68TH ST, F467</v>
          </cell>
          <cell r="T856" t="str">
            <v>NEW YORK</v>
          </cell>
          <cell r="U856" t="str">
            <v>NY</v>
          </cell>
          <cell r="V856" t="str">
            <v>100214870</v>
          </cell>
          <cell r="AC856" t="str">
            <v>M</v>
          </cell>
          <cell r="AD856" t="str">
            <v>No</v>
          </cell>
          <cell r="AE856" t="str">
            <v>NPI only</v>
          </cell>
          <cell r="AF856" t="str">
            <v>nypwestacn</v>
          </cell>
          <cell r="AG856" t="str">
            <v>P</v>
          </cell>
        </row>
        <row r="857">
          <cell r="A857" t="str">
            <v>1629042478</v>
          </cell>
          <cell r="B857" t="str">
            <v>02348814</v>
          </cell>
          <cell r="C857" t="str">
            <v>CADDLE, STEVEN I</v>
          </cell>
          <cell r="D857" t="str">
            <v>E0065223</v>
          </cell>
          <cell r="E857" t="str">
            <v>CADDLE STEVE I</v>
          </cell>
          <cell r="G857" t="str">
            <v>Kathryn Spaziani</v>
          </cell>
          <cell r="H857" t="str">
            <v>(212) 305-1190</v>
          </cell>
          <cell r="J857" t="str">
            <v>kas9171@nyp.org</v>
          </cell>
          <cell r="L857" t="str">
            <v>All Other:: Practitioner - Primary Care Provider (PCP)</v>
          </cell>
          <cell r="M857" t="str">
            <v>Yes</v>
          </cell>
          <cell r="R857" t="str">
            <v>CADDLE STEVE DR.</v>
          </cell>
          <cell r="W857" t="str">
            <v>CADDLE STEVE I</v>
          </cell>
          <cell r="X857" t="str">
            <v>ER DEPARTMENT</v>
          </cell>
          <cell r="Y857" t="str">
            <v>BRONX</v>
          </cell>
          <cell r="Z857" t="str">
            <v>NY</v>
          </cell>
          <cell r="AA857" t="str">
            <v>10467-2401</v>
          </cell>
          <cell r="AB857" t="str">
            <v>PHYSICIAN</v>
          </cell>
          <cell r="AC857" t="str">
            <v>M</v>
          </cell>
          <cell r="AD857" t="str">
            <v>No</v>
          </cell>
          <cell r="AE857" t="str">
            <v>MMIS</v>
          </cell>
          <cell r="AF857" t="str">
            <v>nypwestacn</v>
          </cell>
          <cell r="AG857" t="str">
            <v>P</v>
          </cell>
        </row>
        <row r="858">
          <cell r="A858" t="str">
            <v>1245229814</v>
          </cell>
          <cell r="B858" t="str">
            <v>01755013</v>
          </cell>
          <cell r="C858" t="str">
            <v>Chen, Jianping</v>
          </cell>
          <cell r="D858" t="str">
            <v>E0124526</v>
          </cell>
          <cell r="E858" t="str">
            <v>CHEN JIANPING MD</v>
          </cell>
          <cell r="G858" t="str">
            <v>Betty Cheng</v>
          </cell>
          <cell r="H858" t="str">
            <v>(212) 379-6988</v>
          </cell>
          <cell r="I858">
            <v>2604</v>
          </cell>
          <cell r="J858" t="str">
            <v>bcheng@cbwchc.org</v>
          </cell>
          <cell r="L858" t="str">
            <v>All Other:: Mental Health:: Practitioner - Non-Primary Care Provider (PCP)</v>
          </cell>
          <cell r="M858" t="str">
            <v>Yes</v>
          </cell>
          <cell r="R858" t="str">
            <v>CHEN JIANPING</v>
          </cell>
          <cell r="W858" t="str">
            <v>CHEN JIANPING MD</v>
          </cell>
          <cell r="X858" t="str">
            <v>FL 3</v>
          </cell>
          <cell r="Y858" t="str">
            <v>NEW YORK</v>
          </cell>
          <cell r="Z858" t="str">
            <v>NY</v>
          </cell>
          <cell r="AA858" t="str">
            <v>10013-5041</v>
          </cell>
          <cell r="AB858" t="str">
            <v>PHYSICIAN</v>
          </cell>
          <cell r="AC858" t="str">
            <v>M</v>
          </cell>
          <cell r="AD858" t="str">
            <v>No</v>
          </cell>
          <cell r="AE858" t="str">
            <v>MMIS</v>
          </cell>
          <cell r="AF858" t="str">
            <v>cbwchc</v>
          </cell>
          <cell r="AG858" t="str">
            <v>P</v>
          </cell>
        </row>
        <row r="859">
          <cell r="A859" t="str">
            <v>1952364077</v>
          </cell>
          <cell r="B859" t="str">
            <v>03500167</v>
          </cell>
          <cell r="C859" t="str">
            <v>LIPPITT, ELIZABETH C</v>
          </cell>
          <cell r="D859" t="str">
            <v>E0339603</v>
          </cell>
          <cell r="E859" t="str">
            <v>LIPPITT ELIZABETH C</v>
          </cell>
          <cell r="G859" t="str">
            <v>Kathryn Spaziani</v>
          </cell>
          <cell r="H859" t="str">
            <v>(212) 305-1190</v>
          </cell>
          <cell r="J859" t="str">
            <v>kas9171@nyp.org</v>
          </cell>
          <cell r="L859" t="str">
            <v>Practitioner - Primary Care Provider (PCP)</v>
          </cell>
          <cell r="M859" t="str">
            <v>Yes</v>
          </cell>
          <cell r="R859" t="str">
            <v>LIPPITT ELIZABETH DR.</v>
          </cell>
          <cell r="W859" t="str">
            <v>LIPPITT ELIZABETH C</v>
          </cell>
          <cell r="X859" t="str">
            <v>4781 BROADWAY</v>
          </cell>
          <cell r="Y859" t="str">
            <v>NEW YORK</v>
          </cell>
          <cell r="Z859" t="str">
            <v>NY</v>
          </cell>
          <cell r="AA859" t="str">
            <v>10034-4915</v>
          </cell>
          <cell r="AB859" t="str">
            <v>PHYSICIAN</v>
          </cell>
          <cell r="AC859" t="str">
            <v>M</v>
          </cell>
          <cell r="AD859" t="str">
            <v>No</v>
          </cell>
          <cell r="AE859" t="str">
            <v>MMIS</v>
          </cell>
          <cell r="AF859" t="str">
            <v>nypwestcampus</v>
          </cell>
          <cell r="AG859" t="str">
            <v>P</v>
          </cell>
        </row>
        <row r="860">
          <cell r="A860" t="str">
            <v>1134232846</v>
          </cell>
          <cell r="B860" t="str">
            <v>02142414</v>
          </cell>
          <cell r="C860" t="str">
            <v>Sharma Aarti</v>
          </cell>
          <cell r="D860" t="str">
            <v>E0085832</v>
          </cell>
          <cell r="E860" t="str">
            <v>SHARMA AARTI MD</v>
          </cell>
          <cell r="L860" t="str">
            <v>All Other:: Practitioner - Non-Primary Care Provider (PCP)</v>
          </cell>
          <cell r="M860" t="str">
            <v>No</v>
          </cell>
          <cell r="R860" t="str">
            <v>SHARMA AARTI DR.</v>
          </cell>
          <cell r="W860" t="str">
            <v>SHARMA AARTI MD</v>
          </cell>
          <cell r="X860" t="str">
            <v>CORNELL ANES</v>
          </cell>
          <cell r="Y860" t="str">
            <v>NEW YORK</v>
          </cell>
          <cell r="Z860" t="str">
            <v>NY</v>
          </cell>
          <cell r="AA860" t="str">
            <v>10065-4870</v>
          </cell>
          <cell r="AB860" t="str">
            <v>PHYSICIAN</v>
          </cell>
          <cell r="AC860" t="str">
            <v>M</v>
          </cell>
          <cell r="AD860" t="str">
            <v>No</v>
          </cell>
          <cell r="AE860" t="str">
            <v>MMIS</v>
          </cell>
          <cell r="AF860" t="str">
            <v>nypeastcampus</v>
          </cell>
          <cell r="AG860" t="str">
            <v>P</v>
          </cell>
        </row>
        <row r="861">
          <cell r="A861" t="str">
            <v>1891951745</v>
          </cell>
          <cell r="C861" t="str">
            <v>Sheehan Theresa</v>
          </cell>
          <cell r="G861" t="str">
            <v>Kathryn Spaziani</v>
          </cell>
          <cell r="H861" t="str">
            <v>(212) 305-1255</v>
          </cell>
          <cell r="J861" t="str">
            <v>kas9171@nyp.org</v>
          </cell>
          <cell r="K861" t="str">
            <v>Physician</v>
          </cell>
          <cell r="L861" t="str">
            <v>Uncategorized</v>
          </cell>
          <cell r="M861" t="str">
            <v>No</v>
          </cell>
          <cell r="R861" t="str">
            <v>SHEEHAN THERESA MS.</v>
          </cell>
          <cell r="S861" t="str">
            <v>525 E 68TH ST</v>
          </cell>
          <cell r="T861" t="str">
            <v>NEW YORK</v>
          </cell>
          <cell r="U861" t="str">
            <v>NY</v>
          </cell>
          <cell r="V861" t="str">
            <v>100654870</v>
          </cell>
          <cell r="AC861" t="str">
            <v>M</v>
          </cell>
          <cell r="AD861" t="str">
            <v>No</v>
          </cell>
          <cell r="AE861" t="str">
            <v>NPI only</v>
          </cell>
          <cell r="AF861" t="str">
            <v>nypeastcampus</v>
          </cell>
          <cell r="AG861" t="str">
            <v>P</v>
          </cell>
        </row>
        <row r="862">
          <cell r="A862" t="str">
            <v>1841202447</v>
          </cell>
          <cell r="B862" t="str">
            <v>02361851</v>
          </cell>
          <cell r="C862" t="str">
            <v>Skubas Nikolaos</v>
          </cell>
          <cell r="D862" t="str">
            <v>E0063921</v>
          </cell>
          <cell r="E862" t="str">
            <v>SKUBAS NIKOLAOS MD</v>
          </cell>
          <cell r="L862" t="str">
            <v>All Other:: Practitioner - Non-Primary Care Provider (PCP)</v>
          </cell>
          <cell r="M862" t="str">
            <v>No</v>
          </cell>
          <cell r="R862" t="str">
            <v>SKUBAS NIKOLAOS DR.</v>
          </cell>
          <cell r="W862" t="str">
            <v>SKUBAS NIKOLAOS MD</v>
          </cell>
          <cell r="X862" t="str">
            <v>525 E 68TH ST</v>
          </cell>
          <cell r="Y862" t="str">
            <v>NEW YORK</v>
          </cell>
          <cell r="Z862" t="str">
            <v>NY</v>
          </cell>
          <cell r="AA862" t="str">
            <v>10065-4870</v>
          </cell>
          <cell r="AB862" t="str">
            <v>PHYSICIAN</v>
          </cell>
          <cell r="AC862" t="str">
            <v>M</v>
          </cell>
          <cell r="AD862" t="str">
            <v>No</v>
          </cell>
          <cell r="AE862" t="str">
            <v>MMIS</v>
          </cell>
          <cell r="AF862" t="str">
            <v>nypeastcampus</v>
          </cell>
          <cell r="AG862" t="str">
            <v>P</v>
          </cell>
        </row>
        <row r="863">
          <cell r="A863" t="str">
            <v>1063593028</v>
          </cell>
          <cell r="B863" t="str">
            <v>02047510</v>
          </cell>
          <cell r="C863" t="str">
            <v>PARIKH, SHERWIN K</v>
          </cell>
          <cell r="D863" t="str">
            <v>E0095311</v>
          </cell>
          <cell r="E863" t="str">
            <v>PARIKH SHERWIN</v>
          </cell>
          <cell r="G863" t="str">
            <v>Kathryn Spaziani</v>
          </cell>
          <cell r="H863" t="str">
            <v>(212) 305-1190</v>
          </cell>
          <cell r="J863" t="str">
            <v>kas9171@nyp.org</v>
          </cell>
          <cell r="L863" t="str">
            <v>All Other:: Practitioner - Non-Primary Care Provider (PCP)</v>
          </cell>
          <cell r="M863" t="str">
            <v>No</v>
          </cell>
          <cell r="R863" t="str">
            <v>PARIKH SHERWIN DR.</v>
          </cell>
          <cell r="W863" t="str">
            <v>PARIKH SHERWIN</v>
          </cell>
          <cell r="X863" t="str">
            <v>PARIKH SHERWIN</v>
          </cell>
          <cell r="Y863" t="str">
            <v>NEW YORK</v>
          </cell>
          <cell r="Z863" t="str">
            <v>NY</v>
          </cell>
          <cell r="AA863" t="str">
            <v>10011-6609</v>
          </cell>
          <cell r="AB863" t="str">
            <v>PHYSICIAN</v>
          </cell>
          <cell r="AC863" t="str">
            <v>M</v>
          </cell>
          <cell r="AD863" t="str">
            <v>No</v>
          </cell>
          <cell r="AE863" t="str">
            <v>MMIS</v>
          </cell>
          <cell r="AF863" t="str">
            <v>nypwestcampus</v>
          </cell>
          <cell r="AG863" t="str">
            <v>P</v>
          </cell>
        </row>
        <row r="864">
          <cell r="A864" t="str">
            <v>1841352515</v>
          </cell>
          <cell r="B864" t="str">
            <v>03484580</v>
          </cell>
          <cell r="C864" t="str">
            <v>BINDER, SUSAN E</v>
          </cell>
          <cell r="D864" t="str">
            <v>E0337875</v>
          </cell>
          <cell r="E864" t="str">
            <v>BINDER SUSAN</v>
          </cell>
          <cell r="G864" t="str">
            <v>Kathryn Spaziani</v>
          </cell>
          <cell r="H864" t="str">
            <v>(212) 305-1190</v>
          </cell>
          <cell r="J864" t="str">
            <v>kas9171@nyp.org</v>
          </cell>
          <cell r="L864" t="str">
            <v>Practitioner - Non-Primary Care Provider (PCP)</v>
          </cell>
          <cell r="M864" t="str">
            <v>No</v>
          </cell>
          <cell r="R864" t="str">
            <v>BINDER SUSAN</v>
          </cell>
          <cell r="W864" t="str">
            <v>BINDER SUSAN</v>
          </cell>
          <cell r="X864" t="str">
            <v>17 E 102ND ST</v>
          </cell>
          <cell r="Y864" t="str">
            <v>NEW YORK</v>
          </cell>
          <cell r="Z864" t="str">
            <v>NY</v>
          </cell>
          <cell r="AA864" t="str">
            <v>10029-5204</v>
          </cell>
          <cell r="AB864" t="str">
            <v>PHYSICIAN</v>
          </cell>
          <cell r="AC864" t="str">
            <v>M</v>
          </cell>
          <cell r="AD864" t="str">
            <v>No</v>
          </cell>
          <cell r="AE864" t="str">
            <v>MMIS</v>
          </cell>
          <cell r="AF864" t="str">
            <v>nypwestacn</v>
          </cell>
          <cell r="AG864" t="str">
            <v>P</v>
          </cell>
        </row>
        <row r="865">
          <cell r="A865" t="str">
            <v>1982623310</v>
          </cell>
          <cell r="B865" t="str">
            <v>02998947</v>
          </cell>
          <cell r="C865" t="str">
            <v>RIVERDALE MENTAL HEALTH ASSOCIATION</v>
          </cell>
          <cell r="D865" t="str">
            <v>E0274023</v>
          </cell>
          <cell r="E865" t="str">
            <v>RIVERDALE MENTAL HLTH CL</v>
          </cell>
          <cell r="L865" t="str">
            <v>All Other:: Mental Health:: Substance Abuse</v>
          </cell>
          <cell r="M865" t="str">
            <v>Yes</v>
          </cell>
          <cell r="R865" t="str">
            <v>RIVERDALE MENTAL HEALTH ASSOCIATION INC</v>
          </cell>
          <cell r="W865" t="str">
            <v>RIVERDALE MENTAL HLTH CL</v>
          </cell>
          <cell r="X865" t="str">
            <v>RIVERDALE CLN/CDT</v>
          </cell>
          <cell r="Y865" t="str">
            <v>BRONX</v>
          </cell>
          <cell r="Z865" t="str">
            <v>NY</v>
          </cell>
          <cell r="AA865" t="str">
            <v>10471-2138</v>
          </cell>
          <cell r="AB865" t="str">
            <v>MULTI-TYPE</v>
          </cell>
          <cell r="AC865" t="str">
            <v>M</v>
          </cell>
          <cell r="AD865" t="str">
            <v>No</v>
          </cell>
          <cell r="AE865" t="str">
            <v>MMIS</v>
          </cell>
          <cell r="AF865" t="str">
            <v>nypeastacn</v>
          </cell>
          <cell r="AG865" t="str">
            <v>P</v>
          </cell>
        </row>
        <row r="866">
          <cell r="A866" t="str">
            <v>1134216237</v>
          </cell>
          <cell r="B866" t="str">
            <v>00539840</v>
          </cell>
          <cell r="C866" t="str">
            <v>DEVEREUX, RICHARD B</v>
          </cell>
          <cell r="D866" t="str">
            <v>E0245678</v>
          </cell>
          <cell r="E866" t="str">
            <v>DEVEREUX RICHARD B         MD</v>
          </cell>
          <cell r="G866" t="str">
            <v>Kathryn Spaziani</v>
          </cell>
          <cell r="H866" t="str">
            <v>(212) 305-1190</v>
          </cell>
          <cell r="J866" t="str">
            <v>kas9171@nyp.org</v>
          </cell>
          <cell r="L866" t="str">
            <v>All Other:: Practitioner - Non-Primary Care Provider (PCP)</v>
          </cell>
          <cell r="M866" t="str">
            <v>No</v>
          </cell>
          <cell r="R866" t="str">
            <v>DEVEREUX RICHARD</v>
          </cell>
          <cell r="W866" t="str">
            <v>DEVEREUX RICHARD B         MD</v>
          </cell>
          <cell r="X866" t="str">
            <v>525 E 68TH ST</v>
          </cell>
          <cell r="Y866" t="str">
            <v>NEW YORK</v>
          </cell>
          <cell r="Z866" t="str">
            <v>NY</v>
          </cell>
          <cell r="AA866" t="str">
            <v>10065-4870</v>
          </cell>
          <cell r="AB866" t="str">
            <v>PHYSICIAN</v>
          </cell>
          <cell r="AC866" t="str">
            <v>M</v>
          </cell>
          <cell r="AD866" t="str">
            <v>No</v>
          </cell>
          <cell r="AE866" t="str">
            <v>MMIS</v>
          </cell>
          <cell r="AF866" t="str">
            <v>nypeastacn</v>
          </cell>
          <cell r="AG866" t="str">
            <v>P</v>
          </cell>
        </row>
        <row r="867">
          <cell r="B867" t="str">
            <v>00997580</v>
          </cell>
          <cell r="C867" t="str">
            <v>UPPER MANHATTAN MNTL HLTH CTR</v>
          </cell>
          <cell r="D867" t="str">
            <v>E0142970</v>
          </cell>
          <cell r="E867" t="str">
            <v>UPPER MANHATTAN MH CTR SCM</v>
          </cell>
          <cell r="G867" t="str">
            <v>William Witherspoon</v>
          </cell>
          <cell r="H867" t="str">
            <v>(212) 694-9200</v>
          </cell>
          <cell r="I867">
            <v>426</v>
          </cell>
          <cell r="J867" t="str">
            <v>wswjr@bowencsc.org</v>
          </cell>
          <cell r="L867" t="str">
            <v>All Other:: Case Management / Health Home:: Mental Health:: Substance Abuse</v>
          </cell>
          <cell r="M867" t="str">
            <v>Yes</v>
          </cell>
          <cell r="W867" t="str">
            <v>UPPER MANHATTAN MNTL HLTH CTR</v>
          </cell>
          <cell r="X867" t="str">
            <v>CHILD/ADOL CL</v>
          </cell>
          <cell r="Y867" t="str">
            <v>NEW YORK</v>
          </cell>
          <cell r="Z867" t="str">
            <v>NY</v>
          </cell>
          <cell r="AA867" t="str">
            <v>10031-4611</v>
          </cell>
          <cell r="AB867" t="str">
            <v>DIAGNOSTIC AND TREATMENT CENTER</v>
          </cell>
          <cell r="AC867" t="str">
            <v>M</v>
          </cell>
          <cell r="AD867" t="str">
            <v>No</v>
          </cell>
          <cell r="AE867" t="str">
            <v>MMIS</v>
          </cell>
          <cell r="AF867" t="str">
            <v>uppermanhattan</v>
          </cell>
          <cell r="AG867" t="str">
            <v>P</v>
          </cell>
        </row>
        <row r="868">
          <cell r="A868" t="str">
            <v>1578723268</v>
          </cell>
          <cell r="B868" t="str">
            <v>03128796</v>
          </cell>
          <cell r="C868" t="str">
            <v>RUBENS, ELAYNA O</v>
          </cell>
          <cell r="D868" t="str">
            <v>E0296395</v>
          </cell>
          <cell r="E868" t="str">
            <v>RUBENS ELAYNA ORCUTT</v>
          </cell>
          <cell r="G868" t="str">
            <v>Kathryn Spaziani</v>
          </cell>
          <cell r="H868" t="str">
            <v>(212) 305-1190</v>
          </cell>
          <cell r="J868" t="str">
            <v>kas9171@nyp.org</v>
          </cell>
          <cell r="L868" t="str">
            <v>All Other:: Practitioner - Non-Primary Care Provider (PCP)</v>
          </cell>
          <cell r="M868" t="str">
            <v>No</v>
          </cell>
          <cell r="R868" t="str">
            <v>RUBENS ELAYNA</v>
          </cell>
          <cell r="W868" t="str">
            <v>RUBENS ELAYNA ORCUTT</v>
          </cell>
          <cell r="X868" t="str">
            <v>525 E 68TH ST RM F-610</v>
          </cell>
          <cell r="Y868" t="str">
            <v>NEW YORK</v>
          </cell>
          <cell r="Z868" t="str">
            <v>NY</v>
          </cell>
          <cell r="AA868" t="str">
            <v>10065-4870</v>
          </cell>
          <cell r="AB868" t="str">
            <v>PHYSICIAN</v>
          </cell>
          <cell r="AC868" t="str">
            <v>M</v>
          </cell>
          <cell r="AD868" t="str">
            <v>No</v>
          </cell>
          <cell r="AE868" t="str">
            <v>MMIS</v>
          </cell>
          <cell r="AF868" t="str">
            <v>nypwestacn</v>
          </cell>
          <cell r="AG868" t="str">
            <v>P</v>
          </cell>
        </row>
        <row r="869">
          <cell r="A869" t="str">
            <v>1386935674</v>
          </cell>
          <cell r="C869" t="str">
            <v>Vora Amar</v>
          </cell>
          <cell r="G869" t="str">
            <v>Kathryn Spaziani</v>
          </cell>
          <cell r="H869" t="str">
            <v>(212) 305-1255</v>
          </cell>
          <cell r="J869" t="str">
            <v>kas9171@nyp.org</v>
          </cell>
          <cell r="K869" t="str">
            <v>Physician</v>
          </cell>
          <cell r="L869" t="str">
            <v>Uncategorized</v>
          </cell>
          <cell r="M869" t="str">
            <v>No</v>
          </cell>
          <cell r="R869" t="str">
            <v>VORA AMAR DR.</v>
          </cell>
          <cell r="S869" t="str">
            <v>1000 10TH AVE, DEPARTMENT OF MEDICINE</v>
          </cell>
          <cell r="T869" t="str">
            <v>NEW YORK</v>
          </cell>
          <cell r="U869" t="str">
            <v>NY</v>
          </cell>
          <cell r="V869" t="str">
            <v>100191147</v>
          </cell>
          <cell r="AC869" t="str">
            <v>M</v>
          </cell>
          <cell r="AD869" t="str">
            <v>No</v>
          </cell>
          <cell r="AE869" t="str">
            <v>NPI only</v>
          </cell>
          <cell r="AF869" t="str">
            <v>nypeastcampus</v>
          </cell>
          <cell r="AG869" t="str">
            <v>P</v>
          </cell>
        </row>
        <row r="870">
          <cell r="A870" t="str">
            <v>1952668154</v>
          </cell>
          <cell r="C870" t="str">
            <v>Weidman Elizabeth</v>
          </cell>
          <cell r="G870" t="str">
            <v>Kathryn Spaziani</v>
          </cell>
          <cell r="H870" t="str">
            <v>(212) 305-1255</v>
          </cell>
          <cell r="J870" t="str">
            <v>kas9171@nyp.org</v>
          </cell>
          <cell r="K870" t="str">
            <v>Physician</v>
          </cell>
          <cell r="L870" t="str">
            <v>Uncategorized</v>
          </cell>
          <cell r="M870" t="str">
            <v>No</v>
          </cell>
          <cell r="R870" t="str">
            <v>WEIDMAN ELIZABETH</v>
          </cell>
          <cell r="S870" t="str">
            <v>353 E 17TH ST, 2ND FLOOR, ROOM 223</v>
          </cell>
          <cell r="T870" t="str">
            <v>NEW YORK</v>
          </cell>
          <cell r="U870" t="str">
            <v>NY</v>
          </cell>
          <cell r="V870" t="str">
            <v>100033821</v>
          </cell>
          <cell r="AC870" t="str">
            <v>M</v>
          </cell>
          <cell r="AD870" t="str">
            <v>No</v>
          </cell>
          <cell r="AE870" t="str">
            <v>NPI only</v>
          </cell>
          <cell r="AF870" t="str">
            <v>nypeastcampus</v>
          </cell>
          <cell r="AG870" t="str">
            <v>P</v>
          </cell>
        </row>
        <row r="871">
          <cell r="A871" t="str">
            <v>1003058074</v>
          </cell>
          <cell r="B871" t="str">
            <v>03535742</v>
          </cell>
          <cell r="C871" t="str">
            <v xml:space="preserve">EL-ZEIN, LAMA </v>
          </cell>
          <cell r="D871" t="str">
            <v>E0343406</v>
          </cell>
          <cell r="E871" t="str">
            <v>EL ZEIN LAMA</v>
          </cell>
          <cell r="G871" t="str">
            <v>Kathryn Spaziani</v>
          </cell>
          <cell r="H871" t="str">
            <v>(212) 305-1190</v>
          </cell>
          <cell r="J871" t="str">
            <v>kas9171@nyp.org</v>
          </cell>
          <cell r="L871" t="str">
            <v>Practitioner - Primary Care Provider (PCP)</v>
          </cell>
          <cell r="M871" t="str">
            <v>No</v>
          </cell>
          <cell r="R871" t="str">
            <v>EL ZEIN LAMA DR.</v>
          </cell>
          <cell r="W871" t="str">
            <v>EL ZEIN LAMA</v>
          </cell>
          <cell r="X871" t="str">
            <v>610 W 158TH ST FL 2</v>
          </cell>
          <cell r="Y871" t="str">
            <v>NEW YORK</v>
          </cell>
          <cell r="Z871" t="str">
            <v>NY</v>
          </cell>
          <cell r="AA871" t="str">
            <v>10032-7104</v>
          </cell>
          <cell r="AB871" t="str">
            <v>PHYSICIAN</v>
          </cell>
          <cell r="AC871" t="str">
            <v>M</v>
          </cell>
          <cell r="AD871" t="str">
            <v>No</v>
          </cell>
          <cell r="AE871" t="str">
            <v>MMIS</v>
          </cell>
          <cell r="AF871" t="str">
            <v>nypwestcampus</v>
          </cell>
          <cell r="AG871" t="str">
            <v>P</v>
          </cell>
        </row>
        <row r="872">
          <cell r="A872" t="str">
            <v>1386797652</v>
          </cell>
          <cell r="B872" t="str">
            <v>03069261</v>
          </cell>
          <cell r="C872" t="str">
            <v>NG, YIU KEE W</v>
          </cell>
          <cell r="D872" t="str">
            <v>E0289411</v>
          </cell>
          <cell r="E872" t="str">
            <v>NG YIU</v>
          </cell>
          <cell r="G872" t="str">
            <v>Kathryn Spaziani</v>
          </cell>
          <cell r="H872" t="str">
            <v>(212) 305-1190</v>
          </cell>
          <cell r="J872" t="str">
            <v>kas9171@nyp.org</v>
          </cell>
          <cell r="L872" t="str">
            <v>Mental Health:: Practitioner - Non-Primary Care Provider (PCP)</v>
          </cell>
          <cell r="M872" t="str">
            <v>No</v>
          </cell>
          <cell r="R872" t="str">
            <v>NG YIU KEE DR.</v>
          </cell>
          <cell r="W872" t="str">
            <v>NG YIU KEE MD</v>
          </cell>
          <cell r="X872" t="str">
            <v>506 LENOX AVE</v>
          </cell>
          <cell r="Y872" t="str">
            <v>NEW YORK</v>
          </cell>
          <cell r="Z872" t="str">
            <v>NY</v>
          </cell>
          <cell r="AA872" t="str">
            <v>10037-1802</v>
          </cell>
          <cell r="AB872" t="str">
            <v>PHYSICIAN</v>
          </cell>
          <cell r="AC872" t="str">
            <v>M</v>
          </cell>
          <cell r="AD872" t="str">
            <v>No</v>
          </cell>
          <cell r="AE872" t="str">
            <v>MMIS</v>
          </cell>
          <cell r="AF872" t="str">
            <v>nypwestcampus</v>
          </cell>
          <cell r="AG872" t="str">
            <v>P</v>
          </cell>
        </row>
        <row r="873">
          <cell r="A873" t="str">
            <v>1386803823</v>
          </cell>
          <cell r="B873" t="str">
            <v>03469252</v>
          </cell>
          <cell r="C873" t="str">
            <v>AGERSTRAND, CARA L</v>
          </cell>
          <cell r="D873" t="str">
            <v>E0336169</v>
          </cell>
          <cell r="E873" t="str">
            <v>AGERSTRAND CARA LYN</v>
          </cell>
          <cell r="G873" t="str">
            <v>Kathryn Spaziani</v>
          </cell>
          <cell r="H873" t="str">
            <v>(212) 305-1190</v>
          </cell>
          <cell r="J873" t="str">
            <v>kas9171@nyp.org</v>
          </cell>
          <cell r="L873" t="str">
            <v>Practitioner - Non-Primary Care Provider (PCP)</v>
          </cell>
          <cell r="M873" t="str">
            <v>No</v>
          </cell>
          <cell r="R873" t="str">
            <v>AGERSTRAND CARA DR.</v>
          </cell>
          <cell r="W873" t="str">
            <v>AGERSTRAND CARA LYN</v>
          </cell>
          <cell r="X873" t="str">
            <v>622 W 168TH ST</v>
          </cell>
          <cell r="Y873" t="str">
            <v>NEW YORK</v>
          </cell>
          <cell r="Z873" t="str">
            <v>NY</v>
          </cell>
          <cell r="AA873" t="str">
            <v>10032-3720</v>
          </cell>
          <cell r="AB873" t="str">
            <v>PHYSICIAN</v>
          </cell>
          <cell r="AC873" t="str">
            <v>M</v>
          </cell>
          <cell r="AD873" t="str">
            <v>No</v>
          </cell>
          <cell r="AE873" t="str">
            <v>MMIS</v>
          </cell>
          <cell r="AF873" t="str">
            <v>nypwestacn</v>
          </cell>
          <cell r="AG873" t="str">
            <v>P</v>
          </cell>
        </row>
        <row r="874">
          <cell r="A874" t="str">
            <v>1386828382</v>
          </cell>
          <cell r="B874" t="str">
            <v>03090080</v>
          </cell>
          <cell r="C874" t="str">
            <v xml:space="preserve">CAMPOS-MACKINS, CYNTHIA </v>
          </cell>
          <cell r="D874" t="str">
            <v>E0291867</v>
          </cell>
          <cell r="E874" t="str">
            <v>CAMPOS-MACKINS CYNTHIA</v>
          </cell>
          <cell r="G874" t="str">
            <v>Kathryn Spaziani</v>
          </cell>
          <cell r="H874" t="str">
            <v>(212) 305-1190</v>
          </cell>
          <cell r="J874" t="str">
            <v>kas9171@nyp.org</v>
          </cell>
          <cell r="L874" t="str">
            <v>Practitioner - Non-Primary Care Provider (PCP)</v>
          </cell>
          <cell r="M874" t="str">
            <v>No</v>
          </cell>
          <cell r="R874" t="str">
            <v>CAMPOS-MACKINS CYNTHIA</v>
          </cell>
          <cell r="W874" t="str">
            <v>CAMPOS-MACKINS CYNTHIA</v>
          </cell>
          <cell r="X874" t="str">
            <v>622 W 168TH ST 10TH FL</v>
          </cell>
          <cell r="Y874" t="str">
            <v>NEW YORK</v>
          </cell>
          <cell r="Z874" t="str">
            <v>NY</v>
          </cell>
          <cell r="AA874" t="str">
            <v>10032-3720</v>
          </cell>
          <cell r="AB874" t="str">
            <v>MEDICAL APPLIANCE DEALER</v>
          </cell>
          <cell r="AC874" t="str">
            <v>M</v>
          </cell>
          <cell r="AD874" t="str">
            <v>No</v>
          </cell>
          <cell r="AE874" t="str">
            <v>MMIS</v>
          </cell>
          <cell r="AF874" t="str">
            <v>nypwestacn</v>
          </cell>
          <cell r="AG874" t="str">
            <v>P</v>
          </cell>
        </row>
        <row r="875">
          <cell r="A875" t="str">
            <v>1063573152</v>
          </cell>
          <cell r="B875" t="str">
            <v>01539335</v>
          </cell>
          <cell r="C875" t="str">
            <v>Village Center for Care Case Management</v>
          </cell>
          <cell r="D875" t="str">
            <v>E0146062</v>
          </cell>
          <cell r="E875" t="str">
            <v>VILLAGE CENTER FOR CARE AI</v>
          </cell>
          <cell r="G875" t="str">
            <v>Allison Silvers, Chief Strategy Officer</v>
          </cell>
          <cell r="H875" t="str">
            <v>(212) 337-5755</v>
          </cell>
          <cell r="J875" t="str">
            <v>allisons@villagecare.org</v>
          </cell>
          <cell r="L875" t="str">
            <v>Case Management / Health Home</v>
          </cell>
          <cell r="M875" t="str">
            <v>Yes</v>
          </cell>
          <cell r="R875" t="str">
            <v>VILLAGE CENTER FOR CARE</v>
          </cell>
          <cell r="W875" t="str">
            <v>VILLAGE CENTER FOR CARE AI</v>
          </cell>
          <cell r="X875" t="str">
            <v>154 CHRISTOPHER ST</v>
          </cell>
          <cell r="Y875" t="str">
            <v>NEW YORK</v>
          </cell>
          <cell r="Z875" t="str">
            <v>NY</v>
          </cell>
          <cell r="AA875" t="str">
            <v>10014-2840</v>
          </cell>
          <cell r="AB875" t="str">
            <v>HOME HEALTH AGENCY</v>
          </cell>
          <cell r="AC875" t="str">
            <v>M</v>
          </cell>
          <cell r="AD875" t="str">
            <v>No</v>
          </cell>
          <cell r="AE875" t="str">
            <v>MMIS</v>
          </cell>
          <cell r="AF875" t="str">
            <v>nypwestacn</v>
          </cell>
          <cell r="AG875" t="str">
            <v>P</v>
          </cell>
        </row>
        <row r="876">
          <cell r="A876" t="str">
            <v>1053364430</v>
          </cell>
          <cell r="B876" t="str">
            <v>01760407</v>
          </cell>
          <cell r="C876" t="str">
            <v>DUNCAN, DAVID B</v>
          </cell>
          <cell r="D876" t="str">
            <v>E0123988</v>
          </cell>
          <cell r="E876" t="str">
            <v>DUNCAN DAVID BRIAN MD</v>
          </cell>
          <cell r="G876" t="str">
            <v>Kathryn Spaziani</v>
          </cell>
          <cell r="H876" t="str">
            <v>(212) 305-1190</v>
          </cell>
          <cell r="J876" t="str">
            <v>kas9171@nyp.org</v>
          </cell>
          <cell r="L876" t="str">
            <v>All Other:: Practitioner - Non-Primary Care Provider (PCP)</v>
          </cell>
          <cell r="M876" t="str">
            <v>No</v>
          </cell>
          <cell r="R876" t="str">
            <v>DUNCAN DAVID</v>
          </cell>
          <cell r="W876" t="str">
            <v>DUNCAN DAVID BRIAN MD</v>
          </cell>
          <cell r="X876" t="str">
            <v>MT KISCO MED GRP</v>
          </cell>
          <cell r="Y876" t="str">
            <v>MOUNT KISCO</v>
          </cell>
          <cell r="Z876" t="str">
            <v>NY</v>
          </cell>
          <cell r="AA876" t="str">
            <v>10549-3412</v>
          </cell>
          <cell r="AB876" t="str">
            <v>PHYSICIAN</v>
          </cell>
          <cell r="AC876" t="str">
            <v>M</v>
          </cell>
          <cell r="AD876" t="str">
            <v>No</v>
          </cell>
          <cell r="AE876" t="str">
            <v>MMIS</v>
          </cell>
          <cell r="AF876" t="str">
            <v>nypwestacn</v>
          </cell>
          <cell r="AG876" t="str">
            <v>P</v>
          </cell>
        </row>
        <row r="877">
          <cell r="A877" t="str">
            <v>1346267192</v>
          </cell>
          <cell r="B877" t="str">
            <v>02543768</v>
          </cell>
          <cell r="C877" t="str">
            <v>LUO, WAYNE W-J</v>
          </cell>
          <cell r="D877" t="str">
            <v>E0045768</v>
          </cell>
          <cell r="E877" t="str">
            <v>LUO WAYNE</v>
          </cell>
          <cell r="G877" t="str">
            <v>Kathryn Spaziani</v>
          </cell>
          <cell r="H877" t="str">
            <v>(212) 305-1190</v>
          </cell>
          <cell r="J877" t="str">
            <v>kas9171@nyp.org</v>
          </cell>
          <cell r="L877" t="str">
            <v>All Other:: Practitioner - Non-Primary Care Provider (PCP)</v>
          </cell>
          <cell r="M877" t="str">
            <v>No</v>
          </cell>
          <cell r="R877" t="str">
            <v>LUO WAYNE MR.</v>
          </cell>
          <cell r="W877" t="str">
            <v>LUO WAYNE</v>
          </cell>
          <cell r="X877" t="str">
            <v>LUO WAYNE</v>
          </cell>
          <cell r="Y877" t="str">
            <v>NEW YORK</v>
          </cell>
          <cell r="Z877" t="str">
            <v>NY</v>
          </cell>
          <cell r="AA877" t="str">
            <v>10021-4153</v>
          </cell>
          <cell r="AB877" t="str">
            <v>PHYSICIAN</v>
          </cell>
          <cell r="AC877" t="str">
            <v>M</v>
          </cell>
          <cell r="AD877" t="str">
            <v>No</v>
          </cell>
          <cell r="AE877" t="str">
            <v>MMIS</v>
          </cell>
          <cell r="AF877" t="str">
            <v>nypwestcampus</v>
          </cell>
          <cell r="AG877" t="str">
            <v>P</v>
          </cell>
        </row>
        <row r="878">
          <cell r="A878" t="str">
            <v>1346317823</v>
          </cell>
          <cell r="B878" t="str">
            <v>02826391</v>
          </cell>
          <cell r="C878" t="str">
            <v>Herzog, Ronit</v>
          </cell>
          <cell r="D878" t="str">
            <v>E0017556</v>
          </cell>
          <cell r="E878" t="str">
            <v>HERZOG RONIT MD</v>
          </cell>
          <cell r="G878" t="str">
            <v>Kathryn Spaziani</v>
          </cell>
          <cell r="H878" t="str">
            <v>(212) 305-1190</v>
          </cell>
          <cell r="J878" t="str">
            <v>kas9171@nyp.org</v>
          </cell>
          <cell r="L878" t="str">
            <v>All Other:: Practitioner - Non-Primary Care Provider (PCP)</v>
          </cell>
          <cell r="M878" t="str">
            <v>No</v>
          </cell>
          <cell r="R878" t="str">
            <v>HERZOG RONIT MS.</v>
          </cell>
          <cell r="W878" t="str">
            <v>HERZOG RONIT MD</v>
          </cell>
          <cell r="X878" t="str">
            <v>525 E 68TH ST</v>
          </cell>
          <cell r="Y878" t="str">
            <v>NEW YORK</v>
          </cell>
          <cell r="Z878" t="str">
            <v>NY</v>
          </cell>
          <cell r="AA878" t="str">
            <v>10065-4870</v>
          </cell>
          <cell r="AB878" t="str">
            <v>PHYSICIAN</v>
          </cell>
          <cell r="AC878" t="str">
            <v>M</v>
          </cell>
          <cell r="AD878" t="str">
            <v>No</v>
          </cell>
          <cell r="AE878" t="str">
            <v>MMIS</v>
          </cell>
          <cell r="AF878" t="str">
            <v>nypwestacn</v>
          </cell>
          <cell r="AG878" t="str">
            <v>P</v>
          </cell>
        </row>
        <row r="879">
          <cell r="A879" t="str">
            <v>1861594582</v>
          </cell>
          <cell r="B879" t="str">
            <v>00753815</v>
          </cell>
          <cell r="C879" t="str">
            <v>TREIBER, RUTH K</v>
          </cell>
          <cell r="D879" t="str">
            <v>E0224333</v>
          </cell>
          <cell r="E879" t="str">
            <v>TREIBER RUTH KAPLAN</v>
          </cell>
          <cell r="G879" t="str">
            <v>Kathryn Spaziani</v>
          </cell>
          <cell r="H879" t="str">
            <v>(212) 305-1190</v>
          </cell>
          <cell r="J879" t="str">
            <v>kas9171@nyp.org</v>
          </cell>
          <cell r="L879" t="str">
            <v>Practitioner - Non-Primary Care Provider (PCP)</v>
          </cell>
          <cell r="M879" t="str">
            <v>No</v>
          </cell>
          <cell r="R879" t="str">
            <v>TREIBER RUTH</v>
          </cell>
          <cell r="W879" t="str">
            <v>TREIBER RUTH KAPLAN</v>
          </cell>
          <cell r="X879" t="str">
            <v>167 PURCHASE ST</v>
          </cell>
          <cell r="Y879" t="str">
            <v>RYE</v>
          </cell>
          <cell r="Z879" t="str">
            <v>NY</v>
          </cell>
          <cell r="AA879" t="str">
            <v>10580-2171</v>
          </cell>
          <cell r="AB879" t="str">
            <v>PHYSICIAN</v>
          </cell>
          <cell r="AC879" t="str">
            <v>M</v>
          </cell>
          <cell r="AD879" t="str">
            <v>No</v>
          </cell>
          <cell r="AE879" t="str">
            <v>MMIS</v>
          </cell>
          <cell r="AF879" t="str">
            <v>nypwestcampus</v>
          </cell>
          <cell r="AG879" t="str">
            <v>P</v>
          </cell>
        </row>
        <row r="880">
          <cell r="A880" t="str">
            <v>1366515553</v>
          </cell>
          <cell r="B880" t="str">
            <v>02721300</v>
          </cell>
          <cell r="C880" t="str">
            <v>CUNNINGHAM, JENNIFER A</v>
          </cell>
          <cell r="D880" t="str">
            <v>E0028055</v>
          </cell>
          <cell r="E880" t="str">
            <v>CUNNINGHAM JENNIFER A MD</v>
          </cell>
          <cell r="G880" t="str">
            <v>Kathryn Spaziani</v>
          </cell>
          <cell r="H880" t="str">
            <v>(212) 305-1190</v>
          </cell>
          <cell r="J880" t="str">
            <v>kas9171@nyp.org</v>
          </cell>
          <cell r="L880" t="str">
            <v>Practitioner - Non-Primary Care Provider (PCP)</v>
          </cell>
          <cell r="M880" t="str">
            <v>No</v>
          </cell>
          <cell r="R880" t="str">
            <v>CUNNINGHAM JENNIFER DR.</v>
          </cell>
          <cell r="W880" t="str">
            <v>CUNNINGHAM JENNIFER A MD</v>
          </cell>
          <cell r="X880" t="str">
            <v>622 W 168TH ST</v>
          </cell>
          <cell r="Y880" t="str">
            <v>NEW YORK</v>
          </cell>
          <cell r="Z880" t="str">
            <v>NY</v>
          </cell>
          <cell r="AA880" t="str">
            <v>10032-3720</v>
          </cell>
          <cell r="AB880" t="str">
            <v>PHYSICIAN</v>
          </cell>
          <cell r="AC880" t="str">
            <v>M</v>
          </cell>
          <cell r="AD880" t="str">
            <v>No</v>
          </cell>
          <cell r="AE880" t="str">
            <v>MMIS</v>
          </cell>
          <cell r="AF880" t="str">
            <v>nypwestacn</v>
          </cell>
          <cell r="AG880" t="str">
            <v>P</v>
          </cell>
        </row>
        <row r="881">
          <cell r="A881" t="str">
            <v>1528059805</v>
          </cell>
          <cell r="B881" t="str">
            <v>02996041</v>
          </cell>
          <cell r="C881" t="str">
            <v>Visiting Nurse Service of New York Home Care</v>
          </cell>
          <cell r="D881" t="str">
            <v>E0004967</v>
          </cell>
          <cell r="E881" t="str">
            <v>VNSNY COMMUNITY HEALTH SERVICES</v>
          </cell>
          <cell r="G881" t="str">
            <v>Sarah Larson</v>
          </cell>
          <cell r="H881" t="str">
            <v>(212) 609-7593</v>
          </cell>
          <cell r="J881" t="str">
            <v>sarah.larson@vnsny.org</v>
          </cell>
          <cell r="L881" t="str">
            <v>All Other:: Case Management / Health Home:: Hospice:: Mental Health</v>
          </cell>
          <cell r="M881" t="str">
            <v>Yes</v>
          </cell>
          <cell r="R881" t="str">
            <v>VISITING NURSE SERVICE OF NEW YORK HOME CARE II</v>
          </cell>
          <cell r="W881" t="str">
            <v>VISITING NURSE SERVICE/NY HM CARE</v>
          </cell>
          <cell r="X881" t="str">
            <v>489 E 153RD ST # 493</v>
          </cell>
          <cell r="Y881" t="str">
            <v>BRONX</v>
          </cell>
          <cell r="Z881" t="str">
            <v>NY</v>
          </cell>
          <cell r="AA881" t="str">
            <v>10455-1307</v>
          </cell>
          <cell r="AB881" t="str">
            <v>MULTI-TYPE</v>
          </cell>
          <cell r="AC881" t="str">
            <v>M</v>
          </cell>
          <cell r="AD881" t="str">
            <v>No</v>
          </cell>
          <cell r="AE881" t="str">
            <v>MMIS</v>
          </cell>
          <cell r="AF881" t="str">
            <v>nypwestacn</v>
          </cell>
          <cell r="AG881" t="str">
            <v>P</v>
          </cell>
        </row>
        <row r="882">
          <cell r="A882" t="str">
            <v>1144396268</v>
          </cell>
          <cell r="B882" t="str">
            <v>01864180</v>
          </cell>
          <cell r="C882" t="str">
            <v>GHARAVI, ALI G</v>
          </cell>
          <cell r="D882" t="str">
            <v>E0113624</v>
          </cell>
          <cell r="E882" t="str">
            <v>GHARAVI ALI</v>
          </cell>
          <cell r="G882" t="str">
            <v>Kathryn Spaziani</v>
          </cell>
          <cell r="H882" t="str">
            <v>(212) 305-1190</v>
          </cell>
          <cell r="J882" t="str">
            <v>kas9171@nyp.org</v>
          </cell>
          <cell r="L882" t="str">
            <v>Practitioner - Non-Primary Care Provider (PCP)</v>
          </cell>
          <cell r="M882" t="str">
            <v>No</v>
          </cell>
          <cell r="R882" t="str">
            <v>GHARAVI ALI DR.</v>
          </cell>
          <cell r="W882" t="str">
            <v>GHARAVI ALI</v>
          </cell>
          <cell r="Y882" t="str">
            <v>NEW YORK</v>
          </cell>
          <cell r="Z882" t="str">
            <v>NY</v>
          </cell>
          <cell r="AA882" t="str">
            <v>10029-6500</v>
          </cell>
          <cell r="AB882" t="str">
            <v>PHYSICIAN</v>
          </cell>
          <cell r="AC882" t="str">
            <v>M</v>
          </cell>
          <cell r="AD882" t="str">
            <v>No</v>
          </cell>
          <cell r="AE882" t="str">
            <v>MMIS</v>
          </cell>
          <cell r="AF882" t="str">
            <v>nypwestacn</v>
          </cell>
          <cell r="AG882" t="str">
            <v>P</v>
          </cell>
        </row>
        <row r="883">
          <cell r="A883" t="str">
            <v>1972541365</v>
          </cell>
          <cell r="B883" t="str">
            <v>02559557</v>
          </cell>
          <cell r="C883" t="str">
            <v>TRUSTEES OF COLUMBIA UNIVERSITY</v>
          </cell>
          <cell r="D883" t="str">
            <v>E0044197</v>
          </cell>
          <cell r="E883" t="str">
            <v>TRUSTEES OF COLUMBIA</v>
          </cell>
          <cell r="L883" t="str">
            <v>All Other:: Mental Health</v>
          </cell>
          <cell r="M883" t="str">
            <v>No</v>
          </cell>
          <cell r="R883" t="str">
            <v>TRUSTEES OF COLUMBIA UNIVERSITY</v>
          </cell>
          <cell r="W883" t="str">
            <v>TRUSTEES OF COLUMBIA</v>
          </cell>
          <cell r="X883" t="str">
            <v>177 FORT WASHINGTON AVE</v>
          </cell>
          <cell r="Y883" t="str">
            <v>NEW YORK</v>
          </cell>
          <cell r="Z883" t="str">
            <v>NY</v>
          </cell>
          <cell r="AA883" t="str">
            <v>10032-3733</v>
          </cell>
          <cell r="AB883" t="str">
            <v>PHYSICIANS GROUP</v>
          </cell>
          <cell r="AC883" t="str">
            <v>M</v>
          </cell>
          <cell r="AD883" t="str">
            <v>No</v>
          </cell>
          <cell r="AE883" t="str">
            <v>MMIS</v>
          </cell>
          <cell r="AF883" t="str">
            <v>nypwestacn</v>
          </cell>
          <cell r="AG883" t="str">
            <v>P</v>
          </cell>
        </row>
        <row r="884">
          <cell r="B884" t="str">
            <v>01161875</v>
          </cell>
          <cell r="C884" t="str">
            <v>CORNELL UNIVERSITY MEDICAL CO</v>
          </cell>
          <cell r="D884" t="str">
            <v>E0183698</v>
          </cell>
          <cell r="E884" t="str">
            <v>CORNELL UNIVERSITY MEDICAL CO</v>
          </cell>
          <cell r="L884" t="str">
            <v>All Other</v>
          </cell>
          <cell r="M884" t="str">
            <v>No</v>
          </cell>
          <cell r="W884" t="str">
            <v>CORNELL UNIVERSITY MEDICAL CO</v>
          </cell>
          <cell r="X884" t="str">
            <v>NY HOSP CORNELL MED</v>
          </cell>
          <cell r="Y884" t="str">
            <v>NEW YORK</v>
          </cell>
          <cell r="Z884" t="str">
            <v>NY</v>
          </cell>
          <cell r="AA884" t="str">
            <v>10021</v>
          </cell>
          <cell r="AB884" t="str">
            <v>PHYSICIANS GROUP</v>
          </cell>
          <cell r="AC884" t="str">
            <v>M</v>
          </cell>
          <cell r="AD884" t="str">
            <v>No</v>
          </cell>
          <cell r="AE884" t="str">
            <v>MMIS</v>
          </cell>
          <cell r="AF884" t="str">
            <v>nypwestacn</v>
          </cell>
          <cell r="AG884" t="str">
            <v>P</v>
          </cell>
        </row>
        <row r="885">
          <cell r="A885" t="str">
            <v>1699862797</v>
          </cell>
          <cell r="B885" t="str">
            <v>02395384</v>
          </cell>
          <cell r="C885" t="str">
            <v>CHIN, RUSSELL L</v>
          </cell>
          <cell r="D885" t="str">
            <v>E0060589</v>
          </cell>
          <cell r="E885" t="str">
            <v>CHIN RUSSELL L MD</v>
          </cell>
          <cell r="G885" t="str">
            <v>Kathryn Spaziani</v>
          </cell>
          <cell r="H885" t="str">
            <v>(212) 305-1190</v>
          </cell>
          <cell r="J885" t="str">
            <v>kas9171@nyp.org</v>
          </cell>
          <cell r="L885" t="str">
            <v>All Other:: Practitioner - Non-Primary Care Provider (PCP)</v>
          </cell>
          <cell r="M885" t="str">
            <v>No</v>
          </cell>
          <cell r="R885" t="str">
            <v>CHIN RUSSELL DR.</v>
          </cell>
          <cell r="W885" t="str">
            <v>CHIN RUSSELL L MD</v>
          </cell>
          <cell r="X885" t="str">
            <v>WEILL MED STARRR 607</v>
          </cell>
          <cell r="Y885" t="str">
            <v>NEW YORK</v>
          </cell>
          <cell r="Z885" t="str">
            <v>NY</v>
          </cell>
          <cell r="AA885" t="str">
            <v>10021-9800</v>
          </cell>
          <cell r="AB885" t="str">
            <v>PHYSICIAN</v>
          </cell>
          <cell r="AC885" t="str">
            <v>M</v>
          </cell>
          <cell r="AD885" t="str">
            <v>No</v>
          </cell>
          <cell r="AE885" t="str">
            <v>MMIS</v>
          </cell>
          <cell r="AF885" t="str">
            <v>nypeastacn</v>
          </cell>
          <cell r="AG885" t="str">
            <v>P</v>
          </cell>
        </row>
        <row r="886">
          <cell r="A886" t="str">
            <v>1700968070</v>
          </cell>
          <cell r="B886" t="str">
            <v>01883729</v>
          </cell>
          <cell r="C886" t="str">
            <v xml:space="preserve">MILANI, HALEH </v>
          </cell>
          <cell r="D886" t="str">
            <v>E0111672</v>
          </cell>
          <cell r="E886" t="str">
            <v>MILANI HALEH MD</v>
          </cell>
          <cell r="G886" t="str">
            <v>Kathryn Spaziani</v>
          </cell>
          <cell r="H886" t="str">
            <v>(212) 305-1190</v>
          </cell>
          <cell r="J886" t="str">
            <v>kas9171@nyp.org</v>
          </cell>
          <cell r="L886" t="str">
            <v>All Other:: Practitioner - Primary Care Provider (PCP)</v>
          </cell>
          <cell r="M886" t="str">
            <v>Yes</v>
          </cell>
          <cell r="R886" t="str">
            <v>MILANI HALEH DR.</v>
          </cell>
          <cell r="W886" t="str">
            <v>MILANI HALEH MD</v>
          </cell>
          <cell r="X886" t="str">
            <v>622 W 168TH ST # 4</v>
          </cell>
          <cell r="Y886" t="str">
            <v>NEW YORK</v>
          </cell>
          <cell r="Z886" t="str">
            <v>NY</v>
          </cell>
          <cell r="AA886" t="str">
            <v>10032-3720</v>
          </cell>
          <cell r="AB886" t="str">
            <v>PHYSICIAN</v>
          </cell>
          <cell r="AC886" t="str">
            <v>M</v>
          </cell>
          <cell r="AD886" t="str">
            <v>No</v>
          </cell>
          <cell r="AE886" t="str">
            <v>MMIS</v>
          </cell>
          <cell r="AF886" t="str">
            <v>nypwestcampus</v>
          </cell>
          <cell r="AG886" t="str">
            <v>P</v>
          </cell>
        </row>
        <row r="887">
          <cell r="A887" t="str">
            <v>1912014945</v>
          </cell>
          <cell r="B887" t="str">
            <v>02243621</v>
          </cell>
          <cell r="C887" t="str">
            <v>Yeung, Tsz-Yin</v>
          </cell>
          <cell r="D887" t="str">
            <v>E0075732</v>
          </cell>
          <cell r="E887" t="str">
            <v>YEUNG TSZ-YIN MD</v>
          </cell>
          <cell r="G887" t="str">
            <v>Betty Cheng</v>
          </cell>
          <cell r="H887" t="str">
            <v>(212) 379-6988</v>
          </cell>
          <cell r="I887">
            <v>2604</v>
          </cell>
          <cell r="J887" t="str">
            <v>bcheng@cbwchc.org</v>
          </cell>
          <cell r="L887" t="str">
            <v>All Other:: Practitioner - Primary Care Provider (PCP)</v>
          </cell>
          <cell r="M887" t="str">
            <v>Yes</v>
          </cell>
          <cell r="R887" t="str">
            <v>YEUNG TSZ-YIN</v>
          </cell>
          <cell r="W887" t="str">
            <v>YEUNG TSZ-YIN MD</v>
          </cell>
          <cell r="X887" t="str">
            <v>ST MARYS HOSP BRKLYN</v>
          </cell>
          <cell r="Y887" t="str">
            <v>BROOKLYN</v>
          </cell>
          <cell r="Z887" t="str">
            <v>NY</v>
          </cell>
          <cell r="AA887" t="str">
            <v>11213-2421</v>
          </cell>
          <cell r="AB887" t="str">
            <v>PHYSICIAN</v>
          </cell>
          <cell r="AC887" t="str">
            <v>M</v>
          </cell>
          <cell r="AD887" t="str">
            <v>No</v>
          </cell>
          <cell r="AE887" t="str">
            <v>MMIS</v>
          </cell>
          <cell r="AF887" t="str">
            <v>cbwchc</v>
          </cell>
          <cell r="AG887" t="str">
            <v>P</v>
          </cell>
        </row>
        <row r="888">
          <cell r="A888" t="str">
            <v>1073780763</v>
          </cell>
          <cell r="B888" t="str">
            <v>03674224</v>
          </cell>
          <cell r="C888" t="str">
            <v>Young, Chainllie</v>
          </cell>
          <cell r="D888" t="str">
            <v>E0357892</v>
          </cell>
          <cell r="E888" t="str">
            <v>YOUNG CHAINLLIE</v>
          </cell>
          <cell r="G888" t="str">
            <v>Betty Cheng</v>
          </cell>
          <cell r="H888" t="str">
            <v>(212) 379-6988</v>
          </cell>
          <cell r="I888">
            <v>2604</v>
          </cell>
          <cell r="J888" t="str">
            <v>bcheng@cbwchc.org</v>
          </cell>
          <cell r="L888" t="str">
            <v>All Other:: Mental Health:: Practitioner - Non-Primary Care Provider (PCP)</v>
          </cell>
          <cell r="M888" t="str">
            <v>No</v>
          </cell>
          <cell r="R888" t="str">
            <v>YOUNG CHAINLLIE</v>
          </cell>
          <cell r="W888" t="str">
            <v>YOUNG CHAINLLIE</v>
          </cell>
          <cell r="X888" t="str">
            <v>21 BLOOMINGDALE RD</v>
          </cell>
          <cell r="Y888" t="str">
            <v>WHITE PLAINS</v>
          </cell>
          <cell r="Z888" t="str">
            <v>NY</v>
          </cell>
          <cell r="AA888" t="str">
            <v>10605-1504</v>
          </cell>
          <cell r="AB888" t="str">
            <v>PHYSICIAN</v>
          </cell>
          <cell r="AC888" t="str">
            <v>M</v>
          </cell>
          <cell r="AD888" t="str">
            <v>No</v>
          </cell>
          <cell r="AE888" t="str">
            <v>MMIS</v>
          </cell>
          <cell r="AF888" t="str">
            <v>cbwchc</v>
          </cell>
          <cell r="AG888" t="str">
            <v>P</v>
          </cell>
        </row>
        <row r="889">
          <cell r="A889" t="str">
            <v>1912060708</v>
          </cell>
          <cell r="B889" t="str">
            <v>02819794</v>
          </cell>
          <cell r="C889" t="str">
            <v>RAVITS, MARGARET S</v>
          </cell>
          <cell r="D889" t="str">
            <v>E0018216</v>
          </cell>
          <cell r="E889" t="str">
            <v>RAVITS MARGARET</v>
          </cell>
          <cell r="G889" t="str">
            <v>Kathryn Spaziani</v>
          </cell>
          <cell r="H889" t="str">
            <v>(212) 305-1190</v>
          </cell>
          <cell r="J889" t="str">
            <v>kas9171@nyp.org</v>
          </cell>
          <cell r="L889" t="str">
            <v>Practitioner - Non-Primary Care Provider (PCP)</v>
          </cell>
          <cell r="M889" t="str">
            <v>No</v>
          </cell>
          <cell r="R889" t="str">
            <v>RAVITS MARGARET</v>
          </cell>
          <cell r="W889" t="str">
            <v>RAVITS MARGARET</v>
          </cell>
          <cell r="X889" t="str">
            <v>161 FORT WASHINGTON AVE</v>
          </cell>
          <cell r="Y889" t="str">
            <v>NEW YORK</v>
          </cell>
          <cell r="Z889" t="str">
            <v>NY</v>
          </cell>
          <cell r="AA889" t="str">
            <v>10032-3729</v>
          </cell>
          <cell r="AB889" t="str">
            <v>PHYSICIAN</v>
          </cell>
          <cell r="AC889" t="str">
            <v>M</v>
          </cell>
          <cell r="AD889" t="str">
            <v>No</v>
          </cell>
          <cell r="AE889" t="str">
            <v>MMIS</v>
          </cell>
          <cell r="AF889" t="str">
            <v>nypwestcampus</v>
          </cell>
          <cell r="AG889" t="str">
            <v>P</v>
          </cell>
        </row>
        <row r="890">
          <cell r="A890" t="str">
            <v>1013129816</v>
          </cell>
          <cell r="B890" t="str">
            <v>03102196</v>
          </cell>
          <cell r="C890" t="str">
            <v>BOMBACK, ANDREW S</v>
          </cell>
          <cell r="D890" t="str">
            <v>E0293213</v>
          </cell>
          <cell r="E890" t="str">
            <v>ANDREW STEPHEN BOMBACK</v>
          </cell>
          <cell r="G890" t="str">
            <v>Kathryn Spaziani</v>
          </cell>
          <cell r="H890" t="str">
            <v>(212) 305-1190</v>
          </cell>
          <cell r="J890" t="str">
            <v>kas9171@nyp.org</v>
          </cell>
          <cell r="L890" t="str">
            <v>All Other:: Practitioner - Non-Primary Care Provider (PCP)</v>
          </cell>
          <cell r="M890" t="str">
            <v>No</v>
          </cell>
          <cell r="R890" t="str">
            <v>BOMBACK ANDREW</v>
          </cell>
          <cell r="W890" t="str">
            <v>BOMBACK ANDREW STEPHEN MD</v>
          </cell>
          <cell r="X890" t="str">
            <v>622 W 168TH ST</v>
          </cell>
          <cell r="Y890" t="str">
            <v>NEW YORK</v>
          </cell>
          <cell r="Z890" t="str">
            <v>NY</v>
          </cell>
          <cell r="AA890" t="str">
            <v>10032-3720</v>
          </cell>
          <cell r="AB890" t="str">
            <v>PHYSICIAN</v>
          </cell>
          <cell r="AC890" t="str">
            <v>M</v>
          </cell>
          <cell r="AD890" t="str">
            <v>No</v>
          </cell>
          <cell r="AE890" t="str">
            <v>MMIS</v>
          </cell>
          <cell r="AF890" t="str">
            <v>nypwestacn</v>
          </cell>
          <cell r="AG890" t="str">
            <v>P</v>
          </cell>
        </row>
        <row r="891">
          <cell r="A891" t="str">
            <v>1013165521</v>
          </cell>
          <cell r="B891" t="str">
            <v>00680433</v>
          </cell>
          <cell r="C891" t="str">
            <v>WINCHESTER, ROBERT J</v>
          </cell>
          <cell r="D891" t="str">
            <v>E0231656</v>
          </cell>
          <cell r="E891" t="str">
            <v>WINCHESTER ROBERT JOSEPH   MD</v>
          </cell>
          <cell r="G891" t="str">
            <v>Kathryn Spaziani</v>
          </cell>
          <cell r="H891" t="str">
            <v>(212) 305-1190</v>
          </cell>
          <cell r="J891" t="str">
            <v>kas9171@nyp.org</v>
          </cell>
          <cell r="L891" t="str">
            <v>Practitioner - Non-Primary Care Provider (PCP)</v>
          </cell>
          <cell r="M891" t="str">
            <v>No</v>
          </cell>
          <cell r="R891" t="str">
            <v>WINCHESTER ROBERT</v>
          </cell>
          <cell r="W891" t="str">
            <v>WINCHESTER ROBERT JOSEPH</v>
          </cell>
          <cell r="X891" t="str">
            <v>622 W 168TH ST</v>
          </cell>
          <cell r="Y891" t="str">
            <v>NEW YORK</v>
          </cell>
          <cell r="Z891" t="str">
            <v>NY</v>
          </cell>
          <cell r="AA891" t="str">
            <v>10032-3720</v>
          </cell>
          <cell r="AB891" t="str">
            <v>PHYSICIAN</v>
          </cell>
          <cell r="AC891" t="str">
            <v>M</v>
          </cell>
          <cell r="AD891" t="str">
            <v>No</v>
          </cell>
          <cell r="AE891" t="str">
            <v>MMIS</v>
          </cell>
          <cell r="AF891" t="str">
            <v>nypwestcampus</v>
          </cell>
          <cell r="AG891" t="str">
            <v>P</v>
          </cell>
        </row>
        <row r="892">
          <cell r="A892" t="str">
            <v>1750526927</v>
          </cell>
          <cell r="B892" t="str">
            <v>03090360</v>
          </cell>
          <cell r="C892" t="str">
            <v>KEE, DRISDY G</v>
          </cell>
          <cell r="D892" t="str">
            <v>E0291895</v>
          </cell>
          <cell r="E892" t="str">
            <v>KEE DRISDY GRACE</v>
          </cell>
          <cell r="G892" t="str">
            <v>Kathryn Spaziani</v>
          </cell>
          <cell r="H892" t="str">
            <v>(212) 305-1190</v>
          </cell>
          <cell r="J892" t="str">
            <v>kas9171@nyp.org</v>
          </cell>
          <cell r="L892" t="str">
            <v>Uncategorized</v>
          </cell>
          <cell r="M892" t="str">
            <v>No</v>
          </cell>
          <cell r="R892" t="str">
            <v>KEE DRISDY MS.</v>
          </cell>
          <cell r="W892" t="str">
            <v>KEE DRISDY GRACE</v>
          </cell>
          <cell r="X892" t="str">
            <v>525 E 68TH ST</v>
          </cell>
          <cell r="Y892" t="str">
            <v>NEW YORK</v>
          </cell>
          <cell r="Z892" t="str">
            <v>NY</v>
          </cell>
          <cell r="AA892" t="str">
            <v>10065-4870</v>
          </cell>
          <cell r="AB892" t="str">
            <v>CLINICAL SOCIAL WORKER (CSW)</v>
          </cell>
          <cell r="AC892" t="str">
            <v>M</v>
          </cell>
          <cell r="AD892" t="str">
            <v>No</v>
          </cell>
          <cell r="AE892" t="str">
            <v>MMIS</v>
          </cell>
          <cell r="AF892" t="str">
            <v>nypeastacn</v>
          </cell>
          <cell r="AG892" t="str">
            <v>P</v>
          </cell>
        </row>
        <row r="893">
          <cell r="A893" t="str">
            <v>1215024393</v>
          </cell>
          <cell r="B893" t="str">
            <v>02281001</v>
          </cell>
          <cell r="C893" t="str">
            <v>Ipp, Lisa S.</v>
          </cell>
          <cell r="D893" t="str">
            <v>E0071999</v>
          </cell>
          <cell r="E893" t="str">
            <v>IPP LISA S MD</v>
          </cell>
          <cell r="G893" t="str">
            <v>Kathryn Spaziani</v>
          </cell>
          <cell r="H893" t="str">
            <v>(212) 305-1190</v>
          </cell>
          <cell r="J893" t="str">
            <v>kas9171@nyp.org</v>
          </cell>
          <cell r="L893" t="str">
            <v>All Other:: Practitioner - Primary Care Provider (PCP)</v>
          </cell>
          <cell r="M893" t="str">
            <v>Yes</v>
          </cell>
          <cell r="R893" t="str">
            <v>IPP LISA</v>
          </cell>
          <cell r="W893" t="str">
            <v>IPP LISA S MD</v>
          </cell>
          <cell r="X893" t="str">
            <v>RM HT-550</v>
          </cell>
          <cell r="Y893" t="str">
            <v>NEW YORK</v>
          </cell>
          <cell r="Z893" t="str">
            <v>NY</v>
          </cell>
          <cell r="AA893" t="str">
            <v>10065-6302</v>
          </cell>
          <cell r="AB893" t="str">
            <v>PHYSICIAN</v>
          </cell>
          <cell r="AC893" t="str">
            <v>M</v>
          </cell>
          <cell r="AD893" t="str">
            <v>No</v>
          </cell>
          <cell r="AE893" t="str">
            <v>MMIS</v>
          </cell>
          <cell r="AF893" t="str">
            <v>nypeastacn</v>
          </cell>
          <cell r="AG893" t="str">
            <v>P</v>
          </cell>
        </row>
        <row r="894">
          <cell r="A894" t="str">
            <v>1396775243</v>
          </cell>
          <cell r="B894" t="str">
            <v>02245641</v>
          </cell>
          <cell r="C894" t="str">
            <v>VITALE, MICHAEL G</v>
          </cell>
          <cell r="D894" t="str">
            <v>E0075530</v>
          </cell>
          <cell r="E894" t="str">
            <v>VITALE MICHAEL GUY MD</v>
          </cell>
          <cell r="G894" t="str">
            <v>Kathryn Spaziani</v>
          </cell>
          <cell r="H894" t="str">
            <v>(212) 305-1190</v>
          </cell>
          <cell r="J894" t="str">
            <v>kas9171@nyp.org</v>
          </cell>
          <cell r="L894" t="str">
            <v>All Other:: Practitioner - Non-Primary Care Provider (PCP)</v>
          </cell>
          <cell r="M894" t="str">
            <v>No</v>
          </cell>
          <cell r="R894" t="str">
            <v>VITALE MICHAEL DR.</v>
          </cell>
          <cell r="W894" t="str">
            <v>VITALE MICHAEL GUY MD</v>
          </cell>
          <cell r="X894" t="str">
            <v>NY ORTHO HSP</v>
          </cell>
          <cell r="Y894" t="str">
            <v>NEW YORK</v>
          </cell>
          <cell r="Z894" t="str">
            <v>NY</v>
          </cell>
          <cell r="AA894" t="str">
            <v>10032-1559</v>
          </cell>
          <cell r="AB894" t="str">
            <v>PHYSICIAN</v>
          </cell>
          <cell r="AC894" t="str">
            <v>M</v>
          </cell>
          <cell r="AD894" t="str">
            <v>No</v>
          </cell>
          <cell r="AE894" t="str">
            <v>MMIS</v>
          </cell>
          <cell r="AF894" t="str">
            <v>nypwestcampus</v>
          </cell>
          <cell r="AG894" t="str">
            <v>P</v>
          </cell>
        </row>
        <row r="895">
          <cell r="A895" t="str">
            <v>1467527812</v>
          </cell>
          <cell r="B895" t="str">
            <v>03099992</v>
          </cell>
          <cell r="C895" t="str">
            <v>PAYNE-MARSKY, PATRICIA M</v>
          </cell>
          <cell r="D895" t="str">
            <v>E0293033</v>
          </cell>
          <cell r="E895" t="str">
            <v>PAYNE MARSKY PATRICIA</v>
          </cell>
          <cell r="G895" t="str">
            <v>Kathryn Spaziani</v>
          </cell>
          <cell r="H895" t="str">
            <v>(212) 305-1190</v>
          </cell>
          <cell r="J895" t="str">
            <v>kas9171@nyp.org</v>
          </cell>
          <cell r="L895" t="str">
            <v>Practitioner - Non-Primary Care Provider (PCP)</v>
          </cell>
          <cell r="M895" t="str">
            <v>No</v>
          </cell>
          <cell r="R895" t="str">
            <v>PAYNE-MARSKY PATRICIA MRS.</v>
          </cell>
          <cell r="W895" t="str">
            <v>PAYNE MARSKY PATRICIA</v>
          </cell>
          <cell r="X895" t="str">
            <v>3959 BROADWAY FL 6</v>
          </cell>
          <cell r="Y895" t="str">
            <v>NEW YORK</v>
          </cell>
          <cell r="Z895" t="str">
            <v>NY</v>
          </cell>
          <cell r="AA895" t="str">
            <v>10032-1559</v>
          </cell>
          <cell r="AB895" t="str">
            <v>CLINICAL SOCIAL WORKER (CSW)</v>
          </cell>
          <cell r="AC895" t="str">
            <v>M</v>
          </cell>
          <cell r="AD895" t="str">
            <v>No</v>
          </cell>
          <cell r="AE895" t="str">
            <v>MMIS</v>
          </cell>
          <cell r="AF895" t="str">
            <v>nypwestacn</v>
          </cell>
          <cell r="AG895" t="str">
            <v>P</v>
          </cell>
        </row>
        <row r="896">
          <cell r="A896" t="str">
            <v>1528210903</v>
          </cell>
          <cell r="C896" t="str">
            <v>Sullivan Brian</v>
          </cell>
          <cell r="G896" t="str">
            <v>Kathryn Spaziani</v>
          </cell>
          <cell r="H896" t="str">
            <v>(212) 305-1255</v>
          </cell>
          <cell r="J896" t="str">
            <v>kas9171@nyp.org</v>
          </cell>
          <cell r="K896" t="str">
            <v>Physician</v>
          </cell>
          <cell r="L896" t="str">
            <v>Uncategorized</v>
          </cell>
          <cell r="M896" t="str">
            <v>No</v>
          </cell>
          <cell r="R896" t="str">
            <v>SULLIVAN BRIAN</v>
          </cell>
          <cell r="S896" t="str">
            <v>525 E 68TH ST, STARR PAVILLION ROOM 630</v>
          </cell>
          <cell r="T896" t="str">
            <v>NEW YORK</v>
          </cell>
          <cell r="U896" t="str">
            <v>NY</v>
          </cell>
          <cell r="V896" t="str">
            <v>100654870</v>
          </cell>
          <cell r="AC896" t="str">
            <v>M</v>
          </cell>
          <cell r="AD896" t="str">
            <v>No</v>
          </cell>
          <cell r="AE896" t="str">
            <v>NPI only</v>
          </cell>
          <cell r="AF896" t="str">
            <v>nypeastcampus</v>
          </cell>
          <cell r="AG896" t="str">
            <v>P</v>
          </cell>
        </row>
        <row r="897">
          <cell r="A897" t="str">
            <v>1033205190</v>
          </cell>
          <cell r="B897" t="str">
            <v>01854026</v>
          </cell>
          <cell r="C897" t="str">
            <v>CHANG, NANCY M</v>
          </cell>
          <cell r="D897" t="str">
            <v>E0114638</v>
          </cell>
          <cell r="E897" t="str">
            <v>CHANG NANCY M</v>
          </cell>
          <cell r="G897" t="str">
            <v>Kathryn Spaziani</v>
          </cell>
          <cell r="H897" t="str">
            <v>(212) 305-1190</v>
          </cell>
          <cell r="J897" t="str">
            <v>kas9171@nyp.org</v>
          </cell>
          <cell r="L897" t="str">
            <v>All Other:: Practitioner - Primary Care Provider (PCP)</v>
          </cell>
          <cell r="M897" t="str">
            <v>Yes</v>
          </cell>
          <cell r="R897" t="str">
            <v>CHANG NANCY DR.</v>
          </cell>
          <cell r="W897" t="str">
            <v>CHANG NANCY M</v>
          </cell>
          <cell r="X897" t="str">
            <v>622 W 168TH ST</v>
          </cell>
          <cell r="Y897" t="str">
            <v>NEW YORK</v>
          </cell>
          <cell r="Z897" t="str">
            <v>NY</v>
          </cell>
          <cell r="AA897" t="str">
            <v>10032-3720</v>
          </cell>
          <cell r="AB897" t="str">
            <v>PHYSICIAN</v>
          </cell>
          <cell r="AC897" t="str">
            <v>M</v>
          </cell>
          <cell r="AD897" t="str">
            <v>No</v>
          </cell>
          <cell r="AE897" t="str">
            <v>MMIS</v>
          </cell>
          <cell r="AF897" t="str">
            <v>nypwestacn</v>
          </cell>
          <cell r="AG897" t="str">
            <v>P</v>
          </cell>
        </row>
        <row r="898">
          <cell r="A898" t="str">
            <v>1891956645</v>
          </cell>
          <cell r="C898" t="str">
            <v>COLUMBIA UNIVERSITY</v>
          </cell>
          <cell r="K898" t="str">
            <v>All Other</v>
          </cell>
          <cell r="L898" t="str">
            <v>Uncategorized</v>
          </cell>
          <cell r="M898" t="str">
            <v>No</v>
          </cell>
          <cell r="R898" t="str">
            <v>COLUMBIA UNIVERSITY</v>
          </cell>
          <cell r="S898" t="str">
            <v>622 W 168TH ST</v>
          </cell>
          <cell r="T898" t="str">
            <v>NEW YORK</v>
          </cell>
          <cell r="U898" t="str">
            <v>NY</v>
          </cell>
          <cell r="V898" t="str">
            <v>100323720</v>
          </cell>
          <cell r="AC898" t="str">
            <v>M</v>
          </cell>
          <cell r="AD898" t="str">
            <v>No</v>
          </cell>
          <cell r="AE898" t="str">
            <v>NPI only</v>
          </cell>
          <cell r="AF898" t="str">
            <v>nypeastacn</v>
          </cell>
          <cell r="AG898" t="str">
            <v>P</v>
          </cell>
        </row>
        <row r="899">
          <cell r="A899" t="str">
            <v>1265758726</v>
          </cell>
          <cell r="B899" t="str">
            <v>03923993</v>
          </cell>
          <cell r="C899" t="str">
            <v>YUGRAKH, MARIANNA S</v>
          </cell>
          <cell r="D899" t="str">
            <v>E0383567</v>
          </cell>
          <cell r="E899" t="str">
            <v>YUGRAKH MARIANNA</v>
          </cell>
          <cell r="G899" t="str">
            <v>Kathryn Spaziani</v>
          </cell>
          <cell r="H899" t="str">
            <v>(212) 305-1190</v>
          </cell>
          <cell r="J899" t="str">
            <v>kas9171@nyp.org</v>
          </cell>
          <cell r="L899" t="str">
            <v>Practitioner - Non-Primary Care Provider (PCP)</v>
          </cell>
          <cell r="M899" t="str">
            <v>No</v>
          </cell>
          <cell r="R899" t="str">
            <v>YUGRAKH MARIANNA DR.</v>
          </cell>
          <cell r="W899" t="str">
            <v>YUGRAKH MARIANNA SHNAYDERMAN</v>
          </cell>
          <cell r="X899" t="str">
            <v>710 W 168TH ST</v>
          </cell>
          <cell r="Y899" t="str">
            <v>NEW YORK</v>
          </cell>
          <cell r="Z899" t="str">
            <v>NY</v>
          </cell>
          <cell r="AA899" t="str">
            <v>10032-3726</v>
          </cell>
          <cell r="AB899" t="str">
            <v>PHYSICIAN</v>
          </cell>
          <cell r="AC899" t="str">
            <v>M</v>
          </cell>
          <cell r="AD899" t="str">
            <v>No</v>
          </cell>
          <cell r="AE899" t="str">
            <v>MMIS</v>
          </cell>
          <cell r="AF899" t="str">
            <v>nypwestcampus</v>
          </cell>
          <cell r="AG899" t="str">
            <v>P</v>
          </cell>
        </row>
        <row r="900">
          <cell r="A900" t="str">
            <v>1275534067</v>
          </cell>
          <cell r="B900" t="str">
            <v>01644251</v>
          </cell>
          <cell r="C900" t="str">
            <v xml:space="preserve">REICHEL, MARTIN </v>
          </cell>
          <cell r="D900" t="str">
            <v>E0135589</v>
          </cell>
          <cell r="E900" t="str">
            <v>REICHEL MARTIN MD</v>
          </cell>
          <cell r="G900" t="str">
            <v>Kathryn Spaziani</v>
          </cell>
          <cell r="H900" t="str">
            <v>(212) 305-1190</v>
          </cell>
          <cell r="J900" t="str">
            <v>kas9171@nyp.org</v>
          </cell>
          <cell r="L900" t="str">
            <v>All Other:: Practitioner - Non-Primary Care Provider (PCP)</v>
          </cell>
          <cell r="M900" t="str">
            <v>No</v>
          </cell>
          <cell r="R900" t="str">
            <v>REICHEL MARTIN</v>
          </cell>
          <cell r="W900" t="str">
            <v>REICHEL MARTIN MD</v>
          </cell>
          <cell r="X900" t="str">
            <v>APT 750</v>
          </cell>
          <cell r="Y900" t="str">
            <v>NEW YORK</v>
          </cell>
          <cell r="Z900" t="str">
            <v>NY</v>
          </cell>
          <cell r="AA900" t="str">
            <v>10032-3729</v>
          </cell>
          <cell r="AB900" t="str">
            <v>PHYSICIAN</v>
          </cell>
          <cell r="AC900" t="str">
            <v>M</v>
          </cell>
          <cell r="AD900" t="str">
            <v>No</v>
          </cell>
          <cell r="AE900" t="str">
            <v>MMIS</v>
          </cell>
          <cell r="AF900" t="str">
            <v>nypwestcampus</v>
          </cell>
          <cell r="AG900" t="str">
            <v>P</v>
          </cell>
        </row>
        <row r="901">
          <cell r="A901" t="str">
            <v>1124115217</v>
          </cell>
          <cell r="B901" t="str">
            <v>00187513</v>
          </cell>
          <cell r="C901" t="str">
            <v>Giardina, Patricia J</v>
          </cell>
          <cell r="D901" t="str">
            <v>E0276813</v>
          </cell>
          <cell r="E901" t="str">
            <v>GIARDINA PATRICIA          MD</v>
          </cell>
          <cell r="G901" t="str">
            <v>Kathryn Spaziani</v>
          </cell>
          <cell r="H901" t="str">
            <v>(212) 305-1190</v>
          </cell>
          <cell r="J901" t="str">
            <v>kas9171@nyp.org</v>
          </cell>
          <cell r="L901" t="str">
            <v>Practitioner - Non-Primary Care Provider (PCP)</v>
          </cell>
          <cell r="M901" t="str">
            <v>No</v>
          </cell>
          <cell r="R901" t="str">
            <v>GIARDINA PATRICIA</v>
          </cell>
          <cell r="W901" t="str">
            <v>GIARDINA PATRICIA          MD</v>
          </cell>
          <cell r="X901" t="str">
            <v>525 E 68TH ST</v>
          </cell>
          <cell r="Y901" t="str">
            <v>NEW YORK</v>
          </cell>
          <cell r="Z901" t="str">
            <v>NY</v>
          </cell>
          <cell r="AA901" t="str">
            <v>10065-4870</v>
          </cell>
          <cell r="AB901" t="str">
            <v>PHYSICIAN</v>
          </cell>
          <cell r="AC901" t="str">
            <v>M</v>
          </cell>
          <cell r="AD901" t="str">
            <v>No</v>
          </cell>
          <cell r="AE901" t="str">
            <v>MMIS</v>
          </cell>
          <cell r="AF901" t="str">
            <v>nypwestacn</v>
          </cell>
          <cell r="AG901" t="str">
            <v>P</v>
          </cell>
        </row>
        <row r="902">
          <cell r="A902" t="str">
            <v>1790710184</v>
          </cell>
          <cell r="B902" t="str">
            <v>01754934</v>
          </cell>
          <cell r="C902" t="str">
            <v>BRISTOW, ROBERT B</v>
          </cell>
          <cell r="D902" t="str">
            <v>E0124534</v>
          </cell>
          <cell r="E902" t="str">
            <v>BRISTOW ROBERT BLAKELY MD</v>
          </cell>
          <cell r="G902" t="str">
            <v>Kathryn Spaziani</v>
          </cell>
          <cell r="H902" t="str">
            <v>(212) 305-1190</v>
          </cell>
          <cell r="J902" t="str">
            <v>kas9171@nyp.org</v>
          </cell>
          <cell r="L902" t="str">
            <v>Practitioner - Non-Primary Care Provider (PCP)</v>
          </cell>
          <cell r="M902" t="str">
            <v>No</v>
          </cell>
          <cell r="R902" t="str">
            <v>BRISTOW ROBERT</v>
          </cell>
          <cell r="W902" t="str">
            <v>BRISTOW ROBERT BLAKELY MD</v>
          </cell>
          <cell r="X902" t="str">
            <v>PH 1-137</v>
          </cell>
          <cell r="Y902" t="str">
            <v>NEW YORK</v>
          </cell>
          <cell r="Z902" t="str">
            <v>NY</v>
          </cell>
          <cell r="AA902" t="str">
            <v>10032-3720</v>
          </cell>
          <cell r="AB902" t="str">
            <v>PHYSICIAN</v>
          </cell>
          <cell r="AC902" t="str">
            <v>M</v>
          </cell>
          <cell r="AD902" t="str">
            <v>No</v>
          </cell>
          <cell r="AE902" t="str">
            <v>MMIS</v>
          </cell>
          <cell r="AF902" t="str">
            <v>nypwestacn</v>
          </cell>
          <cell r="AG902" t="str">
            <v>P</v>
          </cell>
        </row>
        <row r="903">
          <cell r="A903" t="str">
            <v>1790769487</v>
          </cell>
          <cell r="B903" t="str">
            <v>01800848</v>
          </cell>
          <cell r="C903" t="str">
            <v>PAVELL, JEFF R</v>
          </cell>
          <cell r="D903" t="str">
            <v>E0119950</v>
          </cell>
          <cell r="E903" t="str">
            <v>PAVELL JEFF RICHARD DO</v>
          </cell>
          <cell r="G903" t="str">
            <v>Kathryn Spaziani</v>
          </cell>
          <cell r="H903" t="str">
            <v>(212) 305-1190</v>
          </cell>
          <cell r="J903" t="str">
            <v>kas9171@nyp.org</v>
          </cell>
          <cell r="L903" t="str">
            <v>Practitioner - Non-Primary Care Provider (PCP)</v>
          </cell>
          <cell r="M903" t="str">
            <v>No</v>
          </cell>
          <cell r="R903" t="str">
            <v>PAVELL JEFF DR.</v>
          </cell>
          <cell r="W903" t="str">
            <v>PAVELL JEFF RICHARD DO</v>
          </cell>
          <cell r="X903" t="str">
            <v>365 ROUTE 304 STE 102</v>
          </cell>
          <cell r="Y903" t="str">
            <v>BARDONIA</v>
          </cell>
          <cell r="Z903" t="str">
            <v>NY</v>
          </cell>
          <cell r="AA903" t="str">
            <v>10954-1601</v>
          </cell>
          <cell r="AB903" t="str">
            <v>PHYSICIAN</v>
          </cell>
          <cell r="AC903" t="str">
            <v>M</v>
          </cell>
          <cell r="AD903" t="str">
            <v>No</v>
          </cell>
          <cell r="AE903" t="str">
            <v>MMIS</v>
          </cell>
          <cell r="AF903" t="str">
            <v>nypwestcampus</v>
          </cell>
          <cell r="AG903" t="str">
            <v>P</v>
          </cell>
        </row>
        <row r="904">
          <cell r="A904" t="str">
            <v>1033351689</v>
          </cell>
          <cell r="B904" t="str">
            <v>03586523</v>
          </cell>
          <cell r="C904" t="str">
            <v>JUNG, JESSE J</v>
          </cell>
          <cell r="D904" t="str">
            <v>E0348755</v>
          </cell>
          <cell r="E904" t="str">
            <v>JUNG JESSE J</v>
          </cell>
          <cell r="G904" t="str">
            <v>Kathryn Spaziani</v>
          </cell>
          <cell r="H904" t="str">
            <v>(212) 305-1190</v>
          </cell>
          <cell r="J904" t="str">
            <v>kas9171@nyp.org</v>
          </cell>
          <cell r="L904" t="str">
            <v>Practitioner - Non-Primary Care Provider (PCP)</v>
          </cell>
          <cell r="M904" t="str">
            <v>No</v>
          </cell>
          <cell r="R904" t="str">
            <v>JUNG JESSE DR.</v>
          </cell>
          <cell r="W904" t="str">
            <v>JUNG JESSE J</v>
          </cell>
          <cell r="X904" t="str">
            <v>635 W 165TH ST BSMT</v>
          </cell>
          <cell r="Y904" t="str">
            <v>NEW YORK</v>
          </cell>
          <cell r="Z904" t="str">
            <v>NY</v>
          </cell>
          <cell r="AA904" t="str">
            <v>10032-3724</v>
          </cell>
          <cell r="AB904" t="str">
            <v>PHYSICIAN</v>
          </cell>
          <cell r="AC904" t="str">
            <v>M</v>
          </cell>
          <cell r="AD904" t="str">
            <v>No</v>
          </cell>
          <cell r="AE904" t="str">
            <v>MMIS</v>
          </cell>
          <cell r="AF904" t="str">
            <v>nypwestacn</v>
          </cell>
          <cell r="AG904" t="str">
            <v>P</v>
          </cell>
        </row>
        <row r="905">
          <cell r="A905" t="str">
            <v>1902993074</v>
          </cell>
          <cell r="B905" t="str">
            <v>00791328</v>
          </cell>
          <cell r="C905" t="str">
            <v>MILLER, DAVID H</v>
          </cell>
          <cell r="D905" t="str">
            <v>E0220596</v>
          </cell>
          <cell r="E905" t="str">
            <v>MILLER DAVID H             MD</v>
          </cell>
          <cell r="G905" t="str">
            <v>Kathryn Spaziani</v>
          </cell>
          <cell r="H905" t="str">
            <v>(212) 305-1190</v>
          </cell>
          <cell r="J905" t="str">
            <v>kas9171@nyp.org</v>
          </cell>
          <cell r="L905" t="str">
            <v>All Other:: Practitioner - Non-Primary Care Provider (PCP)</v>
          </cell>
          <cell r="M905" t="str">
            <v>No</v>
          </cell>
          <cell r="R905" t="str">
            <v>MILLER DAVID</v>
          </cell>
          <cell r="W905" t="str">
            <v>MILLER DAVID H             MD</v>
          </cell>
          <cell r="X905" t="str">
            <v>520 E 70TH ST</v>
          </cell>
          <cell r="Y905" t="str">
            <v>NEW YORK</v>
          </cell>
          <cell r="Z905" t="str">
            <v>NY</v>
          </cell>
          <cell r="AA905" t="str">
            <v>10021-9800</v>
          </cell>
          <cell r="AB905" t="str">
            <v>PHYSICIAN</v>
          </cell>
          <cell r="AC905" t="str">
            <v>M</v>
          </cell>
          <cell r="AD905" t="str">
            <v>No</v>
          </cell>
          <cell r="AE905" t="str">
            <v>MMIS</v>
          </cell>
          <cell r="AF905" t="str">
            <v>nypeastcampus</v>
          </cell>
          <cell r="AG905" t="str">
            <v>P</v>
          </cell>
        </row>
        <row r="906">
          <cell r="A906" t="str">
            <v>1275659203</v>
          </cell>
          <cell r="B906" t="str">
            <v>03407861</v>
          </cell>
          <cell r="C906" t="str">
            <v xml:space="preserve">KAMEL, HOOMAN </v>
          </cell>
          <cell r="D906" t="str">
            <v>E0326682</v>
          </cell>
          <cell r="E906" t="str">
            <v>KAMEL HOOMAN</v>
          </cell>
          <cell r="G906" t="str">
            <v>Kathryn Spaziani</v>
          </cell>
          <cell r="H906" t="str">
            <v>(212) 305-1190</v>
          </cell>
          <cell r="J906" t="str">
            <v>kas9171@nyp.org</v>
          </cell>
          <cell r="L906" t="str">
            <v>All Other:: Practitioner - Non-Primary Care Provider (PCP)</v>
          </cell>
          <cell r="M906" t="str">
            <v>No</v>
          </cell>
          <cell r="R906" t="str">
            <v>KAMEL HOOMAN</v>
          </cell>
          <cell r="W906" t="str">
            <v>KAMEL HOOMAN</v>
          </cell>
          <cell r="X906" t="str">
            <v>520 E 70TH ST</v>
          </cell>
          <cell r="Y906" t="str">
            <v>NEW YORK</v>
          </cell>
          <cell r="Z906" t="str">
            <v>NY</v>
          </cell>
          <cell r="AA906" t="str">
            <v>10021-9800</v>
          </cell>
          <cell r="AB906" t="str">
            <v>PHYSICIAN</v>
          </cell>
          <cell r="AC906" t="str">
            <v>M</v>
          </cell>
          <cell r="AD906" t="str">
            <v>No</v>
          </cell>
          <cell r="AE906" t="str">
            <v>MMIS</v>
          </cell>
          <cell r="AF906" t="str">
            <v>nypeastcampus</v>
          </cell>
          <cell r="AG906" t="str">
            <v>P</v>
          </cell>
        </row>
        <row r="907">
          <cell r="A907" t="str">
            <v>1275665002</v>
          </cell>
          <cell r="B907" t="str">
            <v>02385913</v>
          </cell>
          <cell r="C907" t="str">
            <v>VACCA, SUSAN H</v>
          </cell>
          <cell r="D907" t="str">
            <v>E0061529</v>
          </cell>
          <cell r="E907" t="str">
            <v>VACCA SUSAN H</v>
          </cell>
          <cell r="G907" t="str">
            <v>Kathryn Spaziani</v>
          </cell>
          <cell r="H907" t="str">
            <v>(212) 305-1190</v>
          </cell>
          <cell r="J907" t="str">
            <v>kas9171@nyp.org</v>
          </cell>
          <cell r="L907" t="str">
            <v>Practitioner - Non-Primary Care Provider (PCP)</v>
          </cell>
          <cell r="M907" t="str">
            <v>Yes</v>
          </cell>
          <cell r="R907" t="str">
            <v>VACCA SUSAN</v>
          </cell>
          <cell r="W907" t="str">
            <v>VACCA SUSAN H</v>
          </cell>
          <cell r="X907" t="str">
            <v>549 AUDUBON AVE</v>
          </cell>
          <cell r="Y907" t="str">
            <v>NEW YORK</v>
          </cell>
          <cell r="Z907" t="str">
            <v>NY</v>
          </cell>
          <cell r="AA907" t="str">
            <v>10040-3401</v>
          </cell>
          <cell r="AB907" t="str">
            <v>PHYSICIAN</v>
          </cell>
          <cell r="AC907" t="str">
            <v>M</v>
          </cell>
          <cell r="AD907" t="str">
            <v>No</v>
          </cell>
          <cell r="AE907" t="str">
            <v>MMIS</v>
          </cell>
          <cell r="AF907" t="str">
            <v>nypwestcampus</v>
          </cell>
          <cell r="AG907" t="str">
            <v>P</v>
          </cell>
        </row>
        <row r="908">
          <cell r="A908" t="str">
            <v>1417115767</v>
          </cell>
          <cell r="B908" t="str">
            <v>03509973</v>
          </cell>
          <cell r="C908" t="str">
            <v>FISCHER, CHARLA R</v>
          </cell>
          <cell r="D908" t="str">
            <v>E0340709</v>
          </cell>
          <cell r="E908" t="str">
            <v>FISCHER CHARLA ROLAND</v>
          </cell>
          <cell r="G908" t="str">
            <v>Kathryn Spaziani</v>
          </cell>
          <cell r="H908" t="str">
            <v>(212) 305-1190</v>
          </cell>
          <cell r="J908" t="str">
            <v>kas9171@nyp.org</v>
          </cell>
          <cell r="L908" t="str">
            <v>All Other:: Practitioner - Non-Primary Care Provider (PCP)</v>
          </cell>
          <cell r="M908" t="str">
            <v>No</v>
          </cell>
          <cell r="R908" t="str">
            <v>FISCHER CHARLA DR.</v>
          </cell>
          <cell r="W908" t="str">
            <v>FISCHER CHARLA ROLAND</v>
          </cell>
          <cell r="X908" t="str">
            <v>51 W 51ST ST STE 370</v>
          </cell>
          <cell r="Y908" t="str">
            <v>NEW YORK</v>
          </cell>
          <cell r="Z908" t="str">
            <v>NY</v>
          </cell>
          <cell r="AA908" t="str">
            <v>10019-6113</v>
          </cell>
          <cell r="AB908" t="str">
            <v>PHYSICIAN</v>
          </cell>
          <cell r="AC908" t="str">
            <v>M</v>
          </cell>
          <cell r="AD908" t="str">
            <v>No</v>
          </cell>
          <cell r="AE908" t="str">
            <v>MMIS</v>
          </cell>
          <cell r="AF908" t="str">
            <v>nypwestacn</v>
          </cell>
          <cell r="AG908" t="str">
            <v>P</v>
          </cell>
        </row>
        <row r="909">
          <cell r="A909" t="str">
            <v>1417120932</v>
          </cell>
          <cell r="B909" t="str">
            <v>03917911</v>
          </cell>
          <cell r="C909" t="str">
            <v>LIN, RICHIE L</v>
          </cell>
          <cell r="D909" t="str">
            <v>E0382959</v>
          </cell>
          <cell r="E909" t="str">
            <v>LIN RICHIE</v>
          </cell>
          <cell r="G909" t="str">
            <v>Kathryn Spaziani</v>
          </cell>
          <cell r="H909" t="str">
            <v>(212) 305-1190</v>
          </cell>
          <cell r="J909" t="str">
            <v>kas9171@nyp.org</v>
          </cell>
          <cell r="L909" t="str">
            <v>Practitioner - Non-Primary Care Provider (PCP)</v>
          </cell>
          <cell r="M909" t="str">
            <v>No</v>
          </cell>
          <cell r="R909" t="str">
            <v>LIN RICHIE DR.</v>
          </cell>
          <cell r="W909" t="str">
            <v>LIN RICHIE</v>
          </cell>
          <cell r="X909" t="str">
            <v>161 FORT WASHINGTON AVE</v>
          </cell>
          <cell r="Y909" t="str">
            <v>NEW YORK</v>
          </cell>
          <cell r="Z909" t="str">
            <v>NY</v>
          </cell>
          <cell r="AA909" t="str">
            <v>10032-3729</v>
          </cell>
          <cell r="AB909" t="str">
            <v>PHYSICIAN</v>
          </cell>
          <cell r="AC909" t="str">
            <v>M</v>
          </cell>
          <cell r="AD909" t="str">
            <v>No</v>
          </cell>
          <cell r="AE909" t="str">
            <v>MMIS</v>
          </cell>
          <cell r="AF909" t="str">
            <v>nypwestcampus</v>
          </cell>
          <cell r="AG909" t="str">
            <v>P</v>
          </cell>
        </row>
        <row r="910">
          <cell r="A910" t="str">
            <v>1194984724</v>
          </cell>
          <cell r="B910" t="str">
            <v>03255649</v>
          </cell>
          <cell r="C910" t="str">
            <v>SINGER, JESSICA R</v>
          </cell>
          <cell r="D910" t="str">
            <v>E0310704</v>
          </cell>
          <cell r="E910" t="str">
            <v>SINGER JESSICA</v>
          </cell>
          <cell r="G910" t="str">
            <v>Kathryn Spaziani</v>
          </cell>
          <cell r="H910" t="str">
            <v>(212) 305-1190</v>
          </cell>
          <cell r="J910" t="str">
            <v>kas9171@nyp.org</v>
          </cell>
          <cell r="L910" t="str">
            <v>Practitioner - Primary Care Provider (PCP)</v>
          </cell>
          <cell r="M910" t="str">
            <v>Yes</v>
          </cell>
          <cell r="R910" t="str">
            <v>SINGER JESSICA DR.</v>
          </cell>
          <cell r="W910" t="str">
            <v>SINGER JESSICA</v>
          </cell>
          <cell r="X910" t="str">
            <v>622 W 168TH ST</v>
          </cell>
          <cell r="Y910" t="str">
            <v>NEW YORK</v>
          </cell>
          <cell r="Z910" t="str">
            <v>NY</v>
          </cell>
          <cell r="AA910" t="str">
            <v>10032-3720</v>
          </cell>
          <cell r="AB910" t="str">
            <v>PHYSICIAN</v>
          </cell>
          <cell r="AC910" t="str">
            <v>M</v>
          </cell>
          <cell r="AD910" t="str">
            <v>No</v>
          </cell>
          <cell r="AE910" t="str">
            <v>MMIS</v>
          </cell>
          <cell r="AF910" t="str">
            <v>nypwestcampus</v>
          </cell>
          <cell r="AG910" t="str">
            <v>P</v>
          </cell>
        </row>
        <row r="911">
          <cell r="A911" t="str">
            <v>1629386776</v>
          </cell>
          <cell r="B911" t="str">
            <v>03697376</v>
          </cell>
          <cell r="C911" t="str">
            <v>Lonnie Crews, RN</v>
          </cell>
          <cell r="D911" t="str">
            <v>E0360265</v>
          </cell>
          <cell r="E911" t="str">
            <v>CREWS LONNIE TROY</v>
          </cell>
          <cell r="G911" t="str">
            <v>Dianna Dragatsi</v>
          </cell>
          <cell r="H911" t="str">
            <v>(212) 942-8510</v>
          </cell>
          <cell r="J911" t="str">
            <v>Dragats@nyspi.columbia.edu</v>
          </cell>
          <cell r="L911" t="str">
            <v>Uncategorized</v>
          </cell>
          <cell r="M911" t="str">
            <v>No</v>
          </cell>
          <cell r="R911" t="str">
            <v>CREWS LONNIE MR.</v>
          </cell>
          <cell r="W911" t="str">
            <v>CREWS LONNIE TROY</v>
          </cell>
          <cell r="X911" t="str">
            <v>26 SHERMAN AVE</v>
          </cell>
          <cell r="Y911" t="str">
            <v>NEW YORK</v>
          </cell>
          <cell r="Z911" t="str">
            <v>NY</v>
          </cell>
          <cell r="AA911" t="str">
            <v>10040-1602</v>
          </cell>
          <cell r="AB911" t="str">
            <v>NURSE</v>
          </cell>
          <cell r="AC911" t="str">
            <v>M</v>
          </cell>
          <cell r="AD911" t="str">
            <v>No</v>
          </cell>
          <cell r="AE911" t="str">
            <v>MMIS</v>
          </cell>
          <cell r="AF911" t="str">
            <v>nyspi</v>
          </cell>
          <cell r="AG911" t="str">
            <v>P</v>
          </cell>
        </row>
        <row r="912">
          <cell r="A912" t="str">
            <v>1821025099</v>
          </cell>
          <cell r="B912" t="str">
            <v>01169093</v>
          </cell>
          <cell r="C912" t="str">
            <v>Elliot I. Schwartz</v>
          </cell>
          <cell r="D912" t="str">
            <v>E0182978</v>
          </cell>
          <cell r="E912" t="str">
            <v>SCHWARTZ ELLIOT I MD P C</v>
          </cell>
          <cell r="G912" t="str">
            <v>Eva Eng</v>
          </cell>
          <cell r="H912" t="str">
            <v>(212) 752-4973</v>
          </cell>
          <cell r="J912" t="str">
            <v>eeng@archcare.org</v>
          </cell>
          <cell r="L912" t="str">
            <v>All Other:: Practitioner - Non-Primary Care Provider (PCP)</v>
          </cell>
          <cell r="M912" t="str">
            <v>No</v>
          </cell>
          <cell r="R912" t="str">
            <v>SCHWARTZ ELLIOT DR.</v>
          </cell>
          <cell r="W912" t="str">
            <v>SCHWARTZ ELLIOT I MD P C</v>
          </cell>
          <cell r="X912" t="str">
            <v>10 SAINT PAULS PL</v>
          </cell>
          <cell r="Y912" t="str">
            <v>BROOKLYN</v>
          </cell>
          <cell r="Z912" t="str">
            <v>NY</v>
          </cell>
          <cell r="AA912" t="str">
            <v>11226-1203</v>
          </cell>
          <cell r="AB912" t="str">
            <v>PHYSICIAN</v>
          </cell>
          <cell r="AC912" t="str">
            <v>M</v>
          </cell>
          <cell r="AD912" t="str">
            <v>No</v>
          </cell>
          <cell r="AE912" t="str">
            <v>MMIS</v>
          </cell>
          <cell r="AF912" t="str">
            <v>nypwestacn</v>
          </cell>
          <cell r="AG912" t="str">
            <v>P</v>
          </cell>
        </row>
        <row r="913">
          <cell r="A913" t="str">
            <v>1134379787</v>
          </cell>
          <cell r="B913" t="str">
            <v>03602779</v>
          </cell>
          <cell r="C913" t="str">
            <v>VAHL, TORSHEN P</v>
          </cell>
          <cell r="D913" t="str">
            <v>E0350442</v>
          </cell>
          <cell r="E913" t="str">
            <v>VAHL TORSTEN PETER</v>
          </cell>
          <cell r="G913" t="str">
            <v>Kathryn Spaziani</v>
          </cell>
          <cell r="H913" t="str">
            <v>(212) 305-1190</v>
          </cell>
          <cell r="J913" t="str">
            <v>kas9171@nyp.org</v>
          </cell>
          <cell r="L913" t="str">
            <v>Practitioner - Non-Primary Care Provider (PCP)</v>
          </cell>
          <cell r="M913" t="str">
            <v>No</v>
          </cell>
          <cell r="R913" t="str">
            <v>VAHL TORSTEN DR.</v>
          </cell>
          <cell r="W913" t="str">
            <v>VAHL TORSTEN PETER</v>
          </cell>
          <cell r="X913" t="str">
            <v>177 FORT WASHINGTON AVE</v>
          </cell>
          <cell r="Y913" t="str">
            <v>NEW YORK</v>
          </cell>
          <cell r="Z913" t="str">
            <v>NY</v>
          </cell>
          <cell r="AA913" t="str">
            <v>10032-3733</v>
          </cell>
          <cell r="AB913" t="str">
            <v>PHYSICIAN</v>
          </cell>
          <cell r="AC913" t="str">
            <v>M</v>
          </cell>
          <cell r="AD913" t="str">
            <v>No</v>
          </cell>
          <cell r="AE913" t="str">
            <v>MMIS</v>
          </cell>
          <cell r="AF913" t="str">
            <v>nypwestcampus</v>
          </cell>
          <cell r="AG913" t="str">
            <v>P</v>
          </cell>
        </row>
        <row r="914">
          <cell r="A914" t="str">
            <v>1174795116</v>
          </cell>
          <cell r="B914" t="str">
            <v>03047550</v>
          </cell>
          <cell r="C914" t="str">
            <v>OGDEN, ALFRED T</v>
          </cell>
          <cell r="D914" t="str">
            <v>E0286884</v>
          </cell>
          <cell r="E914" t="str">
            <v>OGDEN ALFRED TRECARTIN MD</v>
          </cell>
          <cell r="G914" t="str">
            <v>Kathryn Spaziani</v>
          </cell>
          <cell r="H914" t="str">
            <v>(212) 305-1190</v>
          </cell>
          <cell r="J914" t="str">
            <v>kas9171@nyp.org</v>
          </cell>
          <cell r="L914" t="str">
            <v>Practitioner - Non-Primary Care Provider (PCP)</v>
          </cell>
          <cell r="M914" t="str">
            <v>No</v>
          </cell>
          <cell r="R914" t="str">
            <v>OGDEN ALFRED</v>
          </cell>
          <cell r="W914" t="str">
            <v>OGDEN ALFRED TRECARTIN MD</v>
          </cell>
          <cell r="X914" t="str">
            <v>710 W 168TH ST</v>
          </cell>
          <cell r="Y914" t="str">
            <v>NEW YORK</v>
          </cell>
          <cell r="Z914" t="str">
            <v>NY</v>
          </cell>
          <cell r="AA914" t="str">
            <v>10032-3726</v>
          </cell>
          <cell r="AB914" t="str">
            <v>PHYSICIAN</v>
          </cell>
          <cell r="AC914" t="str">
            <v>M</v>
          </cell>
          <cell r="AD914" t="str">
            <v>No</v>
          </cell>
          <cell r="AE914" t="str">
            <v>MMIS</v>
          </cell>
          <cell r="AF914" t="str">
            <v>nypwestcampus</v>
          </cell>
          <cell r="AG914" t="str">
            <v>P</v>
          </cell>
        </row>
        <row r="915">
          <cell r="A915" t="str">
            <v>1609963784</v>
          </cell>
          <cell r="B915" t="str">
            <v>02591977</v>
          </cell>
          <cell r="C915" t="str">
            <v>DiPace, Jennifer</v>
          </cell>
          <cell r="D915" t="str">
            <v>E0040959</v>
          </cell>
          <cell r="E915" t="str">
            <v>DIPACE JENNIFER MD</v>
          </cell>
          <cell r="G915" t="str">
            <v>Kathryn Spaziani</v>
          </cell>
          <cell r="H915" t="str">
            <v>(212) 305-1190</v>
          </cell>
          <cell r="J915" t="str">
            <v>kas9171@nyp.org</v>
          </cell>
          <cell r="L915" t="str">
            <v>Practitioner - Primary Care Provider (PCP)</v>
          </cell>
          <cell r="M915" t="str">
            <v>No</v>
          </cell>
          <cell r="R915" t="str">
            <v>DIPACE JENNIFER</v>
          </cell>
          <cell r="W915" t="str">
            <v>DIPACE JENNIFER MD</v>
          </cell>
          <cell r="X915" t="str">
            <v>525 E 68TH ST</v>
          </cell>
          <cell r="Y915" t="str">
            <v>NEW YORK</v>
          </cell>
          <cell r="Z915" t="str">
            <v>NY</v>
          </cell>
          <cell r="AA915" t="str">
            <v>10065-4870</v>
          </cell>
          <cell r="AB915" t="str">
            <v>PHYSICIAN</v>
          </cell>
          <cell r="AC915" t="str">
            <v>M</v>
          </cell>
          <cell r="AD915" t="str">
            <v>No</v>
          </cell>
          <cell r="AE915" t="str">
            <v>MMIS</v>
          </cell>
          <cell r="AF915" t="str">
            <v>nypeastcampus</v>
          </cell>
          <cell r="AG915" t="str">
            <v>P</v>
          </cell>
        </row>
        <row r="916">
          <cell r="A916" t="str">
            <v>1619008844</v>
          </cell>
          <cell r="B916" t="str">
            <v>01993984</v>
          </cell>
          <cell r="C916" t="str">
            <v>KLUGMAN, DEBORAH M</v>
          </cell>
          <cell r="D916" t="str">
            <v>E0100661</v>
          </cell>
          <cell r="E916" t="str">
            <v>KLUGMAN DEBORAH M</v>
          </cell>
          <cell r="G916" t="str">
            <v>Kathryn Spaziani</v>
          </cell>
          <cell r="H916" t="str">
            <v>(212) 305-1190</v>
          </cell>
          <cell r="J916" t="str">
            <v>kas9171@nyp.org</v>
          </cell>
          <cell r="L916" t="str">
            <v>All Other:: Practitioner - Primary Care Provider (PCP)</v>
          </cell>
          <cell r="M916" t="str">
            <v>Yes</v>
          </cell>
          <cell r="R916" t="str">
            <v>KLUGMAN DEBORAH</v>
          </cell>
          <cell r="W916" t="str">
            <v>KLUGMAN DEBORAH M</v>
          </cell>
          <cell r="X916" t="str">
            <v>622 W 168TH ST</v>
          </cell>
          <cell r="Y916" t="str">
            <v>NEW YORK</v>
          </cell>
          <cell r="Z916" t="str">
            <v>NY</v>
          </cell>
          <cell r="AA916" t="str">
            <v>10032-3720</v>
          </cell>
          <cell r="AB916" t="str">
            <v>PHYSICIAN</v>
          </cell>
          <cell r="AC916" t="str">
            <v>M</v>
          </cell>
          <cell r="AD916" t="str">
            <v>No</v>
          </cell>
          <cell r="AE916" t="str">
            <v>MMIS</v>
          </cell>
          <cell r="AF916" t="str">
            <v>nypwestacn</v>
          </cell>
          <cell r="AG916" t="str">
            <v>P</v>
          </cell>
        </row>
        <row r="917">
          <cell r="A917" t="str">
            <v>1619140076</v>
          </cell>
          <cell r="B917" t="str">
            <v>02980990</v>
          </cell>
          <cell r="C917" t="str">
            <v>Wilson-Taylor, Melanie</v>
          </cell>
          <cell r="D917" t="str">
            <v>E0006695</v>
          </cell>
          <cell r="E917" t="str">
            <v>WILSON-TAYLOR MELANIE TANARA</v>
          </cell>
          <cell r="G917" t="str">
            <v>Kathryn Spaziani</v>
          </cell>
          <cell r="H917" t="str">
            <v>(212) 305-1190</v>
          </cell>
          <cell r="J917" t="str">
            <v>kas9171@nyp.org</v>
          </cell>
          <cell r="L917" t="str">
            <v>All Other:: Practitioner - Primary Care Provider (PCP)</v>
          </cell>
          <cell r="M917" t="str">
            <v>Yes</v>
          </cell>
          <cell r="R917" t="str">
            <v>WILSON-TAYLOR MELANIE DR.</v>
          </cell>
          <cell r="W917" t="str">
            <v>WILSON-TAYLOR MELANIE TANARA  MD</v>
          </cell>
          <cell r="X917" t="str">
            <v>525 EAST 68TH STREET M-6</v>
          </cell>
          <cell r="Y917" t="str">
            <v>NYC</v>
          </cell>
          <cell r="Z917" t="str">
            <v>NY</v>
          </cell>
          <cell r="AA917" t="str">
            <v>10021</v>
          </cell>
          <cell r="AB917" t="str">
            <v>PHYSICIAN</v>
          </cell>
          <cell r="AC917" t="str">
            <v>M</v>
          </cell>
          <cell r="AD917" t="str">
            <v>No</v>
          </cell>
          <cell r="AE917" t="str">
            <v>MMIS</v>
          </cell>
          <cell r="AF917" t="str">
            <v>nypeastcampus</v>
          </cell>
          <cell r="AG917" t="str">
            <v>P</v>
          </cell>
        </row>
        <row r="918">
          <cell r="A918" t="str">
            <v>1235244419</v>
          </cell>
          <cell r="B918" t="str">
            <v>02622773</v>
          </cell>
          <cell r="C918" t="str">
            <v>MELE, THOMAS J</v>
          </cell>
          <cell r="D918" t="str">
            <v>E0037883</v>
          </cell>
          <cell r="E918" t="str">
            <v>MELE THOMAS JOSEPH</v>
          </cell>
          <cell r="G918" t="str">
            <v>Kathryn Spaziani</v>
          </cell>
          <cell r="H918" t="str">
            <v>(212) 305-1190</v>
          </cell>
          <cell r="J918" t="str">
            <v>kas9171@nyp.org</v>
          </cell>
          <cell r="L918" t="str">
            <v>Practitioner - Primary Care Provider (PCP)</v>
          </cell>
          <cell r="M918" t="str">
            <v>Yes</v>
          </cell>
          <cell r="R918" t="str">
            <v>MELE THOMAS</v>
          </cell>
          <cell r="W918" t="str">
            <v>MELE THOMAS JOSEPH</v>
          </cell>
          <cell r="X918" t="str">
            <v>299 LIVINGSTON ST</v>
          </cell>
          <cell r="Y918" t="str">
            <v>BROOKLYN</v>
          </cell>
          <cell r="Z918" t="str">
            <v>NY</v>
          </cell>
          <cell r="AA918" t="str">
            <v>11217-1001</v>
          </cell>
          <cell r="AB918" t="str">
            <v>PHYSICIAN</v>
          </cell>
          <cell r="AC918" t="str">
            <v>M</v>
          </cell>
          <cell r="AD918" t="str">
            <v>No</v>
          </cell>
          <cell r="AE918" t="str">
            <v>MMIS</v>
          </cell>
          <cell r="AF918" t="str">
            <v>nypwestcampus</v>
          </cell>
          <cell r="AG918" t="str">
            <v>P</v>
          </cell>
        </row>
        <row r="919">
          <cell r="A919" t="str">
            <v>1932488145</v>
          </cell>
          <cell r="B919" t="str">
            <v>03370532</v>
          </cell>
          <cell r="C919" t="str">
            <v>NIKOLOVA, MILENA V</v>
          </cell>
          <cell r="D919" t="str">
            <v>E0323861</v>
          </cell>
          <cell r="E919" t="str">
            <v>NIKOLOVA MILENA VESELINOVA</v>
          </cell>
          <cell r="G919" t="str">
            <v>Kathryn Spaziani</v>
          </cell>
          <cell r="H919" t="str">
            <v>(212) 305-1190</v>
          </cell>
          <cell r="J919" t="str">
            <v>kas9171@nyp.org</v>
          </cell>
          <cell r="L919" t="str">
            <v>All Other:: Practitioner - Primary Care Provider (PCP)</v>
          </cell>
          <cell r="M919" t="str">
            <v>No</v>
          </cell>
          <cell r="R919" t="str">
            <v>NIKOLOVA MILENA MISS</v>
          </cell>
          <cell r="W919" t="str">
            <v>NIKOLOVA MILENA VESELINOVA</v>
          </cell>
          <cell r="X919" t="str">
            <v>505 E 70TH ST</v>
          </cell>
          <cell r="Y919" t="str">
            <v>NEW YORK</v>
          </cell>
          <cell r="Z919" t="str">
            <v>NY</v>
          </cell>
          <cell r="AA919" t="str">
            <v>10021-4872</v>
          </cell>
          <cell r="AB919" t="str">
            <v>PHYSICIAN</v>
          </cell>
          <cell r="AC919" t="str">
            <v>M</v>
          </cell>
          <cell r="AD919" t="str">
            <v>No</v>
          </cell>
          <cell r="AE919" t="str">
            <v>MMIS</v>
          </cell>
          <cell r="AF919" t="str">
            <v>nypeastcampus</v>
          </cell>
          <cell r="AG919" t="str">
            <v>P</v>
          </cell>
        </row>
        <row r="920">
          <cell r="A920" t="str">
            <v>1720019144</v>
          </cell>
          <cell r="B920" t="str">
            <v>02407638</v>
          </cell>
          <cell r="C920" t="str">
            <v>Metropolitan Jewish Home Care Inc. d/b/a MJHS Home Care</v>
          </cell>
          <cell r="D920" t="str">
            <v>E0059364</v>
          </cell>
          <cell r="E920" t="str">
            <v>METROPOLITAN JEWISH HM CARE</v>
          </cell>
          <cell r="G920" t="str">
            <v>Jay Gormley, VP of Planning, Research, and Innovation</v>
          </cell>
          <cell r="H920" t="str">
            <v>(212) 356-5419</v>
          </cell>
          <cell r="J920" t="str">
            <v>jgormley@mjhs.org</v>
          </cell>
          <cell r="L920" t="str">
            <v>All Other</v>
          </cell>
          <cell r="M920" t="str">
            <v>Yes</v>
          </cell>
          <cell r="R920" t="str">
            <v>METROPOLITAN JEWISH HOME CARE INC.</v>
          </cell>
          <cell r="W920" t="str">
            <v>METROPOLITAN JEWISH HM CARE</v>
          </cell>
          <cell r="X920" t="str">
            <v>440 9TH AVE FL 14</v>
          </cell>
          <cell r="Y920" t="str">
            <v>NEW YORK</v>
          </cell>
          <cell r="Z920" t="str">
            <v>NY</v>
          </cell>
          <cell r="AA920" t="str">
            <v>10001-1629</v>
          </cell>
          <cell r="AB920" t="str">
            <v>HOME HEALTH AGENCY</v>
          </cell>
          <cell r="AC920" t="str">
            <v>M</v>
          </cell>
          <cell r="AD920" t="str">
            <v>No</v>
          </cell>
          <cell r="AE920" t="str">
            <v>MMIS</v>
          </cell>
          <cell r="AF920" t="str">
            <v>nypeastacn</v>
          </cell>
          <cell r="AG920" t="str">
            <v>P</v>
          </cell>
        </row>
        <row r="921">
          <cell r="A921" t="str">
            <v>1609874585</v>
          </cell>
          <cell r="B921" t="str">
            <v>01552056</v>
          </cell>
          <cell r="C921" t="str">
            <v>Rivington House RHCF</v>
          </cell>
          <cell r="D921" t="str">
            <v>E0144792</v>
          </cell>
          <cell r="E921" t="str">
            <v>RIVINGTON HS/NICHOLAS A RANGO</v>
          </cell>
          <cell r="G921" t="str">
            <v>Allison Silvers, Chief Strategy Officer</v>
          </cell>
          <cell r="H921" t="str">
            <v>(212) 337-5755</v>
          </cell>
          <cell r="J921" t="str">
            <v>Allisons@villagecare.org</v>
          </cell>
          <cell r="L921" t="str">
            <v>All Other:: Nursing Home</v>
          </cell>
          <cell r="M921" t="str">
            <v>Yes</v>
          </cell>
          <cell r="R921" t="str">
            <v>RIVINGTON HOUSE HEALTH CARE FACILITY</v>
          </cell>
          <cell r="W921" t="str">
            <v>RIVINGTON HS/NICHOLAS A RANGO</v>
          </cell>
          <cell r="X921" t="str">
            <v>45 RIVINGTON ST</v>
          </cell>
          <cell r="Y921" t="str">
            <v>NEW YORK</v>
          </cell>
          <cell r="Z921" t="str">
            <v>NY</v>
          </cell>
          <cell r="AA921" t="str">
            <v>10002-1304</v>
          </cell>
          <cell r="AB921" t="str">
            <v>LONG TERM CARE FACILITY</v>
          </cell>
          <cell r="AC921" t="str">
            <v>M</v>
          </cell>
          <cell r="AD921" t="str">
            <v>No</v>
          </cell>
          <cell r="AE921" t="str">
            <v>MMIS</v>
          </cell>
          <cell r="AF921" t="str">
            <v>nypwestacn</v>
          </cell>
          <cell r="AG921" t="str">
            <v>P</v>
          </cell>
        </row>
        <row r="922">
          <cell r="A922" t="str">
            <v>1912064460</v>
          </cell>
          <cell r="B922" t="str">
            <v>02766925</v>
          </cell>
          <cell r="C922" t="str">
            <v>Ana Rivera, LCSW</v>
          </cell>
          <cell r="D922" t="str">
            <v>E0023500</v>
          </cell>
          <cell r="E922" t="str">
            <v>RIVERA ANA</v>
          </cell>
          <cell r="G922" t="str">
            <v>Dianna Dragatsi</v>
          </cell>
          <cell r="H922" t="str">
            <v>(212) 942-8530</v>
          </cell>
          <cell r="J922" t="str">
            <v>Dragats@nyspi.columbia.edu</v>
          </cell>
          <cell r="L922" t="str">
            <v>Practitioner - Non-Primary Care Provider (PCP)</v>
          </cell>
          <cell r="M922" t="str">
            <v>No</v>
          </cell>
          <cell r="R922" t="str">
            <v>RIVERA ANA</v>
          </cell>
          <cell r="W922" t="str">
            <v>RIVERA ANA ROSA</v>
          </cell>
          <cell r="X922" t="str">
            <v>7 W 30TH ST FL 9</v>
          </cell>
          <cell r="Y922" t="str">
            <v>NEW YORK</v>
          </cell>
          <cell r="Z922" t="str">
            <v>NY</v>
          </cell>
          <cell r="AA922" t="str">
            <v>10001-4406</v>
          </cell>
          <cell r="AB922" t="str">
            <v>CLINICAL SOCIAL WORKER (CSW)</v>
          </cell>
          <cell r="AC922" t="str">
            <v>M</v>
          </cell>
          <cell r="AD922" t="str">
            <v>No</v>
          </cell>
          <cell r="AE922" t="str">
            <v>MMIS</v>
          </cell>
          <cell r="AF922" t="str">
            <v>nyspi</v>
          </cell>
          <cell r="AG922" t="str">
            <v>P</v>
          </cell>
        </row>
        <row r="923">
          <cell r="A923" t="str">
            <v>1689982795</v>
          </cell>
          <cell r="C923" t="str">
            <v>Madelyn Rosario, LCSW</v>
          </cell>
          <cell r="G923" t="str">
            <v>Dianna Dragatsi</v>
          </cell>
          <cell r="H923" t="str">
            <v>(212) 942-8531</v>
          </cell>
          <cell r="J923" t="str">
            <v>Dragats@nyspi.columbia.edu</v>
          </cell>
          <cell r="K923" t="str">
            <v>Other Practitioners</v>
          </cell>
          <cell r="L923" t="str">
            <v>Uncategorized</v>
          </cell>
          <cell r="M923" t="str">
            <v>No</v>
          </cell>
          <cell r="R923" t="str">
            <v>ROSARIO MADELYNE MS.</v>
          </cell>
          <cell r="S923" t="str">
            <v>26 SHERMAN AVE</v>
          </cell>
          <cell r="T923" t="str">
            <v>NEW YORK</v>
          </cell>
          <cell r="U923" t="str">
            <v>NY</v>
          </cell>
          <cell r="V923" t="str">
            <v>100401602</v>
          </cell>
          <cell r="AC923" t="str">
            <v>M</v>
          </cell>
          <cell r="AD923" t="str">
            <v>No</v>
          </cell>
          <cell r="AE923" t="str">
            <v>NPI only</v>
          </cell>
          <cell r="AF923" t="str">
            <v>nyspi</v>
          </cell>
          <cell r="AG923" t="str">
            <v>P</v>
          </cell>
        </row>
        <row r="924">
          <cell r="A924" t="str">
            <v>1700992757</v>
          </cell>
          <cell r="B924" t="str">
            <v>01088059</v>
          </cell>
          <cell r="C924" t="str">
            <v>NERCESSIAN, OHANNES A</v>
          </cell>
          <cell r="D924" t="str">
            <v>E0191067</v>
          </cell>
          <cell r="E924" t="str">
            <v>NERCESSIAN OHANNES AGOP MD</v>
          </cell>
          <cell r="G924" t="str">
            <v>Kathryn Spaziani</v>
          </cell>
          <cell r="H924" t="str">
            <v>(212) 305-1190</v>
          </cell>
          <cell r="J924" t="str">
            <v>kas9171@nyp.org</v>
          </cell>
          <cell r="L924" t="str">
            <v>Practitioner - Non-Primary Care Provider (PCP)</v>
          </cell>
          <cell r="M924" t="str">
            <v>No</v>
          </cell>
          <cell r="R924" t="str">
            <v>NERCESSIAN OHANNES DR.</v>
          </cell>
          <cell r="W924" t="str">
            <v>NERCESSIAN OHANNES AGOP MD</v>
          </cell>
          <cell r="X924" t="str">
            <v>SURG ORTHOPEDIC GRP</v>
          </cell>
          <cell r="Y924" t="str">
            <v>NEW YORK</v>
          </cell>
          <cell r="Z924" t="str">
            <v>NY</v>
          </cell>
          <cell r="AA924" t="str">
            <v>10032-3720</v>
          </cell>
          <cell r="AB924" t="str">
            <v>PHYSICIAN</v>
          </cell>
          <cell r="AC924" t="str">
            <v>M</v>
          </cell>
          <cell r="AD924" t="str">
            <v>No</v>
          </cell>
          <cell r="AE924" t="str">
            <v>MMIS</v>
          </cell>
          <cell r="AF924" t="str">
            <v>nypwestcampus</v>
          </cell>
          <cell r="AG924" t="str">
            <v>P</v>
          </cell>
        </row>
        <row r="925">
          <cell r="A925" t="str">
            <v>1386818391</v>
          </cell>
          <cell r="B925" t="str">
            <v>03287501</v>
          </cell>
          <cell r="C925" t="str">
            <v>SHAH, POOJA A</v>
          </cell>
          <cell r="D925" t="str">
            <v>E0314285</v>
          </cell>
          <cell r="E925" t="str">
            <v>SHAH POOJA</v>
          </cell>
          <cell r="G925" t="str">
            <v>Kathryn Spaziani</v>
          </cell>
          <cell r="H925" t="str">
            <v>(212) 305-1190</v>
          </cell>
          <cell r="J925" t="str">
            <v>kas9171@nyp.org</v>
          </cell>
          <cell r="L925" t="str">
            <v>All Other:: Practitioner - Primary Care Provider (PCP)</v>
          </cell>
          <cell r="M925" t="str">
            <v>No</v>
          </cell>
          <cell r="R925" t="str">
            <v>SHAH POOJA MISS</v>
          </cell>
          <cell r="W925" t="str">
            <v>SHAH POOJA AMY</v>
          </cell>
          <cell r="X925" t="str">
            <v>610 W 158TH ST</v>
          </cell>
          <cell r="Y925" t="str">
            <v>NEW YORK</v>
          </cell>
          <cell r="Z925" t="str">
            <v>NY</v>
          </cell>
          <cell r="AA925" t="str">
            <v>10032-7104</v>
          </cell>
          <cell r="AB925" t="str">
            <v>PHYSICIAN</v>
          </cell>
          <cell r="AC925" t="str">
            <v>M</v>
          </cell>
          <cell r="AD925" t="str">
            <v>No</v>
          </cell>
          <cell r="AE925" t="str">
            <v>MMIS</v>
          </cell>
          <cell r="AF925" t="str">
            <v>nypwestcampus</v>
          </cell>
          <cell r="AG925" t="str">
            <v>P</v>
          </cell>
        </row>
        <row r="926">
          <cell r="A926" t="str">
            <v>1912143900</v>
          </cell>
          <cell r="B926" t="str">
            <v>03125913</v>
          </cell>
          <cell r="C926" t="str">
            <v>STEINBERG, GALIT</v>
          </cell>
          <cell r="D926" t="str">
            <v>E0296073</v>
          </cell>
          <cell r="E926" t="str">
            <v>GALIT G STEINBERG</v>
          </cell>
          <cell r="G926" t="str">
            <v>Kathryn Spaziani</v>
          </cell>
          <cell r="H926" t="str">
            <v>(212) 305-1341</v>
          </cell>
          <cell r="J926" t="str">
            <v>kas9171@nyp.org</v>
          </cell>
          <cell r="L926" t="str">
            <v>All Other:: Practitioner - Non-Primary Care Provider (PCP)</v>
          </cell>
          <cell r="M926" t="str">
            <v>Yes</v>
          </cell>
          <cell r="R926" t="str">
            <v>STEINBERG GALIT DR.</v>
          </cell>
          <cell r="W926" t="str">
            <v>STEINBERG GALIT G</v>
          </cell>
          <cell r="X926" t="str">
            <v>5141 BROADWAY</v>
          </cell>
          <cell r="Y926" t="str">
            <v>NEW YORK</v>
          </cell>
          <cell r="Z926" t="str">
            <v>NY</v>
          </cell>
          <cell r="AA926" t="str">
            <v>10034-1159</v>
          </cell>
          <cell r="AB926" t="str">
            <v>PHYSICIAN</v>
          </cell>
          <cell r="AC926" t="str">
            <v>M</v>
          </cell>
          <cell r="AD926" t="str">
            <v>No</v>
          </cell>
          <cell r="AE926" t="str">
            <v>MMIS</v>
          </cell>
          <cell r="AF926" t="str">
            <v>nypwestcampus</v>
          </cell>
          <cell r="AG926" t="str">
            <v>P</v>
          </cell>
        </row>
        <row r="927">
          <cell r="A927" t="str">
            <v>1497824817</v>
          </cell>
          <cell r="B927" t="str">
            <v>01072586</v>
          </cell>
          <cell r="C927" t="str">
            <v>Andres Pereira</v>
          </cell>
          <cell r="D927" t="str">
            <v>E0192612</v>
          </cell>
          <cell r="E927" t="str">
            <v>PEREIRA ANDRES MIGUEL MD</v>
          </cell>
          <cell r="G927" t="str">
            <v>Dr. Pereira</v>
          </cell>
          <cell r="H927" t="str">
            <v>(212) 567-6200</v>
          </cell>
          <cell r="J927" t="str">
            <v>amps9120@hotmail.com</v>
          </cell>
          <cell r="L927" t="str">
            <v>All Other:: Practitioner - Primary Care Provider (PCP)</v>
          </cell>
          <cell r="M927" t="str">
            <v>Yes</v>
          </cell>
          <cell r="R927" t="str">
            <v>PEREIRA,,M.D.P.C. ANDRES DR.</v>
          </cell>
          <cell r="W927" t="str">
            <v>PEREIRA ANDRES MIGUEL MD</v>
          </cell>
          <cell r="X927" t="str">
            <v>OFC 1A</v>
          </cell>
          <cell r="Y927" t="str">
            <v>NEW YORK</v>
          </cell>
          <cell r="Z927" t="str">
            <v>NY</v>
          </cell>
          <cell r="AA927" t="str">
            <v>10040-1604</v>
          </cell>
          <cell r="AB927" t="str">
            <v>PHYSICIAN</v>
          </cell>
          <cell r="AC927" t="str">
            <v>M</v>
          </cell>
          <cell r="AD927" t="str">
            <v>No</v>
          </cell>
          <cell r="AE927" t="str">
            <v>MMIS</v>
          </cell>
          <cell r="AF927" t="str">
            <v>commproviders</v>
          </cell>
          <cell r="AG927" t="str">
            <v>P</v>
          </cell>
        </row>
        <row r="928">
          <cell r="A928" t="str">
            <v>1104810514</v>
          </cell>
          <cell r="B928" t="str">
            <v>01867330</v>
          </cell>
          <cell r="C928" t="str">
            <v>Bishop, Naomi B.</v>
          </cell>
          <cell r="D928" t="str">
            <v>E0113310</v>
          </cell>
          <cell r="E928" t="str">
            <v>BISHOP NAOMI B MD</v>
          </cell>
          <cell r="G928" t="str">
            <v>Kathryn Spaziani</v>
          </cell>
          <cell r="H928" t="str">
            <v>(212) 305-1190</v>
          </cell>
          <cell r="J928" t="str">
            <v>kas9171@nyp.org</v>
          </cell>
          <cell r="L928" t="str">
            <v>All Other:: Practitioner - Non-Primary Care Provider (PCP)</v>
          </cell>
          <cell r="M928" t="str">
            <v>No</v>
          </cell>
          <cell r="R928" t="str">
            <v>BISHOP NAOMI</v>
          </cell>
          <cell r="W928" t="str">
            <v>BISHOP NAOMI B MD</v>
          </cell>
          <cell r="X928" t="str">
            <v>NYUMC PED CARDIO</v>
          </cell>
          <cell r="Y928" t="str">
            <v>NEW YORK</v>
          </cell>
          <cell r="Z928" t="str">
            <v>NY</v>
          </cell>
          <cell r="AA928" t="str">
            <v>10016</v>
          </cell>
          <cell r="AB928" t="str">
            <v>PHYSICIAN</v>
          </cell>
          <cell r="AC928" t="str">
            <v>M</v>
          </cell>
          <cell r="AD928" t="str">
            <v>No</v>
          </cell>
          <cell r="AE928" t="str">
            <v>MMIS</v>
          </cell>
          <cell r="AF928" t="str">
            <v>nypeastcampus</v>
          </cell>
          <cell r="AG928" t="str">
            <v>P</v>
          </cell>
        </row>
        <row r="929">
          <cell r="A929" t="str">
            <v>1508931999</v>
          </cell>
          <cell r="B929" t="str">
            <v>01160732</v>
          </cell>
          <cell r="C929" t="str">
            <v>NEUBERG, GERALD W</v>
          </cell>
          <cell r="D929" t="str">
            <v>E0183811</v>
          </cell>
          <cell r="E929" t="str">
            <v>NEUBERG GERALD MD</v>
          </cell>
          <cell r="G929" t="str">
            <v>Kathryn Spaziani</v>
          </cell>
          <cell r="H929" t="str">
            <v>(212) 305-1190</v>
          </cell>
          <cell r="J929" t="str">
            <v>kas9171@nyp.org</v>
          </cell>
          <cell r="L929" t="str">
            <v>All Other:: Practitioner - Non-Primary Care Provider (PCP)</v>
          </cell>
          <cell r="M929" t="str">
            <v>No</v>
          </cell>
          <cell r="R929" t="str">
            <v>NEUBERG GERALD DR.</v>
          </cell>
          <cell r="W929" t="str">
            <v>NEUBERG GERALD MD</v>
          </cell>
          <cell r="X929" t="str">
            <v>5141 BROADWAY</v>
          </cell>
          <cell r="Y929" t="str">
            <v>NEW YORK</v>
          </cell>
          <cell r="Z929" t="str">
            <v>NY</v>
          </cell>
          <cell r="AA929" t="str">
            <v>10034-1159</v>
          </cell>
          <cell r="AB929" t="str">
            <v>PHYSICIAN</v>
          </cell>
          <cell r="AC929" t="str">
            <v>M</v>
          </cell>
          <cell r="AD929" t="str">
            <v>No</v>
          </cell>
          <cell r="AE929" t="str">
            <v>MMIS</v>
          </cell>
          <cell r="AF929" t="str">
            <v>nypwestcampus</v>
          </cell>
          <cell r="AG929" t="str">
            <v>P</v>
          </cell>
        </row>
        <row r="930">
          <cell r="A930" t="str">
            <v>1972700201</v>
          </cell>
          <cell r="B930" t="str">
            <v>02891601</v>
          </cell>
          <cell r="C930" t="str">
            <v>Schloss Robert</v>
          </cell>
          <cell r="D930" t="str">
            <v>E0011046</v>
          </cell>
          <cell r="E930" t="str">
            <v>SCHLOSS ROBERT W  MD</v>
          </cell>
          <cell r="L930" t="str">
            <v>All Other:: Practitioner - Non-Primary Care Provider (PCP)</v>
          </cell>
          <cell r="M930" t="str">
            <v>No</v>
          </cell>
          <cell r="R930" t="str">
            <v>SCHLOSS ROBERT DR.</v>
          </cell>
          <cell r="W930" t="str">
            <v>SCHLOSS ROBERT W  MD</v>
          </cell>
          <cell r="X930" t="str">
            <v>525 E 68TH ST</v>
          </cell>
          <cell r="Y930" t="str">
            <v>NEW YORK</v>
          </cell>
          <cell r="Z930" t="str">
            <v>NY</v>
          </cell>
          <cell r="AA930" t="str">
            <v>10065-4870</v>
          </cell>
          <cell r="AB930" t="str">
            <v>PHYSICIAN</v>
          </cell>
          <cell r="AC930" t="str">
            <v>M</v>
          </cell>
          <cell r="AD930" t="str">
            <v>No</v>
          </cell>
          <cell r="AE930" t="str">
            <v>MMIS</v>
          </cell>
          <cell r="AF930" t="str">
            <v>nypeastcampus</v>
          </cell>
          <cell r="AG930" t="str">
            <v>P</v>
          </cell>
        </row>
        <row r="931">
          <cell r="A931" t="str">
            <v>1336556380</v>
          </cell>
          <cell r="C931" t="str">
            <v>Stafford Kristen</v>
          </cell>
          <cell r="G931" t="str">
            <v>Kathryn Spaziani</v>
          </cell>
          <cell r="H931" t="str">
            <v>(212) 305-1255</v>
          </cell>
          <cell r="J931" t="str">
            <v>kas9171@nyp.org</v>
          </cell>
          <cell r="K931" t="str">
            <v>Physician</v>
          </cell>
          <cell r="L931" t="str">
            <v>Uncategorized</v>
          </cell>
          <cell r="M931" t="str">
            <v>No</v>
          </cell>
          <cell r="R931" t="str">
            <v>STAFFORD KRISTEN MS.</v>
          </cell>
          <cell r="S931" t="str">
            <v>2068 GREENVILLE TURNPIKE</v>
          </cell>
          <cell r="T931" t="str">
            <v>PORT JERVIS</v>
          </cell>
          <cell r="U931" t="str">
            <v>NY</v>
          </cell>
          <cell r="V931" t="str">
            <v>12771</v>
          </cell>
          <cell r="AC931" t="str">
            <v>M</v>
          </cell>
          <cell r="AD931" t="str">
            <v>No</v>
          </cell>
          <cell r="AE931" t="str">
            <v>NPI only</v>
          </cell>
          <cell r="AF931" t="str">
            <v>nypeastcampus</v>
          </cell>
          <cell r="AG931" t="str">
            <v>P</v>
          </cell>
        </row>
        <row r="932">
          <cell r="A932" t="str">
            <v>1184826786</v>
          </cell>
          <cell r="C932" t="str">
            <v>Stein Brenna</v>
          </cell>
          <cell r="G932" t="str">
            <v>Kathryn Spaziani</v>
          </cell>
          <cell r="H932" t="str">
            <v>(212) 305-1255</v>
          </cell>
          <cell r="J932" t="str">
            <v>kas9171@nyp.org</v>
          </cell>
          <cell r="K932" t="str">
            <v>Physician</v>
          </cell>
          <cell r="L932" t="str">
            <v>Practitioner - Non-Primary Care Provider (PCP)</v>
          </cell>
          <cell r="M932" t="str">
            <v>No</v>
          </cell>
          <cell r="R932" t="str">
            <v>STEIN BRENNA</v>
          </cell>
          <cell r="S932" t="str">
            <v>525 E 68TH ST</v>
          </cell>
          <cell r="T932" t="str">
            <v>NEW YORK</v>
          </cell>
          <cell r="U932" t="str">
            <v>NY</v>
          </cell>
          <cell r="V932" t="str">
            <v>100214870</v>
          </cell>
          <cell r="AC932" t="str">
            <v>M</v>
          </cell>
          <cell r="AD932" t="str">
            <v>No</v>
          </cell>
          <cell r="AE932" t="str">
            <v>NPI only</v>
          </cell>
          <cell r="AF932" t="str">
            <v>nypeastcampus</v>
          </cell>
          <cell r="AG932" t="str">
            <v>P</v>
          </cell>
        </row>
        <row r="933">
          <cell r="A933" t="str">
            <v>1669884201</v>
          </cell>
          <cell r="C933" t="str">
            <v>Tabrizi Samira</v>
          </cell>
          <cell r="G933" t="str">
            <v>Kathryn Spaziani</v>
          </cell>
          <cell r="H933" t="str">
            <v>(212) 305-1255</v>
          </cell>
          <cell r="J933" t="str">
            <v>kas9171@nyp.org</v>
          </cell>
          <cell r="K933" t="str">
            <v>Physician</v>
          </cell>
          <cell r="L933" t="str">
            <v>Uncategorized</v>
          </cell>
          <cell r="M933" t="str">
            <v>No</v>
          </cell>
          <cell r="R933" t="str">
            <v>TABRIZI SAMIRA</v>
          </cell>
          <cell r="S933" t="str">
            <v>525 E 68TH ST, M-304</v>
          </cell>
          <cell r="T933" t="str">
            <v>NEW YORK</v>
          </cell>
          <cell r="U933" t="str">
            <v>NY</v>
          </cell>
          <cell r="V933" t="str">
            <v>100654870</v>
          </cell>
          <cell r="AC933" t="str">
            <v>M</v>
          </cell>
          <cell r="AD933" t="str">
            <v>No</v>
          </cell>
          <cell r="AE933" t="str">
            <v>NPI only</v>
          </cell>
          <cell r="AF933" t="str">
            <v>nypeastcampus</v>
          </cell>
          <cell r="AG933" t="str">
            <v>P</v>
          </cell>
        </row>
        <row r="934">
          <cell r="A934" t="str">
            <v>1366692352</v>
          </cell>
          <cell r="C934" t="str">
            <v>Liu-Jarin Xiaolin</v>
          </cell>
          <cell r="G934" t="str">
            <v>Kathryn Spaziani</v>
          </cell>
          <cell r="H934" t="str">
            <v>(212) 305-1255</v>
          </cell>
          <cell r="J934" t="str">
            <v>kas9171@nyp.org</v>
          </cell>
          <cell r="K934" t="str">
            <v>Physician</v>
          </cell>
          <cell r="L934" t="str">
            <v>Practitioner - Non-Primary Care Provider (PCP)</v>
          </cell>
          <cell r="M934" t="str">
            <v>No</v>
          </cell>
          <cell r="R934" t="str">
            <v>LIU-JARIN XIAOLIN</v>
          </cell>
          <cell r="S934" t="str">
            <v>630 WEST 168TH ST</v>
          </cell>
          <cell r="T934" t="str">
            <v>NY</v>
          </cell>
          <cell r="U934" t="str">
            <v>NY</v>
          </cell>
          <cell r="V934" t="str">
            <v>10032</v>
          </cell>
          <cell r="AC934" t="str">
            <v>M</v>
          </cell>
          <cell r="AD934" t="str">
            <v>No</v>
          </cell>
          <cell r="AE934" t="str">
            <v>NPI only</v>
          </cell>
          <cell r="AF934" t="str">
            <v>nypwestcampus</v>
          </cell>
          <cell r="AG934" t="str">
            <v>P</v>
          </cell>
        </row>
        <row r="935">
          <cell r="A935" t="str">
            <v>1497827729</v>
          </cell>
          <cell r="B935" t="str">
            <v>02830404</v>
          </cell>
          <cell r="C935" t="str">
            <v>PANZER, OLIVER</v>
          </cell>
          <cell r="D935" t="str">
            <v>E0017155</v>
          </cell>
          <cell r="E935" t="str">
            <v>PANZER OLIVER PETER-FRIEDRICH  MD</v>
          </cell>
          <cell r="G935" t="str">
            <v>Kathryn Spaziani</v>
          </cell>
          <cell r="H935" t="str">
            <v>(212) 305-1313</v>
          </cell>
          <cell r="J935" t="str">
            <v>kas9171@nyp.org</v>
          </cell>
          <cell r="L935" t="str">
            <v>All Other:: Practitioner - Non-Primary Care Provider (PCP)</v>
          </cell>
          <cell r="M935" t="str">
            <v>No</v>
          </cell>
          <cell r="R935" t="str">
            <v>PANZER OLIVER DR.</v>
          </cell>
          <cell r="W935" t="str">
            <v>PANZER OLIVER PETER-FRIEDRICH</v>
          </cell>
          <cell r="X935" t="str">
            <v>622 W 168TH ST</v>
          </cell>
          <cell r="Y935" t="str">
            <v>NEW YORK</v>
          </cell>
          <cell r="Z935" t="str">
            <v>NY</v>
          </cell>
          <cell r="AA935" t="str">
            <v>10032-3720</v>
          </cell>
          <cell r="AB935" t="str">
            <v>PHYSICIAN</v>
          </cell>
          <cell r="AC935" t="str">
            <v>M</v>
          </cell>
          <cell r="AD935" t="str">
            <v>No</v>
          </cell>
          <cell r="AE935" t="str">
            <v>MMIS</v>
          </cell>
          <cell r="AF935" t="str">
            <v>nypwestcampus</v>
          </cell>
          <cell r="AG935" t="str">
            <v>P</v>
          </cell>
        </row>
        <row r="936">
          <cell r="A936" t="str">
            <v>1720382690</v>
          </cell>
          <cell r="B936" t="str">
            <v>03529811</v>
          </cell>
          <cell r="C936" t="str">
            <v>PARANJPE, PARAG</v>
          </cell>
          <cell r="D936" t="str">
            <v>E0342743</v>
          </cell>
          <cell r="E936" t="str">
            <v>PARANJPE PARAG WASUDEO</v>
          </cell>
          <cell r="G936" t="str">
            <v>Kathryn Spaziani</v>
          </cell>
          <cell r="H936" t="str">
            <v>(212) 305-1314</v>
          </cell>
          <cell r="J936" t="str">
            <v>kas9171@nyp.org</v>
          </cell>
          <cell r="L936" t="str">
            <v>Practitioner - Non-Primary Care Provider (PCP)</v>
          </cell>
          <cell r="M936" t="str">
            <v>No</v>
          </cell>
          <cell r="R936" t="str">
            <v>PARANJPE PARAG DR.</v>
          </cell>
          <cell r="W936" t="str">
            <v>PARANJPE PARAG WASUDEO</v>
          </cell>
          <cell r="X936" t="str">
            <v>622 W 168TH ST PH 1-137</v>
          </cell>
          <cell r="Y936" t="str">
            <v>NEW YORK</v>
          </cell>
          <cell r="Z936" t="str">
            <v>NY</v>
          </cell>
          <cell r="AA936" t="str">
            <v>10032-3720</v>
          </cell>
          <cell r="AB936" t="str">
            <v>PHYSICIAN</v>
          </cell>
          <cell r="AC936" t="str">
            <v>M</v>
          </cell>
          <cell r="AD936" t="str">
            <v>No</v>
          </cell>
          <cell r="AE936" t="str">
            <v>MMIS</v>
          </cell>
          <cell r="AF936" t="str">
            <v>nypwestcampus</v>
          </cell>
          <cell r="AG936" t="str">
            <v>P</v>
          </cell>
        </row>
        <row r="937">
          <cell r="A937" t="str">
            <v>1588729438</v>
          </cell>
          <cell r="B937" t="str">
            <v>00693870</v>
          </cell>
          <cell r="C937" t="str">
            <v xml:space="preserve">WARDLAW, SHARON </v>
          </cell>
          <cell r="D937" t="str">
            <v>E0230316</v>
          </cell>
          <cell r="E937" t="str">
            <v>WARDLAW SHARON L           MD</v>
          </cell>
          <cell r="G937" t="str">
            <v>Kathryn Spaziani</v>
          </cell>
          <cell r="H937" t="str">
            <v>(212) 305-1190</v>
          </cell>
          <cell r="J937" t="str">
            <v>kas9171@nyp.org</v>
          </cell>
          <cell r="L937" t="str">
            <v>All Other:: Practitioner - Non-Primary Care Provider (PCP)</v>
          </cell>
          <cell r="M937" t="str">
            <v>No</v>
          </cell>
          <cell r="R937" t="str">
            <v>WARDLAW SHARON DR.</v>
          </cell>
          <cell r="W937" t="str">
            <v>WARDLAW SHARON L           MD</v>
          </cell>
          <cell r="X937" t="str">
            <v>622 W 168TH ST</v>
          </cell>
          <cell r="Y937" t="str">
            <v>NEW YORK</v>
          </cell>
          <cell r="Z937" t="str">
            <v>NY</v>
          </cell>
          <cell r="AA937" t="str">
            <v>10032-3720</v>
          </cell>
          <cell r="AB937" t="str">
            <v>PHYSICIAN</v>
          </cell>
          <cell r="AC937" t="str">
            <v>M</v>
          </cell>
          <cell r="AD937" t="str">
            <v>No</v>
          </cell>
          <cell r="AE937" t="str">
            <v>MMIS</v>
          </cell>
          <cell r="AF937" t="str">
            <v>nypwestcampus</v>
          </cell>
          <cell r="AG937" t="str">
            <v>P</v>
          </cell>
        </row>
        <row r="938">
          <cell r="A938" t="str">
            <v>1588777528</v>
          </cell>
          <cell r="B938" t="str">
            <v>00600986</v>
          </cell>
          <cell r="C938" t="str">
            <v>STEIN, JEFFERY A</v>
          </cell>
          <cell r="D938" t="str">
            <v>E0239583</v>
          </cell>
          <cell r="E938" t="str">
            <v>STEIN JEFFREY ALAN</v>
          </cell>
          <cell r="G938" t="str">
            <v>Kathryn Spaziani</v>
          </cell>
          <cell r="H938" t="str">
            <v>(212) 305-1190</v>
          </cell>
          <cell r="J938" t="str">
            <v>kas9171@nyp.org</v>
          </cell>
          <cell r="L938" t="str">
            <v>Practitioner - Non-Primary Care Provider (PCP)</v>
          </cell>
          <cell r="M938" t="str">
            <v>No</v>
          </cell>
          <cell r="R938" t="str">
            <v>STEIN JEFFREY DR.</v>
          </cell>
          <cell r="W938" t="str">
            <v>STEIN JEFFREY ALAN</v>
          </cell>
          <cell r="X938" t="str">
            <v>PRESBYTERIAN HOSPITA</v>
          </cell>
          <cell r="Y938" t="str">
            <v>NEW YORK</v>
          </cell>
          <cell r="Z938" t="str">
            <v>NY</v>
          </cell>
          <cell r="AA938" t="str">
            <v>10032-3725</v>
          </cell>
          <cell r="AB938" t="str">
            <v>PHYSICIAN</v>
          </cell>
          <cell r="AC938" t="str">
            <v>M</v>
          </cell>
          <cell r="AD938" t="str">
            <v>No</v>
          </cell>
          <cell r="AE938" t="str">
            <v>MMIS</v>
          </cell>
          <cell r="AF938" t="str">
            <v>nypwestcampus</v>
          </cell>
          <cell r="AG938" t="str">
            <v>P</v>
          </cell>
        </row>
        <row r="939">
          <cell r="A939" t="str">
            <v>1164490421</v>
          </cell>
          <cell r="B939" t="str">
            <v>00314269</v>
          </cell>
          <cell r="C939" t="str">
            <v>FRANCES SCHERVIER HOME AND HOSPITAL</v>
          </cell>
          <cell r="D939" t="str">
            <v>E0267685</v>
          </cell>
          <cell r="E939" t="str">
            <v>SCHERVIER NURSING CARE CENTER</v>
          </cell>
          <cell r="G939" t="str">
            <v>Kity Khundkar</v>
          </cell>
          <cell r="H939" t="str">
            <v>(718) 548-1700</v>
          </cell>
          <cell r="I939">
            <v>206</v>
          </cell>
          <cell r="J939" t="str">
            <v>khundkar@bshsi.org</v>
          </cell>
          <cell r="L939" t="str">
            <v>All Other:: Nursing Home</v>
          </cell>
          <cell r="M939" t="str">
            <v>Yes</v>
          </cell>
          <cell r="R939" t="str">
            <v>FRANCES SCHERVIER HOME &amp; HOSPITAL</v>
          </cell>
          <cell r="W939" t="str">
            <v>SCHERVIER NURSING CARE CENTER</v>
          </cell>
          <cell r="X939" t="str">
            <v>2975 INDEPENDENCE AVE</v>
          </cell>
          <cell r="Y939" t="str">
            <v>BRONX</v>
          </cell>
          <cell r="Z939" t="str">
            <v>NY</v>
          </cell>
          <cell r="AA939" t="str">
            <v>10463-4620</v>
          </cell>
          <cell r="AB939" t="str">
            <v>LONG TERM CARE FACILITY</v>
          </cell>
          <cell r="AC939" t="str">
            <v>M</v>
          </cell>
          <cell r="AD939" t="str">
            <v>No</v>
          </cell>
          <cell r="AE939" t="str">
            <v>MMIS</v>
          </cell>
          <cell r="AF939" t="str">
            <v>nypwestacn</v>
          </cell>
          <cell r="AG939" t="str">
            <v>P</v>
          </cell>
        </row>
        <row r="940">
          <cell r="A940" t="str">
            <v>1316105612</v>
          </cell>
          <cell r="B940" t="str">
            <v>03116658</v>
          </cell>
          <cell r="C940" t="str">
            <v>Simon Matthew</v>
          </cell>
          <cell r="D940" t="str">
            <v>E0295023</v>
          </cell>
          <cell r="E940" t="str">
            <v>SIMON MATTHEW</v>
          </cell>
          <cell r="L940" t="str">
            <v>Practitioner - Non-Primary Care Provider (PCP)</v>
          </cell>
          <cell r="M940" t="str">
            <v>No</v>
          </cell>
          <cell r="R940" t="str">
            <v>SIMON MATTHEW DR.</v>
          </cell>
          <cell r="W940" t="str">
            <v>SIMON MATTHEW SPECTOR</v>
          </cell>
          <cell r="X940" t="str">
            <v>1825 EASTCHESTER RD</v>
          </cell>
          <cell r="Y940" t="str">
            <v>BRONX</v>
          </cell>
          <cell r="Z940" t="str">
            <v>NY</v>
          </cell>
          <cell r="AA940" t="str">
            <v>10461-2301</v>
          </cell>
          <cell r="AB940" t="str">
            <v>PHYSICIAN</v>
          </cell>
          <cell r="AC940" t="str">
            <v>M</v>
          </cell>
          <cell r="AD940" t="str">
            <v>No</v>
          </cell>
          <cell r="AE940" t="str">
            <v>MMIS</v>
          </cell>
          <cell r="AF940" t="str">
            <v>nypeastcampus</v>
          </cell>
          <cell r="AG940" t="str">
            <v>P</v>
          </cell>
        </row>
        <row r="941">
          <cell r="A941" t="str">
            <v>1144300310</v>
          </cell>
          <cell r="B941" t="str">
            <v>03384970</v>
          </cell>
          <cell r="C941" t="str">
            <v>Narula Navneet</v>
          </cell>
          <cell r="D941" t="str">
            <v>E0325624</v>
          </cell>
          <cell r="E941" t="str">
            <v>NARULA NAVNEET</v>
          </cell>
          <cell r="G941" t="str">
            <v>Kathryn Spaziani</v>
          </cell>
          <cell r="H941" t="str">
            <v>(212) 305-1245</v>
          </cell>
          <cell r="J941" t="str">
            <v>kas9171@nyp.org</v>
          </cell>
          <cell r="L941" t="str">
            <v>All Other:: Practitioner - Non-Primary Care Provider (PCP)</v>
          </cell>
          <cell r="M941" t="str">
            <v>No</v>
          </cell>
          <cell r="R941" t="str">
            <v>NARULA NAVNEET</v>
          </cell>
          <cell r="W941" t="str">
            <v>NARULA NAVNEET</v>
          </cell>
          <cell r="X941" t="str">
            <v>525 E 68TH ST</v>
          </cell>
          <cell r="Y941" t="str">
            <v>NEW YORK</v>
          </cell>
          <cell r="Z941" t="str">
            <v>NY</v>
          </cell>
          <cell r="AA941" t="str">
            <v>10065-4870</v>
          </cell>
          <cell r="AB941" t="str">
            <v>PHYSICIAN</v>
          </cell>
          <cell r="AC941" t="str">
            <v>M</v>
          </cell>
          <cell r="AD941" t="str">
            <v>No</v>
          </cell>
          <cell r="AE941" t="str">
            <v>MMIS</v>
          </cell>
          <cell r="AF941" t="str">
            <v>nypeastcampus</v>
          </cell>
          <cell r="AG941" t="str">
            <v>P</v>
          </cell>
        </row>
        <row r="942">
          <cell r="A942" t="str">
            <v>1376702621</v>
          </cell>
          <cell r="B942" t="str">
            <v>03375555</v>
          </cell>
          <cell r="C942" t="str">
            <v>Panarelli Nicole</v>
          </cell>
          <cell r="D942" t="str">
            <v>E0324485</v>
          </cell>
          <cell r="E942" t="str">
            <v>PANARELLI NICOLE</v>
          </cell>
          <cell r="G942" t="str">
            <v>Kathryn Spaziani</v>
          </cell>
          <cell r="H942" t="str">
            <v>(212) 305-1246</v>
          </cell>
          <cell r="J942" t="str">
            <v>kas9171@nyp.org</v>
          </cell>
          <cell r="L942" t="str">
            <v>All Other:: Practitioner - Non-Primary Care Provider (PCP)</v>
          </cell>
          <cell r="M942" t="str">
            <v>No</v>
          </cell>
          <cell r="R942" t="str">
            <v>PANARELLI NICOLE DR.</v>
          </cell>
          <cell r="W942" t="str">
            <v>PANARELLI NICOLE</v>
          </cell>
          <cell r="X942" t="str">
            <v>525 E 68TH ST</v>
          </cell>
          <cell r="Y942" t="str">
            <v>NEW YORK</v>
          </cell>
          <cell r="Z942" t="str">
            <v>NY</v>
          </cell>
          <cell r="AA942" t="str">
            <v>10065-4870</v>
          </cell>
          <cell r="AB942" t="str">
            <v>PHYSICIAN</v>
          </cell>
          <cell r="AC942" t="str">
            <v>M</v>
          </cell>
          <cell r="AD942" t="str">
            <v>No</v>
          </cell>
          <cell r="AE942" t="str">
            <v>MMIS</v>
          </cell>
          <cell r="AF942" t="str">
            <v>nypeastacn</v>
          </cell>
          <cell r="AG942" t="str">
            <v>P</v>
          </cell>
        </row>
        <row r="943">
          <cell r="A943" t="str">
            <v>1740423516</v>
          </cell>
          <cell r="B943" t="str">
            <v>03589397</v>
          </cell>
          <cell r="C943" t="str">
            <v>Pisapia David</v>
          </cell>
          <cell r="D943" t="str">
            <v>E0349091</v>
          </cell>
          <cell r="E943" t="str">
            <v>PISAPIA DAVID</v>
          </cell>
          <cell r="G943" t="str">
            <v>Kathryn Spaziani</v>
          </cell>
          <cell r="H943" t="str">
            <v>(212) 305-1247</v>
          </cell>
          <cell r="J943" t="str">
            <v>kas9171@nyp.org</v>
          </cell>
          <cell r="L943" t="str">
            <v>All Other:: Practitioner - Non-Primary Care Provider (PCP)</v>
          </cell>
          <cell r="M943" t="str">
            <v>No</v>
          </cell>
          <cell r="R943" t="str">
            <v>PISAPIA DAVID DR.</v>
          </cell>
          <cell r="W943" t="str">
            <v>PISAPIA DAVID</v>
          </cell>
          <cell r="X943" t="str">
            <v>525 E 68TH ST</v>
          </cell>
          <cell r="Y943" t="str">
            <v>NEW YORK</v>
          </cell>
          <cell r="Z943" t="str">
            <v>NY</v>
          </cell>
          <cell r="AA943" t="str">
            <v>10065-4870</v>
          </cell>
          <cell r="AB943" t="str">
            <v>PHYSICIAN</v>
          </cell>
          <cell r="AC943" t="str">
            <v>M</v>
          </cell>
          <cell r="AD943" t="str">
            <v>No</v>
          </cell>
          <cell r="AE943" t="str">
            <v>MMIS</v>
          </cell>
          <cell r="AF943" t="str">
            <v>nypeastcampus</v>
          </cell>
          <cell r="AG943" t="str">
            <v>P</v>
          </cell>
        </row>
        <row r="944">
          <cell r="A944" t="str">
            <v>1730276825</v>
          </cell>
          <cell r="B944" t="str">
            <v>02318069</v>
          </cell>
          <cell r="C944" t="str">
            <v xml:space="preserve">HENCHCLIFFE, CLAIRE </v>
          </cell>
          <cell r="D944" t="str">
            <v>E0068295</v>
          </cell>
          <cell r="E944" t="str">
            <v>HENCHCLIFFE CLAIRE MD</v>
          </cell>
          <cell r="G944" t="str">
            <v>Kathryn Spaziani</v>
          </cell>
          <cell r="H944" t="str">
            <v>(212) 305-1190</v>
          </cell>
          <cell r="J944" t="str">
            <v>kas9171@nyp.org</v>
          </cell>
          <cell r="L944" t="str">
            <v>All Other:: Practitioner - Non-Primary Care Provider (PCP)</v>
          </cell>
          <cell r="M944" t="str">
            <v>No</v>
          </cell>
          <cell r="R944" t="str">
            <v>HENCHCLIFFE CLAIRE</v>
          </cell>
          <cell r="W944" t="str">
            <v>HENCHCLIFFE CLAIRE MD</v>
          </cell>
          <cell r="X944" t="str">
            <v>RM F-610</v>
          </cell>
          <cell r="Y944" t="str">
            <v>NEW YORK</v>
          </cell>
          <cell r="Z944" t="str">
            <v>NY</v>
          </cell>
          <cell r="AA944" t="str">
            <v>10065-4870</v>
          </cell>
          <cell r="AB944" t="str">
            <v>PHYSICIAN</v>
          </cell>
          <cell r="AC944" t="str">
            <v>M</v>
          </cell>
          <cell r="AD944" t="str">
            <v>No</v>
          </cell>
          <cell r="AE944" t="str">
            <v>MMIS</v>
          </cell>
          <cell r="AF944" t="str">
            <v>nypeastacn</v>
          </cell>
          <cell r="AG944" t="str">
            <v>P</v>
          </cell>
        </row>
        <row r="945">
          <cell r="A945" t="str">
            <v>1164462594</v>
          </cell>
          <cell r="B945" t="str">
            <v>00690620</v>
          </cell>
          <cell r="C945" t="str">
            <v>PEDLEY, TIMOTHY A</v>
          </cell>
          <cell r="D945" t="str">
            <v>E0230641</v>
          </cell>
          <cell r="E945" t="str">
            <v>PEDLEY TIMOTHY ASBURY      MD</v>
          </cell>
          <cell r="G945" t="str">
            <v>Kathryn Spaziani</v>
          </cell>
          <cell r="H945" t="str">
            <v>(212) 305-1190</v>
          </cell>
          <cell r="J945" t="str">
            <v>kas9171@nyp.org</v>
          </cell>
          <cell r="L945" t="str">
            <v>Practitioner - Non-Primary Care Provider (PCP)</v>
          </cell>
          <cell r="M945" t="str">
            <v>No</v>
          </cell>
          <cell r="R945" t="str">
            <v>PEDLEY TIMOTHY DR.</v>
          </cell>
          <cell r="W945" t="str">
            <v>PEDLEY TIMOTHY ASBURY      MD</v>
          </cell>
          <cell r="X945" t="str">
            <v>RM 250</v>
          </cell>
          <cell r="Y945" t="str">
            <v>NEW YORK</v>
          </cell>
          <cell r="Z945" t="str">
            <v>NY</v>
          </cell>
          <cell r="AA945" t="str">
            <v>10032-3726</v>
          </cell>
          <cell r="AB945" t="str">
            <v>PHYSICIAN</v>
          </cell>
          <cell r="AC945" t="str">
            <v>M</v>
          </cell>
          <cell r="AD945" t="str">
            <v>No</v>
          </cell>
          <cell r="AE945" t="str">
            <v>MMIS</v>
          </cell>
          <cell r="AF945" t="str">
            <v>nypwestcampus</v>
          </cell>
          <cell r="AG945" t="str">
            <v>P</v>
          </cell>
        </row>
        <row r="946">
          <cell r="C946" t="str">
            <v>Service program for older people - Outpatient mental health clinic -Grand Street Clinic</v>
          </cell>
          <cell r="G946" t="str">
            <v>Dan Del Bene, LCSW</v>
          </cell>
          <cell r="H946" t="str">
            <v>(212) 787-7120</v>
          </cell>
          <cell r="I946">
            <v>528</v>
          </cell>
          <cell r="J946" t="str">
            <v>ddelbene@spop.org</v>
          </cell>
          <cell r="K946" t="str">
            <v>Unknown</v>
          </cell>
          <cell r="L946" t="str">
            <v>CBO</v>
          </cell>
          <cell r="M946" t="str">
            <v>No</v>
          </cell>
          <cell r="AC946" t="str">
            <v>M</v>
          </cell>
          <cell r="AD946" t="str">
            <v>No</v>
          </cell>
          <cell r="AE946" t="str">
            <v>No NPI or MMIS</v>
          </cell>
          <cell r="AF946" t="str">
            <v>nypeastacn</v>
          </cell>
          <cell r="AG946" t="str">
            <v>P</v>
          </cell>
        </row>
        <row r="947">
          <cell r="A947" t="str">
            <v>1487754792</v>
          </cell>
          <cell r="B947" t="str">
            <v>02098433</v>
          </cell>
          <cell r="C947" t="str">
            <v>GMYREK, ROBYN S</v>
          </cell>
          <cell r="D947" t="str">
            <v>E0090225</v>
          </cell>
          <cell r="E947" t="str">
            <v>GMYREK ROBYN SQUEO MD</v>
          </cell>
          <cell r="G947" t="str">
            <v>Kathryn Spaziani</v>
          </cell>
          <cell r="H947" t="str">
            <v>(212) 305-1190</v>
          </cell>
          <cell r="J947" t="str">
            <v>kas9171@nyp.org</v>
          </cell>
          <cell r="L947" t="str">
            <v>Practitioner - Non-Primary Care Provider (PCP)</v>
          </cell>
          <cell r="M947" t="str">
            <v>No</v>
          </cell>
          <cell r="R947" t="str">
            <v>GMYREK ROBYN DR.</v>
          </cell>
          <cell r="W947" t="str">
            <v>GMYREK ROBYN SQUEO MD</v>
          </cell>
          <cell r="X947" t="str">
            <v>622 W 168TH ST</v>
          </cell>
          <cell r="Y947" t="str">
            <v>NEW YORK</v>
          </cell>
          <cell r="Z947" t="str">
            <v>NY</v>
          </cell>
          <cell r="AA947" t="str">
            <v>10032-3720</v>
          </cell>
          <cell r="AB947" t="str">
            <v>PHYSICIAN</v>
          </cell>
          <cell r="AC947" t="str">
            <v>M</v>
          </cell>
          <cell r="AD947" t="str">
            <v>No</v>
          </cell>
          <cell r="AE947" t="str">
            <v>MMIS</v>
          </cell>
          <cell r="AF947" t="str">
            <v>nypwestcampus</v>
          </cell>
          <cell r="AG947" t="str">
            <v>P</v>
          </cell>
        </row>
        <row r="948">
          <cell r="A948" t="str">
            <v>1487780979</v>
          </cell>
          <cell r="B948" t="str">
            <v>02145682</v>
          </cell>
          <cell r="C948" t="str">
            <v xml:space="preserve">REIS, TAL </v>
          </cell>
          <cell r="D948" t="str">
            <v>E0085506</v>
          </cell>
          <cell r="E948" t="str">
            <v>REIS TAL PHD</v>
          </cell>
          <cell r="G948" t="str">
            <v>Kathryn Spaziani</v>
          </cell>
          <cell r="H948" t="str">
            <v>(212) 305-1190</v>
          </cell>
          <cell r="J948" t="str">
            <v>kas9171@nyp.org</v>
          </cell>
          <cell r="L948" t="str">
            <v>Practitioner - Non-Primary Care Provider (PCP)</v>
          </cell>
          <cell r="M948" t="str">
            <v>No</v>
          </cell>
          <cell r="R948" t="str">
            <v>REIS TAL DR.</v>
          </cell>
          <cell r="W948" t="str">
            <v>REIS TAL PHD</v>
          </cell>
          <cell r="X948" t="str">
            <v>3959 BROADWAY FL 6 # N</v>
          </cell>
          <cell r="Y948" t="str">
            <v>NEW YORK</v>
          </cell>
          <cell r="Z948" t="str">
            <v>NY</v>
          </cell>
          <cell r="AA948" t="str">
            <v>10032-1559</v>
          </cell>
          <cell r="AB948" t="str">
            <v>CLINICAL PSYCHOLOGIST</v>
          </cell>
          <cell r="AC948" t="str">
            <v>M</v>
          </cell>
          <cell r="AD948" t="str">
            <v>No</v>
          </cell>
          <cell r="AE948" t="str">
            <v>MMIS</v>
          </cell>
          <cell r="AF948" t="str">
            <v>nypwestcampus</v>
          </cell>
          <cell r="AG948" t="str">
            <v>P</v>
          </cell>
        </row>
        <row r="949">
          <cell r="A949" t="str">
            <v>1770626715</v>
          </cell>
          <cell r="B949" t="str">
            <v>02851054</v>
          </cell>
          <cell r="C949" t="str">
            <v>Abramson, Erika</v>
          </cell>
          <cell r="D949" t="str">
            <v>E0015092</v>
          </cell>
          <cell r="E949" t="str">
            <v>ABRAMSON ERIKA MD</v>
          </cell>
          <cell r="G949" t="str">
            <v>Kathryn Spaziani</v>
          </cell>
          <cell r="H949" t="str">
            <v>(212) 305-1190</v>
          </cell>
          <cell r="J949" t="str">
            <v>kas9171@nyp.org</v>
          </cell>
          <cell r="L949" t="str">
            <v>All Other:: Practitioner - Primary Care Provider (PCP)</v>
          </cell>
          <cell r="M949" t="str">
            <v>Yes</v>
          </cell>
          <cell r="R949" t="str">
            <v>ABRAMSON ERIKA</v>
          </cell>
          <cell r="W949" t="str">
            <v>ABRAMSON ERIKA LAUREN</v>
          </cell>
          <cell r="X949" t="str">
            <v>525 E 68TH ST</v>
          </cell>
          <cell r="Y949" t="str">
            <v>NEW YORK</v>
          </cell>
          <cell r="Z949" t="str">
            <v>NY</v>
          </cell>
          <cell r="AA949" t="str">
            <v>10065-4870</v>
          </cell>
          <cell r="AB949" t="str">
            <v>PHYSICIAN</v>
          </cell>
          <cell r="AC949" t="str">
            <v>M</v>
          </cell>
          <cell r="AD949" t="str">
            <v>No</v>
          </cell>
          <cell r="AE949" t="str">
            <v>MMIS</v>
          </cell>
          <cell r="AF949" t="str">
            <v>nypeastacn</v>
          </cell>
          <cell r="AG949" t="str">
            <v>P</v>
          </cell>
        </row>
        <row r="950">
          <cell r="A950" t="str">
            <v>1750324703</v>
          </cell>
          <cell r="B950" t="str">
            <v>03557173</v>
          </cell>
          <cell r="C950" t="str">
            <v>DELANEY, CHRISTINA</v>
          </cell>
          <cell r="D950" t="str">
            <v>E0345687</v>
          </cell>
          <cell r="E950" t="str">
            <v>DELANEY CHRISTINA L</v>
          </cell>
          <cell r="G950" t="str">
            <v>Kathryn Spaziani</v>
          </cell>
          <cell r="H950" t="str">
            <v>(212) 305-1221</v>
          </cell>
          <cell r="J950" t="str">
            <v>kas9171@nyp.org</v>
          </cell>
          <cell r="L950" t="str">
            <v>Practitioner - Primary Care Provider (PCP)</v>
          </cell>
          <cell r="M950" t="str">
            <v>No</v>
          </cell>
          <cell r="R950" t="str">
            <v>DELANEY CHRISTINA MRS.</v>
          </cell>
          <cell r="W950" t="str">
            <v>DELANEY CHRISTINA L</v>
          </cell>
          <cell r="X950" t="str">
            <v>3959 BROADWAY FL 11</v>
          </cell>
          <cell r="Y950" t="str">
            <v>NEW YORK</v>
          </cell>
          <cell r="Z950" t="str">
            <v>NY</v>
          </cell>
          <cell r="AA950" t="str">
            <v>10032-1559</v>
          </cell>
          <cell r="AB950" t="str">
            <v>PHYSICIAN</v>
          </cell>
          <cell r="AC950" t="str">
            <v>M</v>
          </cell>
          <cell r="AD950" t="str">
            <v>No</v>
          </cell>
          <cell r="AE950" t="str">
            <v>MMIS</v>
          </cell>
          <cell r="AF950" t="str">
            <v>nypwestcampus</v>
          </cell>
          <cell r="AG950" t="str">
            <v>P</v>
          </cell>
        </row>
        <row r="951">
          <cell r="A951" t="str">
            <v>1154418242</v>
          </cell>
          <cell r="B951" t="str">
            <v>01148067</v>
          </cell>
          <cell r="C951" t="str">
            <v>BRILLON, DAVID J</v>
          </cell>
          <cell r="D951" t="str">
            <v>E0185075</v>
          </cell>
          <cell r="E951" t="str">
            <v>BRILLON DAVID J MD</v>
          </cell>
          <cell r="G951" t="str">
            <v>Kathryn Spaziani</v>
          </cell>
          <cell r="H951" t="str">
            <v>(212) 305-1190</v>
          </cell>
          <cell r="J951" t="str">
            <v>kas9171@nyp.org</v>
          </cell>
          <cell r="L951" t="str">
            <v>All Other:: Practitioner - Non-Primary Care Provider (PCP)</v>
          </cell>
          <cell r="M951" t="str">
            <v>No</v>
          </cell>
          <cell r="R951" t="str">
            <v>BRILLON DAVID</v>
          </cell>
          <cell r="W951" t="str">
            <v>BRILLON DAVID J MD</v>
          </cell>
          <cell r="X951" t="str">
            <v>1300 YORK AVE</v>
          </cell>
          <cell r="Y951" t="str">
            <v>NEW YORK</v>
          </cell>
          <cell r="Z951" t="str">
            <v>NY</v>
          </cell>
          <cell r="AA951" t="str">
            <v>10065-4805</v>
          </cell>
          <cell r="AB951" t="str">
            <v>PHYSICIAN</v>
          </cell>
          <cell r="AC951" t="str">
            <v>M</v>
          </cell>
          <cell r="AD951" t="str">
            <v>No</v>
          </cell>
          <cell r="AE951" t="str">
            <v>MMIS</v>
          </cell>
          <cell r="AF951" t="str">
            <v>nypeastacn</v>
          </cell>
          <cell r="AG951" t="str">
            <v>P</v>
          </cell>
        </row>
        <row r="952">
          <cell r="A952" t="str">
            <v>1992904106</v>
          </cell>
          <cell r="B952" t="str">
            <v>02828022</v>
          </cell>
          <cell r="C952" t="str">
            <v>BERNSTEIN, ROBERT M</v>
          </cell>
          <cell r="D952" t="str">
            <v>E0017393</v>
          </cell>
          <cell r="E952" t="str">
            <v>BERNSTEIN ROBERT</v>
          </cell>
          <cell r="G952" t="str">
            <v>Kathryn Spaziani</v>
          </cell>
          <cell r="H952" t="str">
            <v>(212) 305-1190</v>
          </cell>
          <cell r="J952" t="str">
            <v>kas9171@nyp.org</v>
          </cell>
          <cell r="L952" t="str">
            <v>Practitioner - Non-Primary Care Provider (PCP)</v>
          </cell>
          <cell r="M952" t="str">
            <v>No</v>
          </cell>
          <cell r="R952" t="str">
            <v>BERNSTEIN ROBERT DR.</v>
          </cell>
          <cell r="W952" t="str">
            <v>BERNSTEIN ROBERT</v>
          </cell>
          <cell r="X952" t="str">
            <v>161 FORT WASHINGTON AVE</v>
          </cell>
          <cell r="Y952" t="str">
            <v>NEW YORK</v>
          </cell>
          <cell r="Z952" t="str">
            <v>NY</v>
          </cell>
          <cell r="AA952" t="str">
            <v>10032-3729</v>
          </cell>
          <cell r="AB952" t="str">
            <v>PHYSICIAN</v>
          </cell>
          <cell r="AC952" t="str">
            <v>M</v>
          </cell>
          <cell r="AD952" t="str">
            <v>No</v>
          </cell>
          <cell r="AE952" t="str">
            <v>MMIS</v>
          </cell>
          <cell r="AF952" t="str">
            <v>nypwestacn</v>
          </cell>
          <cell r="AG952" t="str">
            <v>P</v>
          </cell>
        </row>
        <row r="953">
          <cell r="A953" t="str">
            <v>1992928667</v>
          </cell>
          <cell r="B953" t="str">
            <v>02912701</v>
          </cell>
          <cell r="C953" t="str">
            <v>ECK, KAREN E</v>
          </cell>
          <cell r="D953" t="str">
            <v>E0008937</v>
          </cell>
          <cell r="E953" t="str">
            <v>ECK KAREN</v>
          </cell>
          <cell r="G953" t="str">
            <v>Kathryn Spaziani</v>
          </cell>
          <cell r="H953" t="str">
            <v>(212) 305-1190</v>
          </cell>
          <cell r="J953" t="str">
            <v>kas9171@nyp.org</v>
          </cell>
          <cell r="L953" t="str">
            <v>Practitioner - Non-Primary Care Provider (PCP)</v>
          </cell>
          <cell r="M953" t="str">
            <v>No</v>
          </cell>
          <cell r="R953" t="str">
            <v>ECK KAREN MS.</v>
          </cell>
          <cell r="W953" t="str">
            <v>ECK KAREN</v>
          </cell>
          <cell r="X953" t="str">
            <v>180 FORT WASHINGTON AVE</v>
          </cell>
          <cell r="Y953" t="str">
            <v>NEW YORK</v>
          </cell>
          <cell r="Z953" t="str">
            <v>NY</v>
          </cell>
          <cell r="AA953" t="str">
            <v>10032-3722</v>
          </cell>
          <cell r="AB953" t="str">
            <v>PHYSICIAN</v>
          </cell>
          <cell r="AC953" t="str">
            <v>M</v>
          </cell>
          <cell r="AD953" t="str">
            <v>No</v>
          </cell>
          <cell r="AE953" t="str">
            <v>MMIS</v>
          </cell>
          <cell r="AF953" t="str">
            <v>nypwestcampus</v>
          </cell>
          <cell r="AG953" t="str">
            <v>P</v>
          </cell>
        </row>
        <row r="954">
          <cell r="A954" t="str">
            <v>1457528655</v>
          </cell>
          <cell r="B954" t="str">
            <v>03220037</v>
          </cell>
          <cell r="C954" t="str">
            <v>NOZAD, CYRUS H</v>
          </cell>
          <cell r="D954" t="str">
            <v>E0306646</v>
          </cell>
          <cell r="E954" t="str">
            <v>NOZAD CYRUS H MD</v>
          </cell>
          <cell r="G954" t="str">
            <v>Kathryn Spaziani</v>
          </cell>
          <cell r="H954" t="str">
            <v>(212) 305-1190</v>
          </cell>
          <cell r="J954" t="str">
            <v>kas9171@nyp.org</v>
          </cell>
          <cell r="L954" t="str">
            <v>Practitioner - Non-Primary Care Provider (PCP)</v>
          </cell>
          <cell r="M954" t="str">
            <v>No</v>
          </cell>
          <cell r="R954" t="str">
            <v>NOZAD CYRUS DR.</v>
          </cell>
          <cell r="W954" t="str">
            <v>NOZAD CYRUS H MD</v>
          </cell>
          <cell r="X954" t="str">
            <v>3959 BROADWAY</v>
          </cell>
          <cell r="Y954" t="str">
            <v>NEW YORK</v>
          </cell>
          <cell r="Z954" t="str">
            <v>NY</v>
          </cell>
          <cell r="AA954" t="str">
            <v>10032-1559</v>
          </cell>
          <cell r="AB954" t="str">
            <v>PHYSICIAN</v>
          </cell>
          <cell r="AC954" t="str">
            <v>M</v>
          </cell>
          <cell r="AD954" t="str">
            <v>No</v>
          </cell>
          <cell r="AE954" t="str">
            <v>MMIS</v>
          </cell>
          <cell r="AF954" t="str">
            <v>nypwestcampus</v>
          </cell>
          <cell r="AG954" t="str">
            <v>P</v>
          </cell>
        </row>
        <row r="955">
          <cell r="A955" t="str">
            <v>1457542573</v>
          </cell>
          <cell r="B955" t="str">
            <v>03468504</v>
          </cell>
          <cell r="C955" t="str">
            <v xml:space="preserve">OUYANG, HELEN </v>
          </cell>
          <cell r="D955" t="str">
            <v>E0335517</v>
          </cell>
          <cell r="E955" t="str">
            <v>OUYANG HELEN</v>
          </cell>
          <cell r="G955" t="str">
            <v>Kathryn Spaziani</v>
          </cell>
          <cell r="H955" t="str">
            <v>(212) 305-1190</v>
          </cell>
          <cell r="J955" t="str">
            <v>kas9171@nyp.org</v>
          </cell>
          <cell r="L955" t="str">
            <v>Practitioner - Non-Primary Care Provider (PCP)</v>
          </cell>
          <cell r="M955" t="str">
            <v>No</v>
          </cell>
          <cell r="R955" t="str">
            <v>OUYANG HELEN</v>
          </cell>
          <cell r="W955" t="str">
            <v>OUYANG HELEN</v>
          </cell>
          <cell r="X955" t="str">
            <v>622 W 168TH ST PH 1-137</v>
          </cell>
          <cell r="Y955" t="str">
            <v>NEW YORK</v>
          </cell>
          <cell r="Z955" t="str">
            <v>NY</v>
          </cell>
          <cell r="AA955" t="str">
            <v>10032-3720</v>
          </cell>
          <cell r="AB955" t="str">
            <v>PHYSICIAN</v>
          </cell>
          <cell r="AC955" t="str">
            <v>M</v>
          </cell>
          <cell r="AD955" t="str">
            <v>No</v>
          </cell>
          <cell r="AE955" t="str">
            <v>MMIS</v>
          </cell>
          <cell r="AF955" t="str">
            <v>nypwestcampus</v>
          </cell>
          <cell r="AG955" t="str">
            <v>P</v>
          </cell>
        </row>
        <row r="956">
          <cell r="A956" t="str">
            <v>1336308758</v>
          </cell>
          <cell r="B956" t="str">
            <v>03498937</v>
          </cell>
          <cell r="C956" t="str">
            <v>Keros, Sotirios</v>
          </cell>
          <cell r="D956" t="str">
            <v>E0339486</v>
          </cell>
          <cell r="E956" t="str">
            <v>KEROS SOTIRIOS TONY</v>
          </cell>
          <cell r="G956" t="str">
            <v>Kathryn Spaziani</v>
          </cell>
          <cell r="H956" t="str">
            <v>(212) 305-1190</v>
          </cell>
          <cell r="J956" t="str">
            <v>kas9171@nyp.org</v>
          </cell>
          <cell r="L956" t="str">
            <v>All Other:: Practitioner - Non-Primary Care Provider (PCP)</v>
          </cell>
          <cell r="M956" t="str">
            <v>No</v>
          </cell>
          <cell r="R956" t="str">
            <v>KEROS SOTIRIOS DR.</v>
          </cell>
          <cell r="W956" t="str">
            <v>KEROS SOTIRIOS TONY</v>
          </cell>
          <cell r="X956" t="str">
            <v>525 E 68TH ST # 225 &amp; # 585</v>
          </cell>
          <cell r="Y956" t="str">
            <v>NEW YORK</v>
          </cell>
          <cell r="Z956" t="str">
            <v>NY</v>
          </cell>
          <cell r="AA956" t="str">
            <v>10065-4870</v>
          </cell>
          <cell r="AB956" t="str">
            <v>PHYSICIAN</v>
          </cell>
          <cell r="AC956" t="str">
            <v>M</v>
          </cell>
          <cell r="AD956" t="str">
            <v>No</v>
          </cell>
          <cell r="AE956" t="str">
            <v>MMIS</v>
          </cell>
          <cell r="AF956" t="str">
            <v>nypeastacn</v>
          </cell>
          <cell r="AG956" t="str">
            <v>P</v>
          </cell>
        </row>
        <row r="957">
          <cell r="A957" t="str">
            <v>1114186731</v>
          </cell>
          <cell r="B957" t="str">
            <v>03495127</v>
          </cell>
          <cell r="C957" t="str">
            <v>ULANE, CHRISTINA M</v>
          </cell>
          <cell r="D957" t="str">
            <v>E0339052</v>
          </cell>
          <cell r="E957" t="str">
            <v>ULANE CHRISTINA MARIE</v>
          </cell>
          <cell r="G957" t="str">
            <v>Kathryn Spaziani</v>
          </cell>
          <cell r="H957" t="str">
            <v>(212) 305-1190</v>
          </cell>
          <cell r="J957" t="str">
            <v>kas9171@nyp.org</v>
          </cell>
          <cell r="L957" t="str">
            <v>Practitioner - Non-Primary Care Provider (PCP)</v>
          </cell>
          <cell r="M957" t="str">
            <v>No</v>
          </cell>
          <cell r="R957" t="str">
            <v>ULANE CHRISTINA DR.</v>
          </cell>
          <cell r="W957" t="str">
            <v>ULANE CHRISTINA MARIE</v>
          </cell>
          <cell r="X957" t="str">
            <v>710 W 168TH ST</v>
          </cell>
          <cell r="Y957" t="str">
            <v>NEW YORK</v>
          </cell>
          <cell r="Z957" t="str">
            <v>NY</v>
          </cell>
          <cell r="AA957" t="str">
            <v>10032-3726</v>
          </cell>
          <cell r="AB957" t="str">
            <v>PHYSICIAN</v>
          </cell>
          <cell r="AC957" t="str">
            <v>M</v>
          </cell>
          <cell r="AD957" t="str">
            <v>No</v>
          </cell>
          <cell r="AE957" t="str">
            <v>MMIS</v>
          </cell>
          <cell r="AF957" t="str">
            <v>nypwestcampus</v>
          </cell>
          <cell r="AG957" t="str">
            <v>P</v>
          </cell>
        </row>
        <row r="958">
          <cell r="A958" t="str">
            <v>1164842928</v>
          </cell>
          <cell r="C958" t="str">
            <v>Fong Ronald</v>
          </cell>
          <cell r="G958" t="str">
            <v>Kathryn Spaziani</v>
          </cell>
          <cell r="H958" t="str">
            <v>(212) 305-1255</v>
          </cell>
          <cell r="J958" t="str">
            <v>kas9171@nyp.org</v>
          </cell>
          <cell r="K958" t="str">
            <v>Physician</v>
          </cell>
          <cell r="L958" t="str">
            <v>Uncategorized</v>
          </cell>
          <cell r="M958" t="str">
            <v>No</v>
          </cell>
          <cell r="R958" t="str">
            <v>FONG RONALD</v>
          </cell>
          <cell r="S958" t="str">
            <v>622 W 168TH ST, PH 5-133</v>
          </cell>
          <cell r="T958" t="str">
            <v>NEW YORK</v>
          </cell>
          <cell r="U958" t="str">
            <v>NY</v>
          </cell>
          <cell r="V958" t="str">
            <v>100323720</v>
          </cell>
          <cell r="AC958" t="str">
            <v>M</v>
          </cell>
          <cell r="AD958" t="str">
            <v>No</v>
          </cell>
          <cell r="AE958" t="str">
            <v>NPI only</v>
          </cell>
          <cell r="AF958" t="str">
            <v>nypwestcampus</v>
          </cell>
          <cell r="AG958" t="str">
            <v>P</v>
          </cell>
        </row>
        <row r="959">
          <cell r="A959" t="str">
            <v>1427478395</v>
          </cell>
          <cell r="C959" t="str">
            <v>Fried Eric</v>
          </cell>
          <cell r="G959" t="str">
            <v>Kathryn Spaziani</v>
          </cell>
          <cell r="H959" t="str">
            <v>(212) 305-1255</v>
          </cell>
          <cell r="J959" t="str">
            <v>kas9171@nyp.org</v>
          </cell>
          <cell r="K959" t="str">
            <v>Physician</v>
          </cell>
          <cell r="L959" t="str">
            <v>Uncategorized</v>
          </cell>
          <cell r="M959" t="str">
            <v>No</v>
          </cell>
          <cell r="R959" t="str">
            <v>FRIED ERIC DR.</v>
          </cell>
          <cell r="S959" t="str">
            <v>622 W 168TH ST, PH5-133</v>
          </cell>
          <cell r="T959" t="str">
            <v>NEW YORK</v>
          </cell>
          <cell r="U959" t="str">
            <v>NY</v>
          </cell>
          <cell r="V959" t="str">
            <v>100323720</v>
          </cell>
          <cell r="AC959" t="str">
            <v>M</v>
          </cell>
          <cell r="AD959" t="str">
            <v>No</v>
          </cell>
          <cell r="AE959" t="str">
            <v>NPI only</v>
          </cell>
          <cell r="AF959" t="str">
            <v>nypwestcampus</v>
          </cell>
          <cell r="AG959" t="str">
            <v>P</v>
          </cell>
        </row>
        <row r="960">
          <cell r="A960" t="str">
            <v>1528358231</v>
          </cell>
          <cell r="B960" t="str">
            <v>04514710</v>
          </cell>
          <cell r="C960" t="str">
            <v>Friedman Allen</v>
          </cell>
          <cell r="D960" t="str">
            <v>E0436602</v>
          </cell>
          <cell r="E960" t="str">
            <v>FRIEDMAN ALLEN</v>
          </cell>
          <cell r="G960" t="str">
            <v>Kathryn Spaziani</v>
          </cell>
          <cell r="H960" t="str">
            <v>(212) 305-1255</v>
          </cell>
          <cell r="J960" t="str">
            <v>kas9171@nyp.org</v>
          </cell>
          <cell r="L960" t="str">
            <v>Practitioner - Non-Primary Care Provider (PCP)</v>
          </cell>
          <cell r="M960" t="str">
            <v>No</v>
          </cell>
          <cell r="R960" t="str">
            <v>FRIEDMAN ALLEN</v>
          </cell>
          <cell r="W960" t="str">
            <v>FRIEDMAN ALLEN</v>
          </cell>
          <cell r="AB960" t="str">
            <v>PHYSICIAN</v>
          </cell>
          <cell r="AC960" t="str">
            <v>M</v>
          </cell>
          <cell r="AD960" t="str">
            <v>No</v>
          </cell>
          <cell r="AE960" t="str">
            <v>MMIS</v>
          </cell>
          <cell r="AF960" t="str">
            <v>nypwestcampus</v>
          </cell>
          <cell r="AG960" t="str">
            <v>P</v>
          </cell>
        </row>
        <row r="961">
          <cell r="A961" t="str">
            <v>1881854438</v>
          </cell>
          <cell r="B961" t="str">
            <v>03109368</v>
          </cell>
          <cell r="C961" t="str">
            <v>Talenfeld Adam</v>
          </cell>
          <cell r="D961" t="str">
            <v>E0294114</v>
          </cell>
          <cell r="E961" t="str">
            <v>ADAM DANIEL TALENFELD MD</v>
          </cell>
          <cell r="L961" t="str">
            <v>All Other:: Practitioner - Non-Primary Care Provider (PCP)</v>
          </cell>
          <cell r="M961" t="str">
            <v>No</v>
          </cell>
          <cell r="R961" t="str">
            <v>TALENFELD ADAM</v>
          </cell>
          <cell r="W961" t="str">
            <v>TALENFELD ADAM DANIEL MD</v>
          </cell>
          <cell r="X961" t="str">
            <v>24 HOSPITAL AVE</v>
          </cell>
          <cell r="Y961" t="str">
            <v>DANBURY</v>
          </cell>
          <cell r="Z961" t="str">
            <v>CT</v>
          </cell>
          <cell r="AA961" t="str">
            <v>06810-6099</v>
          </cell>
          <cell r="AB961" t="str">
            <v>PHYSICIAN</v>
          </cell>
          <cell r="AC961" t="str">
            <v>M</v>
          </cell>
          <cell r="AD961" t="str">
            <v>No</v>
          </cell>
          <cell r="AE961" t="str">
            <v>MMIS</v>
          </cell>
          <cell r="AF961" t="str">
            <v>nypeastcampus</v>
          </cell>
          <cell r="AG961" t="str">
            <v>P</v>
          </cell>
        </row>
        <row r="962">
          <cell r="A962" t="str">
            <v>1962416719</v>
          </cell>
          <cell r="B962" t="str">
            <v>01260351</v>
          </cell>
          <cell r="C962" t="str">
            <v>Trost David</v>
          </cell>
          <cell r="D962" t="str">
            <v>E0173871</v>
          </cell>
          <cell r="E962" t="str">
            <v>TROST DAVID W MD</v>
          </cell>
          <cell r="L962" t="str">
            <v>All Other:: Practitioner - Non-Primary Care Provider (PCP)</v>
          </cell>
          <cell r="M962" t="str">
            <v>No</v>
          </cell>
          <cell r="R962" t="str">
            <v>TROST DAVID</v>
          </cell>
          <cell r="W962" t="str">
            <v>TROST DAVID W MD</v>
          </cell>
          <cell r="X962" t="str">
            <v>525 E 68TH ST</v>
          </cell>
          <cell r="Y962" t="str">
            <v>NEW YORK</v>
          </cell>
          <cell r="Z962" t="str">
            <v>NY</v>
          </cell>
          <cell r="AA962" t="str">
            <v>10065-4870</v>
          </cell>
          <cell r="AB962" t="str">
            <v>PHYSICIAN</v>
          </cell>
          <cell r="AC962" t="str">
            <v>M</v>
          </cell>
          <cell r="AD962" t="str">
            <v>No</v>
          </cell>
          <cell r="AE962" t="str">
            <v>MMIS</v>
          </cell>
          <cell r="AF962" t="str">
            <v>nypeastcampus</v>
          </cell>
          <cell r="AG962" t="str">
            <v>P</v>
          </cell>
        </row>
        <row r="963">
          <cell r="A963" t="str">
            <v>1366562233</v>
          </cell>
          <cell r="B963" t="str">
            <v>03323291</v>
          </cell>
          <cell r="C963" t="str">
            <v>Mosquera Juan</v>
          </cell>
          <cell r="D963" t="str">
            <v>E0318331</v>
          </cell>
          <cell r="E963" t="str">
            <v>MOSQUERA JUAN</v>
          </cell>
          <cell r="G963" t="str">
            <v>Kathryn Spaziani</v>
          </cell>
          <cell r="H963" t="str">
            <v>(212) 305-1225</v>
          </cell>
          <cell r="J963" t="str">
            <v>kas9171@nyp.org</v>
          </cell>
          <cell r="L963" t="str">
            <v>All Other:: Practitioner - Non-Primary Care Provider (PCP)</v>
          </cell>
          <cell r="M963" t="str">
            <v>No</v>
          </cell>
          <cell r="R963" t="str">
            <v>MOSQUERA JUAN MIGUEL DR.</v>
          </cell>
          <cell r="W963" t="str">
            <v>MOSQUERA JUAN</v>
          </cell>
          <cell r="X963" t="str">
            <v>525 E 68TH ST</v>
          </cell>
          <cell r="Y963" t="str">
            <v>NEW YORK</v>
          </cell>
          <cell r="Z963" t="str">
            <v>NY</v>
          </cell>
          <cell r="AA963" t="str">
            <v>10065-4870</v>
          </cell>
          <cell r="AB963" t="str">
            <v>PHYSICIAN</v>
          </cell>
          <cell r="AC963" t="str">
            <v>M</v>
          </cell>
          <cell r="AD963" t="str">
            <v>No</v>
          </cell>
          <cell r="AE963" t="str">
            <v>MMIS</v>
          </cell>
          <cell r="AF963" t="str">
            <v>nypeastcampus</v>
          </cell>
          <cell r="AG963" t="str">
            <v>P</v>
          </cell>
        </row>
        <row r="964">
          <cell r="A964" t="str">
            <v>1023051786</v>
          </cell>
          <cell r="B964" t="str">
            <v>02762265</v>
          </cell>
          <cell r="C964" t="str">
            <v>Pirog Edyta</v>
          </cell>
          <cell r="D964" t="str">
            <v>E0023966</v>
          </cell>
          <cell r="E964" t="str">
            <v>PIROG EDYTA</v>
          </cell>
          <cell r="G964" t="str">
            <v>Kathryn Spaziani</v>
          </cell>
          <cell r="H964" t="str">
            <v>(212) 305-1226</v>
          </cell>
          <cell r="J964" t="str">
            <v>kas9171@nyp.org</v>
          </cell>
          <cell r="L964" t="str">
            <v>All Other:: Practitioner - Non-Primary Care Provider (PCP)</v>
          </cell>
          <cell r="M964" t="str">
            <v>No</v>
          </cell>
          <cell r="R964" t="str">
            <v>PIROG EDYTA DR.</v>
          </cell>
          <cell r="W964" t="str">
            <v>PIROG EDYTA</v>
          </cell>
          <cell r="X964" t="str">
            <v>525 E 68TH ST</v>
          </cell>
          <cell r="Y964" t="str">
            <v>NEW YORK</v>
          </cell>
          <cell r="Z964" t="str">
            <v>NY</v>
          </cell>
          <cell r="AA964" t="str">
            <v>10065-4870</v>
          </cell>
          <cell r="AB964" t="str">
            <v>PHYSICIAN</v>
          </cell>
          <cell r="AC964" t="str">
            <v>M</v>
          </cell>
          <cell r="AD964" t="str">
            <v>No</v>
          </cell>
          <cell r="AE964" t="str">
            <v>MMIS</v>
          </cell>
          <cell r="AF964" t="str">
            <v>nypeastcampus</v>
          </cell>
          <cell r="AG964" t="str">
            <v>P</v>
          </cell>
        </row>
        <row r="965">
          <cell r="A965" t="str">
            <v>1457332751</v>
          </cell>
          <cell r="B965" t="str">
            <v>02510965</v>
          </cell>
          <cell r="C965" t="str">
            <v>Qin Lihui</v>
          </cell>
          <cell r="D965" t="str">
            <v>E0049045</v>
          </cell>
          <cell r="E965" t="str">
            <v>QIN LIHUI MD</v>
          </cell>
          <cell r="G965" t="str">
            <v>Kathryn Spaziani</v>
          </cell>
          <cell r="H965" t="str">
            <v>(212) 305-1227</v>
          </cell>
          <cell r="J965" t="str">
            <v>kas9171@nyp.org</v>
          </cell>
          <cell r="L965" t="str">
            <v>All Other:: Practitioner - Non-Primary Care Provider (PCP)</v>
          </cell>
          <cell r="M965" t="str">
            <v>No</v>
          </cell>
          <cell r="R965" t="str">
            <v>QIN LIHUI</v>
          </cell>
          <cell r="W965" t="str">
            <v>QIN LIHUI</v>
          </cell>
          <cell r="X965" t="str">
            <v>1428 30TH MADISON AVENUE</v>
          </cell>
          <cell r="Y965" t="str">
            <v>NEW YORK</v>
          </cell>
          <cell r="Z965" t="str">
            <v>NY</v>
          </cell>
          <cell r="AA965" t="str">
            <v>10128</v>
          </cell>
          <cell r="AB965" t="str">
            <v>PHYSICIAN</v>
          </cell>
          <cell r="AC965" t="str">
            <v>M</v>
          </cell>
          <cell r="AD965" t="str">
            <v>No</v>
          </cell>
          <cell r="AE965" t="str">
            <v>MMIS</v>
          </cell>
          <cell r="AF965" t="str">
            <v>nypeastacn</v>
          </cell>
          <cell r="AG965" t="str">
            <v>P</v>
          </cell>
        </row>
        <row r="966">
          <cell r="A966" t="str">
            <v>1093789018</v>
          </cell>
          <cell r="B966" t="str">
            <v>02683934</v>
          </cell>
          <cell r="C966" t="str">
            <v>Lin Helen</v>
          </cell>
          <cell r="D966" t="str">
            <v>E0031784</v>
          </cell>
          <cell r="E966" t="str">
            <v>LIN HELEN MD</v>
          </cell>
          <cell r="L966" t="str">
            <v>All Other:: Practitioner - Non-Primary Care Provider (PCP)</v>
          </cell>
          <cell r="M966" t="str">
            <v>No</v>
          </cell>
          <cell r="R966" t="str">
            <v>LIN HELEN DR.</v>
          </cell>
          <cell r="W966" t="str">
            <v>LIN HELEN MD</v>
          </cell>
          <cell r="X966" t="str">
            <v>200 LOTHROP ST</v>
          </cell>
          <cell r="Y966" t="str">
            <v>PITTSBURGH</v>
          </cell>
          <cell r="Z966" t="str">
            <v>PA</v>
          </cell>
          <cell r="AA966" t="str">
            <v>15213-2536</v>
          </cell>
          <cell r="AB966" t="str">
            <v>PHYSICIAN</v>
          </cell>
          <cell r="AC966" t="str">
            <v>M</v>
          </cell>
          <cell r="AD966" t="str">
            <v>No</v>
          </cell>
          <cell r="AE966" t="str">
            <v>MMIS</v>
          </cell>
          <cell r="AF966" t="str">
            <v>nypeastcampus</v>
          </cell>
          <cell r="AG966" t="str">
            <v>P</v>
          </cell>
        </row>
        <row r="967">
          <cell r="A967" t="str">
            <v>1316954910</v>
          </cell>
          <cell r="B967" t="str">
            <v>00495607</v>
          </cell>
          <cell r="C967" t="str">
            <v>KATZ, MONIQUE</v>
          </cell>
          <cell r="D967" t="str">
            <v>E0250095</v>
          </cell>
          <cell r="E967" t="str">
            <v>KATZ MONIQUE C             MD</v>
          </cell>
          <cell r="G967" t="str">
            <v>Kathryn Spaziani</v>
          </cell>
          <cell r="H967" t="str">
            <v>(212) 305-1269</v>
          </cell>
          <cell r="J967" t="str">
            <v>kas9171@nyp.org</v>
          </cell>
          <cell r="L967" t="str">
            <v>All Other:: Practitioner - Non-Primary Care Provider (PCP)</v>
          </cell>
          <cell r="M967" t="str">
            <v>No</v>
          </cell>
          <cell r="R967" t="str">
            <v>KATZ MONIQUE</v>
          </cell>
          <cell r="W967" t="str">
            <v>KATZ MONIQUE C             MD</v>
          </cell>
          <cell r="Y967" t="str">
            <v>NEW YORK</v>
          </cell>
          <cell r="Z967" t="str">
            <v>NY</v>
          </cell>
          <cell r="AA967" t="str">
            <v>10032-3720</v>
          </cell>
          <cell r="AB967" t="str">
            <v>PHYSICIAN</v>
          </cell>
          <cell r="AC967" t="str">
            <v>M</v>
          </cell>
          <cell r="AD967" t="str">
            <v>No</v>
          </cell>
          <cell r="AE967" t="str">
            <v>MMIS</v>
          </cell>
          <cell r="AF967" t="str">
            <v>nypwestacn</v>
          </cell>
          <cell r="AG967" t="str">
            <v>P</v>
          </cell>
        </row>
        <row r="968">
          <cell r="A968" t="str">
            <v>1568757607</v>
          </cell>
          <cell r="B968" t="str">
            <v>04317768</v>
          </cell>
          <cell r="C968" t="str">
            <v>Chiu Felicia</v>
          </cell>
          <cell r="D968" t="str">
            <v>E0423951</v>
          </cell>
          <cell r="E968" t="str">
            <v>CHIU FELICIA Y</v>
          </cell>
          <cell r="G968" t="str">
            <v>Kathryn Spaziani</v>
          </cell>
          <cell r="H968" t="str">
            <v>(212) 305-1255</v>
          </cell>
          <cell r="J968" t="str">
            <v>kas9171@nyp.org</v>
          </cell>
          <cell r="L968" t="str">
            <v>Practitioner - Non-Primary Care Provider (PCP)</v>
          </cell>
          <cell r="M968" t="str">
            <v>No</v>
          </cell>
          <cell r="R968" t="str">
            <v>CHIU FELICIA</v>
          </cell>
          <cell r="W968" t="str">
            <v>CHIU FELICIA Y</v>
          </cell>
          <cell r="X968" t="str">
            <v>622 W 168TH ST</v>
          </cell>
          <cell r="Y968" t="str">
            <v>NEW YORK</v>
          </cell>
          <cell r="Z968" t="str">
            <v>NY</v>
          </cell>
          <cell r="AA968" t="str">
            <v>10032-3720</v>
          </cell>
          <cell r="AB968" t="str">
            <v>PHYSICIAN</v>
          </cell>
          <cell r="AC968" t="str">
            <v>M</v>
          </cell>
          <cell r="AD968" t="str">
            <v>No</v>
          </cell>
          <cell r="AE968" t="str">
            <v>MMIS</v>
          </cell>
          <cell r="AF968" t="str">
            <v>nypwestcampus</v>
          </cell>
          <cell r="AG968" t="str">
            <v>P</v>
          </cell>
        </row>
        <row r="969">
          <cell r="A969" t="str">
            <v>1013193176</v>
          </cell>
          <cell r="B969" t="str">
            <v>03014371</v>
          </cell>
          <cell r="C969" t="str">
            <v>Bentley-Hibbert Stuart</v>
          </cell>
          <cell r="D969" t="str">
            <v>E0283203</v>
          </cell>
          <cell r="E969" t="str">
            <v>BENTLEY-HIBBERT STUART IAN MD</v>
          </cell>
          <cell r="L969" t="str">
            <v>All Other:: Practitioner - Non-Primary Care Provider (PCP)</v>
          </cell>
          <cell r="M969" t="str">
            <v>No</v>
          </cell>
          <cell r="R969" t="str">
            <v>BENTLEY-HIBBERT STUART DR.</v>
          </cell>
          <cell r="W969" t="str">
            <v>BENTLEY-HIBBERT STUART IAN MD</v>
          </cell>
          <cell r="X969" t="str">
            <v>525 E 68TH ST</v>
          </cell>
          <cell r="Y969" t="str">
            <v>NEW YORK</v>
          </cell>
          <cell r="Z969" t="str">
            <v>NY</v>
          </cell>
          <cell r="AA969" t="str">
            <v>10065-4870</v>
          </cell>
          <cell r="AB969" t="str">
            <v>PHYSICIAN</v>
          </cell>
          <cell r="AC969" t="str">
            <v>M</v>
          </cell>
          <cell r="AD969" t="str">
            <v>No</v>
          </cell>
          <cell r="AE969" t="str">
            <v>MMIS</v>
          </cell>
          <cell r="AF969" t="str">
            <v>nypwestcampus</v>
          </cell>
          <cell r="AG969" t="str">
            <v>P</v>
          </cell>
        </row>
        <row r="970">
          <cell r="A970" t="str">
            <v>1437114782</v>
          </cell>
          <cell r="B970" t="str">
            <v>02501224</v>
          </cell>
          <cell r="C970" t="str">
            <v>Hecht Elizabeth</v>
          </cell>
          <cell r="D970" t="str">
            <v>E0050015</v>
          </cell>
          <cell r="E970" t="str">
            <v>HECHT ELIZABETH M MD</v>
          </cell>
          <cell r="L970" t="str">
            <v>All Other:: Practitioner - Non-Primary Care Provider (PCP)</v>
          </cell>
          <cell r="M970" t="str">
            <v>No</v>
          </cell>
          <cell r="R970" t="str">
            <v>HECHT ELIZABETH DR.</v>
          </cell>
          <cell r="W970" t="str">
            <v>HECHT ELIZABETH M MD</v>
          </cell>
          <cell r="X970" t="str">
            <v>NYU RADIOLOGY ASSOC</v>
          </cell>
          <cell r="Y970" t="str">
            <v>NEW YORK</v>
          </cell>
          <cell r="Z970" t="str">
            <v>NY</v>
          </cell>
          <cell r="AA970" t="str">
            <v>10016-6402</v>
          </cell>
          <cell r="AB970" t="str">
            <v>PHYSICIAN</v>
          </cell>
          <cell r="AC970" t="str">
            <v>M</v>
          </cell>
          <cell r="AD970" t="str">
            <v>No</v>
          </cell>
          <cell r="AE970" t="str">
            <v>MMIS</v>
          </cell>
          <cell r="AF970" t="str">
            <v>nypwestcampus</v>
          </cell>
          <cell r="AG970" t="str">
            <v>P</v>
          </cell>
        </row>
        <row r="971">
          <cell r="A971" t="str">
            <v>1093977225</v>
          </cell>
          <cell r="B971" t="str">
            <v>03949731</v>
          </cell>
          <cell r="C971" t="str">
            <v>Carley Michelle</v>
          </cell>
          <cell r="D971" t="str">
            <v>E0386247</v>
          </cell>
          <cell r="E971" t="str">
            <v>CARLEY MICHELLE</v>
          </cell>
          <cell r="G971" t="str">
            <v>Kathryn Spaziani</v>
          </cell>
          <cell r="H971" t="str">
            <v>(212) 305-1255</v>
          </cell>
          <cell r="J971" t="str">
            <v>kas9171@nyp.org</v>
          </cell>
          <cell r="L971" t="str">
            <v>Practitioner - Non-Primary Care Provider (PCP)</v>
          </cell>
          <cell r="M971" t="str">
            <v>No</v>
          </cell>
          <cell r="R971" t="str">
            <v>CARLEY MICHELLE DR.</v>
          </cell>
          <cell r="W971" t="str">
            <v>CARLEY MICHELLE CHRISTINE</v>
          </cell>
          <cell r="X971" t="str">
            <v>525 E 68TH ST</v>
          </cell>
          <cell r="Y971" t="str">
            <v>NEW YORK</v>
          </cell>
          <cell r="Z971" t="str">
            <v>NY</v>
          </cell>
          <cell r="AA971" t="str">
            <v>10065-4870</v>
          </cell>
          <cell r="AB971" t="str">
            <v>PHYSICIAN</v>
          </cell>
          <cell r="AC971" t="str">
            <v>M</v>
          </cell>
          <cell r="AD971" t="str">
            <v>No</v>
          </cell>
          <cell r="AE971" t="str">
            <v>MMIS</v>
          </cell>
          <cell r="AF971" t="str">
            <v>nypeastcampus</v>
          </cell>
          <cell r="AG971" t="str">
            <v>P</v>
          </cell>
        </row>
        <row r="972">
          <cell r="A972" t="str">
            <v>1396801056</v>
          </cell>
          <cell r="C972" t="str">
            <v>Esther J. Pottoore</v>
          </cell>
          <cell r="G972" t="str">
            <v>Eva Eng</v>
          </cell>
          <cell r="H972" t="str">
            <v>(212) 752-4982</v>
          </cell>
          <cell r="J972" t="str">
            <v>eeng@archcare.org</v>
          </cell>
          <cell r="K972" t="str">
            <v>Other Practitioners</v>
          </cell>
          <cell r="L972" t="str">
            <v>Uncategorized</v>
          </cell>
          <cell r="M972" t="str">
            <v>No</v>
          </cell>
          <cell r="R972" t="str">
            <v>POTTOORE ESTHER</v>
          </cell>
          <cell r="S972" t="str">
            <v>2015 GRAND CONCOURSE, 4TH FLOOR</v>
          </cell>
          <cell r="T972" t="str">
            <v>BRONX</v>
          </cell>
          <cell r="U972" t="str">
            <v>NY</v>
          </cell>
          <cell r="V972" t="str">
            <v>104534303</v>
          </cell>
          <cell r="AC972" t="str">
            <v>M</v>
          </cell>
          <cell r="AD972" t="str">
            <v>No</v>
          </cell>
          <cell r="AE972" t="str">
            <v>NPI only</v>
          </cell>
          <cell r="AF972" t="str">
            <v>nypwestacn</v>
          </cell>
          <cell r="AG972" t="str">
            <v>P</v>
          </cell>
        </row>
        <row r="973">
          <cell r="A973" t="str">
            <v>1306098520</v>
          </cell>
          <cell r="B973" t="str">
            <v>03579908</v>
          </cell>
          <cell r="C973" t="str">
            <v>Chazen Joseph</v>
          </cell>
          <cell r="D973" t="str">
            <v>E0348084</v>
          </cell>
          <cell r="E973" t="str">
            <v>CHAZEN JOSEPH</v>
          </cell>
          <cell r="L973" t="str">
            <v>All Other:: Practitioner - Non-Primary Care Provider (PCP)</v>
          </cell>
          <cell r="M973" t="str">
            <v>No</v>
          </cell>
          <cell r="R973" t="str">
            <v>CHAZEN JOSEPH DR.</v>
          </cell>
          <cell r="W973" t="str">
            <v>CHAZEN JOSEPH LEVI</v>
          </cell>
          <cell r="X973" t="str">
            <v>2315 BROADWAY FRNT 4</v>
          </cell>
          <cell r="Y973" t="str">
            <v>NEW YORK</v>
          </cell>
          <cell r="Z973" t="str">
            <v>NY</v>
          </cell>
          <cell r="AA973" t="str">
            <v>10024-4332</v>
          </cell>
          <cell r="AB973" t="str">
            <v>PHYSICIAN</v>
          </cell>
          <cell r="AC973" t="str">
            <v>M</v>
          </cell>
          <cell r="AD973" t="str">
            <v>No</v>
          </cell>
          <cell r="AE973" t="str">
            <v>MMIS</v>
          </cell>
          <cell r="AF973" t="str">
            <v>nypeastcampus</v>
          </cell>
          <cell r="AG973" t="str">
            <v>P</v>
          </cell>
        </row>
        <row r="974">
          <cell r="A974" t="str">
            <v>1215183785</v>
          </cell>
          <cell r="B974" t="str">
            <v>03491494</v>
          </cell>
          <cell r="C974" t="str">
            <v>Chiang Gloria</v>
          </cell>
          <cell r="D974" t="str">
            <v>E0338656</v>
          </cell>
          <cell r="E974" t="str">
            <v>CHIANG GLORIA CHIA-YI</v>
          </cell>
          <cell r="L974" t="str">
            <v>All Other:: Practitioner - Non-Primary Care Provider (PCP)</v>
          </cell>
          <cell r="M974" t="str">
            <v>No</v>
          </cell>
          <cell r="R974" t="str">
            <v>CHIANG GLORIA DR.</v>
          </cell>
          <cell r="W974" t="str">
            <v>CHIANG GLORIA CHIA-YI</v>
          </cell>
          <cell r="X974" t="str">
            <v>525 E 68TH ST # 141</v>
          </cell>
          <cell r="Y974" t="str">
            <v>NEW YORK</v>
          </cell>
          <cell r="Z974" t="str">
            <v>NY</v>
          </cell>
          <cell r="AA974" t="str">
            <v>10065-4870</v>
          </cell>
          <cell r="AB974" t="str">
            <v>PHYSICIAN</v>
          </cell>
          <cell r="AC974" t="str">
            <v>M</v>
          </cell>
          <cell r="AD974" t="str">
            <v>No</v>
          </cell>
          <cell r="AE974" t="str">
            <v>MMIS</v>
          </cell>
          <cell r="AF974" t="str">
            <v>nypeastcampus</v>
          </cell>
          <cell r="AG974" t="str">
            <v>P</v>
          </cell>
        </row>
        <row r="975">
          <cell r="A975" t="str">
            <v>1548284763</v>
          </cell>
          <cell r="B975" t="str">
            <v>01626420</v>
          </cell>
          <cell r="C975" t="str">
            <v>Comunale Joseph</v>
          </cell>
          <cell r="D975" t="str">
            <v>E0137370</v>
          </cell>
          <cell r="E975" t="str">
            <v>COMUNALE JOSEPH P JR MD</v>
          </cell>
          <cell r="L975" t="str">
            <v>All Other:: Practitioner - Non-Primary Care Provider (PCP)</v>
          </cell>
          <cell r="M975" t="str">
            <v>No</v>
          </cell>
          <cell r="R975" t="str">
            <v>COMUNALE JOSEPH DR.</v>
          </cell>
          <cell r="W975" t="str">
            <v>COMUNALE JOSEPH P JR MD</v>
          </cell>
          <cell r="X975" t="str">
            <v>J T MATHER HOSPITAL</v>
          </cell>
          <cell r="Y975" t="str">
            <v>PORT JEFFERSON</v>
          </cell>
          <cell r="Z975" t="str">
            <v>NY</v>
          </cell>
          <cell r="AA975" t="str">
            <v>11777-2119</v>
          </cell>
          <cell r="AB975" t="str">
            <v>PHYSICIAN</v>
          </cell>
          <cell r="AC975" t="str">
            <v>M</v>
          </cell>
          <cell r="AD975" t="str">
            <v>No</v>
          </cell>
          <cell r="AE975" t="str">
            <v>MMIS</v>
          </cell>
          <cell r="AF975" t="str">
            <v>nypeastcampus</v>
          </cell>
          <cell r="AG975" t="str">
            <v>P</v>
          </cell>
        </row>
        <row r="976">
          <cell r="A976" t="str">
            <v>1881600922</v>
          </cell>
          <cell r="B976" t="str">
            <v>01144554</v>
          </cell>
          <cell r="C976" t="str">
            <v>Johnson Carl</v>
          </cell>
          <cell r="D976" t="str">
            <v>E0185426</v>
          </cell>
          <cell r="E976" t="str">
            <v>JOHNSON CARL MD</v>
          </cell>
          <cell r="L976" t="str">
            <v>All Other:: Practitioner - Non-Primary Care Provider (PCP)</v>
          </cell>
          <cell r="M976" t="str">
            <v>No</v>
          </cell>
          <cell r="R976" t="str">
            <v>JOHNSON CARL</v>
          </cell>
          <cell r="W976" t="str">
            <v>JOHNSON CARL MD</v>
          </cell>
          <cell r="X976" t="str">
            <v>BKLYN HGTS RADIOLOGY</v>
          </cell>
          <cell r="Y976" t="str">
            <v>BROOKLYN</v>
          </cell>
          <cell r="Z976" t="str">
            <v>NY</v>
          </cell>
          <cell r="AA976" t="str">
            <v>11201</v>
          </cell>
          <cell r="AB976" t="str">
            <v>PHYSICIAN</v>
          </cell>
          <cell r="AC976" t="str">
            <v>M</v>
          </cell>
          <cell r="AD976" t="str">
            <v>No</v>
          </cell>
          <cell r="AE976" t="str">
            <v>MMIS</v>
          </cell>
          <cell r="AF976" t="str">
            <v>nypeastcampus</v>
          </cell>
          <cell r="AG976" t="str">
            <v>P</v>
          </cell>
        </row>
        <row r="977">
          <cell r="A977" t="str">
            <v>1891844122</v>
          </cell>
          <cell r="B977" t="str">
            <v>03070651</v>
          </cell>
          <cell r="C977" t="str">
            <v>Phillips C. Douglas</v>
          </cell>
          <cell r="D977" t="str">
            <v>E0289564</v>
          </cell>
          <cell r="E977" t="str">
            <v>PHILLIPS CLIFFORD DOUGLAS MD</v>
          </cell>
          <cell r="L977" t="str">
            <v>All Other:: Practitioner - Non-Primary Care Provider (PCP)</v>
          </cell>
          <cell r="M977" t="str">
            <v>No</v>
          </cell>
          <cell r="R977" t="str">
            <v>PHILLIPS CLIFFORD</v>
          </cell>
          <cell r="W977" t="str">
            <v>PHILLIPS CLIFFORD DOUGLAS MD</v>
          </cell>
          <cell r="X977" t="str">
            <v>525 E 68TH ST</v>
          </cell>
          <cell r="Y977" t="str">
            <v>NEW YORK</v>
          </cell>
          <cell r="Z977" t="str">
            <v>NY</v>
          </cell>
          <cell r="AA977" t="str">
            <v>10065-4870</v>
          </cell>
          <cell r="AB977" t="str">
            <v>PHYSICIAN</v>
          </cell>
          <cell r="AC977" t="str">
            <v>M</v>
          </cell>
          <cell r="AD977" t="str">
            <v>No</v>
          </cell>
          <cell r="AE977" t="str">
            <v>MMIS</v>
          </cell>
          <cell r="AF977" t="str">
            <v>nypeastcampus</v>
          </cell>
          <cell r="AG977" t="str">
            <v>P</v>
          </cell>
        </row>
        <row r="978">
          <cell r="A978" t="str">
            <v>1104830017</v>
          </cell>
          <cell r="B978" t="str">
            <v>02389191</v>
          </cell>
          <cell r="C978" t="str">
            <v>Tsiouris Apostolos</v>
          </cell>
          <cell r="D978" t="str">
            <v>E0061205</v>
          </cell>
          <cell r="E978" t="str">
            <v>TSIOURIS APOSTOLOS JOHN MD</v>
          </cell>
          <cell r="L978" t="str">
            <v>All Other:: Practitioner - Non-Primary Care Provider (PCP)</v>
          </cell>
          <cell r="M978" t="str">
            <v>No</v>
          </cell>
          <cell r="R978" t="str">
            <v>TSIOURIS APOSTOLOS</v>
          </cell>
          <cell r="W978" t="str">
            <v>TSIOURIS APOSTOLOS JOHN MD</v>
          </cell>
          <cell r="X978" t="str">
            <v>525 E 68TH ST # 141&amp;585</v>
          </cell>
          <cell r="Y978" t="str">
            <v>NEW YORK</v>
          </cell>
          <cell r="Z978" t="str">
            <v>NY</v>
          </cell>
          <cell r="AA978" t="str">
            <v>10065-4870</v>
          </cell>
          <cell r="AB978" t="str">
            <v>PHYSICIAN</v>
          </cell>
          <cell r="AC978" t="str">
            <v>M</v>
          </cell>
          <cell r="AD978" t="str">
            <v>No</v>
          </cell>
          <cell r="AE978" t="str">
            <v>MMIS</v>
          </cell>
          <cell r="AF978" t="str">
            <v>nypeastcampus</v>
          </cell>
          <cell r="AG978" t="str">
            <v>P</v>
          </cell>
        </row>
        <row r="979">
          <cell r="A979" t="str">
            <v>1871507442</v>
          </cell>
          <cell r="B979" t="str">
            <v>00258122</v>
          </cell>
          <cell r="C979" t="str">
            <v>Zimmerman Robert</v>
          </cell>
          <cell r="D979" t="str">
            <v>E0273178</v>
          </cell>
          <cell r="E979" t="str">
            <v>ZIMMERMAN ROBERT           MD</v>
          </cell>
          <cell r="L979" t="str">
            <v>All Other:: Practitioner - Non-Primary Care Provider (PCP)</v>
          </cell>
          <cell r="M979" t="str">
            <v>No</v>
          </cell>
          <cell r="R979" t="str">
            <v>ZIMMERMAN ROBERT</v>
          </cell>
          <cell r="W979" t="str">
            <v>ZIMMERMAN ROBERT           MD</v>
          </cell>
          <cell r="X979" t="str">
            <v>NYH-CORNELL UNIV MC</v>
          </cell>
          <cell r="Y979" t="str">
            <v>NEW YORK</v>
          </cell>
          <cell r="Z979" t="str">
            <v>NY</v>
          </cell>
          <cell r="AA979" t="str">
            <v>10021</v>
          </cell>
          <cell r="AB979" t="str">
            <v>PHYSICIAN</v>
          </cell>
          <cell r="AC979" t="str">
            <v>M</v>
          </cell>
          <cell r="AD979" t="str">
            <v>No</v>
          </cell>
          <cell r="AE979" t="str">
            <v>MMIS</v>
          </cell>
          <cell r="AF979" t="str">
            <v>nypeastcampus</v>
          </cell>
          <cell r="AG979" t="str">
            <v>P</v>
          </cell>
        </row>
        <row r="980">
          <cell r="A980" t="str">
            <v>1225048994</v>
          </cell>
          <cell r="B980" t="str">
            <v>00250748</v>
          </cell>
          <cell r="C980" t="str">
            <v>Goldsmith Stanley</v>
          </cell>
          <cell r="D980" t="str">
            <v>E0273434</v>
          </cell>
          <cell r="E980" t="str">
            <v>GOLDSMITH STANLEY J        MD</v>
          </cell>
          <cell r="L980" t="str">
            <v>All Other:: Practitioner - Non-Primary Care Provider (PCP)</v>
          </cell>
          <cell r="M980" t="str">
            <v>No</v>
          </cell>
          <cell r="R980" t="str">
            <v>GOLDSMITH STANLEY</v>
          </cell>
          <cell r="W980" t="str">
            <v>GOLDSMITH STANLEY J        MD</v>
          </cell>
          <cell r="X980" t="str">
            <v>NYH-CUMC RADIOLOGY</v>
          </cell>
          <cell r="Y980" t="str">
            <v>NEW YORK</v>
          </cell>
          <cell r="Z980" t="str">
            <v>NY</v>
          </cell>
          <cell r="AA980" t="str">
            <v>10065-4870</v>
          </cell>
          <cell r="AB980" t="str">
            <v>PHYSICIAN</v>
          </cell>
          <cell r="AC980" t="str">
            <v>M</v>
          </cell>
          <cell r="AD980" t="str">
            <v>No</v>
          </cell>
          <cell r="AE980" t="str">
            <v>MMIS</v>
          </cell>
          <cell r="AF980" t="str">
            <v>nypeastcampus</v>
          </cell>
          <cell r="AG980" t="str">
            <v>P</v>
          </cell>
        </row>
        <row r="981">
          <cell r="A981" t="str">
            <v>1790075638</v>
          </cell>
          <cell r="B981" t="str">
            <v>03481330</v>
          </cell>
          <cell r="C981" t="str">
            <v>Mozley Paul</v>
          </cell>
          <cell r="D981" t="str">
            <v>E0337513</v>
          </cell>
          <cell r="E981" t="str">
            <v>MOZLEY PAUL DAVID</v>
          </cell>
          <cell r="L981" t="str">
            <v>All Other:: Practitioner - Non-Primary Care Provider (PCP)</v>
          </cell>
          <cell r="M981" t="str">
            <v>No</v>
          </cell>
          <cell r="R981" t="str">
            <v>MOZLEY P. DAVID DR.</v>
          </cell>
          <cell r="W981" t="str">
            <v>MOZLEY PAUL DAVID</v>
          </cell>
          <cell r="X981" t="str">
            <v>525 E 68TH ST # 141&amp; # 585</v>
          </cell>
          <cell r="Y981" t="str">
            <v>NEW YORK</v>
          </cell>
          <cell r="Z981" t="str">
            <v>NY</v>
          </cell>
          <cell r="AA981" t="str">
            <v>10065-4870</v>
          </cell>
          <cell r="AB981" t="str">
            <v>PHYSICIAN</v>
          </cell>
          <cell r="AC981" t="str">
            <v>M</v>
          </cell>
          <cell r="AD981" t="str">
            <v>No</v>
          </cell>
          <cell r="AE981" t="str">
            <v>MMIS</v>
          </cell>
          <cell r="AF981" t="str">
            <v>nypeastacn</v>
          </cell>
          <cell r="AG981" t="str">
            <v>P</v>
          </cell>
        </row>
        <row r="982">
          <cell r="A982" t="str">
            <v>1740550672</v>
          </cell>
          <cell r="B982" t="str">
            <v>03624040</v>
          </cell>
          <cell r="C982" t="str">
            <v>Youn Trisha</v>
          </cell>
          <cell r="D982" t="str">
            <v>E0352662</v>
          </cell>
          <cell r="E982" t="str">
            <v>YOUN TRISHA YANGHEE</v>
          </cell>
          <cell r="L982" t="str">
            <v>All Other:: Practitioner - Non-Primary Care Provider (PCP)</v>
          </cell>
          <cell r="M982" t="str">
            <v>No</v>
          </cell>
          <cell r="R982" t="str">
            <v>YOUN TRISHA</v>
          </cell>
          <cell r="W982" t="str">
            <v>YOUN TRISHA</v>
          </cell>
          <cell r="X982" t="str">
            <v>2315 BROADWAY FRNT 4</v>
          </cell>
          <cell r="Y982" t="str">
            <v>NEW YORK</v>
          </cell>
          <cell r="Z982" t="str">
            <v>NY</v>
          </cell>
          <cell r="AA982" t="str">
            <v>10024-4332</v>
          </cell>
          <cell r="AB982" t="str">
            <v>PHYSICIAN</v>
          </cell>
          <cell r="AC982" t="str">
            <v>M</v>
          </cell>
          <cell r="AD982" t="str">
            <v>No</v>
          </cell>
          <cell r="AE982" t="str">
            <v>MMIS</v>
          </cell>
          <cell r="AF982" t="str">
            <v>nypeastcampus</v>
          </cell>
          <cell r="AG982" t="str">
            <v>P</v>
          </cell>
        </row>
        <row r="983">
          <cell r="A983" t="str">
            <v>1467611335</v>
          </cell>
          <cell r="C983" t="str">
            <v>Sireci Anthony</v>
          </cell>
          <cell r="G983" t="str">
            <v>Kathryn Spaziani</v>
          </cell>
          <cell r="H983" t="str">
            <v>(212) 305-1255</v>
          </cell>
          <cell r="J983" t="str">
            <v>kas9171@nyp.org</v>
          </cell>
          <cell r="K983" t="str">
            <v>Physician</v>
          </cell>
          <cell r="L983" t="str">
            <v>Practitioner - Non-Primary Care Provider (PCP)</v>
          </cell>
          <cell r="M983" t="str">
            <v>No</v>
          </cell>
          <cell r="R983" t="str">
            <v>SIRECI ANTHONY</v>
          </cell>
          <cell r="S983" t="str">
            <v>622 W 168TH ST, PH 1564W</v>
          </cell>
          <cell r="T983" t="str">
            <v>NEW YORK</v>
          </cell>
          <cell r="U983" t="str">
            <v>NY</v>
          </cell>
          <cell r="V983" t="str">
            <v>100323720</v>
          </cell>
          <cell r="AC983" t="str">
            <v>M</v>
          </cell>
          <cell r="AD983" t="str">
            <v>No</v>
          </cell>
          <cell r="AE983" t="str">
            <v>NPI only</v>
          </cell>
          <cell r="AF983" t="str">
            <v>nypwestcampus</v>
          </cell>
          <cell r="AG983" t="str">
            <v>P</v>
          </cell>
        </row>
        <row r="984">
          <cell r="A984" t="str">
            <v>1053480384</v>
          </cell>
          <cell r="B984" t="str">
            <v>02131602</v>
          </cell>
          <cell r="C984" t="str">
            <v xml:space="preserve">MITSUMOTO, HIROSHI </v>
          </cell>
          <cell r="D984" t="str">
            <v>E0086910</v>
          </cell>
          <cell r="E984" t="str">
            <v>MITSUMOTO HIROSHI MD</v>
          </cell>
          <cell r="G984" t="str">
            <v>Kathryn Spaziani</v>
          </cell>
          <cell r="H984" t="str">
            <v>(212) 305-1190</v>
          </cell>
          <cell r="J984" t="str">
            <v>kas9171@nyp.org</v>
          </cell>
          <cell r="L984" t="str">
            <v>Practitioner - Non-Primary Care Provider (PCP)</v>
          </cell>
          <cell r="M984" t="str">
            <v>No</v>
          </cell>
          <cell r="R984" t="str">
            <v>MITSUMOTO HIROSHI DR.</v>
          </cell>
          <cell r="W984" t="str">
            <v>MITSUMOTO HIROSHI MD</v>
          </cell>
          <cell r="X984" t="str">
            <v>DEPT NEUROLOGY</v>
          </cell>
          <cell r="Y984" t="str">
            <v>NEW YORK</v>
          </cell>
          <cell r="Z984" t="str">
            <v>NY</v>
          </cell>
          <cell r="AA984" t="str">
            <v>10032-3726</v>
          </cell>
          <cell r="AB984" t="str">
            <v>PHYSICIAN</v>
          </cell>
          <cell r="AC984" t="str">
            <v>M</v>
          </cell>
          <cell r="AD984" t="str">
            <v>No</v>
          </cell>
          <cell r="AE984" t="str">
            <v>MMIS</v>
          </cell>
          <cell r="AF984" t="str">
            <v>nypwestcampus</v>
          </cell>
          <cell r="AG984" t="str">
            <v>P</v>
          </cell>
        </row>
        <row r="985">
          <cell r="A985" t="str">
            <v>1134330921</v>
          </cell>
          <cell r="B985" t="str">
            <v>03596141</v>
          </cell>
          <cell r="C985" t="str">
            <v>DEMIRDAG, YESIM</v>
          </cell>
          <cell r="D985" t="str">
            <v>E0349750</v>
          </cell>
          <cell r="E985" t="str">
            <v>YILIRIAZ DEMIRDAG YESIM</v>
          </cell>
          <cell r="G985" t="str">
            <v>Kathryn Spaziani</v>
          </cell>
          <cell r="H985" t="str">
            <v>(212) 305-1222</v>
          </cell>
          <cell r="J985" t="str">
            <v>kas9171@nyp.org</v>
          </cell>
          <cell r="L985" t="str">
            <v>Practitioner - Non-Primary Care Provider (PCP)</v>
          </cell>
          <cell r="M985" t="str">
            <v>No</v>
          </cell>
          <cell r="R985" t="str">
            <v>DEMIRDAG YESIM</v>
          </cell>
          <cell r="W985" t="str">
            <v>YILMAZ DEMIRDAG YESIM</v>
          </cell>
          <cell r="X985" t="str">
            <v>3959 BROADWAY BHN 1-112</v>
          </cell>
          <cell r="Y985" t="str">
            <v>NEW YORK</v>
          </cell>
          <cell r="Z985" t="str">
            <v>NY</v>
          </cell>
          <cell r="AA985" t="str">
            <v>10032-1559</v>
          </cell>
          <cell r="AB985" t="str">
            <v>PHYSICIAN</v>
          </cell>
          <cell r="AC985" t="str">
            <v>M</v>
          </cell>
          <cell r="AD985" t="str">
            <v>No</v>
          </cell>
          <cell r="AE985" t="str">
            <v>MMIS</v>
          </cell>
          <cell r="AF985" t="str">
            <v>nypwestcampus</v>
          </cell>
          <cell r="AG985" t="str">
            <v>P</v>
          </cell>
        </row>
        <row r="986">
          <cell r="A986" t="str">
            <v>1710057369</v>
          </cell>
          <cell r="B986" t="str">
            <v>01105637</v>
          </cell>
          <cell r="C986" t="str">
            <v>MARDER, KAREN S</v>
          </cell>
          <cell r="D986" t="str">
            <v>E0189312</v>
          </cell>
          <cell r="E986" t="str">
            <v>MARDER KAREN S MD</v>
          </cell>
          <cell r="G986" t="str">
            <v>Kathryn Spaziani</v>
          </cell>
          <cell r="H986" t="str">
            <v>(212) 305-1190</v>
          </cell>
          <cell r="J986" t="str">
            <v>kas9171@nyp.org</v>
          </cell>
          <cell r="L986" t="str">
            <v>Practitioner - Non-Primary Care Provider (PCP)</v>
          </cell>
          <cell r="M986" t="str">
            <v>No</v>
          </cell>
          <cell r="R986" t="str">
            <v>MARDER KAREN DR.</v>
          </cell>
          <cell r="W986" t="str">
            <v>MARDER KAREN S MD</v>
          </cell>
          <cell r="X986" t="str">
            <v>710 W 168TH ST</v>
          </cell>
          <cell r="Y986" t="str">
            <v>NEW YORK</v>
          </cell>
          <cell r="Z986" t="str">
            <v>NY</v>
          </cell>
          <cell r="AA986" t="str">
            <v>10032-3726</v>
          </cell>
          <cell r="AB986" t="str">
            <v>PHYSICIAN</v>
          </cell>
          <cell r="AC986" t="str">
            <v>M</v>
          </cell>
          <cell r="AD986" t="str">
            <v>No</v>
          </cell>
          <cell r="AE986" t="str">
            <v>MMIS</v>
          </cell>
          <cell r="AF986" t="str">
            <v>nypwestcampus</v>
          </cell>
          <cell r="AG986" t="str">
            <v>P</v>
          </cell>
        </row>
        <row r="987">
          <cell r="A987" t="str">
            <v>1710115282</v>
          </cell>
          <cell r="B987" t="str">
            <v>03128636</v>
          </cell>
          <cell r="C987" t="str">
            <v>Kumar, Juhi</v>
          </cell>
          <cell r="D987" t="str">
            <v>E0296375</v>
          </cell>
          <cell r="E987" t="str">
            <v>KUMAR JUHI</v>
          </cell>
          <cell r="G987" t="str">
            <v>Kathryn Spaziani</v>
          </cell>
          <cell r="H987" t="str">
            <v>(212) 305-1190</v>
          </cell>
          <cell r="J987" t="str">
            <v>kas9171@nyp.org</v>
          </cell>
          <cell r="L987" t="str">
            <v>All Other:: Practitioner - Non-Primary Care Provider (PCP)</v>
          </cell>
          <cell r="M987" t="str">
            <v>No</v>
          </cell>
          <cell r="R987" t="str">
            <v>KUMAR JUHI</v>
          </cell>
          <cell r="W987" t="str">
            <v>KUMAR JUHI</v>
          </cell>
          <cell r="X987" t="str">
            <v>525 E 68TH ST # M-6</v>
          </cell>
          <cell r="Y987" t="str">
            <v>NEW YORK</v>
          </cell>
          <cell r="Z987" t="str">
            <v>NY</v>
          </cell>
          <cell r="AA987" t="str">
            <v>10065-4870</v>
          </cell>
          <cell r="AB987" t="str">
            <v>PHYSICIAN</v>
          </cell>
          <cell r="AC987" t="str">
            <v>M</v>
          </cell>
          <cell r="AD987" t="str">
            <v>No</v>
          </cell>
          <cell r="AE987" t="str">
            <v>MMIS</v>
          </cell>
          <cell r="AF987" t="str">
            <v>nypeastcampus</v>
          </cell>
          <cell r="AG987" t="str">
            <v>P</v>
          </cell>
        </row>
        <row r="988">
          <cell r="A988" t="str">
            <v>1073833166</v>
          </cell>
          <cell r="B988" t="str">
            <v>03695810</v>
          </cell>
          <cell r="C988" t="str">
            <v>HIROSE, SCOTT D</v>
          </cell>
          <cell r="D988" t="str">
            <v>E0360129</v>
          </cell>
          <cell r="E988" t="str">
            <v>HIROSE SCOTT D</v>
          </cell>
          <cell r="G988" t="str">
            <v>Kathryn Spaziani</v>
          </cell>
          <cell r="H988" t="str">
            <v>(212) 305-1190</v>
          </cell>
          <cell r="J988" t="str">
            <v>kas9171@nyp.org</v>
          </cell>
          <cell r="L988" t="str">
            <v>Practitioner - Non-Primary Care Provider (PCP)</v>
          </cell>
          <cell r="M988" t="str">
            <v>No</v>
          </cell>
          <cell r="R988" t="str">
            <v>HIROSE SCOTT DR.</v>
          </cell>
          <cell r="W988" t="str">
            <v>HIROSE SCOTT D</v>
          </cell>
          <cell r="X988" t="str">
            <v>3959 BROADWAY FL 6 NORTH</v>
          </cell>
          <cell r="Y988" t="str">
            <v>NEW YORK</v>
          </cell>
          <cell r="Z988" t="str">
            <v>NY</v>
          </cell>
          <cell r="AA988" t="str">
            <v>10032-1559</v>
          </cell>
          <cell r="AB988" t="str">
            <v>CLINICAL PSYCHOLOGIST</v>
          </cell>
          <cell r="AC988" t="str">
            <v>M</v>
          </cell>
          <cell r="AD988" t="str">
            <v>No</v>
          </cell>
          <cell r="AE988" t="str">
            <v>MMIS</v>
          </cell>
          <cell r="AF988" t="str">
            <v>nypwestacn</v>
          </cell>
          <cell r="AG988" t="str">
            <v>P</v>
          </cell>
        </row>
        <row r="989">
          <cell r="A989" t="str">
            <v>1639221799</v>
          </cell>
          <cell r="B989" t="str">
            <v>02706389</v>
          </cell>
          <cell r="C989" t="str">
            <v xml:space="preserve">SCHMERL, LAURYN </v>
          </cell>
          <cell r="D989" t="str">
            <v>E0029546</v>
          </cell>
          <cell r="E989" t="str">
            <v>SCHMERL LAUREN</v>
          </cell>
          <cell r="G989" t="str">
            <v>Kathryn Spaziani</v>
          </cell>
          <cell r="H989" t="str">
            <v>(212) 305-1190</v>
          </cell>
          <cell r="J989" t="str">
            <v>kas9171@nyp.org</v>
          </cell>
          <cell r="L989" t="str">
            <v>Practitioner - Non-Primary Care Provider (PCP)</v>
          </cell>
          <cell r="M989" t="str">
            <v>No</v>
          </cell>
          <cell r="R989" t="str">
            <v>SCHMERL LAURYN DR.</v>
          </cell>
          <cell r="W989" t="str">
            <v>SCHMERL LAUREN TRACI</v>
          </cell>
          <cell r="X989" t="str">
            <v>635 W 165TH ST FL 6</v>
          </cell>
          <cell r="Y989" t="str">
            <v>NEW YORK</v>
          </cell>
          <cell r="Z989" t="str">
            <v>NY</v>
          </cell>
          <cell r="AA989" t="str">
            <v>10032-3724</v>
          </cell>
          <cell r="AB989" t="str">
            <v>CLINICAL PSYCHOLOGIST</v>
          </cell>
          <cell r="AC989" t="str">
            <v>M</v>
          </cell>
          <cell r="AD989" t="str">
            <v>No</v>
          </cell>
          <cell r="AE989" t="str">
            <v>MMIS</v>
          </cell>
          <cell r="AF989" t="str">
            <v>nypwestcampus</v>
          </cell>
          <cell r="AG989" t="str">
            <v>P</v>
          </cell>
        </row>
        <row r="990">
          <cell r="A990" t="str">
            <v>1659468742</v>
          </cell>
          <cell r="B990" t="str">
            <v>01567073</v>
          </cell>
          <cell r="C990" t="str">
            <v>HALL-ROSS, SANDRA M</v>
          </cell>
          <cell r="D990" t="str">
            <v>E0143293</v>
          </cell>
          <cell r="E990" t="str">
            <v>HALL-ROSS SANDRA M MD</v>
          </cell>
          <cell r="G990" t="str">
            <v>Kathryn Spaziani</v>
          </cell>
          <cell r="H990" t="str">
            <v>(212) 305-1190</v>
          </cell>
          <cell r="J990" t="str">
            <v>kas9171@nyp.org</v>
          </cell>
          <cell r="L990" t="str">
            <v>All Other:: Practitioner - Primary Care Provider (PCP)</v>
          </cell>
          <cell r="M990" t="str">
            <v>No</v>
          </cell>
          <cell r="R990" t="str">
            <v>HALL-ROSS SANDRA</v>
          </cell>
          <cell r="W990" t="str">
            <v>HALL-ROSS SANDRA M MD</v>
          </cell>
          <cell r="X990" t="str">
            <v>CORNELL INTERNAL MED</v>
          </cell>
          <cell r="Y990" t="str">
            <v>NEW YORK</v>
          </cell>
          <cell r="Z990" t="str">
            <v>NY</v>
          </cell>
          <cell r="AA990" t="str">
            <v>10021-4872</v>
          </cell>
          <cell r="AB990" t="str">
            <v>PHYSICIAN</v>
          </cell>
          <cell r="AC990" t="str">
            <v>M</v>
          </cell>
          <cell r="AD990" t="str">
            <v>No</v>
          </cell>
          <cell r="AE990" t="str">
            <v>MMIS</v>
          </cell>
          <cell r="AF990" t="str">
            <v>nypeastacn</v>
          </cell>
          <cell r="AG990" t="str">
            <v>P</v>
          </cell>
        </row>
        <row r="991">
          <cell r="A991" t="str">
            <v>1922200245</v>
          </cell>
          <cell r="B991" t="str">
            <v>03090388</v>
          </cell>
          <cell r="C991" t="str">
            <v xml:space="preserve">WIESENDANGER, MARGRIT </v>
          </cell>
          <cell r="D991" t="str">
            <v>E0291897</v>
          </cell>
          <cell r="E991" t="str">
            <v>WIESENDANGER MARGRIT</v>
          </cell>
          <cell r="G991" t="str">
            <v>Kathryn Spaziani</v>
          </cell>
          <cell r="H991" t="str">
            <v>(212) 305-1190</v>
          </cell>
          <cell r="J991" t="str">
            <v>kas9171@nyp.org</v>
          </cell>
          <cell r="L991" t="str">
            <v>All Other:: Practitioner - Primary Care Provider (PCP)</v>
          </cell>
          <cell r="M991" t="str">
            <v>No</v>
          </cell>
          <cell r="R991" t="str">
            <v>WIESENDANGER MARGRIT DR.</v>
          </cell>
          <cell r="W991" t="str">
            <v>WIESENDANGER MARGRIT MD</v>
          </cell>
          <cell r="X991" t="str">
            <v>622 WEST 168TH STREET</v>
          </cell>
          <cell r="Y991" t="str">
            <v>NEW YORK</v>
          </cell>
          <cell r="Z991" t="str">
            <v>NY</v>
          </cell>
          <cell r="AA991" t="str">
            <v>10032-3720</v>
          </cell>
          <cell r="AB991" t="str">
            <v>PHYSICIAN</v>
          </cell>
          <cell r="AC991" t="str">
            <v>M</v>
          </cell>
          <cell r="AD991" t="str">
            <v>No</v>
          </cell>
          <cell r="AE991" t="str">
            <v>MMIS</v>
          </cell>
          <cell r="AF991" t="str">
            <v>nypother</v>
          </cell>
          <cell r="AG991" t="str">
            <v>P</v>
          </cell>
        </row>
        <row r="992">
          <cell r="C992" t="str">
            <v>Service program for older people - Outpatient mental health clinic - Brown Gardens Center</v>
          </cell>
          <cell r="G992" t="str">
            <v>Dan Del Bene, LCSW</v>
          </cell>
          <cell r="H992" t="str">
            <v>(212) 787-7120</v>
          </cell>
          <cell r="I992">
            <v>528</v>
          </cell>
          <cell r="J992" t="str">
            <v>ddelbene@spop.org</v>
          </cell>
          <cell r="K992" t="str">
            <v>Unknown</v>
          </cell>
          <cell r="L992" t="str">
            <v>CBO</v>
          </cell>
          <cell r="M992" t="str">
            <v>No</v>
          </cell>
          <cell r="AC992" t="str">
            <v>M</v>
          </cell>
          <cell r="AD992" t="str">
            <v>No</v>
          </cell>
          <cell r="AE992" t="str">
            <v>No NPI or MMIS</v>
          </cell>
          <cell r="AG992" t="str">
            <v>P</v>
          </cell>
        </row>
        <row r="993">
          <cell r="A993" t="str">
            <v>1659356889</v>
          </cell>
          <cell r="B993" t="str">
            <v>02913019</v>
          </cell>
          <cell r="C993" t="str">
            <v xml:space="preserve">RYAN, ANGELA </v>
          </cell>
          <cell r="D993" t="str">
            <v>E0008906</v>
          </cell>
          <cell r="E993" t="str">
            <v>RYAN ANGELA</v>
          </cell>
          <cell r="G993" t="str">
            <v>Kathryn Spaziani</v>
          </cell>
          <cell r="H993" t="str">
            <v>(212) 305-1190</v>
          </cell>
          <cell r="J993" t="str">
            <v>kas9171@nyp.org</v>
          </cell>
          <cell r="L993" t="str">
            <v>Practitioner - Non-Primary Care Provider (PCP)</v>
          </cell>
          <cell r="M993" t="str">
            <v>No</v>
          </cell>
          <cell r="R993" t="str">
            <v>RYAN ANGELA DR.</v>
          </cell>
          <cell r="W993" t="str">
            <v>RYAN ANGELA</v>
          </cell>
          <cell r="X993" t="str">
            <v>622 W 168TH ST</v>
          </cell>
          <cell r="Y993" t="str">
            <v>NEW YORK</v>
          </cell>
          <cell r="Z993" t="str">
            <v>NY</v>
          </cell>
          <cell r="AA993" t="str">
            <v>10032-3720</v>
          </cell>
          <cell r="AB993" t="str">
            <v>PHYSICIAN</v>
          </cell>
          <cell r="AC993" t="str">
            <v>M</v>
          </cell>
          <cell r="AD993" t="str">
            <v>No</v>
          </cell>
          <cell r="AE993" t="str">
            <v>MMIS</v>
          </cell>
          <cell r="AF993" t="str">
            <v>nypother</v>
          </cell>
          <cell r="AG993" t="str">
            <v>P</v>
          </cell>
        </row>
        <row r="994">
          <cell r="A994" t="str">
            <v>1558380501</v>
          </cell>
          <cell r="B994" t="str">
            <v>02998910</v>
          </cell>
          <cell r="C994" t="str">
            <v>RIVERDALE MENTAL HEALTH ASSOCIATION</v>
          </cell>
          <cell r="D994" t="str">
            <v>E0274023</v>
          </cell>
          <cell r="E994" t="str">
            <v>RIVERDALE MENTAL HLTH CL</v>
          </cell>
          <cell r="L994" t="str">
            <v>All Other:: Mental Health:: Substance Abuse</v>
          </cell>
          <cell r="M994" t="str">
            <v>Yes</v>
          </cell>
          <cell r="R994" t="str">
            <v>RIVERDALE MENTAL HEALTH ASSOCIATION INC</v>
          </cell>
          <cell r="W994" t="str">
            <v>RIVERDALE MENTAL HLTH CL</v>
          </cell>
          <cell r="X994" t="str">
            <v>RIVERDALE CLN/CDT</v>
          </cell>
          <cell r="Y994" t="str">
            <v>BRONX</v>
          </cell>
          <cell r="Z994" t="str">
            <v>NY</v>
          </cell>
          <cell r="AA994" t="str">
            <v>10471-2138</v>
          </cell>
          <cell r="AB994" t="str">
            <v>DIAGNOSTIC AND TREATMENT CENTER</v>
          </cell>
          <cell r="AC994" t="str">
            <v>M</v>
          </cell>
          <cell r="AD994" t="str">
            <v>No</v>
          </cell>
          <cell r="AE994" t="str">
            <v>MMIS</v>
          </cell>
          <cell r="AG994" t="str">
            <v>P</v>
          </cell>
        </row>
        <row r="995">
          <cell r="A995" t="str">
            <v>1437294824</v>
          </cell>
          <cell r="B995" t="str">
            <v>02698286</v>
          </cell>
          <cell r="C995" t="str">
            <v xml:space="preserve">TEPLIN, DEBRA  </v>
          </cell>
          <cell r="D995" t="str">
            <v>E0030352</v>
          </cell>
          <cell r="E995" t="str">
            <v>TEPLIN DEBRA RPA</v>
          </cell>
          <cell r="G995" t="str">
            <v>Kathryn Spaziani</v>
          </cell>
          <cell r="H995" t="str">
            <v>(212) 305-1190</v>
          </cell>
          <cell r="J995" t="str">
            <v>kas9171@nyp.org</v>
          </cell>
          <cell r="L995" t="str">
            <v>All Other:: Practitioner - Non-Primary Care Provider (PCP)</v>
          </cell>
          <cell r="M995" t="str">
            <v>No</v>
          </cell>
          <cell r="R995" t="str">
            <v>TEPLIN DEBRA</v>
          </cell>
          <cell r="W995" t="str">
            <v>TEPLIN DEBRA RPA</v>
          </cell>
          <cell r="X995" t="str">
            <v>161 FORT WASHINGTON AVE</v>
          </cell>
          <cell r="Y995" t="str">
            <v>NEW YORK</v>
          </cell>
          <cell r="Z995" t="str">
            <v>NY</v>
          </cell>
          <cell r="AA995" t="str">
            <v>10032-3729</v>
          </cell>
          <cell r="AB995" t="str">
            <v>PHYSICIAN</v>
          </cell>
          <cell r="AC995" t="str">
            <v>M</v>
          </cell>
          <cell r="AD995" t="str">
            <v>No</v>
          </cell>
          <cell r="AE995" t="str">
            <v>MMIS</v>
          </cell>
          <cell r="AF995" t="str">
            <v>nypwestcampus</v>
          </cell>
          <cell r="AG995" t="str">
            <v>P</v>
          </cell>
        </row>
        <row r="996">
          <cell r="A996" t="str">
            <v>1881618304</v>
          </cell>
          <cell r="B996" t="str">
            <v>02405874</v>
          </cell>
          <cell r="C996" t="str">
            <v>NELSON, JONATHON L</v>
          </cell>
          <cell r="D996" t="str">
            <v>E0059540</v>
          </cell>
          <cell r="E996" t="str">
            <v>NELSON JONATHAN LAWRENCE MD</v>
          </cell>
          <cell r="G996" t="str">
            <v>Kathryn Spaziani</v>
          </cell>
          <cell r="H996" t="str">
            <v>(212) 305-1190</v>
          </cell>
          <cell r="J996" t="str">
            <v>kas9171@nyp.org</v>
          </cell>
          <cell r="L996" t="str">
            <v>All Other:: Practitioner - Non-Primary Care Provider (PCP)</v>
          </cell>
          <cell r="M996" t="str">
            <v>No</v>
          </cell>
          <cell r="R996" t="str">
            <v>NELSON JONATHAN DR.</v>
          </cell>
          <cell r="W996" t="str">
            <v>NELSON JONATHAN LAWRENCE MD</v>
          </cell>
          <cell r="X996" t="str">
            <v>BRIDGEVIEW NH</v>
          </cell>
          <cell r="Y996" t="str">
            <v>WHITESTONE</v>
          </cell>
          <cell r="Z996" t="str">
            <v>NY</v>
          </cell>
          <cell r="AA996" t="str">
            <v>11357</v>
          </cell>
          <cell r="AB996" t="str">
            <v>PHYSICIAN</v>
          </cell>
          <cell r="AC996" t="str">
            <v>M</v>
          </cell>
          <cell r="AD996" t="str">
            <v>No</v>
          </cell>
          <cell r="AE996" t="str">
            <v>MMIS</v>
          </cell>
          <cell r="AF996" t="str">
            <v>nypwestcampus</v>
          </cell>
          <cell r="AG996" t="str">
            <v>P</v>
          </cell>
        </row>
        <row r="997">
          <cell r="A997" t="str">
            <v>1881648970</v>
          </cell>
          <cell r="B997" t="str">
            <v>03568958</v>
          </cell>
          <cell r="C997" t="str">
            <v xml:space="preserve">DOCTOROFF, ALEXANDER </v>
          </cell>
          <cell r="D997" t="str">
            <v>E0346952</v>
          </cell>
          <cell r="E997" t="str">
            <v>DOCTOROFF ALEXANDER</v>
          </cell>
          <cell r="G997" t="str">
            <v>Kathryn Spaziani</v>
          </cell>
          <cell r="H997" t="str">
            <v>(212) 305-1190</v>
          </cell>
          <cell r="J997" t="str">
            <v>kas9171@nyp.org</v>
          </cell>
          <cell r="L997" t="str">
            <v>Practitioner - Non-Primary Care Provider (PCP)</v>
          </cell>
          <cell r="M997" t="str">
            <v>No</v>
          </cell>
          <cell r="R997" t="str">
            <v>DOCTOROFF ALEXANDER DR.</v>
          </cell>
          <cell r="W997" t="str">
            <v>DOCTOROFF ALEXANDER</v>
          </cell>
          <cell r="X997" t="str">
            <v>161 FORT WASHINGTON AVE</v>
          </cell>
          <cell r="Y997" t="str">
            <v>NEW YORK</v>
          </cell>
          <cell r="Z997" t="str">
            <v>NY</v>
          </cell>
          <cell r="AA997" t="str">
            <v>10032-3729</v>
          </cell>
          <cell r="AB997" t="str">
            <v>PHYSICIAN</v>
          </cell>
          <cell r="AC997" t="str">
            <v>M</v>
          </cell>
          <cell r="AD997" t="str">
            <v>No</v>
          </cell>
          <cell r="AE997" t="str">
            <v>MMIS</v>
          </cell>
          <cell r="AF997" t="str">
            <v>nypwestacn</v>
          </cell>
          <cell r="AG997" t="str">
            <v>P</v>
          </cell>
        </row>
        <row r="998">
          <cell r="A998" t="str">
            <v>1881650422</v>
          </cell>
          <cell r="B998" t="str">
            <v>01683169</v>
          </cell>
          <cell r="C998" t="str">
            <v>Kern, Jeffrey H</v>
          </cell>
          <cell r="D998" t="str">
            <v>E0131703</v>
          </cell>
          <cell r="E998" t="str">
            <v>KERN JEFFREY HOWARD MD</v>
          </cell>
          <cell r="G998" t="str">
            <v>Kathryn Spaziani</v>
          </cell>
          <cell r="H998" t="str">
            <v>(212) 305-1190</v>
          </cell>
          <cell r="J998" t="str">
            <v>kas9171@nyp.org</v>
          </cell>
          <cell r="L998" t="str">
            <v>All Other:: Practitioner - Non-Primary Care Provider (PCP)</v>
          </cell>
          <cell r="M998" t="str">
            <v>Yes</v>
          </cell>
          <cell r="R998" t="str">
            <v>KERN JEFFREY</v>
          </cell>
          <cell r="W998" t="str">
            <v>KERN JEFFREY HOWARD MD</v>
          </cell>
          <cell r="X998" t="str">
            <v>4500 PARSONS BLVD</v>
          </cell>
          <cell r="Y998" t="str">
            <v>FLUSHING</v>
          </cell>
          <cell r="Z998" t="str">
            <v>NY</v>
          </cell>
          <cell r="AA998" t="str">
            <v>11355-2205</v>
          </cell>
          <cell r="AB998" t="str">
            <v>PHYSICIAN</v>
          </cell>
          <cell r="AC998" t="str">
            <v>M</v>
          </cell>
          <cell r="AD998" t="str">
            <v>No</v>
          </cell>
          <cell r="AE998" t="str">
            <v>MMIS</v>
          </cell>
          <cell r="AF998" t="str">
            <v>nypwestcampus</v>
          </cell>
          <cell r="AG998" t="str">
            <v>P</v>
          </cell>
        </row>
        <row r="999">
          <cell r="A999" t="str">
            <v>1497794861</v>
          </cell>
          <cell r="B999" t="str">
            <v>00090120</v>
          </cell>
          <cell r="C999" t="str">
            <v>CHIMA, KULJIT KAUR N</v>
          </cell>
          <cell r="D999" t="str">
            <v>E0281066</v>
          </cell>
          <cell r="E999" t="str">
            <v>JACOBS JACK PC             MD</v>
          </cell>
          <cell r="G999" t="str">
            <v>Kathryn Spaziani</v>
          </cell>
          <cell r="H999" t="str">
            <v>(212) 305-1190</v>
          </cell>
          <cell r="J999" t="str">
            <v>kas9171@nyp.org</v>
          </cell>
          <cell r="L999" t="str">
            <v>Practitioner - Non-Primary Care Provider (PCP)</v>
          </cell>
          <cell r="M999" t="str">
            <v>No</v>
          </cell>
          <cell r="R999" t="str">
            <v>CHIMA KULJIT DR.</v>
          </cell>
          <cell r="W999" t="str">
            <v>JACOBS JACK PC             MD</v>
          </cell>
          <cell r="X999" t="str">
            <v>1720 FRANCIS LEWIS BLVD # B</v>
          </cell>
          <cell r="Y999" t="str">
            <v>WHITESTONE</v>
          </cell>
          <cell r="Z999" t="str">
            <v>NY</v>
          </cell>
          <cell r="AA999" t="str">
            <v>11357-3247</v>
          </cell>
          <cell r="AB999" t="str">
            <v>PHYSICIAN</v>
          </cell>
          <cell r="AC999" t="str">
            <v>M</v>
          </cell>
          <cell r="AD999" t="str">
            <v>No</v>
          </cell>
          <cell r="AE999" t="str">
            <v>MMIS</v>
          </cell>
          <cell r="AF999" t="str">
            <v>nypwestacn</v>
          </cell>
          <cell r="AG999" t="str">
            <v>P</v>
          </cell>
        </row>
        <row r="1000">
          <cell r="A1000" t="str">
            <v>1659394294</v>
          </cell>
          <cell r="B1000" t="str">
            <v>01581153</v>
          </cell>
          <cell r="C1000" t="str">
            <v>KANE, STEVEN A</v>
          </cell>
          <cell r="D1000" t="str">
            <v>E0141890</v>
          </cell>
          <cell r="E1000" t="str">
            <v>KANE STEVEN A MD</v>
          </cell>
          <cell r="G1000" t="str">
            <v>Kathryn Spaziani</v>
          </cell>
          <cell r="H1000" t="str">
            <v>(212) 305-1190</v>
          </cell>
          <cell r="J1000" t="str">
            <v>kas9171@nyp.org</v>
          </cell>
          <cell r="L1000" t="str">
            <v>All Other:: Practitioner - Non-Primary Care Provider (PCP)</v>
          </cell>
          <cell r="M1000" t="str">
            <v>No</v>
          </cell>
          <cell r="R1000" t="str">
            <v>KANE STEVEN DR.</v>
          </cell>
          <cell r="W1000" t="str">
            <v>KANE STEVEN A MD</v>
          </cell>
          <cell r="X1000" t="str">
            <v>635 W 165TH ST</v>
          </cell>
          <cell r="Y1000" t="str">
            <v>NEW YORK</v>
          </cell>
          <cell r="Z1000" t="str">
            <v>NY</v>
          </cell>
          <cell r="AA1000" t="str">
            <v>10032-3724</v>
          </cell>
          <cell r="AB1000" t="str">
            <v>PHYSICIAN</v>
          </cell>
          <cell r="AC1000" t="str">
            <v>M</v>
          </cell>
          <cell r="AD1000" t="str">
            <v>No</v>
          </cell>
          <cell r="AE1000" t="str">
            <v>MMIS</v>
          </cell>
          <cell r="AF1000" t="str">
            <v>nypwestacn</v>
          </cell>
          <cell r="AG1000" t="str">
            <v>P</v>
          </cell>
        </row>
        <row r="1001">
          <cell r="A1001" t="str">
            <v>1093802167</v>
          </cell>
          <cell r="B1001" t="str">
            <v>00827174</v>
          </cell>
          <cell r="C1001" t="str">
            <v xml:space="preserve">MEYER, B. ROBERT </v>
          </cell>
          <cell r="D1001" t="str">
            <v>E0217017</v>
          </cell>
          <cell r="E1001" t="str">
            <v>MEYER BAILEY ROBERT        MD</v>
          </cell>
          <cell r="G1001" t="str">
            <v>Kathryn Spaziani</v>
          </cell>
          <cell r="H1001" t="str">
            <v>(212) 305-1190</v>
          </cell>
          <cell r="J1001" t="str">
            <v>kas9171@nyp.org</v>
          </cell>
          <cell r="L1001" t="str">
            <v>All Other:: Practitioner - Primary Care Provider (PCP)</v>
          </cell>
          <cell r="M1001" t="str">
            <v>No</v>
          </cell>
          <cell r="R1001" t="str">
            <v>MEYER B. ROBERT</v>
          </cell>
          <cell r="W1001" t="str">
            <v>MEYER BAILEY ROBERT        MD</v>
          </cell>
          <cell r="X1001" t="str">
            <v>CORNELL INT MED ASSO</v>
          </cell>
          <cell r="Y1001" t="str">
            <v>NEW YORK</v>
          </cell>
          <cell r="Z1001" t="str">
            <v>NY</v>
          </cell>
          <cell r="AA1001" t="str">
            <v>10021</v>
          </cell>
          <cell r="AB1001" t="str">
            <v>PHYSICIAN</v>
          </cell>
          <cell r="AC1001" t="str">
            <v>M</v>
          </cell>
          <cell r="AD1001" t="str">
            <v>No</v>
          </cell>
          <cell r="AE1001" t="str">
            <v>MMIS</v>
          </cell>
          <cell r="AF1001" t="str">
            <v>nypeastcampus</v>
          </cell>
          <cell r="AG1001" t="str">
            <v>P</v>
          </cell>
        </row>
        <row r="1002">
          <cell r="A1002" t="str">
            <v>1790001626</v>
          </cell>
          <cell r="C1002" t="str">
            <v>ELDERPLAN, INC</v>
          </cell>
          <cell r="G1002" t="str">
            <v>Jay Gormley, VP of Planning, Research, and Innovation</v>
          </cell>
          <cell r="H1002" t="str">
            <v>(212) 356-5419</v>
          </cell>
          <cell r="J1002" t="str">
            <v>jgormley@mjhs.org</v>
          </cell>
          <cell r="K1002" t="str">
            <v>Long Term Managed Care</v>
          </cell>
          <cell r="L1002" t="str">
            <v>Uncategorized</v>
          </cell>
          <cell r="M1002" t="str">
            <v>No</v>
          </cell>
          <cell r="R1002" t="str">
            <v>ELDERPLAN, INC</v>
          </cell>
          <cell r="S1002" t="str">
            <v>6323 7TH AVE</v>
          </cell>
          <cell r="T1002" t="str">
            <v>BROOKLYN</v>
          </cell>
          <cell r="U1002" t="str">
            <v>NY</v>
          </cell>
          <cell r="V1002" t="str">
            <v>112204742</v>
          </cell>
          <cell r="AC1002" t="str">
            <v>M</v>
          </cell>
          <cell r="AD1002" t="str">
            <v>No</v>
          </cell>
          <cell r="AE1002" t="str">
            <v>NPI only</v>
          </cell>
          <cell r="AG1002" t="str">
            <v>P</v>
          </cell>
        </row>
        <row r="1003">
          <cell r="A1003" t="str">
            <v>1396891644</v>
          </cell>
          <cell r="B1003" t="str">
            <v>02420033</v>
          </cell>
          <cell r="C1003" t="str">
            <v>GLESBY, MARSHALL J</v>
          </cell>
          <cell r="D1003" t="str">
            <v>E0058125</v>
          </cell>
          <cell r="E1003" t="str">
            <v>GLESBY MARSHALL J</v>
          </cell>
          <cell r="G1003" t="str">
            <v>Kathryn Spaziani</v>
          </cell>
          <cell r="H1003" t="str">
            <v>(212) 305-1190</v>
          </cell>
          <cell r="J1003" t="str">
            <v>kas9171@nyp.org</v>
          </cell>
          <cell r="L1003" t="str">
            <v>All Other:: Practitioner - Primary Care Provider (PCP)</v>
          </cell>
          <cell r="M1003" t="str">
            <v>Yes</v>
          </cell>
          <cell r="R1003" t="str">
            <v>GLESBY MARSHALL DR.</v>
          </cell>
          <cell r="W1003" t="str">
            <v>GLESBY MARSHALL JAY</v>
          </cell>
          <cell r="X1003" t="str">
            <v>525 E 68TH STREET</v>
          </cell>
          <cell r="Y1003" t="str">
            <v>NEW YORK</v>
          </cell>
          <cell r="Z1003" t="str">
            <v>NY</v>
          </cell>
          <cell r="AA1003" t="str">
            <v>10065-4870</v>
          </cell>
          <cell r="AB1003" t="str">
            <v>PHYSICIAN</v>
          </cell>
          <cell r="AC1003" t="str">
            <v>M</v>
          </cell>
          <cell r="AD1003" t="str">
            <v>No</v>
          </cell>
          <cell r="AE1003" t="str">
            <v>MMIS</v>
          </cell>
          <cell r="AF1003" t="str">
            <v>nypeastacn</v>
          </cell>
          <cell r="AG1003" t="str">
            <v>P</v>
          </cell>
        </row>
        <row r="1004">
          <cell r="A1004" t="str">
            <v>1003902024</v>
          </cell>
          <cell r="B1004" t="str">
            <v>01768363</v>
          </cell>
          <cell r="C1004" t="str">
            <v>BARR, ROBERT G</v>
          </cell>
          <cell r="D1004" t="str">
            <v>E0123192</v>
          </cell>
          <cell r="E1004" t="str">
            <v>BARR ROBERT GRAHAM MD</v>
          </cell>
          <cell r="G1004" t="str">
            <v>Kathryn Spaziani</v>
          </cell>
          <cell r="H1004" t="str">
            <v>(212) 305-1190</v>
          </cell>
          <cell r="J1004" t="str">
            <v>kas9171@nyp.org</v>
          </cell>
          <cell r="L1004" t="str">
            <v>Practitioner - Primary Care Provider (PCP)</v>
          </cell>
          <cell r="M1004" t="str">
            <v>Yes</v>
          </cell>
          <cell r="R1004" t="str">
            <v>BARR ROBERT DR.</v>
          </cell>
          <cell r="W1004" t="str">
            <v>BARR ROBERT GRAHAM MD</v>
          </cell>
          <cell r="X1004" t="str">
            <v>622 W 168TH ST</v>
          </cell>
          <cell r="Y1004" t="str">
            <v>NEW YORK</v>
          </cell>
          <cell r="Z1004" t="str">
            <v>NY</v>
          </cell>
          <cell r="AA1004" t="str">
            <v>10032-3720</v>
          </cell>
          <cell r="AB1004" t="str">
            <v>PHYSICIAN</v>
          </cell>
          <cell r="AC1004" t="str">
            <v>M</v>
          </cell>
          <cell r="AD1004" t="str">
            <v>No</v>
          </cell>
          <cell r="AE1004" t="str">
            <v>MMIS</v>
          </cell>
          <cell r="AF1004" t="str">
            <v>nypwestacn</v>
          </cell>
          <cell r="AG1004" t="str">
            <v>P</v>
          </cell>
        </row>
        <row r="1005">
          <cell r="A1005" t="str">
            <v>1154429686</v>
          </cell>
          <cell r="B1005" t="str">
            <v>02862980</v>
          </cell>
          <cell r="C1005" t="str">
            <v>Kuang, Wanli</v>
          </cell>
          <cell r="D1005" t="str">
            <v>E0013900</v>
          </cell>
          <cell r="E1005" t="str">
            <v>KUANG WANLI</v>
          </cell>
          <cell r="G1005" t="str">
            <v>Kathryn Spaziani</v>
          </cell>
          <cell r="H1005" t="str">
            <v>(212) 305-1190</v>
          </cell>
          <cell r="J1005" t="str">
            <v>kas9171@nyp.org</v>
          </cell>
          <cell r="L1005" t="str">
            <v>Practitioner - Primary Care Provider (PCP)</v>
          </cell>
          <cell r="M1005" t="str">
            <v>No</v>
          </cell>
          <cell r="R1005" t="str">
            <v>KUANG WANLI</v>
          </cell>
          <cell r="W1005" t="str">
            <v>KUANG WANLI</v>
          </cell>
          <cell r="X1005" t="str">
            <v>170 WILLIAM ST</v>
          </cell>
          <cell r="Y1005" t="str">
            <v>NEW YORK</v>
          </cell>
          <cell r="Z1005" t="str">
            <v>NY</v>
          </cell>
          <cell r="AA1005" t="str">
            <v>10038-2612</v>
          </cell>
          <cell r="AB1005" t="str">
            <v>PHYSICIAN</v>
          </cell>
          <cell r="AC1005" t="str">
            <v>M</v>
          </cell>
          <cell r="AD1005" t="str">
            <v>No</v>
          </cell>
          <cell r="AE1005" t="str">
            <v>MMIS</v>
          </cell>
          <cell r="AF1005" t="str">
            <v>nypother</v>
          </cell>
          <cell r="AG1005" t="str">
            <v>P</v>
          </cell>
        </row>
        <row r="1006">
          <cell r="A1006" t="str">
            <v>1609054956</v>
          </cell>
          <cell r="B1006" t="str">
            <v>03041210</v>
          </cell>
          <cell r="C1006" t="str">
            <v>Salvatore, Christine</v>
          </cell>
          <cell r="D1006" t="str">
            <v>E0286235</v>
          </cell>
          <cell r="E1006" t="str">
            <v>SALVATORE CHRISTINE</v>
          </cell>
          <cell r="G1006" t="str">
            <v>Kathryn Spaziani</v>
          </cell>
          <cell r="H1006" t="str">
            <v>(212) 305-1190</v>
          </cell>
          <cell r="J1006" t="str">
            <v>kas9171@nyp.org</v>
          </cell>
          <cell r="L1006" t="str">
            <v>All Other:: Practitioner - Non-Primary Care Provider (PCP)</v>
          </cell>
          <cell r="M1006" t="str">
            <v>No</v>
          </cell>
          <cell r="R1006" t="str">
            <v>SALVATORE CHRISTINE</v>
          </cell>
          <cell r="W1006" t="str">
            <v>SALVATORE CHRISTINE M</v>
          </cell>
          <cell r="X1006" t="str">
            <v>525 E 68TH ST</v>
          </cell>
          <cell r="Y1006" t="str">
            <v>NEW YORK</v>
          </cell>
          <cell r="Z1006" t="str">
            <v>NY</v>
          </cell>
          <cell r="AA1006" t="str">
            <v>10065-4870</v>
          </cell>
          <cell r="AB1006" t="str">
            <v>PHYSICIAN</v>
          </cell>
          <cell r="AC1006" t="str">
            <v>M</v>
          </cell>
          <cell r="AD1006" t="str">
            <v>No</v>
          </cell>
          <cell r="AE1006" t="str">
            <v>MMIS</v>
          </cell>
          <cell r="AF1006" t="str">
            <v>nypeastcampus</v>
          </cell>
          <cell r="AG1006" t="str">
            <v>P</v>
          </cell>
        </row>
        <row r="1007">
          <cell r="A1007" t="str">
            <v>1720175896</v>
          </cell>
          <cell r="B1007" t="str">
            <v>02154281</v>
          </cell>
          <cell r="C1007" t="str">
            <v>MOLE, DEIRDRE A</v>
          </cell>
          <cell r="D1007" t="str">
            <v>E0084647</v>
          </cell>
          <cell r="E1007" t="str">
            <v>MOLE DEIRDRE ADAMS</v>
          </cell>
          <cell r="G1007" t="str">
            <v>Kathryn Spaziani</v>
          </cell>
          <cell r="H1007" t="str">
            <v>(212) 305-1190</v>
          </cell>
          <cell r="J1007" t="str">
            <v>kas9171@nyp.org</v>
          </cell>
          <cell r="L1007" t="str">
            <v>Practitioner - Primary Care Provider (PCP)</v>
          </cell>
          <cell r="M1007" t="str">
            <v>No</v>
          </cell>
          <cell r="R1007" t="str">
            <v>MOLE DEIRDRE</v>
          </cell>
          <cell r="W1007" t="str">
            <v>MOLE DEIRDRE ADAMS</v>
          </cell>
          <cell r="X1007" t="str">
            <v>1484 1ST AVE GROUND FLR</v>
          </cell>
          <cell r="Y1007" t="str">
            <v>NEW YORK</v>
          </cell>
          <cell r="Z1007" t="str">
            <v>NY</v>
          </cell>
          <cell r="AA1007" t="str">
            <v>10075-2304</v>
          </cell>
          <cell r="AB1007" t="str">
            <v>PHYSICIAN</v>
          </cell>
          <cell r="AC1007" t="str">
            <v>M</v>
          </cell>
          <cell r="AD1007" t="str">
            <v>No</v>
          </cell>
          <cell r="AE1007" t="str">
            <v>MMIS</v>
          </cell>
          <cell r="AF1007" t="str">
            <v>nypeastcampus</v>
          </cell>
          <cell r="AG1007" t="str">
            <v>P</v>
          </cell>
        </row>
        <row r="1008">
          <cell r="A1008" t="str">
            <v>1811090194</v>
          </cell>
          <cell r="B1008" t="str">
            <v>02727071</v>
          </cell>
          <cell r="C1008" t="str">
            <v>MANUBAY, JEANNE M</v>
          </cell>
          <cell r="D1008" t="str">
            <v>E0027479</v>
          </cell>
          <cell r="E1008" t="str">
            <v>MANUBAY JEANNE</v>
          </cell>
          <cell r="G1008" t="str">
            <v>Kathryn Spaziani</v>
          </cell>
          <cell r="H1008" t="str">
            <v>(212) 305-1190</v>
          </cell>
          <cell r="J1008" t="str">
            <v>kas9171@nyp.org</v>
          </cell>
          <cell r="L1008" t="str">
            <v>Practitioner - Primary Care Provider (PCP)</v>
          </cell>
          <cell r="M1008" t="str">
            <v>Yes</v>
          </cell>
          <cell r="R1008" t="str">
            <v>MANUBAY JEANNE DR.</v>
          </cell>
          <cell r="W1008" t="str">
            <v>MANUBAY JEANNE MARCELLE</v>
          </cell>
          <cell r="X1008" t="str">
            <v>610 W 158TH ST</v>
          </cell>
          <cell r="Y1008" t="str">
            <v>NEW YORK</v>
          </cell>
          <cell r="Z1008" t="str">
            <v>NY</v>
          </cell>
          <cell r="AA1008" t="str">
            <v>10032-7104</v>
          </cell>
          <cell r="AB1008" t="str">
            <v>PHYSICIAN</v>
          </cell>
          <cell r="AC1008" t="str">
            <v>M</v>
          </cell>
          <cell r="AD1008" t="str">
            <v>No</v>
          </cell>
          <cell r="AE1008" t="str">
            <v>MMIS</v>
          </cell>
          <cell r="AF1008" t="str">
            <v>nypwestcampus</v>
          </cell>
          <cell r="AG1008" t="str">
            <v>P</v>
          </cell>
        </row>
        <row r="1009">
          <cell r="A1009" t="str">
            <v>1356468557</v>
          </cell>
          <cell r="B1009" t="str">
            <v>03313408</v>
          </cell>
          <cell r="C1009" t="str">
            <v>KAPLAN, ADAM S</v>
          </cell>
          <cell r="D1009" t="str">
            <v>E0317196</v>
          </cell>
          <cell r="E1009" t="str">
            <v>KAPLAN ADAM SETH</v>
          </cell>
          <cell r="G1009" t="str">
            <v>Kathryn Spaziani</v>
          </cell>
          <cell r="H1009" t="str">
            <v>(212) 305-1190</v>
          </cell>
          <cell r="J1009" t="str">
            <v>kas9171@nyp.org</v>
          </cell>
          <cell r="L1009" t="str">
            <v>Practitioner - Non-Primary Care Provider (PCP)</v>
          </cell>
          <cell r="M1009" t="str">
            <v>No</v>
          </cell>
          <cell r="R1009" t="str">
            <v>KAPLAN ADAM DR.</v>
          </cell>
          <cell r="W1009" t="str">
            <v>KAPLAN ADAM SETH</v>
          </cell>
          <cell r="X1009" t="str">
            <v>635 W 165TH ST FL 6</v>
          </cell>
          <cell r="Y1009" t="str">
            <v>NEW YORK</v>
          </cell>
          <cell r="Z1009" t="str">
            <v>NY</v>
          </cell>
          <cell r="AA1009" t="str">
            <v>10032-3724</v>
          </cell>
          <cell r="AB1009" t="str">
            <v>CLINICAL PSYCHOLOGIST</v>
          </cell>
          <cell r="AC1009" t="str">
            <v>M</v>
          </cell>
          <cell r="AD1009" t="str">
            <v>No</v>
          </cell>
          <cell r="AE1009" t="str">
            <v>MMIS</v>
          </cell>
          <cell r="AF1009" t="str">
            <v>nypwestacn</v>
          </cell>
          <cell r="AG1009" t="str">
            <v>P</v>
          </cell>
        </row>
        <row r="1010">
          <cell r="A1010" t="str">
            <v>1568429157</v>
          </cell>
          <cell r="B1010" t="str">
            <v>02490155</v>
          </cell>
          <cell r="C1010" t="str">
            <v>ROYE, BENJAMIN D</v>
          </cell>
          <cell r="D1010" t="str">
            <v>E0051120</v>
          </cell>
          <cell r="E1010" t="str">
            <v>ROYE BENJAMIN DAVID MD</v>
          </cell>
          <cell r="G1010" t="str">
            <v>Kathryn Spaziani</v>
          </cell>
          <cell r="H1010" t="str">
            <v>(212) 305-1190</v>
          </cell>
          <cell r="J1010" t="str">
            <v>kas9171@nyp.org</v>
          </cell>
          <cell r="L1010" t="str">
            <v>All Other:: Practitioner - Non-Primary Care Provider (PCP)</v>
          </cell>
          <cell r="M1010" t="str">
            <v>No</v>
          </cell>
          <cell r="R1010" t="str">
            <v>ROYE BENJAMIN DR.</v>
          </cell>
          <cell r="W1010" t="str">
            <v>ROYE BENJAMIN DAVID MD</v>
          </cell>
          <cell r="X1010" t="str">
            <v>10 UNION SQ E FRNT 3</v>
          </cell>
          <cell r="Y1010" t="str">
            <v>NEW YORK</v>
          </cell>
          <cell r="Z1010" t="str">
            <v>NY</v>
          </cell>
          <cell r="AA1010" t="str">
            <v>10003-3314</v>
          </cell>
          <cell r="AB1010" t="str">
            <v>PHYSICIAN</v>
          </cell>
          <cell r="AC1010" t="str">
            <v>M</v>
          </cell>
          <cell r="AD1010" t="str">
            <v>No</v>
          </cell>
          <cell r="AE1010" t="str">
            <v>MMIS</v>
          </cell>
          <cell r="AF1010" t="str">
            <v>nypwestcampus</v>
          </cell>
          <cell r="AG1010" t="str">
            <v>P</v>
          </cell>
        </row>
        <row r="1011">
          <cell r="A1011" t="str">
            <v>1376538025</v>
          </cell>
          <cell r="B1011" t="str">
            <v>02667641</v>
          </cell>
          <cell r="C1011" t="str">
            <v xml:space="preserve">Kong, Kin Ching       </v>
          </cell>
          <cell r="D1011" t="str">
            <v>E0033409</v>
          </cell>
          <cell r="E1011" t="str">
            <v>KONG KIN CHING MD</v>
          </cell>
          <cell r="G1011" t="str">
            <v>Betty Cheng</v>
          </cell>
          <cell r="H1011" t="str">
            <v>(212) 379-6988</v>
          </cell>
          <cell r="I1011">
            <v>2604</v>
          </cell>
          <cell r="J1011" t="str">
            <v>bcheng@cbwchc.org</v>
          </cell>
          <cell r="L1011" t="str">
            <v>All Other:: Practitioner - Non-Primary Care Provider (PCP)</v>
          </cell>
          <cell r="M1011" t="str">
            <v>Yes</v>
          </cell>
          <cell r="R1011" t="str">
            <v>KONG KIN</v>
          </cell>
          <cell r="W1011" t="str">
            <v>KONG KIN CHING MD</v>
          </cell>
          <cell r="X1011" t="str">
            <v>41 MOTT ST</v>
          </cell>
          <cell r="Y1011" t="str">
            <v>NEW YORK</v>
          </cell>
          <cell r="Z1011" t="str">
            <v>NY</v>
          </cell>
          <cell r="AA1011" t="str">
            <v>10013-5041</v>
          </cell>
          <cell r="AB1011" t="str">
            <v>PHYSICIAN</v>
          </cell>
          <cell r="AC1011" t="str">
            <v>M</v>
          </cell>
          <cell r="AD1011" t="str">
            <v>No</v>
          </cell>
          <cell r="AE1011" t="str">
            <v>MMIS</v>
          </cell>
          <cell r="AF1011" t="str">
            <v>cbwchc</v>
          </cell>
          <cell r="AG1011" t="str">
            <v>P</v>
          </cell>
        </row>
        <row r="1012">
          <cell r="A1012" t="str">
            <v>1285807628</v>
          </cell>
          <cell r="B1012" t="str">
            <v>02965704</v>
          </cell>
          <cell r="C1012" t="str">
            <v>SIEGEL, LAWRENCE A</v>
          </cell>
          <cell r="D1012" t="str">
            <v>E0004290</v>
          </cell>
          <cell r="E1012" t="str">
            <v>SIEGEL LAWRENCE J MD</v>
          </cell>
          <cell r="G1012" t="str">
            <v>Kathryn Spaziani</v>
          </cell>
          <cell r="H1012" t="str">
            <v>(212) 305-1190</v>
          </cell>
          <cell r="J1012" t="str">
            <v>kas9171@nyp.org</v>
          </cell>
          <cell r="L1012" t="str">
            <v>All Other:: Practitioner - Primary Care Provider (PCP)</v>
          </cell>
          <cell r="M1012" t="str">
            <v>No</v>
          </cell>
          <cell r="R1012" t="str">
            <v>SIEGEL LAWRENCE DR.</v>
          </cell>
          <cell r="W1012" t="str">
            <v>SIEGEL LAWRENCE J MD</v>
          </cell>
          <cell r="X1012" t="str">
            <v>119 W 24TH ST</v>
          </cell>
          <cell r="Y1012" t="str">
            <v>NEW YORK</v>
          </cell>
          <cell r="Z1012" t="str">
            <v>NY</v>
          </cell>
          <cell r="AA1012" t="str">
            <v>10011-1913</v>
          </cell>
          <cell r="AB1012" t="str">
            <v>PHYSICIAN</v>
          </cell>
          <cell r="AC1012" t="str">
            <v>M</v>
          </cell>
          <cell r="AD1012" t="str">
            <v>No</v>
          </cell>
          <cell r="AE1012" t="str">
            <v>MMIS</v>
          </cell>
          <cell r="AF1012" t="str">
            <v>nypeastcampus</v>
          </cell>
          <cell r="AG1012" t="str">
            <v>P</v>
          </cell>
        </row>
        <row r="1013">
          <cell r="A1013" t="str">
            <v>1295713634</v>
          </cell>
          <cell r="B1013" t="str">
            <v>00671485</v>
          </cell>
          <cell r="C1013" t="str">
            <v>MCGURK, HARRIET E</v>
          </cell>
          <cell r="D1013" t="str">
            <v>E0232545</v>
          </cell>
          <cell r="E1013" t="str">
            <v>MCGURK HARRIET E           MD</v>
          </cell>
          <cell r="G1013" t="str">
            <v>Kathryn Spaziani</v>
          </cell>
          <cell r="H1013" t="str">
            <v>(212) 305-1190</v>
          </cell>
          <cell r="J1013" t="str">
            <v>kas9171@nyp.org</v>
          </cell>
          <cell r="L1013" t="str">
            <v>All Other:: Practitioner - Primary Care Provider (PCP)</v>
          </cell>
          <cell r="M1013" t="str">
            <v>Yes</v>
          </cell>
          <cell r="R1013" t="str">
            <v>MCGURK HARRIET DR.</v>
          </cell>
          <cell r="W1013" t="str">
            <v>MCGURK HARRIET E           MD</v>
          </cell>
          <cell r="Y1013" t="str">
            <v>NEW YORK</v>
          </cell>
          <cell r="Z1013" t="str">
            <v>NY</v>
          </cell>
          <cell r="AA1013" t="str">
            <v>10032-1559</v>
          </cell>
          <cell r="AB1013" t="str">
            <v>PHYSICIAN</v>
          </cell>
          <cell r="AC1013" t="str">
            <v>M</v>
          </cell>
          <cell r="AD1013" t="str">
            <v>No</v>
          </cell>
          <cell r="AE1013" t="str">
            <v>MMIS</v>
          </cell>
          <cell r="AF1013" t="str">
            <v>nypwestcampus</v>
          </cell>
          <cell r="AG1013" t="str">
            <v>P</v>
          </cell>
        </row>
        <row r="1014">
          <cell r="A1014" t="str">
            <v>1851439335</v>
          </cell>
          <cell r="B1014" t="str">
            <v>00571004</v>
          </cell>
          <cell r="C1014" t="str">
            <v xml:space="preserve">RUBINSTEIN, BORIS </v>
          </cell>
          <cell r="D1014" t="str">
            <v>E0242573</v>
          </cell>
          <cell r="E1014" t="str">
            <v>RUBINSTEIN BORIS</v>
          </cell>
          <cell r="G1014" t="str">
            <v>Kathryn Spaziani</v>
          </cell>
          <cell r="H1014" t="str">
            <v>(212) 305-1190</v>
          </cell>
          <cell r="J1014" t="str">
            <v>kas9171@nyp.org</v>
          </cell>
          <cell r="L1014" t="str">
            <v>Practitioner - Non-Primary Care Provider (PCP)</v>
          </cell>
          <cell r="M1014" t="str">
            <v>No</v>
          </cell>
          <cell r="R1014" t="str">
            <v>RUBINSTEIN BORIS DR.</v>
          </cell>
          <cell r="W1014" t="str">
            <v>RUBINSTEIN BORIS</v>
          </cell>
          <cell r="X1014" t="str">
            <v>623 WARBURTON AVE</v>
          </cell>
          <cell r="Y1014" t="str">
            <v>HASTINGS ON HUDSON</v>
          </cell>
          <cell r="Z1014" t="str">
            <v>NY</v>
          </cell>
          <cell r="AA1014" t="str">
            <v>10706-1523</v>
          </cell>
          <cell r="AB1014" t="str">
            <v>PHYSICIAN</v>
          </cell>
          <cell r="AC1014" t="str">
            <v>M</v>
          </cell>
          <cell r="AD1014" t="str">
            <v>No</v>
          </cell>
          <cell r="AE1014" t="str">
            <v>MMIS</v>
          </cell>
          <cell r="AF1014" t="str">
            <v>nypwestcampus</v>
          </cell>
          <cell r="AG1014" t="str">
            <v>P</v>
          </cell>
        </row>
        <row r="1015">
          <cell r="A1015" t="str">
            <v>1851457808</v>
          </cell>
          <cell r="B1015" t="str">
            <v>02819776</v>
          </cell>
          <cell r="C1015" t="str">
            <v>BROWER, ROSS B</v>
          </cell>
          <cell r="D1015" t="str">
            <v>E0018218</v>
          </cell>
          <cell r="E1015" t="str">
            <v>BROWER ROSS</v>
          </cell>
          <cell r="G1015" t="str">
            <v>Kathryn Spaziani</v>
          </cell>
          <cell r="H1015" t="str">
            <v>(212) 305-1190</v>
          </cell>
          <cell r="J1015" t="str">
            <v>kas9171@nyp.org</v>
          </cell>
          <cell r="L1015" t="str">
            <v>Practitioner - Non-Primary Care Provider (PCP)</v>
          </cell>
          <cell r="M1015" t="str">
            <v>No</v>
          </cell>
          <cell r="R1015" t="str">
            <v>BROWER ROSS</v>
          </cell>
          <cell r="W1015" t="str">
            <v>BROWER ROSS</v>
          </cell>
          <cell r="X1015" t="str">
            <v>411 E 69TH ST</v>
          </cell>
          <cell r="Y1015" t="str">
            <v>NEW YORK</v>
          </cell>
          <cell r="Z1015" t="str">
            <v>NY</v>
          </cell>
          <cell r="AA1015" t="str">
            <v>10021-5608</v>
          </cell>
          <cell r="AB1015" t="str">
            <v>PHYSICIAN</v>
          </cell>
          <cell r="AC1015" t="str">
            <v>M</v>
          </cell>
          <cell r="AD1015" t="str">
            <v>No</v>
          </cell>
          <cell r="AE1015" t="str">
            <v>MMIS</v>
          </cell>
          <cell r="AF1015" t="str">
            <v>nypeastacn</v>
          </cell>
          <cell r="AG1015" t="str">
            <v>P</v>
          </cell>
        </row>
        <row r="1016">
          <cell r="A1016" t="str">
            <v>1962434720</v>
          </cell>
          <cell r="B1016" t="str">
            <v>00787619</v>
          </cell>
          <cell r="C1016" t="str">
            <v>ROSENWASSER, MELVIN P</v>
          </cell>
          <cell r="D1016" t="str">
            <v>E0220966</v>
          </cell>
          <cell r="E1016" t="str">
            <v>ROSENWASSER MELVIN P MD</v>
          </cell>
          <cell r="G1016" t="str">
            <v>Kathryn Spaziani</v>
          </cell>
          <cell r="H1016" t="str">
            <v>(212) 305-1190</v>
          </cell>
          <cell r="J1016" t="str">
            <v>kas9171@nyp.org</v>
          </cell>
          <cell r="L1016" t="str">
            <v>Practitioner - Non-Primary Care Provider (PCP)</v>
          </cell>
          <cell r="M1016" t="str">
            <v>No</v>
          </cell>
          <cell r="R1016" t="str">
            <v>ROSENWASSER MELVIN DR.</v>
          </cell>
          <cell r="W1016" t="str">
            <v>ROSENWASSER MELVIN P MD</v>
          </cell>
          <cell r="X1016" t="str">
            <v>SUR ORTH GRP PH5-129</v>
          </cell>
          <cell r="Y1016" t="str">
            <v>NEW YORK</v>
          </cell>
          <cell r="Z1016" t="str">
            <v>NY</v>
          </cell>
          <cell r="AA1016" t="str">
            <v>10032-3720</v>
          </cell>
          <cell r="AB1016" t="str">
            <v>PHYSICIAN</v>
          </cell>
          <cell r="AC1016" t="str">
            <v>M</v>
          </cell>
          <cell r="AD1016" t="str">
            <v>No</v>
          </cell>
          <cell r="AE1016" t="str">
            <v>MMIS</v>
          </cell>
          <cell r="AF1016" t="str">
            <v>nypwestcampus</v>
          </cell>
          <cell r="AG1016" t="str">
            <v>P</v>
          </cell>
        </row>
        <row r="1017">
          <cell r="A1017" t="str">
            <v>1962479287</v>
          </cell>
          <cell r="B1017" t="str">
            <v>01114543</v>
          </cell>
          <cell r="C1017" t="str">
            <v xml:space="preserve">LOPEZ, ROBERT </v>
          </cell>
          <cell r="D1017" t="str">
            <v>E0188421</v>
          </cell>
          <cell r="E1017" t="str">
            <v>LOPEZ ROBERT MD</v>
          </cell>
          <cell r="G1017" t="str">
            <v>Kathryn Spaziani</v>
          </cell>
          <cell r="H1017" t="str">
            <v>(212) 305-1190</v>
          </cell>
          <cell r="J1017" t="str">
            <v>kas9171@nyp.org</v>
          </cell>
          <cell r="L1017" t="str">
            <v>All Other:: Practitioner - Non-Primary Care Provider (PCP)</v>
          </cell>
          <cell r="M1017" t="str">
            <v>No</v>
          </cell>
          <cell r="R1017" t="str">
            <v>LOPEZ ROBERT DR.</v>
          </cell>
          <cell r="W1017" t="str">
            <v>LOPEZ ROBERT MD</v>
          </cell>
          <cell r="Y1017" t="str">
            <v>NEW YORK</v>
          </cell>
          <cell r="Z1017" t="str">
            <v>NY</v>
          </cell>
          <cell r="AA1017" t="str">
            <v>10032-3724</v>
          </cell>
          <cell r="AB1017" t="str">
            <v>PHYSICIAN</v>
          </cell>
          <cell r="AC1017" t="str">
            <v>M</v>
          </cell>
          <cell r="AD1017" t="str">
            <v>No</v>
          </cell>
          <cell r="AE1017" t="str">
            <v>MMIS</v>
          </cell>
          <cell r="AF1017" t="str">
            <v>nypwestcampus</v>
          </cell>
          <cell r="AG1017" t="str">
            <v>P</v>
          </cell>
        </row>
        <row r="1018">
          <cell r="A1018" t="str">
            <v>1174511000</v>
          </cell>
          <cell r="B1018" t="str">
            <v>02404566</v>
          </cell>
          <cell r="C1018" t="str">
            <v xml:space="preserve">Tan, Weiyan            </v>
          </cell>
          <cell r="D1018" t="str">
            <v>E0059671</v>
          </cell>
          <cell r="E1018" t="str">
            <v>TAN WEI</v>
          </cell>
          <cell r="G1018" t="str">
            <v>Betty Cheng</v>
          </cell>
          <cell r="H1018" t="str">
            <v>(212) 379-6988</v>
          </cell>
          <cell r="I1018">
            <v>2604</v>
          </cell>
          <cell r="J1018" t="str">
            <v>bcheng@cbwchc.org</v>
          </cell>
          <cell r="L1018" t="str">
            <v>All Other:: Practitioner - Primary Care Provider (PCP)</v>
          </cell>
          <cell r="M1018" t="str">
            <v>Yes</v>
          </cell>
          <cell r="R1018" t="str">
            <v>TAN WEI</v>
          </cell>
          <cell r="W1018" t="str">
            <v>TAN WEI YAN</v>
          </cell>
          <cell r="X1018" t="str">
            <v>268 CANAL ST FL 2</v>
          </cell>
          <cell r="Y1018" t="str">
            <v>NEW YORK</v>
          </cell>
          <cell r="Z1018" t="str">
            <v>NY</v>
          </cell>
          <cell r="AA1018" t="str">
            <v>10013-3599</v>
          </cell>
          <cell r="AB1018" t="str">
            <v>PHYSICIAN</v>
          </cell>
          <cell r="AC1018" t="str">
            <v>M</v>
          </cell>
          <cell r="AD1018" t="str">
            <v>No</v>
          </cell>
          <cell r="AE1018" t="str">
            <v>MMIS</v>
          </cell>
          <cell r="AF1018" t="str">
            <v>cbwchc</v>
          </cell>
          <cell r="AG1018" t="str">
            <v>P</v>
          </cell>
        </row>
        <row r="1019">
          <cell r="A1019" t="str">
            <v>1649316845</v>
          </cell>
          <cell r="B1019" t="str">
            <v>03223443</v>
          </cell>
          <cell r="C1019" t="str">
            <v xml:space="preserve">PRZEDBORSKI, SERGE </v>
          </cell>
          <cell r="D1019" t="str">
            <v>E0307046</v>
          </cell>
          <cell r="E1019" t="str">
            <v>PRZEBORSKI SERGE</v>
          </cell>
          <cell r="G1019" t="str">
            <v>Kathryn Spaziani</v>
          </cell>
          <cell r="H1019" t="str">
            <v>(212) 305-1190</v>
          </cell>
          <cell r="J1019" t="str">
            <v>kas9171@nyp.org</v>
          </cell>
          <cell r="L1019" t="str">
            <v>Practitioner - Non-Primary Care Provider (PCP)</v>
          </cell>
          <cell r="M1019" t="str">
            <v>No</v>
          </cell>
          <cell r="R1019" t="str">
            <v>PRZEDBORSKI SERGE DR.</v>
          </cell>
          <cell r="W1019" t="str">
            <v>PRZEBORSKI SERGE</v>
          </cell>
          <cell r="X1019" t="str">
            <v>710 WEST 168TH STREE</v>
          </cell>
          <cell r="Y1019" t="str">
            <v>NEW YORK</v>
          </cell>
          <cell r="Z1019" t="str">
            <v>NY</v>
          </cell>
          <cell r="AA1019" t="str">
            <v>10032</v>
          </cell>
          <cell r="AB1019" t="str">
            <v>PHYSICIAN</v>
          </cell>
          <cell r="AC1019" t="str">
            <v>M</v>
          </cell>
          <cell r="AD1019" t="str">
            <v>No</v>
          </cell>
          <cell r="AE1019" t="str">
            <v>MMIS</v>
          </cell>
          <cell r="AF1019" t="str">
            <v>nypwestcampus</v>
          </cell>
          <cell r="AG1019" t="str">
            <v>P</v>
          </cell>
        </row>
        <row r="1020">
          <cell r="A1020" t="str">
            <v>1821081027</v>
          </cell>
          <cell r="B1020" t="str">
            <v>00806235</v>
          </cell>
          <cell r="C1020" t="str">
            <v>ROSEN, DOUGLAS I</v>
          </cell>
          <cell r="D1020" t="str">
            <v>E0219106</v>
          </cell>
          <cell r="E1020" t="str">
            <v>ROSEN DOUGLAS I            MD</v>
          </cell>
          <cell r="G1020" t="str">
            <v>Kathryn Spaziani</v>
          </cell>
          <cell r="H1020" t="str">
            <v>(212) 305-1190</v>
          </cell>
          <cell r="J1020" t="str">
            <v>kas9171@nyp.org</v>
          </cell>
          <cell r="L1020" t="str">
            <v>All Other:: Practitioner - Non-Primary Care Provider (PCP)</v>
          </cell>
          <cell r="M1020" t="str">
            <v>No</v>
          </cell>
          <cell r="R1020" t="str">
            <v>ROSEN DOUGLAS</v>
          </cell>
          <cell r="W1020" t="str">
            <v>ROSEN DOUGLAS I            MD</v>
          </cell>
          <cell r="X1020" t="str">
            <v>3620 E TREMONT AVE</v>
          </cell>
          <cell r="Y1020" t="str">
            <v>BRONX</v>
          </cell>
          <cell r="Z1020" t="str">
            <v>NY</v>
          </cell>
          <cell r="AA1020" t="str">
            <v>10465-2038</v>
          </cell>
          <cell r="AB1020" t="str">
            <v>PHYSICIAN</v>
          </cell>
          <cell r="AC1020" t="str">
            <v>M</v>
          </cell>
          <cell r="AD1020" t="str">
            <v>No</v>
          </cell>
          <cell r="AE1020" t="str">
            <v>MMIS</v>
          </cell>
          <cell r="AF1020" t="str">
            <v>nypwestcampus</v>
          </cell>
          <cell r="AG1020" t="str">
            <v>P</v>
          </cell>
        </row>
        <row r="1021">
          <cell r="A1021" t="str">
            <v>1912145426</v>
          </cell>
          <cell r="C1021" t="str">
            <v>COLUMBIA UNIVERSITY MEDICAL CENTER</v>
          </cell>
          <cell r="K1021" t="str">
            <v>All Other</v>
          </cell>
          <cell r="L1021" t="str">
            <v>Uncategorized</v>
          </cell>
          <cell r="M1021" t="str">
            <v>No</v>
          </cell>
          <cell r="R1021" t="str">
            <v>COLUMBIA UNIVERSITY MEDICAL CENTER</v>
          </cell>
          <cell r="S1021" t="str">
            <v>622 W 168TH ST, DEPARTMENT OF PEDIATRICS - CHN5-517</v>
          </cell>
          <cell r="T1021" t="str">
            <v>NEW YORK</v>
          </cell>
          <cell r="U1021" t="str">
            <v>NY</v>
          </cell>
          <cell r="V1021" t="str">
            <v>100323720</v>
          </cell>
          <cell r="AC1021" t="str">
            <v>M</v>
          </cell>
          <cell r="AD1021" t="str">
            <v>No</v>
          </cell>
          <cell r="AE1021" t="str">
            <v>NPI only</v>
          </cell>
          <cell r="AG1021" t="str">
            <v>P</v>
          </cell>
        </row>
        <row r="1022">
          <cell r="A1022" t="str">
            <v>1295175230</v>
          </cell>
          <cell r="B1022" t="str">
            <v>03918081</v>
          </cell>
          <cell r="C1022" t="str">
            <v>Nellis, Marianne E.</v>
          </cell>
          <cell r="D1022" t="str">
            <v>E0382976</v>
          </cell>
          <cell r="E1022" t="str">
            <v>NELLIS MARIANNE</v>
          </cell>
          <cell r="G1022" t="str">
            <v>Kathryn Spaziani</v>
          </cell>
          <cell r="H1022" t="str">
            <v>(212) 305-1190</v>
          </cell>
          <cell r="J1022" t="str">
            <v>kas9171@nyp.org</v>
          </cell>
          <cell r="L1022" t="str">
            <v>Practitioner - Non-Primary Care Provider (PCP)</v>
          </cell>
          <cell r="M1022" t="str">
            <v>No</v>
          </cell>
          <cell r="R1022" t="str">
            <v>NELLIS MARIANNE</v>
          </cell>
          <cell r="W1022" t="str">
            <v>NELLIS MARIANNE ELIZABETH</v>
          </cell>
          <cell r="X1022" t="str">
            <v>525 E 68TH ST</v>
          </cell>
          <cell r="Y1022" t="str">
            <v>NEW YORK</v>
          </cell>
          <cell r="Z1022" t="str">
            <v>NY</v>
          </cell>
          <cell r="AA1022" t="str">
            <v>10065-4870</v>
          </cell>
          <cell r="AB1022" t="str">
            <v>PHYSICIAN</v>
          </cell>
          <cell r="AC1022" t="str">
            <v>M</v>
          </cell>
          <cell r="AD1022" t="str">
            <v>No</v>
          </cell>
          <cell r="AE1022" t="str">
            <v>MMIS</v>
          </cell>
          <cell r="AF1022" t="str">
            <v>nypeastcampus</v>
          </cell>
          <cell r="AG1022" t="str">
            <v>P</v>
          </cell>
        </row>
        <row r="1023">
          <cell r="A1023" t="str">
            <v>1538450325</v>
          </cell>
          <cell r="C1023" t="str">
            <v>Baradaran Hediyeh</v>
          </cell>
          <cell r="G1023" t="str">
            <v>Kathryn Spaziani</v>
          </cell>
          <cell r="H1023" t="str">
            <v>(212) 305-1255</v>
          </cell>
          <cell r="J1023" t="str">
            <v>kas9171@nyp.org</v>
          </cell>
          <cell r="K1023" t="str">
            <v>Physician</v>
          </cell>
          <cell r="L1023" t="str">
            <v>Uncategorized</v>
          </cell>
          <cell r="M1023" t="str">
            <v>No</v>
          </cell>
          <cell r="R1023" t="str">
            <v>BARADARAN HEDIYEH</v>
          </cell>
          <cell r="S1023" t="str">
            <v>30 N 1900 E, RM 4C104</v>
          </cell>
          <cell r="T1023" t="str">
            <v>SALT LAKE CITY</v>
          </cell>
          <cell r="U1023" t="str">
            <v>UT</v>
          </cell>
          <cell r="V1023" t="str">
            <v>841320002</v>
          </cell>
          <cell r="AC1023" t="str">
            <v>M</v>
          </cell>
          <cell r="AD1023" t="str">
            <v>No</v>
          </cell>
          <cell r="AE1023" t="str">
            <v>NPI only</v>
          </cell>
          <cell r="AF1023" t="str">
            <v>nypeastcampus</v>
          </cell>
          <cell r="AG1023" t="str">
            <v>P</v>
          </cell>
        </row>
        <row r="1024">
          <cell r="A1024" t="str">
            <v>1154418259</v>
          </cell>
          <cell r="B1024" t="str">
            <v>02682479</v>
          </cell>
          <cell r="C1024" t="str">
            <v>Chang, Jane</v>
          </cell>
          <cell r="D1024" t="str">
            <v>E0031930</v>
          </cell>
          <cell r="E1024" t="str">
            <v>CHANG JANE MD</v>
          </cell>
          <cell r="G1024" t="str">
            <v>Kathryn Spaziani</v>
          </cell>
          <cell r="H1024" t="str">
            <v>(212) 305-1190</v>
          </cell>
          <cell r="J1024" t="str">
            <v>kas9171@nyp.org</v>
          </cell>
          <cell r="L1024" t="str">
            <v>All Other:: Practitioner - Primary Care Provider (PCP)</v>
          </cell>
          <cell r="M1024" t="str">
            <v>Yes</v>
          </cell>
          <cell r="R1024" t="str">
            <v>CHANG JANE</v>
          </cell>
          <cell r="W1024" t="str">
            <v>CHANG JANE MD</v>
          </cell>
          <cell r="X1024" t="str">
            <v>525 EAST 68 ST M-6</v>
          </cell>
          <cell r="Y1024" t="str">
            <v>NEW YORK</v>
          </cell>
          <cell r="Z1024" t="str">
            <v>NY</v>
          </cell>
          <cell r="AA1024" t="str">
            <v>10021</v>
          </cell>
          <cell r="AB1024" t="str">
            <v>PHYSICIAN</v>
          </cell>
          <cell r="AC1024" t="str">
            <v>M</v>
          </cell>
          <cell r="AD1024" t="str">
            <v>No</v>
          </cell>
          <cell r="AE1024" t="str">
            <v>MMIS</v>
          </cell>
          <cell r="AF1024" t="str">
            <v>nypeastacn</v>
          </cell>
          <cell r="AG1024" t="str">
            <v>P</v>
          </cell>
        </row>
        <row r="1025">
          <cell r="A1025" t="str">
            <v>1215191887</v>
          </cell>
          <cell r="B1025" t="str">
            <v>03347353</v>
          </cell>
          <cell r="C1025" t="str">
            <v xml:space="preserve">RAHMATI, RAHMATULLAH </v>
          </cell>
          <cell r="D1025" t="str">
            <v>E0321112</v>
          </cell>
          <cell r="E1025" t="str">
            <v>RAHMATI RAHMATULLA</v>
          </cell>
          <cell r="G1025" t="str">
            <v>Kathryn Spaziani</v>
          </cell>
          <cell r="H1025" t="str">
            <v>(212) 305-1190</v>
          </cell>
          <cell r="J1025" t="str">
            <v>kas9171@nyp.org</v>
          </cell>
          <cell r="L1025" t="str">
            <v>Practitioner - Non-Primary Care Provider (PCP)</v>
          </cell>
          <cell r="M1025" t="str">
            <v>No</v>
          </cell>
          <cell r="R1025" t="str">
            <v>RAHMATI RAHMATULLAH DR.</v>
          </cell>
          <cell r="W1025" t="str">
            <v>RAHMATI RAHMATULLA</v>
          </cell>
          <cell r="X1025" t="str">
            <v>180  FORT WASHINGTON</v>
          </cell>
          <cell r="Y1025" t="str">
            <v>NEW YORK</v>
          </cell>
          <cell r="Z1025" t="str">
            <v>NY</v>
          </cell>
          <cell r="AA1025" t="str">
            <v>10032-3720</v>
          </cell>
          <cell r="AB1025" t="str">
            <v>PHYSICIAN</v>
          </cell>
          <cell r="AC1025" t="str">
            <v>M</v>
          </cell>
          <cell r="AD1025" t="str">
            <v>No</v>
          </cell>
          <cell r="AE1025" t="str">
            <v>MMIS</v>
          </cell>
          <cell r="AF1025" t="str">
            <v>nypwestcampus</v>
          </cell>
          <cell r="AG1025" t="str">
            <v>P</v>
          </cell>
        </row>
        <row r="1026">
          <cell r="A1026" t="str">
            <v>1215193230</v>
          </cell>
          <cell r="B1026" t="str">
            <v>03921693</v>
          </cell>
          <cell r="C1026" t="str">
            <v>Akchurin, Oleh M.</v>
          </cell>
          <cell r="D1026" t="str">
            <v>E0383337</v>
          </cell>
          <cell r="E1026" t="str">
            <v>AKCHURIN OLEH</v>
          </cell>
          <cell r="G1026" t="str">
            <v>Kathryn Spaziani</v>
          </cell>
          <cell r="H1026" t="str">
            <v>(212) 305-1190</v>
          </cell>
          <cell r="J1026" t="str">
            <v>kas9171@nyp.org</v>
          </cell>
          <cell r="L1026" t="str">
            <v>All Other:: Practitioner - Non-Primary Care Provider (PCP)</v>
          </cell>
          <cell r="M1026" t="str">
            <v>No</v>
          </cell>
          <cell r="R1026" t="str">
            <v>AKCHURIN OLEH DR.</v>
          </cell>
          <cell r="W1026" t="str">
            <v>AKCHURIN OLEH</v>
          </cell>
          <cell r="X1026" t="str">
            <v>525 E 68TH ST</v>
          </cell>
          <cell r="Y1026" t="str">
            <v>NEW YORK</v>
          </cell>
          <cell r="Z1026" t="str">
            <v>NY</v>
          </cell>
          <cell r="AA1026" t="str">
            <v>10065-4870</v>
          </cell>
          <cell r="AB1026" t="str">
            <v>PHYSICIAN</v>
          </cell>
          <cell r="AC1026" t="str">
            <v>M</v>
          </cell>
          <cell r="AD1026" t="str">
            <v>No</v>
          </cell>
          <cell r="AE1026" t="str">
            <v>MMIS</v>
          </cell>
          <cell r="AF1026" t="str">
            <v>nypeastacn</v>
          </cell>
          <cell r="AG1026" t="str">
            <v>P</v>
          </cell>
        </row>
        <row r="1027">
          <cell r="A1027" t="str">
            <v>1164531828</v>
          </cell>
          <cell r="B1027" t="str">
            <v>00132494</v>
          </cell>
          <cell r="C1027" t="str">
            <v>Rand Jacob</v>
          </cell>
          <cell r="D1027" t="str">
            <v>E0279320</v>
          </cell>
          <cell r="E1027" t="str">
            <v>RAND JACOB H               MD</v>
          </cell>
          <cell r="G1027" t="str">
            <v>Kathryn Spaziani</v>
          </cell>
          <cell r="H1027" t="str">
            <v>(212) 305-1248</v>
          </cell>
          <cell r="J1027" t="str">
            <v>kas9171@nyp.org</v>
          </cell>
          <cell r="L1027" t="str">
            <v>All Other:: Practitioner - Non-Primary Care Provider (PCP)</v>
          </cell>
          <cell r="M1027" t="str">
            <v>No</v>
          </cell>
          <cell r="R1027" t="str">
            <v>RAND JACOB</v>
          </cell>
          <cell r="W1027" t="str">
            <v>RAND JACOB H               MD</v>
          </cell>
          <cell r="X1027" t="str">
            <v>GUGGENHEIN HALL 10FL</v>
          </cell>
          <cell r="Y1027" t="str">
            <v>NEW YORK</v>
          </cell>
          <cell r="Z1027" t="str">
            <v>NY</v>
          </cell>
          <cell r="AA1027" t="str">
            <v>10029-6501</v>
          </cell>
          <cell r="AB1027" t="str">
            <v>PHYSICIAN</v>
          </cell>
          <cell r="AC1027" t="str">
            <v>M</v>
          </cell>
          <cell r="AD1027" t="str">
            <v>No</v>
          </cell>
          <cell r="AE1027" t="str">
            <v>MMIS</v>
          </cell>
          <cell r="AF1027" t="str">
            <v>nypeastcampus</v>
          </cell>
          <cell r="AG1027" t="str">
            <v>P</v>
          </cell>
        </row>
        <row r="1028">
          <cell r="A1028" t="str">
            <v>1053578997</v>
          </cell>
          <cell r="B1028" t="str">
            <v>03493294</v>
          </cell>
          <cell r="C1028" t="str">
            <v>Salvatore Steven</v>
          </cell>
          <cell r="D1028" t="str">
            <v>E0338841</v>
          </cell>
          <cell r="E1028" t="str">
            <v>SALVATORE STEVEN</v>
          </cell>
          <cell r="G1028" t="str">
            <v>Kathryn Spaziani</v>
          </cell>
          <cell r="H1028" t="str">
            <v>(212) 305-1249</v>
          </cell>
          <cell r="J1028" t="str">
            <v>kas9171@nyp.org</v>
          </cell>
          <cell r="L1028" t="str">
            <v>All Other:: Practitioner - Non-Primary Care Provider (PCP)</v>
          </cell>
          <cell r="M1028" t="str">
            <v>No</v>
          </cell>
          <cell r="R1028" t="str">
            <v>SALVATORE STEVEN DR.</v>
          </cell>
          <cell r="W1028" t="str">
            <v>SALVATORE STEVEN</v>
          </cell>
          <cell r="X1028" t="str">
            <v>525 E 68TH ST # C302</v>
          </cell>
          <cell r="Y1028" t="str">
            <v>NEW YORK</v>
          </cell>
          <cell r="Z1028" t="str">
            <v>NY</v>
          </cell>
          <cell r="AA1028" t="str">
            <v>10065-4870</v>
          </cell>
          <cell r="AB1028" t="str">
            <v>PHYSICIAN</v>
          </cell>
          <cell r="AC1028" t="str">
            <v>M</v>
          </cell>
          <cell r="AD1028" t="str">
            <v>No</v>
          </cell>
          <cell r="AE1028" t="str">
            <v>MMIS</v>
          </cell>
          <cell r="AF1028" t="str">
            <v>nypeastcampus</v>
          </cell>
          <cell r="AG1028" t="str">
            <v>P</v>
          </cell>
        </row>
        <row r="1029">
          <cell r="A1029" t="str">
            <v>1245310739</v>
          </cell>
          <cell r="B1029" t="str">
            <v>02585275</v>
          </cell>
          <cell r="C1029" t="str">
            <v>Vasovic Ljiljana</v>
          </cell>
          <cell r="D1029" t="str">
            <v>E0041628</v>
          </cell>
          <cell r="E1029" t="str">
            <v>VASOVIC LJILJANA</v>
          </cell>
          <cell r="G1029" t="str">
            <v>Kathryn Spaziani</v>
          </cell>
          <cell r="H1029" t="str">
            <v>(212) 305-1250</v>
          </cell>
          <cell r="J1029" t="str">
            <v>kas9171@nyp.org</v>
          </cell>
          <cell r="L1029" t="str">
            <v>All Other:: Practitioner - Non-Primary Care Provider (PCP)</v>
          </cell>
          <cell r="M1029" t="str">
            <v>No</v>
          </cell>
          <cell r="R1029" t="str">
            <v>VASOVIC LJILJANA</v>
          </cell>
          <cell r="W1029" t="str">
            <v>VASOVIC LJILJANA</v>
          </cell>
          <cell r="X1029" t="str">
            <v>VASOVIC LJILJANA</v>
          </cell>
          <cell r="Y1029" t="str">
            <v>BRONX</v>
          </cell>
          <cell r="Z1029" t="str">
            <v>NY</v>
          </cell>
          <cell r="AA1029" t="str">
            <v>10461</v>
          </cell>
          <cell r="AB1029" t="str">
            <v>PHYSICIAN</v>
          </cell>
          <cell r="AC1029" t="str">
            <v>M</v>
          </cell>
          <cell r="AD1029" t="str">
            <v>No</v>
          </cell>
          <cell r="AE1029" t="str">
            <v>MMIS</v>
          </cell>
          <cell r="AF1029" t="str">
            <v>nypeastcampus</v>
          </cell>
          <cell r="AG1029" t="str">
            <v>P</v>
          </cell>
        </row>
        <row r="1030">
          <cell r="A1030" t="str">
            <v>1346383528</v>
          </cell>
          <cell r="B1030" t="str">
            <v>02556458</v>
          </cell>
          <cell r="C1030" t="str">
            <v>George Gibbi</v>
          </cell>
          <cell r="D1030" t="str">
            <v>E0044505</v>
          </cell>
          <cell r="E1030" t="str">
            <v>GEORGE GIBBI RPA</v>
          </cell>
          <cell r="L1030" t="str">
            <v>Practitioner - Non-Primary Care Provider (PCP)</v>
          </cell>
          <cell r="M1030" t="str">
            <v>No</v>
          </cell>
          <cell r="R1030" t="str">
            <v>GEORGE GIBBI MR.</v>
          </cell>
          <cell r="W1030" t="str">
            <v>GEORGE GIBBI</v>
          </cell>
          <cell r="X1030" t="str">
            <v>1111 AMSTERDAM AVE</v>
          </cell>
          <cell r="Y1030" t="str">
            <v>NEW YORK</v>
          </cell>
          <cell r="Z1030" t="str">
            <v>NY</v>
          </cell>
          <cell r="AA1030" t="str">
            <v>10025-1716</v>
          </cell>
          <cell r="AB1030" t="str">
            <v>PHYSICIAN</v>
          </cell>
          <cell r="AC1030" t="str">
            <v>M</v>
          </cell>
          <cell r="AD1030" t="str">
            <v>No</v>
          </cell>
          <cell r="AE1030" t="str">
            <v>MMIS</v>
          </cell>
          <cell r="AF1030" t="str">
            <v>nypwestcampus</v>
          </cell>
          <cell r="AG1030" t="str">
            <v>P</v>
          </cell>
        </row>
        <row r="1031">
          <cell r="A1031" t="str">
            <v>1992953970</v>
          </cell>
          <cell r="C1031" t="str">
            <v>Batal Ibrahim</v>
          </cell>
          <cell r="G1031" t="str">
            <v>Kathryn Spaziani</v>
          </cell>
          <cell r="H1031" t="str">
            <v>(212) 305-1255</v>
          </cell>
          <cell r="J1031" t="str">
            <v>kas9171@nyp.org</v>
          </cell>
          <cell r="K1031" t="str">
            <v>Physician</v>
          </cell>
          <cell r="L1031" t="str">
            <v>Uncategorized</v>
          </cell>
          <cell r="M1031" t="str">
            <v>No</v>
          </cell>
          <cell r="R1031" t="str">
            <v>BATAL IBRAHIM</v>
          </cell>
          <cell r="S1031" t="str">
            <v>75 FRANCIS ST</v>
          </cell>
          <cell r="T1031" t="str">
            <v>BOSTON</v>
          </cell>
          <cell r="U1031" t="str">
            <v>MA</v>
          </cell>
          <cell r="V1031" t="str">
            <v>021156110</v>
          </cell>
          <cell r="AC1031" t="str">
            <v>M</v>
          </cell>
          <cell r="AD1031" t="str">
            <v>No</v>
          </cell>
          <cell r="AE1031" t="str">
            <v>NPI only</v>
          </cell>
          <cell r="AF1031" t="str">
            <v>nypwestcampus</v>
          </cell>
          <cell r="AG1031" t="str">
            <v>P</v>
          </cell>
        </row>
        <row r="1032">
          <cell r="A1032" t="str">
            <v>1942436597</v>
          </cell>
          <cell r="B1032" t="str">
            <v>03145833</v>
          </cell>
          <cell r="C1032" t="str">
            <v>Pamela Apolaya</v>
          </cell>
          <cell r="D1032" t="str">
            <v>E0298334</v>
          </cell>
          <cell r="E1032" t="str">
            <v>APOLAYA PAMELA EVELYN</v>
          </cell>
          <cell r="G1032" t="str">
            <v>Corina Sharp</v>
          </cell>
          <cell r="H1032" t="str">
            <v>(212) 545-2441</v>
          </cell>
          <cell r="J1032" t="str">
            <v>csharp@chnnyc.org</v>
          </cell>
          <cell r="L1032" t="str">
            <v>All Other:: Practitioner - Primary Care Provider (PCP)</v>
          </cell>
          <cell r="M1032" t="str">
            <v>Yes</v>
          </cell>
          <cell r="R1032" t="str">
            <v>APOLAYA PAMELA</v>
          </cell>
          <cell r="W1032" t="str">
            <v>APOLAYA PAMELA EVELYN</v>
          </cell>
          <cell r="X1032" t="str">
            <v>760 BROADWAY</v>
          </cell>
          <cell r="Y1032" t="str">
            <v>BROOKLYN</v>
          </cell>
          <cell r="Z1032" t="str">
            <v>NY</v>
          </cell>
          <cell r="AA1032" t="str">
            <v>11206-5317</v>
          </cell>
          <cell r="AB1032" t="str">
            <v>PHYSICIAN</v>
          </cell>
          <cell r="AC1032" t="str">
            <v>M</v>
          </cell>
          <cell r="AD1032" t="str">
            <v>No</v>
          </cell>
          <cell r="AE1032" t="str">
            <v>MMIS</v>
          </cell>
          <cell r="AF1032" t="str">
            <v>chn</v>
          </cell>
          <cell r="AG1032" t="str">
            <v>P</v>
          </cell>
        </row>
        <row r="1033">
          <cell r="A1033" t="str">
            <v>1427387448</v>
          </cell>
          <cell r="B1033" t="str">
            <v>03214019</v>
          </cell>
          <cell r="C1033" t="str">
            <v>Jennifer Balfour</v>
          </cell>
          <cell r="D1033" t="str">
            <v>E0305992</v>
          </cell>
          <cell r="E1033" t="str">
            <v>BALFOUR JENNIFER</v>
          </cell>
          <cell r="G1033" t="str">
            <v>Corina Sharp</v>
          </cell>
          <cell r="H1033" t="str">
            <v>(212) 545-2441</v>
          </cell>
          <cell r="J1033" t="str">
            <v>csharp@chnnyc.org</v>
          </cell>
          <cell r="L1033" t="str">
            <v>All Other:: Practitioner - Primary Care Provider (PCP)</v>
          </cell>
          <cell r="M1033" t="str">
            <v>Yes</v>
          </cell>
          <cell r="R1033" t="str">
            <v>BALFOUR JENNIFER DR.</v>
          </cell>
          <cell r="W1033" t="str">
            <v>BALFOUR JENNIFER</v>
          </cell>
          <cell r="X1033" t="str">
            <v>999 BLAKE AVE</v>
          </cell>
          <cell r="Y1033" t="str">
            <v>BROOKLYN</v>
          </cell>
          <cell r="Z1033" t="str">
            <v>NY</v>
          </cell>
          <cell r="AA1033" t="str">
            <v>11208-3535</v>
          </cell>
          <cell r="AB1033" t="str">
            <v>PHYSICIAN</v>
          </cell>
          <cell r="AC1033" t="str">
            <v>M</v>
          </cell>
          <cell r="AD1033" t="str">
            <v>No</v>
          </cell>
          <cell r="AE1033" t="str">
            <v>MMIS</v>
          </cell>
          <cell r="AF1033" t="str">
            <v>chn</v>
          </cell>
          <cell r="AG1033" t="str">
            <v>P</v>
          </cell>
        </row>
        <row r="1034">
          <cell r="A1034" t="str">
            <v>1124297122</v>
          </cell>
          <cell r="B1034" t="str">
            <v>03078177</v>
          </cell>
          <cell r="C1034" t="str">
            <v>Taisha Benjamin</v>
          </cell>
          <cell r="D1034" t="str">
            <v>E0290462</v>
          </cell>
          <cell r="E1034" t="str">
            <v>BENJAMIN TAISHA LASHON</v>
          </cell>
          <cell r="G1034" t="str">
            <v>Corina Sharp</v>
          </cell>
          <cell r="H1034" t="str">
            <v>(212) 545-2441</v>
          </cell>
          <cell r="J1034" t="str">
            <v>csharp@chnnyc.org</v>
          </cell>
          <cell r="L1034" t="str">
            <v>All Other:: Practitioner - Primary Care Provider (PCP)</v>
          </cell>
          <cell r="M1034" t="str">
            <v>Yes</v>
          </cell>
          <cell r="R1034" t="str">
            <v>BENJAMIN TAISHA</v>
          </cell>
          <cell r="W1034" t="str">
            <v>BENJAMIN TAISHA LASHON</v>
          </cell>
          <cell r="X1034" t="str">
            <v>975 WESTCHESTER AVE</v>
          </cell>
          <cell r="Y1034" t="str">
            <v>BRONX</v>
          </cell>
          <cell r="Z1034" t="str">
            <v>NY</v>
          </cell>
          <cell r="AA1034" t="str">
            <v>10459-3204</v>
          </cell>
          <cell r="AB1034" t="str">
            <v>PHYSICIAN</v>
          </cell>
          <cell r="AC1034" t="str">
            <v>M</v>
          </cell>
          <cell r="AD1034" t="str">
            <v>No</v>
          </cell>
          <cell r="AE1034" t="str">
            <v>MMIS</v>
          </cell>
          <cell r="AF1034" t="str">
            <v>chn</v>
          </cell>
          <cell r="AG1034" t="str">
            <v>P</v>
          </cell>
        </row>
        <row r="1035">
          <cell r="A1035" t="str">
            <v>1003991480</v>
          </cell>
          <cell r="B1035" t="str">
            <v>01571911</v>
          </cell>
          <cell r="C1035" t="str">
            <v>Jean Bien-Aime</v>
          </cell>
          <cell r="D1035" t="str">
            <v>E0142811</v>
          </cell>
          <cell r="E1035" t="str">
            <v>BIEN-AIME JEAN L MD</v>
          </cell>
          <cell r="G1035" t="str">
            <v>Corina Sharp</v>
          </cell>
          <cell r="H1035" t="str">
            <v>(212) 545-2441</v>
          </cell>
          <cell r="J1035" t="str">
            <v>csharp@chnnyc.org</v>
          </cell>
          <cell r="L1035" t="str">
            <v>All Other:: Mental Health:: Practitioner - Non-Primary Care Provider (PCP)</v>
          </cell>
          <cell r="M1035" t="str">
            <v>Yes</v>
          </cell>
          <cell r="R1035" t="str">
            <v>BIEN-AIME JEAN</v>
          </cell>
          <cell r="W1035" t="str">
            <v>BIEN-AIME JEAN L MD</v>
          </cell>
          <cell r="X1035" t="str">
            <v>OCEAN BEHAV HLTH SER</v>
          </cell>
          <cell r="Y1035" t="str">
            <v>BROOKLYN</v>
          </cell>
          <cell r="Z1035" t="str">
            <v>NY</v>
          </cell>
          <cell r="AA1035" t="str">
            <v>11230-1977</v>
          </cell>
          <cell r="AB1035" t="str">
            <v>PHYSICIAN</v>
          </cell>
          <cell r="AC1035" t="str">
            <v>M</v>
          </cell>
          <cell r="AD1035" t="str">
            <v>No</v>
          </cell>
          <cell r="AE1035" t="str">
            <v>MMIS</v>
          </cell>
          <cell r="AF1035" t="str">
            <v>chn</v>
          </cell>
          <cell r="AG1035" t="str">
            <v>P</v>
          </cell>
        </row>
        <row r="1036">
          <cell r="A1036" t="str">
            <v>1396046918</v>
          </cell>
          <cell r="B1036" t="str">
            <v>03312883</v>
          </cell>
          <cell r="C1036" t="str">
            <v>Natalee Bussoletti</v>
          </cell>
          <cell r="D1036" t="str">
            <v>E0317144</v>
          </cell>
          <cell r="E1036" t="str">
            <v>BUSSOLETTI NATALEE MARIE</v>
          </cell>
          <cell r="G1036" t="str">
            <v>Corina Sharp</v>
          </cell>
          <cell r="H1036" t="str">
            <v>(212) 545-2441</v>
          </cell>
          <cell r="J1036" t="str">
            <v>csharp@chnnyc.org</v>
          </cell>
          <cell r="L1036" t="str">
            <v>All Other:: Practitioner - Non-Primary Care Provider (PCP)</v>
          </cell>
          <cell r="M1036" t="str">
            <v>Yes</v>
          </cell>
          <cell r="R1036" t="str">
            <v>BUSSOLETTI NATALEE</v>
          </cell>
          <cell r="W1036" t="str">
            <v>BUSSOLETTI NATALEE MARIE</v>
          </cell>
          <cell r="X1036" t="str">
            <v>4215 3RD AVE FL 2</v>
          </cell>
          <cell r="Y1036" t="str">
            <v>BRONX</v>
          </cell>
          <cell r="Z1036" t="str">
            <v>NY</v>
          </cell>
          <cell r="AA1036" t="str">
            <v>10457-4501</v>
          </cell>
          <cell r="AB1036" t="str">
            <v>PHYSICIAN</v>
          </cell>
          <cell r="AC1036" t="str">
            <v>M</v>
          </cell>
          <cell r="AD1036" t="str">
            <v>No</v>
          </cell>
          <cell r="AE1036" t="str">
            <v>MMIS</v>
          </cell>
          <cell r="AF1036" t="str">
            <v>chn</v>
          </cell>
          <cell r="AG1036" t="str">
            <v>P</v>
          </cell>
        </row>
        <row r="1037">
          <cell r="A1037" t="str">
            <v>1538494448</v>
          </cell>
          <cell r="B1037" t="str">
            <v>03174256</v>
          </cell>
          <cell r="C1037" t="str">
            <v>Noemi Charnow</v>
          </cell>
          <cell r="D1037" t="str">
            <v>E0301525</v>
          </cell>
          <cell r="E1037" t="str">
            <v>CHARNOW NOEMI</v>
          </cell>
          <cell r="G1037" t="str">
            <v>Corina Sharp</v>
          </cell>
          <cell r="H1037" t="str">
            <v>(212) 545-2441</v>
          </cell>
          <cell r="J1037" t="str">
            <v>csharp@chnnyc.org</v>
          </cell>
          <cell r="L1037" t="str">
            <v>All Other:: Practitioner - Primary Care Provider (PCP)</v>
          </cell>
          <cell r="M1037" t="str">
            <v>Yes</v>
          </cell>
          <cell r="R1037" t="str">
            <v>CHARNOW NOEMI</v>
          </cell>
          <cell r="W1037" t="str">
            <v>CHARNOW NOEMI ANNE</v>
          </cell>
          <cell r="X1037" t="str">
            <v>525 EAST 68TH STREET</v>
          </cell>
          <cell r="Y1037" t="str">
            <v>NYC</v>
          </cell>
          <cell r="Z1037" t="str">
            <v>NY</v>
          </cell>
          <cell r="AA1037" t="str">
            <v>10065-4885</v>
          </cell>
          <cell r="AB1037" t="str">
            <v>PHYSICIAN</v>
          </cell>
          <cell r="AC1037" t="str">
            <v>M</v>
          </cell>
          <cell r="AD1037" t="str">
            <v>No</v>
          </cell>
          <cell r="AE1037" t="str">
            <v>MMIS</v>
          </cell>
          <cell r="AF1037" t="str">
            <v>chn</v>
          </cell>
          <cell r="AG1037" t="str">
            <v>P</v>
          </cell>
        </row>
        <row r="1038">
          <cell r="A1038" t="str">
            <v>1558379628</v>
          </cell>
          <cell r="B1038" t="str">
            <v>02586107</v>
          </cell>
          <cell r="C1038" t="str">
            <v>Grace Chow</v>
          </cell>
          <cell r="D1038" t="str">
            <v>E0041545</v>
          </cell>
          <cell r="E1038" t="str">
            <v>CHOW GRACE A MD</v>
          </cell>
          <cell r="G1038" t="str">
            <v>Corina Sharp</v>
          </cell>
          <cell r="H1038" t="str">
            <v>(212) 545-2441</v>
          </cell>
          <cell r="J1038" t="str">
            <v>csharp@chnnyc.org</v>
          </cell>
          <cell r="L1038" t="str">
            <v>All Other:: Practitioner - Primary Care Provider (PCP)</v>
          </cell>
          <cell r="M1038" t="str">
            <v>Yes</v>
          </cell>
          <cell r="R1038" t="str">
            <v>CHOW GRACE</v>
          </cell>
          <cell r="W1038" t="str">
            <v>CHOW GRACE A MD</v>
          </cell>
          <cell r="X1038" t="str">
            <v>69 S BROADWAY</v>
          </cell>
          <cell r="Y1038" t="str">
            <v>YONKERS</v>
          </cell>
          <cell r="Z1038" t="str">
            <v>NY</v>
          </cell>
          <cell r="AA1038" t="str">
            <v>10701-4004</v>
          </cell>
          <cell r="AB1038" t="str">
            <v>PHYSICIAN</v>
          </cell>
          <cell r="AC1038" t="str">
            <v>M</v>
          </cell>
          <cell r="AD1038" t="str">
            <v>No</v>
          </cell>
          <cell r="AE1038" t="str">
            <v>MMIS</v>
          </cell>
          <cell r="AF1038" t="str">
            <v>chn</v>
          </cell>
          <cell r="AG1038" t="str">
            <v>P</v>
          </cell>
        </row>
        <row r="1039">
          <cell r="A1039" t="str">
            <v>1285853549</v>
          </cell>
          <cell r="B1039" t="str">
            <v>02230537</v>
          </cell>
          <cell r="C1039" t="str">
            <v>Gladys Christophe</v>
          </cell>
          <cell r="D1039" t="str">
            <v>E0077036</v>
          </cell>
          <cell r="E1039" t="str">
            <v>CHRISTOPHE GLADYS</v>
          </cell>
          <cell r="G1039" t="str">
            <v>Corina Sharp</v>
          </cell>
          <cell r="H1039" t="str">
            <v>(212) 545-2441</v>
          </cell>
          <cell r="J1039" t="str">
            <v>csharp@chnnyc.org</v>
          </cell>
          <cell r="L1039" t="str">
            <v>All Other:: Practitioner - Primary Care Provider (PCP)</v>
          </cell>
          <cell r="M1039" t="str">
            <v>No</v>
          </cell>
          <cell r="R1039" t="str">
            <v>CHRISTOPHE GLADYS</v>
          </cell>
          <cell r="W1039" t="str">
            <v>CHRISTOPHE GLADYS</v>
          </cell>
          <cell r="X1039" t="str">
            <v>CHRISTOPHE GLADYS</v>
          </cell>
          <cell r="Y1039" t="str">
            <v>BROOKLYN</v>
          </cell>
          <cell r="Z1039" t="str">
            <v>NY</v>
          </cell>
          <cell r="AA1039" t="str">
            <v>11225-5417</v>
          </cell>
          <cell r="AB1039" t="str">
            <v>NURSE</v>
          </cell>
          <cell r="AC1039" t="str">
            <v>M</v>
          </cell>
          <cell r="AD1039" t="str">
            <v>No</v>
          </cell>
          <cell r="AE1039" t="str">
            <v>MMIS</v>
          </cell>
          <cell r="AF1039" t="str">
            <v>chn</v>
          </cell>
          <cell r="AG1039" t="str">
            <v>P</v>
          </cell>
        </row>
        <row r="1040">
          <cell r="A1040" t="str">
            <v>1548675671</v>
          </cell>
          <cell r="B1040" t="str">
            <v>03915991</v>
          </cell>
          <cell r="C1040" t="str">
            <v>Karene Cime</v>
          </cell>
          <cell r="D1040" t="str">
            <v>E0382767</v>
          </cell>
          <cell r="E1040" t="str">
            <v>CIMT KARENE</v>
          </cell>
          <cell r="G1040" t="str">
            <v>Corina Sharp</v>
          </cell>
          <cell r="H1040" t="str">
            <v>(212) 545-2441</v>
          </cell>
          <cell r="J1040" t="str">
            <v>csharp@chnnyc.org</v>
          </cell>
          <cell r="L1040" t="str">
            <v>All Other:: Practitioner - Primary Care Provider (PCP)</v>
          </cell>
          <cell r="M1040" t="str">
            <v>No</v>
          </cell>
          <cell r="R1040" t="str">
            <v>CIME KARENE MRS.</v>
          </cell>
          <cell r="W1040" t="str">
            <v>CIME KARENE</v>
          </cell>
          <cell r="X1040" t="str">
            <v>4215 3RD AVE FL 2</v>
          </cell>
          <cell r="Y1040" t="str">
            <v>BRONX</v>
          </cell>
          <cell r="Z1040" t="str">
            <v>NY</v>
          </cell>
          <cell r="AA1040" t="str">
            <v>10457-4501</v>
          </cell>
          <cell r="AB1040" t="str">
            <v>PHYSICIAN</v>
          </cell>
          <cell r="AC1040" t="str">
            <v>M</v>
          </cell>
          <cell r="AD1040" t="str">
            <v>No</v>
          </cell>
          <cell r="AE1040" t="str">
            <v>MMIS</v>
          </cell>
          <cell r="AF1040" t="str">
            <v>chn</v>
          </cell>
          <cell r="AG1040" t="str">
            <v>P</v>
          </cell>
        </row>
        <row r="1041">
          <cell r="A1041" t="str">
            <v>1225125321</v>
          </cell>
          <cell r="B1041" t="str">
            <v>01497290</v>
          </cell>
          <cell r="C1041" t="str">
            <v>Byron Demopoulos</v>
          </cell>
          <cell r="D1041" t="str">
            <v>E0150259</v>
          </cell>
          <cell r="E1041" t="str">
            <v>DEMOPOULOS BYRON P MD</v>
          </cell>
          <cell r="G1041" t="str">
            <v>Corina Sharp</v>
          </cell>
          <cell r="H1041" t="str">
            <v>(212) 545-2441</v>
          </cell>
          <cell r="J1041" t="str">
            <v>csharp@chnnyc.org</v>
          </cell>
          <cell r="L1041" t="str">
            <v>All Other:: Practitioner - Primary Care Provider (PCP)</v>
          </cell>
          <cell r="M1041" t="str">
            <v>No</v>
          </cell>
          <cell r="R1041" t="str">
            <v>DEMOPOULOS BYRON</v>
          </cell>
          <cell r="W1041" t="str">
            <v>DEMOPOULOS BYRON P MD</v>
          </cell>
          <cell r="X1041" t="str">
            <v>505 E 70TH ST</v>
          </cell>
          <cell r="Y1041" t="str">
            <v>NEW YORK</v>
          </cell>
          <cell r="Z1041" t="str">
            <v>NY</v>
          </cell>
          <cell r="AA1041" t="str">
            <v>10021-4872</v>
          </cell>
          <cell r="AB1041" t="str">
            <v>PHYSICIAN</v>
          </cell>
          <cell r="AC1041" t="str">
            <v>M</v>
          </cell>
          <cell r="AD1041" t="str">
            <v>No</v>
          </cell>
          <cell r="AE1041" t="str">
            <v>MMIS</v>
          </cell>
          <cell r="AF1041" t="str">
            <v>chn</v>
          </cell>
          <cell r="AG1041" t="str">
            <v>P</v>
          </cell>
        </row>
        <row r="1042">
          <cell r="A1042" t="str">
            <v>1578648770</v>
          </cell>
          <cell r="B1042" t="str">
            <v>02583131</v>
          </cell>
          <cell r="C1042" t="str">
            <v>Simon Djen</v>
          </cell>
          <cell r="D1042" t="str">
            <v>E0041841</v>
          </cell>
          <cell r="E1042" t="str">
            <v>DJEN SIMON</v>
          </cell>
          <cell r="G1042" t="str">
            <v>Corina Sharp</v>
          </cell>
          <cell r="H1042" t="str">
            <v>(212) 545-2441</v>
          </cell>
          <cell r="J1042" t="str">
            <v>csharp@chnnyc.org</v>
          </cell>
          <cell r="L1042" t="str">
            <v>All Other:: Practitioner - Primary Care Provider (PCP)</v>
          </cell>
          <cell r="M1042" t="str">
            <v>Yes</v>
          </cell>
          <cell r="R1042" t="str">
            <v>DJEN SIMON</v>
          </cell>
          <cell r="W1042" t="str">
            <v>DJEN SIMON ZINGWAH</v>
          </cell>
          <cell r="X1042" t="str">
            <v>150 ESSEX STREET</v>
          </cell>
          <cell r="Y1042" t="str">
            <v>NEW YORK</v>
          </cell>
          <cell r="Z1042" t="str">
            <v>NY</v>
          </cell>
          <cell r="AA1042" t="str">
            <v>10002-2301</v>
          </cell>
          <cell r="AB1042" t="str">
            <v>PHYSICIAN</v>
          </cell>
          <cell r="AC1042" t="str">
            <v>M</v>
          </cell>
          <cell r="AD1042" t="str">
            <v>No</v>
          </cell>
          <cell r="AE1042" t="str">
            <v>MMIS</v>
          </cell>
          <cell r="AF1042" t="str">
            <v>chn</v>
          </cell>
          <cell r="AG1042" t="str">
            <v>P</v>
          </cell>
        </row>
        <row r="1043">
          <cell r="A1043" t="str">
            <v>1093045353</v>
          </cell>
          <cell r="B1043" t="str">
            <v>03194305</v>
          </cell>
          <cell r="C1043" t="str">
            <v>Elizabeth Dubois</v>
          </cell>
          <cell r="D1043" t="str">
            <v>E0303789</v>
          </cell>
          <cell r="E1043" t="str">
            <v>DUBOIS ELIZABETH MARIE</v>
          </cell>
          <cell r="G1043" t="str">
            <v>Corina Sharp</v>
          </cell>
          <cell r="H1043" t="str">
            <v>(212) 545-2441</v>
          </cell>
          <cell r="J1043" t="str">
            <v>csharp@chnnyc.org</v>
          </cell>
          <cell r="L1043" t="str">
            <v>All Other:: Practitioner - Primary Care Provider (PCP)</v>
          </cell>
          <cell r="M1043" t="str">
            <v>Yes</v>
          </cell>
          <cell r="R1043" t="str">
            <v>DUBOIS ELIZABETH</v>
          </cell>
          <cell r="W1043" t="str">
            <v>DUBOIS ELIZABETH MARIE</v>
          </cell>
          <cell r="X1043" t="str">
            <v>339 HICKS ST</v>
          </cell>
          <cell r="Y1043" t="str">
            <v>BROOKLYN</v>
          </cell>
          <cell r="Z1043" t="str">
            <v>NY</v>
          </cell>
          <cell r="AA1043" t="str">
            <v>11201-5509</v>
          </cell>
          <cell r="AB1043" t="str">
            <v>PHYSICIAN</v>
          </cell>
          <cell r="AC1043" t="str">
            <v>M</v>
          </cell>
          <cell r="AD1043" t="str">
            <v>No</v>
          </cell>
          <cell r="AE1043" t="str">
            <v>MMIS</v>
          </cell>
          <cell r="AF1043" t="str">
            <v>chn</v>
          </cell>
          <cell r="AG1043" t="str">
            <v>P</v>
          </cell>
        </row>
        <row r="1044">
          <cell r="A1044" t="str">
            <v>1790918613</v>
          </cell>
          <cell r="B1044" t="str">
            <v>03255685</v>
          </cell>
          <cell r="C1044" t="str">
            <v>Mona Dudek</v>
          </cell>
          <cell r="D1044" t="str">
            <v>E0310708</v>
          </cell>
          <cell r="E1044" t="str">
            <v>DUDEK MONA</v>
          </cell>
          <cell r="G1044" t="str">
            <v>Corina Sharp</v>
          </cell>
          <cell r="H1044" t="str">
            <v>(212) 545-2441</v>
          </cell>
          <cell r="J1044" t="str">
            <v>csharp@chnnyc.org</v>
          </cell>
          <cell r="L1044" t="str">
            <v>All Other:: Practitioner - Primary Care Provider (PCP)</v>
          </cell>
          <cell r="M1044" t="str">
            <v>Yes</v>
          </cell>
          <cell r="R1044" t="str">
            <v>DUDEK MONA</v>
          </cell>
          <cell r="W1044" t="str">
            <v>DUDEK MONA</v>
          </cell>
          <cell r="X1044" t="str">
            <v>150 ESSEX ST</v>
          </cell>
          <cell r="Y1044" t="str">
            <v>NEW YORK</v>
          </cell>
          <cell r="Z1044" t="str">
            <v>NY</v>
          </cell>
          <cell r="AA1044" t="str">
            <v>10002-2301</v>
          </cell>
          <cell r="AB1044" t="str">
            <v>PHYSICIAN</v>
          </cell>
          <cell r="AC1044" t="str">
            <v>M</v>
          </cell>
          <cell r="AD1044" t="str">
            <v>No</v>
          </cell>
          <cell r="AE1044" t="str">
            <v>MMIS</v>
          </cell>
          <cell r="AF1044" t="str">
            <v>chn</v>
          </cell>
          <cell r="AG1044" t="str">
            <v>P</v>
          </cell>
        </row>
        <row r="1045">
          <cell r="A1045" t="str">
            <v>1306120936</v>
          </cell>
          <cell r="B1045" t="str">
            <v>03404400</v>
          </cell>
          <cell r="C1045" t="str">
            <v>Tamika Duncan</v>
          </cell>
          <cell r="D1045" t="str">
            <v>E0328305</v>
          </cell>
          <cell r="E1045" t="str">
            <v>DUNCAN TAMIKA SIMONE</v>
          </cell>
          <cell r="G1045" t="str">
            <v>Corina Sharp</v>
          </cell>
          <cell r="H1045" t="str">
            <v>(212) 545-2441</v>
          </cell>
          <cell r="J1045" t="str">
            <v>csharp@chnnyc.org</v>
          </cell>
          <cell r="L1045" t="str">
            <v>All Other:: Practitioner - Non-Primary Care Provider (PCP)</v>
          </cell>
          <cell r="M1045" t="str">
            <v>Yes</v>
          </cell>
          <cell r="R1045" t="str">
            <v>DUNCAN TAMIKA MS.</v>
          </cell>
          <cell r="W1045" t="str">
            <v>DUNCAN TAMIKA SIMONE</v>
          </cell>
          <cell r="X1045" t="str">
            <v>94-98 MANHATTAN AVE</v>
          </cell>
          <cell r="Y1045" t="str">
            <v>BROOKLYN</v>
          </cell>
          <cell r="Z1045" t="str">
            <v>NY</v>
          </cell>
          <cell r="AA1045" t="str">
            <v>11206-2501</v>
          </cell>
          <cell r="AB1045" t="str">
            <v>PHYSICIAN</v>
          </cell>
          <cell r="AC1045" t="str">
            <v>M</v>
          </cell>
          <cell r="AD1045" t="str">
            <v>No</v>
          </cell>
          <cell r="AE1045" t="str">
            <v>MMIS</v>
          </cell>
          <cell r="AF1045" t="str">
            <v>chn</v>
          </cell>
          <cell r="AG1045" t="str">
            <v>P</v>
          </cell>
        </row>
        <row r="1046">
          <cell r="A1046" t="str">
            <v>1649611922</v>
          </cell>
          <cell r="B1046" t="str">
            <v>03949846</v>
          </cell>
          <cell r="C1046" t="str">
            <v>Sacha Ferguson</v>
          </cell>
          <cell r="D1046" t="str">
            <v>E0386258</v>
          </cell>
          <cell r="E1046" t="str">
            <v>FERGUSON SACHA</v>
          </cell>
          <cell r="G1046" t="str">
            <v>Corina Sharp</v>
          </cell>
          <cell r="H1046" t="str">
            <v>(212) 545-2441</v>
          </cell>
          <cell r="J1046" t="str">
            <v>csharp@chnnyc.org</v>
          </cell>
          <cell r="L1046" t="str">
            <v>All Other:: Practitioner - Primary Care Provider (PCP)</v>
          </cell>
          <cell r="M1046" t="str">
            <v>No</v>
          </cell>
          <cell r="R1046" t="str">
            <v>FERGUSON SACHA MS.</v>
          </cell>
          <cell r="W1046" t="str">
            <v>FERGUSON SACHA JENKINS</v>
          </cell>
          <cell r="X1046" t="str">
            <v>511 W 157TH ST</v>
          </cell>
          <cell r="Y1046" t="str">
            <v>NEW YORK</v>
          </cell>
          <cell r="Z1046" t="str">
            <v>NY</v>
          </cell>
          <cell r="AA1046" t="str">
            <v>10032-7601</v>
          </cell>
          <cell r="AB1046" t="str">
            <v>PHYSICIAN</v>
          </cell>
          <cell r="AC1046" t="str">
            <v>M</v>
          </cell>
          <cell r="AD1046" t="str">
            <v>No</v>
          </cell>
          <cell r="AE1046" t="str">
            <v>MMIS</v>
          </cell>
          <cell r="AF1046" t="str">
            <v>chn</v>
          </cell>
          <cell r="AG1046" t="str">
            <v>P</v>
          </cell>
        </row>
        <row r="1047">
          <cell r="A1047" t="str">
            <v>1396817268</v>
          </cell>
          <cell r="B1047" t="str">
            <v>02618399</v>
          </cell>
          <cell r="C1047" t="str">
            <v>Marie Garnes</v>
          </cell>
          <cell r="D1047" t="str">
            <v>E0038318</v>
          </cell>
          <cell r="E1047" t="str">
            <v>FIEVRE GARNES MARIE FT MD</v>
          </cell>
          <cell r="G1047" t="str">
            <v>Corina Sharp</v>
          </cell>
          <cell r="H1047" t="str">
            <v>(212) 545-2441</v>
          </cell>
          <cell r="J1047" t="str">
            <v>csharp@chnnyc.org</v>
          </cell>
          <cell r="L1047" t="str">
            <v>All Other:: Practitioner - Primary Care Provider (PCP)</v>
          </cell>
          <cell r="M1047" t="str">
            <v>Yes</v>
          </cell>
          <cell r="R1047" t="str">
            <v>GARNES MARIE DR.</v>
          </cell>
          <cell r="W1047" t="str">
            <v>FIEVRE GARNES MARIE FT MD</v>
          </cell>
          <cell r="X1047" t="str">
            <v>1125 FULTON ST</v>
          </cell>
          <cell r="Y1047" t="str">
            <v>BROOKLYN</v>
          </cell>
          <cell r="Z1047" t="str">
            <v>NY</v>
          </cell>
          <cell r="AA1047" t="str">
            <v>11238-2669</v>
          </cell>
          <cell r="AB1047" t="str">
            <v>PHYSICIAN</v>
          </cell>
          <cell r="AC1047" t="str">
            <v>M</v>
          </cell>
          <cell r="AD1047" t="str">
            <v>No</v>
          </cell>
          <cell r="AE1047" t="str">
            <v>MMIS</v>
          </cell>
          <cell r="AF1047" t="str">
            <v>chn</v>
          </cell>
          <cell r="AG1047" t="str">
            <v>P</v>
          </cell>
        </row>
        <row r="1048">
          <cell r="A1048" t="str">
            <v>1992766174</v>
          </cell>
          <cell r="B1048" t="str">
            <v>02080697</v>
          </cell>
          <cell r="C1048" t="str">
            <v xml:space="preserve">KONRAD, HINDOLA </v>
          </cell>
          <cell r="D1048" t="str">
            <v>E0091997</v>
          </cell>
          <cell r="E1048" t="str">
            <v>KONRAD HINDOLA MD</v>
          </cell>
          <cell r="G1048" t="str">
            <v>Kathryn Spaziani</v>
          </cell>
          <cell r="H1048" t="str">
            <v>(212) 305-1190</v>
          </cell>
          <cell r="J1048" t="str">
            <v>kas9171@nyp.org</v>
          </cell>
          <cell r="L1048" t="str">
            <v>Practitioner - Non-Primary Care Provider (PCP)</v>
          </cell>
          <cell r="M1048" t="str">
            <v>No</v>
          </cell>
          <cell r="R1048" t="str">
            <v>KONRAD HINDOLA</v>
          </cell>
          <cell r="W1048" t="str">
            <v>KONRAD HINDOLA MD</v>
          </cell>
          <cell r="X1048" t="str">
            <v>HARKNESS EYE INST</v>
          </cell>
          <cell r="Y1048" t="str">
            <v>NEW YORK</v>
          </cell>
          <cell r="Z1048" t="str">
            <v>NY</v>
          </cell>
          <cell r="AA1048" t="str">
            <v>10032-3724</v>
          </cell>
          <cell r="AB1048" t="str">
            <v>PHYSICIAN</v>
          </cell>
          <cell r="AC1048" t="str">
            <v>M</v>
          </cell>
          <cell r="AD1048" t="str">
            <v>No</v>
          </cell>
          <cell r="AE1048" t="str">
            <v>MMIS</v>
          </cell>
          <cell r="AF1048" t="str">
            <v>nypwestcampus</v>
          </cell>
          <cell r="AG1048" t="str">
            <v>P</v>
          </cell>
        </row>
        <row r="1049">
          <cell r="A1049" t="str">
            <v>1578980793</v>
          </cell>
          <cell r="B1049" t="str">
            <v>03805483</v>
          </cell>
          <cell r="C1049" t="str">
            <v xml:space="preserve">JOSHI, MONICA </v>
          </cell>
          <cell r="D1049" t="str">
            <v>E0371277</v>
          </cell>
          <cell r="E1049" t="str">
            <v>JOSHI MONICA</v>
          </cell>
          <cell r="G1049" t="str">
            <v>Kathryn Spaziani</v>
          </cell>
          <cell r="H1049" t="str">
            <v>(212) 305-1190</v>
          </cell>
          <cell r="J1049" t="str">
            <v>kas9171@nyp.org</v>
          </cell>
          <cell r="L1049" t="str">
            <v>Practitioner - Non-Primary Care Provider (PCP)</v>
          </cell>
          <cell r="M1049" t="str">
            <v>No</v>
          </cell>
          <cell r="R1049" t="str">
            <v>JOSHI MONICA</v>
          </cell>
          <cell r="W1049" t="str">
            <v>JOSHI MONICA</v>
          </cell>
          <cell r="X1049" t="str">
            <v>622 W 168TH ST FL 10</v>
          </cell>
          <cell r="Y1049" t="str">
            <v>NEW YORK</v>
          </cell>
          <cell r="Z1049" t="str">
            <v>NY</v>
          </cell>
          <cell r="AA1049" t="str">
            <v>10032-3720</v>
          </cell>
          <cell r="AB1049" t="str">
            <v>THERAPIST</v>
          </cell>
          <cell r="AC1049" t="str">
            <v>M</v>
          </cell>
          <cell r="AD1049" t="str">
            <v>No</v>
          </cell>
          <cell r="AE1049" t="str">
            <v>MMIS</v>
          </cell>
          <cell r="AF1049" t="str">
            <v>nypother</v>
          </cell>
          <cell r="AG1049" t="str">
            <v>P</v>
          </cell>
        </row>
        <row r="1050">
          <cell r="A1050" t="str">
            <v>1104902949</v>
          </cell>
          <cell r="B1050" t="str">
            <v>01136130</v>
          </cell>
          <cell r="C1050" t="str">
            <v>DOMINICAN SISTERS FAMILY HEALTH SERVICE INC</v>
          </cell>
          <cell r="D1050" t="str">
            <v>E0186265</v>
          </cell>
          <cell r="E1050" t="str">
            <v>DOMINICAN SISTERS FAMILY LTHH</v>
          </cell>
          <cell r="G1050" t="str">
            <v>Mary Zagajeski</v>
          </cell>
          <cell r="L1050" t="str">
            <v>All Other</v>
          </cell>
          <cell r="M1050" t="str">
            <v>Yes</v>
          </cell>
          <cell r="R1050" t="str">
            <v>DOMINICAN SISTERS FAMILY HEALTH SERVICE INC</v>
          </cell>
          <cell r="W1050" t="str">
            <v>DOMINICAN SISTERS FAMILY LTHH</v>
          </cell>
          <cell r="X1050" t="str">
            <v>LTHHCP</v>
          </cell>
          <cell r="Y1050" t="str">
            <v>OSSINING</v>
          </cell>
          <cell r="Z1050" t="str">
            <v>NY</v>
          </cell>
          <cell r="AA1050" t="str">
            <v>10562-2327</v>
          </cell>
          <cell r="AB1050" t="str">
            <v>HOME HEALTH AGENCY</v>
          </cell>
          <cell r="AC1050" t="str">
            <v>M</v>
          </cell>
          <cell r="AD1050" t="str">
            <v>No</v>
          </cell>
          <cell r="AE1050" t="str">
            <v>MMIS</v>
          </cell>
          <cell r="AG1050" t="str">
            <v>P</v>
          </cell>
        </row>
        <row r="1051">
          <cell r="A1051" t="str">
            <v>1548244395</v>
          </cell>
          <cell r="B1051" t="str">
            <v>00736232</v>
          </cell>
          <cell r="C1051" t="str">
            <v xml:space="preserve">LISS, DONALD </v>
          </cell>
          <cell r="D1051" t="str">
            <v>E0226086</v>
          </cell>
          <cell r="E1051" t="str">
            <v>LISS DONALD                MD</v>
          </cell>
          <cell r="G1051" t="str">
            <v>Kathryn Spaziani</v>
          </cell>
          <cell r="H1051" t="str">
            <v>(212) 305-1190</v>
          </cell>
          <cell r="J1051" t="str">
            <v>kas9171@nyp.org</v>
          </cell>
          <cell r="L1051" t="str">
            <v>Practitioner - Non-Primary Care Provider (PCP)</v>
          </cell>
          <cell r="M1051" t="str">
            <v>No</v>
          </cell>
          <cell r="R1051" t="str">
            <v>LISS DONALD DR.</v>
          </cell>
          <cell r="W1051" t="str">
            <v>LISS DONALD MD</v>
          </cell>
          <cell r="X1051" t="str">
            <v>365 ROUTE 304/STE 102</v>
          </cell>
          <cell r="Y1051" t="str">
            <v>BARDONIA</v>
          </cell>
          <cell r="Z1051" t="str">
            <v>NY</v>
          </cell>
          <cell r="AA1051" t="str">
            <v>10954-1601</v>
          </cell>
          <cell r="AB1051" t="str">
            <v>PHYSICIAN</v>
          </cell>
          <cell r="AC1051" t="str">
            <v>M</v>
          </cell>
          <cell r="AD1051" t="str">
            <v>No</v>
          </cell>
          <cell r="AE1051" t="str">
            <v>MMIS</v>
          </cell>
          <cell r="AF1051" t="str">
            <v>nypwestcampus</v>
          </cell>
          <cell r="AG1051" t="str">
            <v>P</v>
          </cell>
        </row>
        <row r="1052">
          <cell r="A1052" t="str">
            <v>1992855696</v>
          </cell>
          <cell r="B1052" t="str">
            <v>03674022</v>
          </cell>
          <cell r="C1052" t="str">
            <v>Marya Pollack, MD</v>
          </cell>
          <cell r="D1052" t="str">
            <v>E0357800</v>
          </cell>
          <cell r="E1052" t="str">
            <v>POLLACK MARYA ESTHER</v>
          </cell>
          <cell r="G1052" t="str">
            <v>Dianna Dragatsi</v>
          </cell>
          <cell r="H1052" t="str">
            <v>(212) 942-8528</v>
          </cell>
          <cell r="J1052" t="str">
            <v>Dragats@nyspi.columbia.edu</v>
          </cell>
          <cell r="L1052" t="str">
            <v>Practitioner - Non-Primary Care Provider (PCP)</v>
          </cell>
          <cell r="M1052" t="str">
            <v>No</v>
          </cell>
          <cell r="R1052" t="str">
            <v>POLLACK MARYA DR.</v>
          </cell>
          <cell r="W1052" t="str">
            <v>POLLACK MARYA ESTHER</v>
          </cell>
          <cell r="X1052" t="str">
            <v>26 SHERMAN AVE</v>
          </cell>
          <cell r="Y1052" t="str">
            <v>NEW YORK</v>
          </cell>
          <cell r="Z1052" t="str">
            <v>NY</v>
          </cell>
          <cell r="AA1052" t="str">
            <v>10040-1602</v>
          </cell>
          <cell r="AB1052" t="str">
            <v>PHYSICIAN</v>
          </cell>
          <cell r="AC1052" t="str">
            <v>M</v>
          </cell>
          <cell r="AD1052" t="str">
            <v>No</v>
          </cell>
          <cell r="AE1052" t="str">
            <v>MMIS</v>
          </cell>
          <cell r="AF1052" t="str">
            <v>nyspi</v>
          </cell>
          <cell r="AG1052" t="str">
            <v>P</v>
          </cell>
        </row>
        <row r="1053">
          <cell r="A1053" t="str">
            <v>1750494589</v>
          </cell>
          <cell r="B1053" t="str">
            <v>02819881</v>
          </cell>
          <cell r="C1053" t="str">
            <v>SWEENEY, EUGENE W</v>
          </cell>
          <cell r="D1053" t="str">
            <v>E0018207</v>
          </cell>
          <cell r="E1053" t="str">
            <v>SWEENEY EUGENE</v>
          </cell>
          <cell r="G1053" t="str">
            <v>Kathryn Spaziani</v>
          </cell>
          <cell r="H1053" t="str">
            <v>(212) 305-1190</v>
          </cell>
          <cell r="J1053" t="str">
            <v>kas9171@nyp.org</v>
          </cell>
          <cell r="L1053" t="str">
            <v>Practitioner - Non-Primary Care Provider (PCP)</v>
          </cell>
          <cell r="M1053" t="str">
            <v>No</v>
          </cell>
          <cell r="W1053" t="str">
            <v>SWEENEY EUGENE</v>
          </cell>
          <cell r="X1053" t="str">
            <v>161 FORT WASHINGTON AVE</v>
          </cell>
          <cell r="Y1053" t="str">
            <v>NEW YORK</v>
          </cell>
          <cell r="Z1053" t="str">
            <v>NY</v>
          </cell>
          <cell r="AA1053" t="str">
            <v>10032-3729</v>
          </cell>
          <cell r="AB1053" t="str">
            <v>PHYSICIAN</v>
          </cell>
          <cell r="AC1053" t="str">
            <v>M</v>
          </cell>
          <cell r="AD1053" t="str">
            <v>No</v>
          </cell>
          <cell r="AE1053" t="str">
            <v>MMIS</v>
          </cell>
          <cell r="AF1053" t="str">
            <v>nypwestcampus</v>
          </cell>
          <cell r="AG1053" t="str">
            <v>P</v>
          </cell>
        </row>
        <row r="1054">
          <cell r="A1054" t="str">
            <v>1124229463</v>
          </cell>
          <cell r="B1054" t="str">
            <v>02892208</v>
          </cell>
          <cell r="C1054" t="str">
            <v>Toussi, Shelly S</v>
          </cell>
          <cell r="D1054" t="str">
            <v>E0010986</v>
          </cell>
          <cell r="E1054" t="str">
            <v>TOUSSI SHELLY S MD</v>
          </cell>
          <cell r="G1054" t="str">
            <v>Kathryn Spaziani</v>
          </cell>
          <cell r="H1054" t="str">
            <v>(212) 305-1190</v>
          </cell>
          <cell r="J1054" t="str">
            <v>kas9171@nyp.org</v>
          </cell>
          <cell r="L1054" t="str">
            <v>All Other:: Practitioner - Non-Primary Care Provider (PCP)</v>
          </cell>
          <cell r="M1054" t="str">
            <v>Yes</v>
          </cell>
          <cell r="R1054" t="str">
            <v>TOUSSI SHELLY</v>
          </cell>
          <cell r="W1054" t="str">
            <v>TOUSSI SHELLY S MD</v>
          </cell>
          <cell r="X1054" t="str">
            <v>AMB L-5 SUITE 8</v>
          </cell>
          <cell r="Y1054" t="str">
            <v>STONY BROOK</v>
          </cell>
          <cell r="Z1054" t="str">
            <v>NY</v>
          </cell>
          <cell r="AA1054" t="str">
            <v>11794-0001</v>
          </cell>
          <cell r="AB1054" t="str">
            <v>PHYSICIAN</v>
          </cell>
          <cell r="AC1054" t="str">
            <v>M</v>
          </cell>
          <cell r="AD1054" t="str">
            <v>No</v>
          </cell>
          <cell r="AE1054" t="str">
            <v>MMIS</v>
          </cell>
          <cell r="AF1054" t="str">
            <v>nypeastcampus</v>
          </cell>
          <cell r="AG1054" t="str">
            <v>P</v>
          </cell>
        </row>
        <row r="1055">
          <cell r="C1055" t="str">
            <v>Service program for older people - Outpatient mental health clinic - Upper Westside Clinic</v>
          </cell>
          <cell r="G1055" t="str">
            <v>Dan Del Bene, LCSW</v>
          </cell>
          <cell r="H1055" t="str">
            <v>(212) 787-7120</v>
          </cell>
          <cell r="I1055">
            <v>528</v>
          </cell>
          <cell r="J1055" t="str">
            <v>ddelbene@spop.org</v>
          </cell>
          <cell r="K1055" t="str">
            <v>Unknown</v>
          </cell>
          <cell r="L1055" t="str">
            <v>CBO</v>
          </cell>
          <cell r="M1055" t="str">
            <v>No</v>
          </cell>
          <cell r="AC1055" t="str">
            <v>M</v>
          </cell>
          <cell r="AD1055" t="str">
            <v>No</v>
          </cell>
          <cell r="AE1055" t="str">
            <v>No NPI or MMIS</v>
          </cell>
          <cell r="AG1055" t="str">
            <v>P</v>
          </cell>
        </row>
        <row r="1056">
          <cell r="A1056" t="str">
            <v>1326120783</v>
          </cell>
          <cell r="B1056" t="str">
            <v>02754901</v>
          </cell>
          <cell r="C1056" t="str">
            <v xml:space="preserve">CASALE, PASQUALE </v>
          </cell>
          <cell r="D1056" t="str">
            <v>E0024701</v>
          </cell>
          <cell r="E1056" t="str">
            <v>CASALE PASQUALE  MD</v>
          </cell>
          <cell r="G1056" t="str">
            <v>Kathryn Spaziani</v>
          </cell>
          <cell r="H1056" t="str">
            <v>(212) 305-1190</v>
          </cell>
          <cell r="J1056" t="str">
            <v>kas9171@nyp.org</v>
          </cell>
          <cell r="L1056" t="str">
            <v>All Other:: Practitioner - Non-Primary Care Provider (PCP)</v>
          </cell>
          <cell r="M1056" t="str">
            <v>No</v>
          </cell>
          <cell r="R1056" t="str">
            <v>CASALE PASQUALE DR.</v>
          </cell>
          <cell r="W1056" t="str">
            <v>CASALE PASQUALE  MD</v>
          </cell>
          <cell r="X1056" t="str">
            <v>3959 BROADWAY</v>
          </cell>
          <cell r="Y1056" t="str">
            <v>NEW YORK</v>
          </cell>
          <cell r="Z1056" t="str">
            <v>NY</v>
          </cell>
          <cell r="AA1056" t="str">
            <v>10032-1559</v>
          </cell>
          <cell r="AB1056" t="str">
            <v>PHYSICIAN</v>
          </cell>
          <cell r="AC1056" t="str">
            <v>M</v>
          </cell>
          <cell r="AD1056" t="str">
            <v>No</v>
          </cell>
          <cell r="AE1056" t="str">
            <v>MMIS</v>
          </cell>
          <cell r="AF1056" t="str">
            <v>nypwestcampus</v>
          </cell>
          <cell r="AG1056" t="str">
            <v>P</v>
          </cell>
        </row>
        <row r="1057">
          <cell r="A1057" t="str">
            <v>1700869534</v>
          </cell>
          <cell r="B1057" t="str">
            <v>03007361</v>
          </cell>
          <cell r="C1057" t="str">
            <v>VILLAGE ADULT DAY HEALTH CARE DAY TREATMENT PROGRAM</v>
          </cell>
          <cell r="D1057" t="str">
            <v>E0181259</v>
          </cell>
          <cell r="E1057" t="str">
            <v>VILLAGE CENTER FOR CARE AADC</v>
          </cell>
          <cell r="G1057" t="str">
            <v>Allison Silvers, Chief Strategy Officer</v>
          </cell>
          <cell r="H1057" t="str">
            <v>(212) 337-5755</v>
          </cell>
          <cell r="J1057" t="str">
            <v>Allisons@villagecare.org</v>
          </cell>
          <cell r="L1057" t="str">
            <v>All Other</v>
          </cell>
          <cell r="M1057" t="str">
            <v>Yes</v>
          </cell>
          <cell r="R1057" t="str">
            <v>VILLAGE ADULT DAY HEALTH CARE DAY TREATMENT PROGRAM</v>
          </cell>
          <cell r="W1057" t="str">
            <v>VILLAGE CENTER FOR CARE AADC</v>
          </cell>
          <cell r="X1057" t="str">
            <v>133 WEST 20TH STREET</v>
          </cell>
          <cell r="Y1057" t="str">
            <v>NEW YORK</v>
          </cell>
          <cell r="Z1057" t="str">
            <v>NY</v>
          </cell>
          <cell r="AA1057" t="str">
            <v>10014</v>
          </cell>
          <cell r="AB1057" t="str">
            <v>LONG TERM CARE FACILITY</v>
          </cell>
          <cell r="AC1057" t="str">
            <v>M</v>
          </cell>
          <cell r="AD1057" t="str">
            <v>No</v>
          </cell>
          <cell r="AE1057" t="str">
            <v>MMIS</v>
          </cell>
          <cell r="AG1057" t="str">
            <v>P</v>
          </cell>
        </row>
        <row r="1058">
          <cell r="A1058" t="str">
            <v>1104084920</v>
          </cell>
          <cell r="B1058" t="str">
            <v>03972709</v>
          </cell>
          <cell r="C1058" t="str">
            <v>Hau, Duncan Kuo-Way</v>
          </cell>
          <cell r="D1058" t="str">
            <v>E0388637</v>
          </cell>
          <cell r="E1058" t="str">
            <v>HAU DUNCAN</v>
          </cell>
          <cell r="G1058" t="str">
            <v>Kathryn Spaziani</v>
          </cell>
          <cell r="H1058" t="str">
            <v>(212) 305-1190</v>
          </cell>
          <cell r="J1058" t="str">
            <v>kas9171@nyp.org</v>
          </cell>
          <cell r="L1058" t="str">
            <v>Practitioner - Non-Primary Care Provider (PCP)</v>
          </cell>
          <cell r="M1058" t="str">
            <v>No</v>
          </cell>
          <cell r="R1058" t="str">
            <v>HAU DUNCAN DR.</v>
          </cell>
          <cell r="W1058" t="str">
            <v>HAU DUNCAN KUOWAY</v>
          </cell>
          <cell r="X1058" t="str">
            <v>525 E 68TH ST</v>
          </cell>
          <cell r="Y1058" t="str">
            <v>NEW YORK</v>
          </cell>
          <cell r="Z1058" t="str">
            <v>NY</v>
          </cell>
          <cell r="AA1058" t="str">
            <v>10065-4870</v>
          </cell>
          <cell r="AB1058" t="str">
            <v>PHYSICIAN</v>
          </cell>
          <cell r="AC1058" t="str">
            <v>M</v>
          </cell>
          <cell r="AD1058" t="str">
            <v>No</v>
          </cell>
          <cell r="AE1058" t="str">
            <v>MMIS</v>
          </cell>
          <cell r="AF1058" t="str">
            <v>nypeastcampus</v>
          </cell>
          <cell r="AG1058" t="str">
            <v>P</v>
          </cell>
        </row>
        <row r="1059">
          <cell r="A1059" t="str">
            <v>1104126416</v>
          </cell>
          <cell r="B1059" t="str">
            <v>03493469</v>
          </cell>
          <cell r="C1059" t="str">
            <v>CLARKE, MARCIA E</v>
          </cell>
          <cell r="D1059" t="str">
            <v>E0338858</v>
          </cell>
          <cell r="E1059" t="str">
            <v>CLARKE MARCIA E</v>
          </cell>
          <cell r="G1059" t="str">
            <v>Kathryn Spaziani</v>
          </cell>
          <cell r="H1059" t="str">
            <v>(212) 305-1190</v>
          </cell>
          <cell r="J1059" t="str">
            <v>kas9171@nyp.org</v>
          </cell>
          <cell r="L1059" t="str">
            <v>All Other:: Practitioner - Non-Primary Care Provider (PCP)</v>
          </cell>
          <cell r="M1059" t="str">
            <v>No</v>
          </cell>
          <cell r="R1059" t="str">
            <v>CLARKE MARCIA MISS</v>
          </cell>
          <cell r="W1059" t="str">
            <v>CLARKE MARCIA E</v>
          </cell>
          <cell r="X1059" t="str">
            <v>534 W 135TH ST</v>
          </cell>
          <cell r="Y1059" t="str">
            <v>NEW YORK</v>
          </cell>
          <cell r="Z1059" t="str">
            <v>NY</v>
          </cell>
          <cell r="AA1059" t="str">
            <v>10031-8644</v>
          </cell>
          <cell r="AB1059" t="str">
            <v>PHYSICIAN</v>
          </cell>
          <cell r="AC1059" t="str">
            <v>M</v>
          </cell>
          <cell r="AD1059" t="str">
            <v>No</v>
          </cell>
          <cell r="AE1059" t="str">
            <v>MMIS</v>
          </cell>
          <cell r="AF1059" t="str">
            <v>nypwestcampus</v>
          </cell>
          <cell r="AG1059" t="str">
            <v>P</v>
          </cell>
        </row>
        <row r="1060">
          <cell r="A1060" t="str">
            <v>1629002969</v>
          </cell>
          <cell r="B1060" t="str">
            <v>02998929</v>
          </cell>
          <cell r="C1060" t="str">
            <v>RIVERDALE MENTAL HEALTH CLINIC</v>
          </cell>
          <cell r="D1060" t="str">
            <v>E0274023</v>
          </cell>
          <cell r="E1060" t="str">
            <v>RIVERDALE MENTAL HLTH CL</v>
          </cell>
          <cell r="L1060" t="str">
            <v>All Other:: Mental Health:: Substance Abuse</v>
          </cell>
          <cell r="M1060" t="str">
            <v>Yes</v>
          </cell>
          <cell r="R1060" t="str">
            <v>RIVERDALE MENTAL HEALTH ASSOCIATION INC</v>
          </cell>
          <cell r="W1060" t="str">
            <v>RIVERDALE MENTAL HLTH CL</v>
          </cell>
          <cell r="X1060" t="str">
            <v>RIVERDALE CLN/CDT</v>
          </cell>
          <cell r="Y1060" t="str">
            <v>BRONX</v>
          </cell>
          <cell r="Z1060" t="str">
            <v>NY</v>
          </cell>
          <cell r="AA1060" t="str">
            <v>10471-2138</v>
          </cell>
          <cell r="AB1060" t="str">
            <v>MULTI-TYPE</v>
          </cell>
          <cell r="AC1060" t="str">
            <v>M</v>
          </cell>
          <cell r="AD1060" t="str">
            <v>No</v>
          </cell>
          <cell r="AE1060" t="str">
            <v>MMIS</v>
          </cell>
          <cell r="AG1060" t="str">
            <v>P</v>
          </cell>
        </row>
        <row r="1061">
          <cell r="A1061" t="str">
            <v>1912024373</v>
          </cell>
          <cell r="B1061" t="str">
            <v>02208006</v>
          </cell>
          <cell r="C1061" t="str">
            <v>SCHERL, ELLEN</v>
          </cell>
          <cell r="D1061" t="str">
            <v>E0079285</v>
          </cell>
          <cell r="E1061" t="str">
            <v>SCHERL ELLEN MD</v>
          </cell>
          <cell r="G1061" t="str">
            <v>Kathryn Spaziani</v>
          </cell>
          <cell r="H1061" t="str">
            <v>(212) 305-1328</v>
          </cell>
          <cell r="J1061" t="str">
            <v>kas9171@nyp.org</v>
          </cell>
          <cell r="L1061" t="str">
            <v>All Other:: Practitioner - Non-Primary Care Provider (PCP)</v>
          </cell>
          <cell r="M1061" t="str">
            <v>No</v>
          </cell>
          <cell r="R1061" t="str">
            <v>SCHERL ELLEN</v>
          </cell>
          <cell r="W1061" t="str">
            <v>SCHERL ELLEN MD</v>
          </cell>
          <cell r="X1061" t="str">
            <v>1315 YORK AVE MEZZ LEVEL</v>
          </cell>
          <cell r="Y1061" t="str">
            <v>NEW YORK</v>
          </cell>
          <cell r="Z1061" t="str">
            <v>NY</v>
          </cell>
          <cell r="AA1061" t="str">
            <v>10065-8789</v>
          </cell>
          <cell r="AB1061" t="str">
            <v>PHYSICIAN</v>
          </cell>
          <cell r="AC1061" t="str">
            <v>M</v>
          </cell>
          <cell r="AD1061" t="str">
            <v>No</v>
          </cell>
          <cell r="AE1061" t="str">
            <v>MMIS</v>
          </cell>
          <cell r="AF1061" t="str">
            <v>nypeastcampus</v>
          </cell>
          <cell r="AG1061" t="str">
            <v>P</v>
          </cell>
        </row>
        <row r="1062">
          <cell r="A1062" t="str">
            <v>1427258367</v>
          </cell>
          <cell r="B1062" t="str">
            <v>03421785</v>
          </cell>
          <cell r="C1062" t="str">
            <v xml:space="preserve">JABBARI, ALI </v>
          </cell>
          <cell r="D1062" t="str">
            <v>E0330461</v>
          </cell>
          <cell r="E1062" t="str">
            <v>JABBARI ALI</v>
          </cell>
          <cell r="G1062" t="str">
            <v>Kathryn Spaziani</v>
          </cell>
          <cell r="H1062" t="str">
            <v>(212) 305-1190</v>
          </cell>
          <cell r="J1062" t="str">
            <v>kas9171@nyp.org</v>
          </cell>
          <cell r="L1062" t="str">
            <v>Practitioner - Non-Primary Care Provider (PCP)</v>
          </cell>
          <cell r="M1062" t="str">
            <v>No</v>
          </cell>
          <cell r="R1062" t="str">
            <v>JABBARI ALI</v>
          </cell>
          <cell r="W1062" t="str">
            <v>JABBARI ALI</v>
          </cell>
          <cell r="X1062" t="str">
            <v>161 FORT WASHINGTON AVE</v>
          </cell>
          <cell r="Y1062" t="str">
            <v>NEW YORK</v>
          </cell>
          <cell r="Z1062" t="str">
            <v>NY</v>
          </cell>
          <cell r="AA1062" t="str">
            <v>10032-3729</v>
          </cell>
          <cell r="AB1062" t="str">
            <v>PHYSICIAN</v>
          </cell>
          <cell r="AC1062" t="str">
            <v>M</v>
          </cell>
          <cell r="AD1062" t="str">
            <v>No</v>
          </cell>
          <cell r="AE1062" t="str">
            <v>MMIS</v>
          </cell>
          <cell r="AF1062" t="str">
            <v>nypwestacn</v>
          </cell>
          <cell r="AG1062" t="str">
            <v>P</v>
          </cell>
        </row>
        <row r="1063">
          <cell r="A1063" t="str">
            <v>1427278845</v>
          </cell>
          <cell r="B1063" t="str">
            <v>02265745</v>
          </cell>
          <cell r="C1063" t="str">
            <v xml:space="preserve">HUNTER-ROMANELLI, LISA </v>
          </cell>
          <cell r="D1063" t="str">
            <v>E0073524</v>
          </cell>
          <cell r="E1063" t="str">
            <v>HUNTER LISA PHD</v>
          </cell>
          <cell r="G1063" t="str">
            <v>Kathryn Spaziani</v>
          </cell>
          <cell r="H1063" t="str">
            <v>(212) 305-1190</v>
          </cell>
          <cell r="J1063" t="str">
            <v>kas9171@nyp.org</v>
          </cell>
          <cell r="L1063" t="str">
            <v>Mental Health:: Practitioner - Non-Primary Care Provider (PCP)</v>
          </cell>
          <cell r="M1063" t="str">
            <v>No</v>
          </cell>
          <cell r="R1063" t="str">
            <v>HUNTER ROMANELLI LISA</v>
          </cell>
          <cell r="W1063" t="str">
            <v>HUNTER LISA ROMANELLI</v>
          </cell>
          <cell r="X1063" t="str">
            <v>3959 BROADWAY FL 6 N</v>
          </cell>
          <cell r="Y1063" t="str">
            <v>NEW YORK</v>
          </cell>
          <cell r="Z1063" t="str">
            <v>NY</v>
          </cell>
          <cell r="AA1063" t="str">
            <v>10032-1559</v>
          </cell>
          <cell r="AB1063" t="str">
            <v>CLINICAL PSYCHOLOGIST</v>
          </cell>
          <cell r="AC1063" t="str">
            <v>M</v>
          </cell>
          <cell r="AD1063" t="str">
            <v>No</v>
          </cell>
          <cell r="AE1063" t="str">
            <v>MMIS</v>
          </cell>
          <cell r="AF1063" t="str">
            <v>nypwestacn</v>
          </cell>
          <cell r="AG1063" t="str">
            <v>P</v>
          </cell>
        </row>
        <row r="1064">
          <cell r="A1064" t="str">
            <v>1003989211</v>
          </cell>
          <cell r="B1064" t="str">
            <v>02641069</v>
          </cell>
          <cell r="C1064" t="str">
            <v>WALKER, MARCELLA D</v>
          </cell>
          <cell r="D1064" t="str">
            <v>E0036057</v>
          </cell>
          <cell r="E1064" t="str">
            <v>WALKER MARCELLA MD</v>
          </cell>
          <cell r="G1064" t="str">
            <v>Kathryn Spaziani</v>
          </cell>
          <cell r="H1064" t="str">
            <v>(212) 305-1190</v>
          </cell>
          <cell r="J1064" t="str">
            <v>kas9171@nyp.org</v>
          </cell>
          <cell r="L1064" t="str">
            <v>All Other:: Practitioner - Non-Primary Care Provider (PCP)</v>
          </cell>
          <cell r="M1064" t="str">
            <v>No</v>
          </cell>
          <cell r="R1064" t="str">
            <v>WALKER MARCELLA DR.</v>
          </cell>
          <cell r="W1064" t="str">
            <v>WALKER MARCELLA MD</v>
          </cell>
          <cell r="X1064" t="str">
            <v>622 W 168TH ST</v>
          </cell>
          <cell r="Y1064" t="str">
            <v>NEW YORK</v>
          </cell>
          <cell r="Z1064" t="str">
            <v>NY</v>
          </cell>
          <cell r="AA1064" t="str">
            <v>10032-3720</v>
          </cell>
          <cell r="AB1064" t="str">
            <v>PHYSICIAN</v>
          </cell>
          <cell r="AC1064" t="str">
            <v>M</v>
          </cell>
          <cell r="AD1064" t="str">
            <v>No</v>
          </cell>
          <cell r="AE1064" t="str">
            <v>MMIS</v>
          </cell>
          <cell r="AF1064" t="str">
            <v>nypwestcampus</v>
          </cell>
          <cell r="AG1064" t="str">
            <v>P</v>
          </cell>
        </row>
        <row r="1065">
          <cell r="A1065" t="str">
            <v>1174613343</v>
          </cell>
          <cell r="B1065" t="str">
            <v>02884077</v>
          </cell>
          <cell r="C1065" t="str">
            <v>JAMIESON, DARA G</v>
          </cell>
          <cell r="D1065" t="str">
            <v>E0011797</v>
          </cell>
          <cell r="E1065" t="str">
            <v>JAMIESON DARA GREANEY MD</v>
          </cell>
          <cell r="G1065" t="str">
            <v>Kathryn Spaziani</v>
          </cell>
          <cell r="H1065" t="str">
            <v>(212) 305-1190</v>
          </cell>
          <cell r="J1065" t="str">
            <v>kas9171@nyp.org</v>
          </cell>
          <cell r="L1065" t="str">
            <v>All Other:: Practitioner - Non-Primary Care Provider (PCP)</v>
          </cell>
          <cell r="M1065" t="str">
            <v>No</v>
          </cell>
          <cell r="R1065" t="str">
            <v>JAMIESON DARA</v>
          </cell>
          <cell r="W1065" t="str">
            <v>JAMIESON DARA GREANEY MD</v>
          </cell>
          <cell r="X1065" t="str">
            <v>525 E 68TH ST RM F-610</v>
          </cell>
          <cell r="Y1065" t="str">
            <v>NEW YORK</v>
          </cell>
          <cell r="Z1065" t="str">
            <v>NY</v>
          </cell>
          <cell r="AA1065" t="str">
            <v>10065-4870</v>
          </cell>
          <cell r="AB1065" t="str">
            <v>PHYSICIAN</v>
          </cell>
          <cell r="AC1065" t="str">
            <v>M</v>
          </cell>
          <cell r="AD1065" t="str">
            <v>No</v>
          </cell>
          <cell r="AE1065" t="str">
            <v>MMIS</v>
          </cell>
          <cell r="AF1065" t="str">
            <v>nypeastacn</v>
          </cell>
          <cell r="AG1065" t="str">
            <v>P</v>
          </cell>
        </row>
        <row r="1066">
          <cell r="A1066" t="str">
            <v>1871873646</v>
          </cell>
          <cell r="C1066" t="str">
            <v>Beatriz Mejia, LCSW</v>
          </cell>
          <cell r="G1066" t="str">
            <v>Dianna Dragatsi</v>
          </cell>
          <cell r="H1066" t="str">
            <v>(212) 942-8522</v>
          </cell>
          <cell r="J1066" t="str">
            <v>Dragats@nyspi.columbia.edu</v>
          </cell>
          <cell r="K1066" t="str">
            <v>Other Practitioners</v>
          </cell>
          <cell r="L1066" t="str">
            <v>Uncategorized</v>
          </cell>
          <cell r="M1066" t="str">
            <v>No</v>
          </cell>
          <cell r="R1066" t="str">
            <v>MEJIA BEATRIZ</v>
          </cell>
          <cell r="S1066" t="str">
            <v>26 SHERMAN AVE</v>
          </cell>
          <cell r="T1066" t="str">
            <v>NEW YORK</v>
          </cell>
          <cell r="U1066" t="str">
            <v>NY</v>
          </cell>
          <cell r="V1066" t="str">
            <v>100401602</v>
          </cell>
          <cell r="AC1066" t="str">
            <v>M</v>
          </cell>
          <cell r="AD1066" t="str">
            <v>No</v>
          </cell>
          <cell r="AE1066" t="str">
            <v>NPI only</v>
          </cell>
          <cell r="AF1066" t="str">
            <v>nyspi</v>
          </cell>
          <cell r="AG1066" t="str">
            <v>P</v>
          </cell>
        </row>
        <row r="1067">
          <cell r="A1067" t="str">
            <v>1255649315</v>
          </cell>
          <cell r="B1067" t="str">
            <v>04012855</v>
          </cell>
          <cell r="C1067" t="str">
            <v>Quisqueya Meyreles, LCSW</v>
          </cell>
          <cell r="D1067" t="str">
            <v>E0392719</v>
          </cell>
          <cell r="E1067" t="str">
            <v>MEYRELES QUISQUEYA NORMA</v>
          </cell>
          <cell r="G1067" t="str">
            <v>Dianna Dragatsi</v>
          </cell>
          <cell r="H1067" t="str">
            <v>(212) 942-8523</v>
          </cell>
          <cell r="J1067" t="str">
            <v>Dragats@nyspi.columbia.edu</v>
          </cell>
          <cell r="L1067" t="str">
            <v>Uncategorized</v>
          </cell>
          <cell r="M1067" t="str">
            <v>No</v>
          </cell>
          <cell r="R1067" t="str">
            <v>MEYRELES QUISQUEYA MS.</v>
          </cell>
          <cell r="W1067" t="str">
            <v>MEYRELES QUISQUEYA NORMA</v>
          </cell>
          <cell r="X1067" t="str">
            <v>26 SHERMAN AVE</v>
          </cell>
          <cell r="Y1067" t="str">
            <v>NEW YORK</v>
          </cell>
          <cell r="Z1067" t="str">
            <v>NY</v>
          </cell>
          <cell r="AA1067" t="str">
            <v>10040-1602</v>
          </cell>
          <cell r="AB1067" t="str">
            <v>CLINICAL SOCIAL WORKER (CSW)</v>
          </cell>
          <cell r="AC1067" t="str">
            <v>M</v>
          </cell>
          <cell r="AD1067" t="str">
            <v>No</v>
          </cell>
          <cell r="AE1067" t="str">
            <v>MMIS</v>
          </cell>
          <cell r="AF1067" t="str">
            <v>nyspi</v>
          </cell>
          <cell r="AG1067" t="str">
            <v>P</v>
          </cell>
        </row>
        <row r="1068">
          <cell r="A1068" t="str">
            <v>1669770756</v>
          </cell>
          <cell r="C1068" t="str">
            <v>TRUSTEES OF COLUMBIA UNIVERSITY COLUMBIADOCTORS OF THE HUDSON VALLEY</v>
          </cell>
          <cell r="K1068" t="str">
            <v>All Other</v>
          </cell>
          <cell r="L1068" t="str">
            <v>Uncategorized</v>
          </cell>
          <cell r="M1068" t="str">
            <v>No</v>
          </cell>
          <cell r="R1068" t="str">
            <v>TRUSTEES OF COLUMBIA UNIVERSITY COLUMBIADOCTORS OF THE HUDSON VALLEY</v>
          </cell>
          <cell r="S1068" t="str">
            <v>222 ROUTE 59 STE 302</v>
          </cell>
          <cell r="T1068" t="str">
            <v>SUFFERN</v>
          </cell>
          <cell r="U1068" t="str">
            <v>NY</v>
          </cell>
          <cell r="V1068" t="str">
            <v>109015208</v>
          </cell>
          <cell r="AC1068" t="str">
            <v>M</v>
          </cell>
          <cell r="AD1068" t="str">
            <v>No</v>
          </cell>
          <cell r="AE1068" t="str">
            <v>NPI only</v>
          </cell>
          <cell r="AG1068" t="str">
            <v>P</v>
          </cell>
        </row>
        <row r="1069">
          <cell r="A1069" t="str">
            <v>1366467243</v>
          </cell>
          <cell r="B1069" t="str">
            <v>02248786</v>
          </cell>
          <cell r="C1069" t="str">
            <v>TRUSTEES OF COLUMBIA UNIVERSITY DEPT OF OBSTETRICS AND GYN ULTRASOUND</v>
          </cell>
          <cell r="D1069" t="str">
            <v>E0075216</v>
          </cell>
          <cell r="E1069" t="str">
            <v>TRUSTEES OF COLUMBIA UNIVERSITY</v>
          </cell>
          <cell r="L1069" t="str">
            <v>All Other</v>
          </cell>
          <cell r="M1069" t="str">
            <v>No</v>
          </cell>
          <cell r="R1069" t="str">
            <v>TRUSTEES OF COLUMBIA UNIVERSITY DEPT OF OBSTETRICS AND GYN ULTRASOUND</v>
          </cell>
          <cell r="W1069" t="str">
            <v>TRUSTEES OF COLUMBIA UNIVERSITY</v>
          </cell>
          <cell r="X1069" t="str">
            <v>622 W 168TH ST</v>
          </cell>
          <cell r="Y1069" t="str">
            <v>NEW YORK</v>
          </cell>
          <cell r="Z1069" t="str">
            <v>NY</v>
          </cell>
          <cell r="AA1069" t="str">
            <v>10032-3720</v>
          </cell>
          <cell r="AB1069" t="str">
            <v>MULTI-TYPE GROUP</v>
          </cell>
          <cell r="AC1069" t="str">
            <v>M</v>
          </cell>
          <cell r="AD1069" t="str">
            <v>No</v>
          </cell>
          <cell r="AE1069" t="str">
            <v>MMIS</v>
          </cell>
          <cell r="AG1069" t="str">
            <v>P</v>
          </cell>
        </row>
        <row r="1070">
          <cell r="A1070" t="str">
            <v>1013280205</v>
          </cell>
          <cell r="B1070" t="str">
            <v>03535706</v>
          </cell>
          <cell r="C1070" t="str">
            <v>GASKINS, CLARE S</v>
          </cell>
          <cell r="D1070" t="str">
            <v>E0343402</v>
          </cell>
          <cell r="E1070" t="str">
            <v>GASKINS CLARE</v>
          </cell>
          <cell r="G1070" t="str">
            <v>Kathryn Spaziani</v>
          </cell>
          <cell r="H1070" t="str">
            <v>(212) 305-1190</v>
          </cell>
          <cell r="J1070" t="str">
            <v>kas9171@nyp.org</v>
          </cell>
          <cell r="L1070" t="str">
            <v>Practitioner - Non-Primary Care Provider (PCP)</v>
          </cell>
          <cell r="M1070" t="str">
            <v>No</v>
          </cell>
          <cell r="R1070" t="str">
            <v>GASKINS CLARE</v>
          </cell>
          <cell r="W1070" t="str">
            <v>GASKINS CLARE SMITH</v>
          </cell>
          <cell r="X1070" t="str">
            <v>3959 BROADWAY FL 6 NORTH</v>
          </cell>
          <cell r="Y1070" t="str">
            <v>NEW YORK</v>
          </cell>
          <cell r="Z1070" t="str">
            <v>NY</v>
          </cell>
          <cell r="AA1070" t="str">
            <v>10032-1559</v>
          </cell>
          <cell r="AB1070" t="str">
            <v>CLINICAL PSYCHOLOGIST</v>
          </cell>
          <cell r="AC1070" t="str">
            <v>M</v>
          </cell>
          <cell r="AD1070" t="str">
            <v>No</v>
          </cell>
          <cell r="AE1070" t="str">
            <v>MMIS</v>
          </cell>
          <cell r="AF1070" t="str">
            <v>nypwestacn</v>
          </cell>
          <cell r="AG1070" t="str">
            <v>P</v>
          </cell>
        </row>
        <row r="1071">
          <cell r="A1071" t="str">
            <v>1396734067</v>
          </cell>
          <cell r="B1071" t="str">
            <v>02686033</v>
          </cell>
          <cell r="C1071" t="str">
            <v xml:space="preserve">Chao, Eda Chi            </v>
          </cell>
          <cell r="D1071" t="str">
            <v>E0031574</v>
          </cell>
          <cell r="E1071" t="str">
            <v>CHAO EDA X</v>
          </cell>
          <cell r="G1071" t="str">
            <v>Betty Cheng</v>
          </cell>
          <cell r="H1071" t="str">
            <v>(212) 379-6988</v>
          </cell>
          <cell r="I1071">
            <v>2604</v>
          </cell>
          <cell r="J1071" t="str">
            <v>bcheng@cbwchc.org</v>
          </cell>
          <cell r="L1071" t="str">
            <v>All Other:: Practitioner - Primary Care Provider (PCP)</v>
          </cell>
          <cell r="M1071" t="str">
            <v>Yes</v>
          </cell>
          <cell r="R1071" t="str">
            <v>CHAO EDA</v>
          </cell>
          <cell r="W1071" t="str">
            <v>CHAO EDA CHI</v>
          </cell>
          <cell r="X1071" t="str">
            <v>125 WALKER ST FL 2</v>
          </cell>
          <cell r="Y1071" t="str">
            <v>NEW YORK</v>
          </cell>
          <cell r="Z1071" t="str">
            <v>NY</v>
          </cell>
          <cell r="AA1071" t="str">
            <v>10013-4135</v>
          </cell>
          <cell r="AB1071" t="str">
            <v>PHYSICIAN</v>
          </cell>
          <cell r="AC1071" t="str">
            <v>M</v>
          </cell>
          <cell r="AD1071" t="str">
            <v>No</v>
          </cell>
          <cell r="AE1071" t="str">
            <v>MMIS</v>
          </cell>
          <cell r="AF1071" t="str">
            <v>cbwchc</v>
          </cell>
          <cell r="AG1071" t="str">
            <v>P</v>
          </cell>
        </row>
        <row r="1072">
          <cell r="A1072" t="str">
            <v>1770677940</v>
          </cell>
          <cell r="B1072" t="str">
            <v>01978252</v>
          </cell>
          <cell r="C1072" t="str">
            <v>Jirasevijinda, Thanakorn</v>
          </cell>
          <cell r="D1072" t="str">
            <v>E0102231</v>
          </cell>
          <cell r="E1072" t="str">
            <v>JIRASEVIJINDA THANAKORN</v>
          </cell>
          <cell r="G1072" t="str">
            <v>Kathryn Spaziani</v>
          </cell>
          <cell r="H1072" t="str">
            <v>(212) 305-1190</v>
          </cell>
          <cell r="J1072" t="str">
            <v>kas9171@nyp.org</v>
          </cell>
          <cell r="L1072" t="str">
            <v>All Other:: Practitioner - Primary Care Provider (PCP)</v>
          </cell>
          <cell r="M1072" t="str">
            <v>Yes</v>
          </cell>
          <cell r="R1072" t="str">
            <v>JIRASEVIJINDA THANAKORN</v>
          </cell>
          <cell r="W1072" t="str">
            <v>JIRASEVIJINDA THANAKORN</v>
          </cell>
          <cell r="X1072" t="str">
            <v>BRONX LEB HOSP</v>
          </cell>
          <cell r="Y1072" t="str">
            <v>BRONX</v>
          </cell>
          <cell r="Z1072" t="str">
            <v>NY</v>
          </cell>
          <cell r="AA1072" t="str">
            <v>10457-7697</v>
          </cell>
          <cell r="AB1072" t="str">
            <v>PHYSICIAN</v>
          </cell>
          <cell r="AC1072" t="str">
            <v>M</v>
          </cell>
          <cell r="AD1072" t="str">
            <v>No</v>
          </cell>
          <cell r="AE1072" t="str">
            <v>MMIS</v>
          </cell>
          <cell r="AF1072" t="str">
            <v>nypeastacn</v>
          </cell>
          <cell r="AG1072" t="str">
            <v>P</v>
          </cell>
        </row>
        <row r="1073">
          <cell r="A1073" t="str">
            <v>1639218035</v>
          </cell>
          <cell r="B1073" t="str">
            <v>02706316</v>
          </cell>
          <cell r="C1073" t="str">
            <v>SOULE, CHARLES R</v>
          </cell>
          <cell r="D1073" t="str">
            <v>E0029553</v>
          </cell>
          <cell r="E1073" t="str">
            <v>SOULE CHARLES RAYMOND JR</v>
          </cell>
          <cell r="G1073" t="str">
            <v>Kathryn Spaziani</v>
          </cell>
          <cell r="H1073" t="str">
            <v>(212) 305-1190</v>
          </cell>
          <cell r="J1073" t="str">
            <v>kas9171@nyp.org</v>
          </cell>
          <cell r="L1073" t="str">
            <v>Practitioner - Non-Primary Care Provider (PCP)</v>
          </cell>
          <cell r="M1073" t="str">
            <v>No</v>
          </cell>
          <cell r="R1073" t="str">
            <v>SOULE CHARLES DR.</v>
          </cell>
          <cell r="W1073" t="str">
            <v>SOULE CHARLES RAYMOND JR</v>
          </cell>
          <cell r="X1073" t="str">
            <v>3959 BROADWAY</v>
          </cell>
          <cell r="Y1073" t="str">
            <v>NEW YORK</v>
          </cell>
          <cell r="Z1073" t="str">
            <v>NY</v>
          </cell>
          <cell r="AA1073" t="str">
            <v>10032-1559</v>
          </cell>
          <cell r="AB1073" t="str">
            <v>CLINICAL PSYCHOLOGIST</v>
          </cell>
          <cell r="AC1073" t="str">
            <v>M</v>
          </cell>
          <cell r="AD1073" t="str">
            <v>No</v>
          </cell>
          <cell r="AE1073" t="str">
            <v>MMIS</v>
          </cell>
          <cell r="AF1073" t="str">
            <v>nypwestcampus</v>
          </cell>
          <cell r="AG1073" t="str">
            <v>P</v>
          </cell>
        </row>
        <row r="1074">
          <cell r="A1074" t="str">
            <v>1700949955</v>
          </cell>
          <cell r="B1074" t="str">
            <v>02819809</v>
          </cell>
          <cell r="C1074" t="str">
            <v>BEEDER, ANN B</v>
          </cell>
          <cell r="D1074" t="str">
            <v>E0018215</v>
          </cell>
          <cell r="E1074" t="str">
            <v>BEEDER ANN</v>
          </cell>
          <cell r="G1074" t="str">
            <v>Kathryn Spaziani</v>
          </cell>
          <cell r="H1074" t="str">
            <v>(212) 305-1190</v>
          </cell>
          <cell r="J1074" t="str">
            <v>kas9171@nyp.org</v>
          </cell>
          <cell r="L1074" t="str">
            <v>Mental Health:: Practitioner - Non-Primary Care Provider (PCP)</v>
          </cell>
          <cell r="M1074" t="str">
            <v>No</v>
          </cell>
          <cell r="R1074" t="str">
            <v>BEEDER ANN DR.</v>
          </cell>
          <cell r="W1074" t="str">
            <v>BEEDER ANN</v>
          </cell>
          <cell r="X1074" t="str">
            <v>56 W 45TH ST FL 9</v>
          </cell>
          <cell r="Y1074" t="str">
            <v>NEW YORK</v>
          </cell>
          <cell r="Z1074" t="str">
            <v>NY</v>
          </cell>
          <cell r="AA1074" t="str">
            <v>10036-4206</v>
          </cell>
          <cell r="AB1074" t="str">
            <v>PHYSICIAN</v>
          </cell>
          <cell r="AC1074" t="str">
            <v>M</v>
          </cell>
          <cell r="AD1074" t="str">
            <v>No</v>
          </cell>
          <cell r="AE1074" t="str">
            <v>MMIS</v>
          </cell>
          <cell r="AF1074" t="str">
            <v>nypeastacn</v>
          </cell>
          <cell r="AG1074" t="str">
            <v>P</v>
          </cell>
        </row>
        <row r="1075">
          <cell r="A1075" t="str">
            <v>1083865828</v>
          </cell>
          <cell r="B1075" t="str">
            <v>03533915</v>
          </cell>
          <cell r="C1075" t="str">
            <v>Loftus Michael</v>
          </cell>
          <cell r="D1075" t="str">
            <v>E0343212</v>
          </cell>
          <cell r="E1075" t="str">
            <v>LOFTUS MICHAEL LYON</v>
          </cell>
          <cell r="L1075" t="str">
            <v>All Other:: Practitioner - Non-Primary Care Provider (PCP)</v>
          </cell>
          <cell r="M1075" t="str">
            <v>No</v>
          </cell>
          <cell r="R1075" t="str">
            <v>LOFTUS MICHAEL DR.</v>
          </cell>
          <cell r="W1075" t="str">
            <v>LOFTUS MICHAEL LYON</v>
          </cell>
          <cell r="X1075" t="str">
            <v>525 E 68TH ST # 141</v>
          </cell>
          <cell r="Y1075" t="str">
            <v>NEW YORK</v>
          </cell>
          <cell r="Z1075" t="str">
            <v>NY</v>
          </cell>
          <cell r="AA1075" t="str">
            <v>10065-4870</v>
          </cell>
          <cell r="AB1075" t="str">
            <v>PHYSICIAN</v>
          </cell>
          <cell r="AC1075" t="str">
            <v>M</v>
          </cell>
          <cell r="AD1075" t="str">
            <v>No</v>
          </cell>
          <cell r="AE1075" t="str">
            <v>MMIS</v>
          </cell>
          <cell r="AF1075" t="str">
            <v>nypeastcampus</v>
          </cell>
          <cell r="AG1075" t="str">
            <v>P</v>
          </cell>
        </row>
        <row r="1076">
          <cell r="A1076" t="str">
            <v>1932265394</v>
          </cell>
          <cell r="B1076" t="str">
            <v>03101580</v>
          </cell>
          <cell r="C1076" t="str">
            <v>THE TRUSTEES OF COLUMBIA UNIVERSITY IN THE CITY OF NEW YORK</v>
          </cell>
          <cell r="D1076" t="str">
            <v>E0293226</v>
          </cell>
          <cell r="E1076" t="str">
            <v>TRUSTEES OF COLUMBIA U-VASCU.SURG</v>
          </cell>
          <cell r="L1076" t="str">
            <v>All Other</v>
          </cell>
          <cell r="M1076" t="str">
            <v>No</v>
          </cell>
          <cell r="R1076" t="str">
            <v>THE TRUSTEES OF COLUMBIA UNIVERSITY IN THE CITY OF NEW YORK</v>
          </cell>
          <cell r="W1076" t="str">
            <v>TRUSTEES OF COLUMBIA U-VASCU.SURG</v>
          </cell>
          <cell r="X1076" t="str">
            <v>161 FORT WASHINGTON AVE FL 6 RM 643</v>
          </cell>
          <cell r="Y1076" t="str">
            <v>NEW YORK</v>
          </cell>
          <cell r="Z1076" t="str">
            <v>NY</v>
          </cell>
          <cell r="AA1076" t="str">
            <v>10032-3729</v>
          </cell>
          <cell r="AB1076" t="str">
            <v>PHYSICIANS GROUP</v>
          </cell>
          <cell r="AC1076" t="str">
            <v>M</v>
          </cell>
          <cell r="AD1076" t="str">
            <v>No</v>
          </cell>
          <cell r="AE1076" t="str">
            <v>MMIS</v>
          </cell>
          <cell r="AG1076" t="str">
            <v>P</v>
          </cell>
        </row>
        <row r="1077">
          <cell r="A1077" t="str">
            <v>1760444822</v>
          </cell>
          <cell r="C1077" t="str">
            <v>THE TRUSTEES OF COLUMBIA UNIVERSITY IN THE CITY OF NEW YORK</v>
          </cell>
          <cell r="K1077" t="str">
            <v>All Other</v>
          </cell>
          <cell r="L1077" t="str">
            <v>Uncategorized</v>
          </cell>
          <cell r="M1077" t="str">
            <v>No</v>
          </cell>
          <cell r="R1077" t="str">
            <v>TRUSTEES OF COLUMBIA UNIVERSITY IN THE CITY OF NEW YORK</v>
          </cell>
          <cell r="S1077" t="str">
            <v>3959 BROADWAY, COLUMBIA UNIVERSITY DEPARTMENT PEDS</v>
          </cell>
          <cell r="T1077" t="str">
            <v>NEW YORK</v>
          </cell>
          <cell r="U1077" t="str">
            <v>NY</v>
          </cell>
          <cell r="V1077" t="str">
            <v>100321559</v>
          </cell>
          <cell r="AC1077" t="str">
            <v>M</v>
          </cell>
          <cell r="AD1077" t="str">
            <v>No</v>
          </cell>
          <cell r="AE1077" t="str">
            <v>NPI only</v>
          </cell>
          <cell r="AG1077" t="str">
            <v>P</v>
          </cell>
        </row>
        <row r="1078">
          <cell r="A1078" t="str">
            <v>1588802870</v>
          </cell>
          <cell r="B1078" t="str">
            <v>03379893</v>
          </cell>
          <cell r="C1078" t="str">
            <v xml:space="preserve">WOO, YANGHEE </v>
          </cell>
          <cell r="D1078" t="str">
            <v>E0325026</v>
          </cell>
          <cell r="E1078" t="str">
            <v>WOO YANGHEE</v>
          </cell>
          <cell r="G1078" t="str">
            <v>Kathryn Spaziani</v>
          </cell>
          <cell r="H1078" t="str">
            <v>(212) 305-1190</v>
          </cell>
          <cell r="J1078" t="str">
            <v>kas9171@nyp.org</v>
          </cell>
          <cell r="L1078" t="str">
            <v>All Other:: Practitioner - Non-Primary Care Provider (PCP)</v>
          </cell>
          <cell r="M1078" t="str">
            <v>No</v>
          </cell>
          <cell r="R1078" t="str">
            <v>WOO YANGHEE DR.</v>
          </cell>
          <cell r="W1078" t="str">
            <v>WOO YANGHEE</v>
          </cell>
          <cell r="X1078" t="str">
            <v>161 FORT WASHINGTON AVE FL 8</v>
          </cell>
          <cell r="Y1078" t="str">
            <v>NEW YORK</v>
          </cell>
          <cell r="Z1078" t="str">
            <v>NY</v>
          </cell>
          <cell r="AA1078" t="str">
            <v>10032-3729</v>
          </cell>
          <cell r="AB1078" t="str">
            <v>PHYSICIAN</v>
          </cell>
          <cell r="AC1078" t="str">
            <v>M</v>
          </cell>
          <cell r="AD1078" t="str">
            <v>No</v>
          </cell>
          <cell r="AE1078" t="str">
            <v>MMIS</v>
          </cell>
          <cell r="AF1078" t="str">
            <v>nypother</v>
          </cell>
          <cell r="AG1078" t="str">
            <v>P</v>
          </cell>
        </row>
        <row r="1079">
          <cell r="A1079" t="str">
            <v>1588820815</v>
          </cell>
          <cell r="B1079" t="str">
            <v>03156970</v>
          </cell>
          <cell r="C1079" t="str">
            <v>VISCO, CHRISTOPHER J</v>
          </cell>
          <cell r="D1079" t="str">
            <v>E0299526</v>
          </cell>
          <cell r="E1079" t="str">
            <v>VISCO CHRISTOPHER JOSEPH</v>
          </cell>
          <cell r="G1079" t="str">
            <v>Kathryn Spaziani</v>
          </cell>
          <cell r="H1079" t="str">
            <v>(212) 305-1190</v>
          </cell>
          <cell r="J1079" t="str">
            <v>kas9171@nyp.org</v>
          </cell>
          <cell r="L1079" t="str">
            <v>All Other:: Practitioner - Non-Primary Care Provider (PCP)</v>
          </cell>
          <cell r="M1079" t="str">
            <v>No</v>
          </cell>
          <cell r="R1079" t="str">
            <v>VISCO CHRISTOPHER DR.</v>
          </cell>
          <cell r="W1079" t="str">
            <v>VISCO CHRISTOPHER JOSEPH</v>
          </cell>
          <cell r="X1079" t="str">
            <v>180 FORT WASHINGTON AVE STE 199</v>
          </cell>
          <cell r="Y1079" t="str">
            <v>NEW YORK</v>
          </cell>
          <cell r="Z1079" t="str">
            <v>NY</v>
          </cell>
          <cell r="AA1079" t="str">
            <v>10032-3735</v>
          </cell>
          <cell r="AB1079" t="str">
            <v>PHYSICIAN</v>
          </cell>
          <cell r="AC1079" t="str">
            <v>M</v>
          </cell>
          <cell r="AD1079" t="str">
            <v>No</v>
          </cell>
          <cell r="AE1079" t="str">
            <v>MMIS</v>
          </cell>
          <cell r="AF1079" t="str">
            <v>nypwestcampus</v>
          </cell>
          <cell r="AG1079" t="str">
            <v>P</v>
          </cell>
        </row>
        <row r="1080">
          <cell r="A1080" t="str">
            <v>1144245978</v>
          </cell>
          <cell r="B1080" t="str">
            <v>01115122</v>
          </cell>
          <cell r="C1080" t="str">
            <v>Isabella Geriatric Center, Inc. -Long Term Home Health Care Program</v>
          </cell>
          <cell r="D1080" t="str">
            <v>E0188365</v>
          </cell>
          <cell r="E1080" t="str">
            <v>ISABELLA GERIATRIC CTR LTHHCP</v>
          </cell>
          <cell r="G1080" t="str">
            <v>Rocco Meliambro</v>
          </cell>
          <cell r="H1080" t="str">
            <v>(212) 342-9308</v>
          </cell>
          <cell r="J1080" t="str">
            <v>rmeliambro@isabella.org</v>
          </cell>
          <cell r="L1080" t="str">
            <v>All Other</v>
          </cell>
          <cell r="M1080" t="str">
            <v>Yes</v>
          </cell>
          <cell r="R1080" t="str">
            <v>ISABELLA GERIATRIC CENTER, INC.</v>
          </cell>
          <cell r="W1080" t="str">
            <v>ISABELLA GERIATRIC CTR LTHHCP</v>
          </cell>
          <cell r="X1080" t="str">
            <v>515 AUDUBON AVE # 525</v>
          </cell>
          <cell r="Y1080" t="str">
            <v>NEW YORK</v>
          </cell>
          <cell r="Z1080" t="str">
            <v>NY</v>
          </cell>
          <cell r="AA1080" t="str">
            <v>10040-3403</v>
          </cell>
          <cell r="AB1080" t="str">
            <v>LONG TERM CARE FACILITY</v>
          </cell>
          <cell r="AC1080" t="str">
            <v>M</v>
          </cell>
          <cell r="AD1080" t="str">
            <v>No</v>
          </cell>
          <cell r="AE1080" t="str">
            <v>MMIS</v>
          </cell>
          <cell r="AG1080" t="str">
            <v>P</v>
          </cell>
        </row>
        <row r="1081">
          <cell r="A1081" t="str">
            <v>1710123930</v>
          </cell>
          <cell r="B1081" t="str">
            <v>03122089</v>
          </cell>
          <cell r="C1081" t="str">
            <v>PERUMAL, JAI S</v>
          </cell>
          <cell r="D1081" t="str">
            <v>E0295662</v>
          </cell>
          <cell r="E1081" t="str">
            <v>JAI SWARNA PERUMAL MD</v>
          </cell>
          <cell r="G1081" t="str">
            <v>Kathryn Spaziani</v>
          </cell>
          <cell r="H1081" t="str">
            <v>(212) 305-1190</v>
          </cell>
          <cell r="J1081" t="str">
            <v>kas9171@nyp.org</v>
          </cell>
          <cell r="L1081" t="str">
            <v>All Other:: Practitioner - Non-Primary Care Provider (PCP)</v>
          </cell>
          <cell r="M1081" t="str">
            <v>No</v>
          </cell>
          <cell r="R1081" t="str">
            <v>PERUMAL JAI DR.</v>
          </cell>
          <cell r="W1081" t="str">
            <v>PERUMAL JAI SWARNA MD</v>
          </cell>
          <cell r="X1081" t="str">
            <v>301 E 17TH ST STE 544</v>
          </cell>
          <cell r="Y1081" t="str">
            <v>NEW YORK</v>
          </cell>
          <cell r="Z1081" t="str">
            <v>NY</v>
          </cell>
          <cell r="AA1081" t="str">
            <v>10003-3804</v>
          </cell>
          <cell r="AB1081" t="str">
            <v>PHYSICIAN</v>
          </cell>
          <cell r="AC1081" t="str">
            <v>M</v>
          </cell>
          <cell r="AD1081" t="str">
            <v>No</v>
          </cell>
          <cell r="AE1081" t="str">
            <v>MMIS</v>
          </cell>
          <cell r="AF1081" t="str">
            <v>nypeastcampus</v>
          </cell>
          <cell r="AG1081" t="str">
            <v>P</v>
          </cell>
        </row>
        <row r="1082">
          <cell r="A1082" t="str">
            <v>1710148762</v>
          </cell>
          <cell r="B1082" t="str">
            <v>03239118</v>
          </cell>
          <cell r="C1082" t="str">
            <v>WALKER, TONYA N</v>
          </cell>
          <cell r="D1082" t="str">
            <v>E0308782</v>
          </cell>
          <cell r="E1082" t="str">
            <v>WALKER TONYA NICOLE</v>
          </cell>
          <cell r="G1082" t="str">
            <v>Kathryn Spaziani</v>
          </cell>
          <cell r="H1082" t="str">
            <v>(212) 305-1190</v>
          </cell>
          <cell r="J1082" t="str">
            <v>kas9171@nyp.org</v>
          </cell>
          <cell r="L1082" t="str">
            <v>Practitioner - Non-Primary Care Provider (PCP)</v>
          </cell>
          <cell r="M1082" t="str">
            <v>Yes</v>
          </cell>
          <cell r="R1082" t="str">
            <v>WALKER TONYA DR.</v>
          </cell>
          <cell r="W1082" t="str">
            <v>WALKER TONYA NICOLE</v>
          </cell>
          <cell r="X1082" t="str">
            <v>622 W 168TH ST PH 1-137</v>
          </cell>
          <cell r="Y1082" t="str">
            <v>NEW YORK</v>
          </cell>
          <cell r="Z1082" t="str">
            <v>NY</v>
          </cell>
          <cell r="AA1082" t="str">
            <v>10032-3720</v>
          </cell>
          <cell r="AB1082" t="str">
            <v>PHYSICIAN</v>
          </cell>
          <cell r="AC1082" t="str">
            <v>M</v>
          </cell>
          <cell r="AD1082" t="str">
            <v>No</v>
          </cell>
          <cell r="AE1082" t="str">
            <v>MMIS</v>
          </cell>
          <cell r="AF1082" t="str">
            <v>nypwestcampus</v>
          </cell>
          <cell r="AG1082" t="str">
            <v>P</v>
          </cell>
        </row>
        <row r="1083">
          <cell r="A1083" t="str">
            <v>1497939656</v>
          </cell>
          <cell r="B1083" t="str">
            <v>03384347</v>
          </cell>
          <cell r="C1083" t="str">
            <v>JANICKI, SARAH C</v>
          </cell>
          <cell r="D1083" t="str">
            <v>E0325561</v>
          </cell>
          <cell r="E1083" t="str">
            <v>JANICKI SARAH C</v>
          </cell>
          <cell r="G1083" t="str">
            <v>Kathryn Spaziani</v>
          </cell>
          <cell r="H1083" t="str">
            <v>(212) 305-1190</v>
          </cell>
          <cell r="J1083" t="str">
            <v>kas9171@nyp.org</v>
          </cell>
          <cell r="L1083" t="str">
            <v>Practitioner - Non-Primary Care Provider (PCP)</v>
          </cell>
          <cell r="M1083" t="str">
            <v>No</v>
          </cell>
          <cell r="R1083" t="str">
            <v>JANICKI SARAH</v>
          </cell>
          <cell r="W1083" t="str">
            <v>JANICKI SARAH</v>
          </cell>
          <cell r="X1083" t="str">
            <v>622 W 168TH ST</v>
          </cell>
          <cell r="Y1083" t="str">
            <v>NEW YORK</v>
          </cell>
          <cell r="Z1083" t="str">
            <v>NY</v>
          </cell>
          <cell r="AA1083" t="str">
            <v>10032-3720</v>
          </cell>
          <cell r="AB1083" t="str">
            <v>PHYSICIAN</v>
          </cell>
          <cell r="AC1083" t="str">
            <v>M</v>
          </cell>
          <cell r="AD1083" t="str">
            <v>No</v>
          </cell>
          <cell r="AE1083" t="str">
            <v>MMIS</v>
          </cell>
          <cell r="AF1083" t="str">
            <v>nypwestcampus</v>
          </cell>
          <cell r="AG1083" t="str">
            <v>P</v>
          </cell>
        </row>
        <row r="1084">
          <cell r="A1084" t="str">
            <v>1669485686</v>
          </cell>
          <cell r="B1084" t="str">
            <v>01217954</v>
          </cell>
          <cell r="C1084" t="str">
            <v>ENGLER, DANIELLE E</v>
          </cell>
          <cell r="D1084" t="str">
            <v>E0178099</v>
          </cell>
          <cell r="E1084" t="str">
            <v>ENGLER DANIELLE E  MD</v>
          </cell>
          <cell r="G1084" t="str">
            <v>Kathryn Spaziani</v>
          </cell>
          <cell r="H1084" t="str">
            <v>(212) 305-1190</v>
          </cell>
          <cell r="J1084" t="str">
            <v>kas9171@nyp.org</v>
          </cell>
          <cell r="L1084" t="str">
            <v>Practitioner - Non-Primary Care Provider (PCP)</v>
          </cell>
          <cell r="M1084" t="str">
            <v>No</v>
          </cell>
          <cell r="R1084" t="str">
            <v>ENGLER DANIELLE</v>
          </cell>
          <cell r="W1084" t="str">
            <v>ENGLER DANIELLE E  MD</v>
          </cell>
          <cell r="X1084" t="str">
            <v>155 WHITE PLAINS RD</v>
          </cell>
          <cell r="Y1084" t="str">
            <v>TARRYTOWN</v>
          </cell>
          <cell r="Z1084" t="str">
            <v>NY</v>
          </cell>
          <cell r="AA1084" t="str">
            <v>10591-5523</v>
          </cell>
          <cell r="AB1084" t="str">
            <v>PHYSICIAN</v>
          </cell>
          <cell r="AC1084" t="str">
            <v>M</v>
          </cell>
          <cell r="AD1084" t="str">
            <v>No</v>
          </cell>
          <cell r="AE1084" t="str">
            <v>MMIS</v>
          </cell>
          <cell r="AF1084" t="str">
            <v>nypwestacn</v>
          </cell>
          <cell r="AG1084" t="str">
            <v>P</v>
          </cell>
        </row>
        <row r="1085">
          <cell r="A1085" t="str">
            <v>1679700082</v>
          </cell>
          <cell r="B1085" t="str">
            <v>03203367</v>
          </cell>
          <cell r="C1085" t="str">
            <v xml:space="preserve">LIPANI, TRICIA </v>
          </cell>
          <cell r="D1085" t="str">
            <v>E0304822</v>
          </cell>
          <cell r="E1085" t="str">
            <v>LIPANI TRICIA</v>
          </cell>
          <cell r="G1085" t="str">
            <v>Kathryn Spaziani</v>
          </cell>
          <cell r="H1085" t="str">
            <v>(212) 305-1190</v>
          </cell>
          <cell r="J1085" t="str">
            <v>kas9171@nyp.org</v>
          </cell>
          <cell r="L1085" t="str">
            <v>Practitioner - Non-Primary Care Provider (PCP)</v>
          </cell>
          <cell r="M1085" t="str">
            <v>No</v>
          </cell>
          <cell r="R1085" t="str">
            <v>LIPANI TRICIA DR.</v>
          </cell>
          <cell r="W1085" t="str">
            <v>LIPANI TRICIA</v>
          </cell>
          <cell r="X1085" t="str">
            <v>622 W 168TH ST FL 4</v>
          </cell>
          <cell r="Y1085" t="str">
            <v>NEW YORK</v>
          </cell>
          <cell r="Z1085" t="str">
            <v>NY</v>
          </cell>
          <cell r="AA1085" t="str">
            <v>10032-3720</v>
          </cell>
          <cell r="AB1085" t="str">
            <v>CLINICAL PSYCHOLOGIST</v>
          </cell>
          <cell r="AC1085" t="str">
            <v>M</v>
          </cell>
          <cell r="AD1085" t="str">
            <v>No</v>
          </cell>
          <cell r="AE1085" t="str">
            <v>MMIS</v>
          </cell>
          <cell r="AF1085" t="str">
            <v>nypwestcampus</v>
          </cell>
          <cell r="AG1085" t="str">
            <v>P</v>
          </cell>
        </row>
        <row r="1086">
          <cell r="A1086" t="str">
            <v>1114071859</v>
          </cell>
          <cell r="B1086" t="str">
            <v>02558592</v>
          </cell>
          <cell r="C1086" t="str">
            <v>JONES, DEBORAH P</v>
          </cell>
          <cell r="D1086" t="str">
            <v>E0044292</v>
          </cell>
          <cell r="E1086" t="str">
            <v>JONES DEBORAH POLLARD MD</v>
          </cell>
          <cell r="G1086" t="str">
            <v>Kathryn Spaziani</v>
          </cell>
          <cell r="H1086" t="str">
            <v>(212) 305-1190</v>
          </cell>
          <cell r="J1086" t="str">
            <v>kas9171@nyp.org</v>
          </cell>
          <cell r="L1086" t="str">
            <v>All Other:: Practitioner - Primary Care Provider (PCP)</v>
          </cell>
          <cell r="M1086" t="str">
            <v>Yes</v>
          </cell>
          <cell r="R1086" t="str">
            <v>JONES DEBORAH DR.</v>
          </cell>
          <cell r="W1086" t="str">
            <v>JONES DEBORAH POLLARD MD</v>
          </cell>
          <cell r="X1086" t="str">
            <v>NY PRESB HSP</v>
          </cell>
          <cell r="Y1086" t="str">
            <v>NEW YORK</v>
          </cell>
          <cell r="Z1086" t="str">
            <v>NY</v>
          </cell>
          <cell r="AA1086" t="str">
            <v>10032-3720</v>
          </cell>
          <cell r="AB1086" t="str">
            <v>PHYSICIAN</v>
          </cell>
          <cell r="AC1086" t="str">
            <v>M</v>
          </cell>
          <cell r="AD1086" t="str">
            <v>No</v>
          </cell>
          <cell r="AE1086" t="str">
            <v>MMIS</v>
          </cell>
          <cell r="AF1086" t="str">
            <v>nypwestcampus</v>
          </cell>
          <cell r="AG1086" t="str">
            <v>P</v>
          </cell>
        </row>
        <row r="1087">
          <cell r="A1087" t="str">
            <v>1376512533</v>
          </cell>
          <cell r="B1087" t="str">
            <v>02199493</v>
          </cell>
          <cell r="C1087" t="str">
            <v>Mitchell, W Beau</v>
          </cell>
          <cell r="D1087" t="str">
            <v>E0080135</v>
          </cell>
          <cell r="E1087" t="str">
            <v>MITCHELL W BEAU MD</v>
          </cell>
          <cell r="G1087" t="str">
            <v>Kathryn Spaziani</v>
          </cell>
          <cell r="H1087" t="str">
            <v>(212) 305-1190</v>
          </cell>
          <cell r="J1087" t="str">
            <v>kas9171@nyp.org</v>
          </cell>
          <cell r="L1087" t="str">
            <v>All Other:: Practitioner - Non-Primary Care Provider (PCP)</v>
          </cell>
          <cell r="M1087" t="str">
            <v>No</v>
          </cell>
          <cell r="R1087" t="str">
            <v>MITCHELL WILLIAM DR.</v>
          </cell>
          <cell r="W1087" t="str">
            <v>MITCHELL WILLIAM B</v>
          </cell>
          <cell r="X1087" t="str">
            <v>1 GUSTAVE L LEVY PL</v>
          </cell>
          <cell r="Y1087" t="str">
            <v>NEW YORK</v>
          </cell>
          <cell r="Z1087" t="str">
            <v>NY</v>
          </cell>
          <cell r="AA1087" t="str">
            <v>10029-6500</v>
          </cell>
          <cell r="AB1087" t="str">
            <v>PHYSICIAN</v>
          </cell>
          <cell r="AC1087" t="str">
            <v>M</v>
          </cell>
          <cell r="AD1087" t="str">
            <v>No</v>
          </cell>
          <cell r="AE1087" t="str">
            <v>MMIS</v>
          </cell>
          <cell r="AF1087" t="str">
            <v>nypeastcampus</v>
          </cell>
          <cell r="AG1087" t="str">
            <v>P</v>
          </cell>
        </row>
        <row r="1088">
          <cell r="A1088" t="str">
            <v>1194832477</v>
          </cell>
          <cell r="B1088" t="str">
            <v>00243178</v>
          </cell>
          <cell r="C1088" t="str">
            <v>CUMC NYP Main</v>
          </cell>
          <cell r="D1088" t="str">
            <v>E0274062</v>
          </cell>
          <cell r="E1088" t="str">
            <v>NY HOSPITAL</v>
          </cell>
          <cell r="G1088" t="str">
            <v>Kathryn Spaziani</v>
          </cell>
          <cell r="H1088" t="str">
            <v>(212) 305-1190</v>
          </cell>
          <cell r="J1088" t="str">
            <v>kas9171@nyp.org</v>
          </cell>
          <cell r="L1088" t="str">
            <v>All Other:: Case Management / Health Home:: Clinic:: Hospital:: Mental Health:: Pharmacy:: Substance Abuse</v>
          </cell>
          <cell r="M1088" t="str">
            <v>Yes</v>
          </cell>
          <cell r="R1088" t="str">
            <v>THE NEW YORK AND PRESBYTERIAN HOSPITAL</v>
          </cell>
          <cell r="W1088" t="str">
            <v>NEW YORK PRESBYTERIAN HOSPITAL INC</v>
          </cell>
          <cell r="X1088" t="str">
            <v>622 W 168TH ST</v>
          </cell>
          <cell r="Y1088" t="str">
            <v>NEW YORK</v>
          </cell>
          <cell r="Z1088" t="str">
            <v>NY</v>
          </cell>
          <cell r="AA1088" t="str">
            <v>10032-3720</v>
          </cell>
          <cell r="AB1088" t="str">
            <v>MULTI-TYPE</v>
          </cell>
          <cell r="AC1088" t="str">
            <v>L</v>
          </cell>
          <cell r="AD1088" t="str">
            <v>No</v>
          </cell>
          <cell r="AE1088" t="str">
            <v>MMIS</v>
          </cell>
          <cell r="AF1088" t="str">
            <v>nypwestcampus</v>
          </cell>
          <cell r="AG1088" t="str">
            <v>P</v>
          </cell>
        </row>
        <row r="1089">
          <cell r="A1089" t="str">
            <v>1710149984</v>
          </cell>
          <cell r="B1089" t="str">
            <v>03001521</v>
          </cell>
          <cell r="C1089" t="str">
            <v>Metropolitan Jewish Home Care, Inc. (MJG Nursing Home Company LTHHCP ) d/b/a MJHS Long Term Care</v>
          </cell>
          <cell r="D1089" t="str">
            <v>E0317317</v>
          </cell>
          <cell r="E1089" t="str">
            <v>MJG NURSING HOME CO INC LTHHCP</v>
          </cell>
          <cell r="G1089" t="str">
            <v>Jay Gormley, VP of Planning, Research, and Innovation</v>
          </cell>
          <cell r="H1089" t="str">
            <v>(212) 356-5419</v>
          </cell>
          <cell r="J1089" t="str">
            <v>jgormley@mjhs.org</v>
          </cell>
          <cell r="L1089" t="str">
            <v>All Other</v>
          </cell>
          <cell r="M1089" t="str">
            <v>Yes</v>
          </cell>
          <cell r="R1089" t="str">
            <v>MJHC HOME CARE, INC.</v>
          </cell>
          <cell r="W1089" t="str">
            <v>METROPOLITAN JEWISH LTHHCP</v>
          </cell>
          <cell r="X1089" t="str">
            <v>6405 7TH AVE</v>
          </cell>
          <cell r="Y1089" t="str">
            <v>BROOKLYN</v>
          </cell>
          <cell r="Z1089" t="str">
            <v>NY</v>
          </cell>
          <cell r="AA1089" t="str">
            <v>11220-4731</v>
          </cell>
          <cell r="AB1089" t="str">
            <v>LONG TERM CARE FACILITY</v>
          </cell>
          <cell r="AC1089" t="str">
            <v>M</v>
          </cell>
          <cell r="AD1089" t="str">
            <v>No</v>
          </cell>
          <cell r="AE1089" t="str">
            <v>MMIS</v>
          </cell>
          <cell r="AG1089" t="str">
            <v>P</v>
          </cell>
        </row>
        <row r="1090">
          <cell r="A1090" t="str">
            <v>1194739243</v>
          </cell>
          <cell r="B1090" t="str">
            <v>01588334</v>
          </cell>
          <cell r="C1090" t="str">
            <v>SHAPIRO, JEFFERY T</v>
          </cell>
          <cell r="D1090" t="str">
            <v>E0141173</v>
          </cell>
          <cell r="E1090" t="str">
            <v>SHAPIRO JEFFREY T MD</v>
          </cell>
          <cell r="G1090" t="str">
            <v>Kathryn Spaziani</v>
          </cell>
          <cell r="H1090" t="str">
            <v>(212) 305-1190</v>
          </cell>
          <cell r="J1090" t="str">
            <v>kas9171@nyp.org</v>
          </cell>
          <cell r="L1090" t="str">
            <v>All Other:: Practitioner - Primary Care Provider (PCP)</v>
          </cell>
          <cell r="M1090" t="str">
            <v>No</v>
          </cell>
          <cell r="R1090" t="str">
            <v>SHAPIRO JEFFREY DR.</v>
          </cell>
          <cell r="W1090" t="str">
            <v>SHAPIRO JEFFREY T MD</v>
          </cell>
          <cell r="X1090" t="str">
            <v>700 POST RD</v>
          </cell>
          <cell r="Y1090" t="str">
            <v>SCARSDALE</v>
          </cell>
          <cell r="Z1090" t="str">
            <v>NY</v>
          </cell>
          <cell r="AA1090" t="str">
            <v>10583-5063</v>
          </cell>
          <cell r="AB1090" t="str">
            <v>PHYSICIAN</v>
          </cell>
          <cell r="AC1090" t="str">
            <v>M</v>
          </cell>
          <cell r="AD1090" t="str">
            <v>No</v>
          </cell>
          <cell r="AE1090" t="str">
            <v>MMIS</v>
          </cell>
          <cell r="AF1090" t="str">
            <v>nypwestcampus</v>
          </cell>
          <cell r="AG1090" t="str">
            <v>P</v>
          </cell>
        </row>
        <row r="1091">
          <cell r="A1091" t="str">
            <v>1811148604</v>
          </cell>
          <cell r="B1091" t="str">
            <v>03339008</v>
          </cell>
          <cell r="C1091" t="str">
            <v>Jonathan K. Kazam</v>
          </cell>
          <cell r="D1091" t="str">
            <v>E0320163</v>
          </cell>
          <cell r="E1091" t="str">
            <v>KAZAM JONATHAN MD</v>
          </cell>
          <cell r="G1091" t="str">
            <v>Kathryn Spaziani</v>
          </cell>
          <cell r="H1091" t="str">
            <v>(212) 305-1264</v>
          </cell>
          <cell r="J1091" t="str">
            <v>kas9171@nyp.org</v>
          </cell>
          <cell r="L1091" t="str">
            <v>All Other:: Practitioner - Non-Primary Care Provider (PCP)</v>
          </cell>
          <cell r="M1091" t="str">
            <v>No</v>
          </cell>
          <cell r="R1091" t="str">
            <v>KAZAM JONATHAN DR.</v>
          </cell>
          <cell r="W1091" t="str">
            <v>KAZAM JONATHAN MD</v>
          </cell>
          <cell r="X1091" t="str">
            <v>622 W 168TH ST</v>
          </cell>
          <cell r="Y1091" t="str">
            <v>NEW YORK</v>
          </cell>
          <cell r="Z1091" t="str">
            <v>NY</v>
          </cell>
          <cell r="AA1091" t="str">
            <v>10032-3720</v>
          </cell>
          <cell r="AB1091" t="str">
            <v>PHYSICIAN</v>
          </cell>
          <cell r="AC1091" t="str">
            <v>M</v>
          </cell>
          <cell r="AD1091" t="str">
            <v>No</v>
          </cell>
          <cell r="AE1091" t="str">
            <v>MMIS</v>
          </cell>
          <cell r="AF1091" t="str">
            <v>nypwestcampus</v>
          </cell>
          <cell r="AG1091" t="str">
            <v>P</v>
          </cell>
        </row>
        <row r="1092">
          <cell r="A1092" t="str">
            <v>1316957293</v>
          </cell>
          <cell r="B1092" t="str">
            <v>02655567</v>
          </cell>
          <cell r="C1092" t="str">
            <v>Ivascu Natalia</v>
          </cell>
          <cell r="D1092" t="str">
            <v>E0034610</v>
          </cell>
          <cell r="E1092" t="str">
            <v>BROWN NATALIA SHARON IVASCU</v>
          </cell>
          <cell r="L1092" t="str">
            <v>All Other:: Practitioner - Non-Primary Care Provider (PCP)</v>
          </cell>
          <cell r="M1092" t="str">
            <v>No</v>
          </cell>
          <cell r="R1092" t="str">
            <v>IVASCU NATALIA</v>
          </cell>
          <cell r="W1092" t="str">
            <v>IVASCU NATALIA SHARON</v>
          </cell>
          <cell r="X1092" t="str">
            <v>525 E 68TH ST</v>
          </cell>
          <cell r="Y1092" t="str">
            <v>NEW YORK</v>
          </cell>
          <cell r="Z1092" t="str">
            <v>NY</v>
          </cell>
          <cell r="AA1092" t="str">
            <v>10065-4870</v>
          </cell>
          <cell r="AB1092" t="str">
            <v>PHYSICIAN</v>
          </cell>
          <cell r="AC1092" t="str">
            <v>M</v>
          </cell>
          <cell r="AD1092" t="str">
            <v>No</v>
          </cell>
          <cell r="AE1092" t="str">
            <v>MMIS</v>
          </cell>
          <cell r="AF1092" t="str">
            <v>nypeastcampus</v>
          </cell>
          <cell r="AG1092" t="str">
            <v>P</v>
          </cell>
        </row>
        <row r="1093">
          <cell r="A1093" t="str">
            <v>1073821914</v>
          </cell>
          <cell r="B1093" t="str">
            <v>03923324</v>
          </cell>
          <cell r="C1093" t="str">
            <v>Mehta Aarti</v>
          </cell>
          <cell r="D1093" t="str">
            <v>E0383500</v>
          </cell>
          <cell r="E1093" t="str">
            <v>MEHTA AARTI</v>
          </cell>
          <cell r="L1093" t="str">
            <v>All Other:: Practitioner - Non-Primary Care Provider (PCP)</v>
          </cell>
          <cell r="M1093" t="str">
            <v>No</v>
          </cell>
          <cell r="R1093" t="str">
            <v>MEHTA AARTI</v>
          </cell>
          <cell r="W1093" t="str">
            <v>MEHTA AARTI PURI</v>
          </cell>
          <cell r="X1093" t="str">
            <v>525 E 68TH ST</v>
          </cell>
          <cell r="Y1093" t="str">
            <v>NEW YORK</v>
          </cell>
          <cell r="Z1093" t="str">
            <v>NY</v>
          </cell>
          <cell r="AA1093" t="str">
            <v>10065-4870</v>
          </cell>
          <cell r="AB1093" t="str">
            <v>PHYSICIAN</v>
          </cell>
          <cell r="AC1093" t="str">
            <v>M</v>
          </cell>
          <cell r="AD1093" t="str">
            <v>No</v>
          </cell>
          <cell r="AE1093" t="str">
            <v>MMIS</v>
          </cell>
          <cell r="AF1093" t="str">
            <v>nypeastcampus</v>
          </cell>
          <cell r="AG1093" t="str">
            <v>P</v>
          </cell>
        </row>
        <row r="1094">
          <cell r="A1094" t="str">
            <v>1932279825</v>
          </cell>
          <cell r="B1094" t="str">
            <v>00545611</v>
          </cell>
          <cell r="C1094" t="str">
            <v>PRAGER, KENNETH M</v>
          </cell>
          <cell r="D1094" t="str">
            <v>E0245104</v>
          </cell>
          <cell r="E1094" t="str">
            <v>PRAGER KENNETH M           MD</v>
          </cell>
          <cell r="G1094" t="str">
            <v>Kathryn Spaziani</v>
          </cell>
          <cell r="H1094" t="str">
            <v>(212) 305-1190</v>
          </cell>
          <cell r="J1094" t="str">
            <v>kas9171@nyp.org</v>
          </cell>
          <cell r="L1094" t="str">
            <v>All Other:: Practitioner - Non-Primary Care Provider (PCP)</v>
          </cell>
          <cell r="M1094" t="str">
            <v>No</v>
          </cell>
          <cell r="R1094" t="str">
            <v>PRAGER KENNETH DR.</v>
          </cell>
          <cell r="W1094" t="str">
            <v>PRAGER KENNETH M           MD</v>
          </cell>
          <cell r="Y1094" t="str">
            <v>NEW YORK</v>
          </cell>
          <cell r="Z1094" t="str">
            <v>NY</v>
          </cell>
          <cell r="AA1094" t="str">
            <v>10032-3720</v>
          </cell>
          <cell r="AB1094" t="str">
            <v>PHYSICIAN</v>
          </cell>
          <cell r="AC1094" t="str">
            <v>M</v>
          </cell>
          <cell r="AD1094" t="str">
            <v>No</v>
          </cell>
          <cell r="AE1094" t="str">
            <v>MMIS</v>
          </cell>
          <cell r="AF1094" t="str">
            <v>nypwestcampus</v>
          </cell>
          <cell r="AG1094" t="str">
            <v>P</v>
          </cell>
        </row>
        <row r="1095">
          <cell r="A1095" t="str">
            <v>1487899118</v>
          </cell>
          <cell r="B1095" t="str">
            <v>03167700</v>
          </cell>
          <cell r="C1095" t="str">
            <v>Yu Florence</v>
          </cell>
          <cell r="D1095" t="str">
            <v>E0300750</v>
          </cell>
          <cell r="E1095" t="str">
            <v>YU FLORENCE</v>
          </cell>
          <cell r="L1095" t="str">
            <v>Practitioner - Non-Primary Care Provider (PCP)</v>
          </cell>
          <cell r="M1095" t="str">
            <v>No</v>
          </cell>
          <cell r="R1095" t="str">
            <v>YU FLORENCE DR.</v>
          </cell>
          <cell r="W1095" t="str">
            <v>YU FLORENCE</v>
          </cell>
          <cell r="X1095" t="str">
            <v>1101 PELHAM PKWY N</v>
          </cell>
          <cell r="Y1095" t="str">
            <v>BRONX</v>
          </cell>
          <cell r="Z1095" t="str">
            <v>NY</v>
          </cell>
          <cell r="AA1095" t="str">
            <v>10469-5411</v>
          </cell>
          <cell r="AB1095" t="str">
            <v>PHYSICIAN</v>
          </cell>
          <cell r="AC1095" t="str">
            <v>M</v>
          </cell>
          <cell r="AD1095" t="str">
            <v>No</v>
          </cell>
          <cell r="AE1095" t="str">
            <v>MMIS</v>
          </cell>
          <cell r="AF1095" t="str">
            <v>nypeastcampus</v>
          </cell>
          <cell r="AG1095" t="str">
            <v>P</v>
          </cell>
        </row>
        <row r="1096">
          <cell r="A1096" t="str">
            <v>1104050228</v>
          </cell>
          <cell r="B1096" t="str">
            <v>03379875</v>
          </cell>
          <cell r="C1096" t="str">
            <v>Acety Gloria</v>
          </cell>
          <cell r="D1096" t="str">
            <v>E0324981</v>
          </cell>
          <cell r="E1096" t="str">
            <v>ACETY GLORIA A MD</v>
          </cell>
          <cell r="L1096" t="str">
            <v>All Other:: Practitioner - Primary Care Provider (PCP)</v>
          </cell>
          <cell r="M1096" t="str">
            <v>No</v>
          </cell>
          <cell r="R1096" t="str">
            <v>ACETY GLORIA</v>
          </cell>
          <cell r="W1096" t="str">
            <v>ACETY GLORIA A MD</v>
          </cell>
          <cell r="X1096" t="str">
            <v>170 WILLIAM ST FL 7</v>
          </cell>
          <cell r="Y1096" t="str">
            <v>NEW YORK</v>
          </cell>
          <cell r="Z1096" t="str">
            <v>NY</v>
          </cell>
          <cell r="AA1096" t="str">
            <v>10038-2612</v>
          </cell>
          <cell r="AB1096" t="str">
            <v>PHYSICIAN</v>
          </cell>
          <cell r="AC1096" t="str">
            <v>M</v>
          </cell>
          <cell r="AD1096" t="str">
            <v>No</v>
          </cell>
          <cell r="AE1096" t="str">
            <v>MMIS</v>
          </cell>
          <cell r="AF1096" t="str">
            <v>nypeastcampus</v>
          </cell>
          <cell r="AG1096" t="str">
            <v>P</v>
          </cell>
        </row>
        <row r="1097">
          <cell r="A1097" t="str">
            <v>1790739217</v>
          </cell>
          <cell r="B1097" t="str">
            <v>03188112</v>
          </cell>
          <cell r="C1097" t="str">
            <v>TRUSTEES OF COLUMBIA UNIVERSITY IN THE CITY OF NEW YORK</v>
          </cell>
          <cell r="D1097" t="str">
            <v>E0303057</v>
          </cell>
          <cell r="E1097" t="str">
            <v>TRUSTEES OF COLUMBIA UNIVERSITY IN</v>
          </cell>
          <cell r="L1097" t="str">
            <v>All Other</v>
          </cell>
          <cell r="M1097" t="str">
            <v>No</v>
          </cell>
          <cell r="R1097" t="str">
            <v>TRUSTEES OF COLUMBIA UNIVERSITY IN THE CITY OF NEW YORK</v>
          </cell>
          <cell r="W1097" t="str">
            <v>TRUSTEES OF COLUMBIA UNIVERSITY IN</v>
          </cell>
          <cell r="X1097" t="str">
            <v>622 W 168TH ST PH 14-C</v>
          </cell>
          <cell r="Y1097" t="str">
            <v>NEW YORK</v>
          </cell>
          <cell r="Z1097" t="str">
            <v>NY</v>
          </cell>
          <cell r="AA1097" t="str">
            <v>10032-3720</v>
          </cell>
          <cell r="AB1097" t="str">
            <v>PHYSICIANS GROUP</v>
          </cell>
          <cell r="AC1097" t="str">
            <v>M</v>
          </cell>
          <cell r="AD1097" t="str">
            <v>No</v>
          </cell>
          <cell r="AE1097" t="str">
            <v>MMIS</v>
          </cell>
          <cell r="AG1097" t="str">
            <v>P</v>
          </cell>
        </row>
        <row r="1098">
          <cell r="A1098" t="str">
            <v>1578875290</v>
          </cell>
          <cell r="B1098" t="str">
            <v>03461378</v>
          </cell>
          <cell r="C1098" t="str">
            <v>DELANEY, SARAH W</v>
          </cell>
          <cell r="D1098" t="str">
            <v>E0335219</v>
          </cell>
          <cell r="E1098" t="str">
            <v>DELANEY SARAH W</v>
          </cell>
          <cell r="G1098" t="str">
            <v>Kathryn Spaziani</v>
          </cell>
          <cell r="H1098" t="str">
            <v>(212) 305-1190</v>
          </cell>
          <cell r="J1098" t="str">
            <v>kas9171@nyp.org</v>
          </cell>
          <cell r="L1098" t="str">
            <v>Practitioner - Non-Primary Care Provider (PCP)</v>
          </cell>
          <cell r="M1098" t="str">
            <v>No</v>
          </cell>
          <cell r="R1098" t="str">
            <v>DELANEY SARAH</v>
          </cell>
          <cell r="W1098" t="str">
            <v>DELANEY SARAH W</v>
          </cell>
          <cell r="X1098" t="str">
            <v>21 AUDUBON AVENUE</v>
          </cell>
          <cell r="Y1098" t="str">
            <v>NEW YORK</v>
          </cell>
          <cell r="Z1098" t="str">
            <v>NY</v>
          </cell>
          <cell r="AA1098" t="str">
            <v>10032-0000</v>
          </cell>
          <cell r="AB1098" t="str">
            <v>PHYSICIAN</v>
          </cell>
          <cell r="AC1098" t="str">
            <v>M</v>
          </cell>
          <cell r="AD1098" t="str">
            <v>No</v>
          </cell>
          <cell r="AE1098" t="str">
            <v>MMIS</v>
          </cell>
          <cell r="AF1098" t="str">
            <v>nypwestacn</v>
          </cell>
          <cell r="AG1098" t="str">
            <v>P</v>
          </cell>
        </row>
        <row r="1099">
          <cell r="A1099" t="str">
            <v>1043494800</v>
          </cell>
          <cell r="B1099" t="str">
            <v>03375362</v>
          </cell>
          <cell r="C1099" t="str">
            <v>SMITH, CLARK C</v>
          </cell>
          <cell r="D1099" t="str">
            <v>E0324466</v>
          </cell>
          <cell r="E1099" t="str">
            <v>SMITH CLARK</v>
          </cell>
          <cell r="G1099" t="str">
            <v>Kathryn Spaziani</v>
          </cell>
          <cell r="H1099" t="str">
            <v>(212) 305-1190</v>
          </cell>
          <cell r="J1099" t="str">
            <v>kas9171@nyp.org</v>
          </cell>
          <cell r="L1099" t="str">
            <v>All Other:: Practitioner - Non-Primary Care Provider (PCP)</v>
          </cell>
          <cell r="M1099" t="str">
            <v>No</v>
          </cell>
          <cell r="R1099" t="str">
            <v>SMITH CLARK DR.</v>
          </cell>
          <cell r="W1099" t="str">
            <v>SMITH CLARK</v>
          </cell>
          <cell r="X1099" t="str">
            <v>622 W 168TH ST</v>
          </cell>
          <cell r="Y1099" t="str">
            <v>NEW YORK</v>
          </cell>
          <cell r="Z1099" t="str">
            <v>NY</v>
          </cell>
          <cell r="AA1099" t="str">
            <v>10032-3720</v>
          </cell>
          <cell r="AB1099" t="str">
            <v>PHYSICIAN</v>
          </cell>
          <cell r="AC1099" t="str">
            <v>M</v>
          </cell>
          <cell r="AD1099" t="str">
            <v>No</v>
          </cell>
          <cell r="AE1099" t="str">
            <v>MMIS</v>
          </cell>
          <cell r="AF1099" t="str">
            <v>nypwestcampus</v>
          </cell>
          <cell r="AG1099" t="str">
            <v>P</v>
          </cell>
        </row>
        <row r="1100">
          <cell r="A1100" t="str">
            <v>1033107529</v>
          </cell>
          <cell r="B1100" t="str">
            <v>02404451</v>
          </cell>
          <cell r="C1100" t="str">
            <v>Chen, Douglas Yuen Hsiang</v>
          </cell>
          <cell r="D1100" t="str">
            <v>E0059682</v>
          </cell>
          <cell r="E1100" t="str">
            <v>CHEN DOUGLAS</v>
          </cell>
          <cell r="G1100" t="str">
            <v>Betty Cheng</v>
          </cell>
          <cell r="H1100" t="str">
            <v>(212) 379-6988</v>
          </cell>
          <cell r="I1100">
            <v>2604</v>
          </cell>
          <cell r="J1100" t="str">
            <v>bcheng@cbwchc.org</v>
          </cell>
          <cell r="L1100" t="str">
            <v>All Other:: Practitioner - Primary Care Provider (PCP)</v>
          </cell>
          <cell r="M1100" t="str">
            <v>Yes</v>
          </cell>
          <cell r="R1100" t="str">
            <v>CHEN DOUGLAS</v>
          </cell>
          <cell r="W1100" t="str">
            <v>CHEN DOUGLAS YUEN HSIANG</v>
          </cell>
          <cell r="X1100" t="str">
            <v>303 9TH AVE</v>
          </cell>
          <cell r="Y1100" t="str">
            <v>NEW YORK</v>
          </cell>
          <cell r="Z1100" t="str">
            <v>NY</v>
          </cell>
          <cell r="AA1100" t="str">
            <v>10001-5701</v>
          </cell>
          <cell r="AB1100" t="str">
            <v>PHYSICIAN</v>
          </cell>
          <cell r="AC1100" t="str">
            <v>M</v>
          </cell>
          <cell r="AD1100" t="str">
            <v>No</v>
          </cell>
          <cell r="AE1100" t="str">
            <v>MMIS</v>
          </cell>
          <cell r="AF1100" t="str">
            <v>cbwchc</v>
          </cell>
          <cell r="AG1100" t="str">
            <v>P</v>
          </cell>
        </row>
        <row r="1101">
          <cell r="A1101" t="str">
            <v>1619917341</v>
          </cell>
          <cell r="B1101" t="str">
            <v>01372912</v>
          </cell>
          <cell r="C1101" t="str">
            <v>WEILL MEDICAL COLLEGE OF CORNELL UNIVERSITY</v>
          </cell>
          <cell r="D1101" t="str">
            <v>E0162666</v>
          </cell>
          <cell r="E1101" t="str">
            <v>CORNELL ANESTHESIOLOGY ASSOC</v>
          </cell>
          <cell r="L1101" t="str">
            <v>All Other</v>
          </cell>
          <cell r="M1101" t="str">
            <v>No</v>
          </cell>
          <cell r="R1101" t="str">
            <v>WEILL MEDICAL COLLEGE OF CORNELL</v>
          </cell>
          <cell r="W1101" t="str">
            <v>WEILL MEDICAL COLLEGE OF CORNELL</v>
          </cell>
          <cell r="X1101" t="str">
            <v>525 E 68TH ST</v>
          </cell>
          <cell r="Y1101" t="str">
            <v>NEW YORK</v>
          </cell>
          <cell r="Z1101" t="str">
            <v>NY</v>
          </cell>
          <cell r="AA1101" t="str">
            <v>10065-4870</v>
          </cell>
          <cell r="AB1101" t="str">
            <v>PHYSICIANS GROUP</v>
          </cell>
          <cell r="AC1101" t="str">
            <v>M</v>
          </cell>
          <cell r="AD1101" t="str">
            <v>No</v>
          </cell>
          <cell r="AE1101" t="str">
            <v>MMIS</v>
          </cell>
          <cell r="AG1101" t="str">
            <v>P</v>
          </cell>
        </row>
        <row r="1102">
          <cell r="A1102" t="str">
            <v>1821086737</v>
          </cell>
          <cell r="B1102" t="str">
            <v>01579060</v>
          </cell>
          <cell r="C1102" t="str">
            <v>TAN, PATRICIA T</v>
          </cell>
          <cell r="D1102" t="str">
            <v>E0142098</v>
          </cell>
          <cell r="E1102" t="str">
            <v>TAN PATRICIA T MD</v>
          </cell>
          <cell r="G1102" t="str">
            <v>Kathryn Spaziani</v>
          </cell>
          <cell r="H1102" t="str">
            <v>(212) 305-1190</v>
          </cell>
          <cell r="J1102" t="str">
            <v>kas9171@nyp.org</v>
          </cell>
          <cell r="L1102" t="str">
            <v>All Other:: Practitioner - Non-Primary Care Provider (PCP)</v>
          </cell>
          <cell r="M1102" t="str">
            <v>Yes</v>
          </cell>
          <cell r="R1102" t="str">
            <v>TAN PATRICIA</v>
          </cell>
          <cell r="W1102" t="str">
            <v>TAN PATRICIA T MD</v>
          </cell>
          <cell r="X1102" t="str">
            <v>440 MERRICK TD</v>
          </cell>
          <cell r="Y1102" t="str">
            <v>OCEANSIDE</v>
          </cell>
          <cell r="Z1102" t="str">
            <v>NY</v>
          </cell>
          <cell r="AA1102" t="str">
            <v>11572</v>
          </cell>
          <cell r="AB1102" t="str">
            <v>PHYSICIAN</v>
          </cell>
          <cell r="AC1102" t="str">
            <v>M</v>
          </cell>
          <cell r="AD1102" t="str">
            <v>No</v>
          </cell>
          <cell r="AE1102" t="str">
            <v>MMIS</v>
          </cell>
          <cell r="AF1102" t="str">
            <v>nypwestcampus</v>
          </cell>
          <cell r="AG1102" t="str">
            <v>P</v>
          </cell>
        </row>
        <row r="1103">
          <cell r="A1103" t="str">
            <v>1528004157</v>
          </cell>
          <cell r="C1103" t="str">
            <v>Leal David</v>
          </cell>
          <cell r="G1103" t="str">
            <v>Kathryn Spaziani</v>
          </cell>
          <cell r="H1103" t="str">
            <v>(212) 305-1255</v>
          </cell>
          <cell r="J1103" t="str">
            <v>kas9171@nyp.org</v>
          </cell>
          <cell r="K1103" t="str">
            <v>Physician</v>
          </cell>
          <cell r="L1103" t="str">
            <v>Practitioner - Non-Primary Care Provider (PCP)</v>
          </cell>
          <cell r="M1103" t="str">
            <v>No</v>
          </cell>
          <cell r="R1103" t="str">
            <v>LEAL DAVID MR.</v>
          </cell>
          <cell r="S1103" t="str">
            <v>170 WILLIAM ST, ROOM 354</v>
          </cell>
          <cell r="T1103" t="str">
            <v>NEW YORK</v>
          </cell>
          <cell r="U1103" t="str">
            <v>NY</v>
          </cell>
          <cell r="V1103" t="str">
            <v>100382612</v>
          </cell>
          <cell r="AC1103" t="str">
            <v>M</v>
          </cell>
          <cell r="AD1103" t="str">
            <v>No</v>
          </cell>
          <cell r="AE1103" t="str">
            <v>NPI only</v>
          </cell>
          <cell r="AF1103" t="str">
            <v>nypeastcampus</v>
          </cell>
          <cell r="AG1103" t="str">
            <v>P</v>
          </cell>
        </row>
        <row r="1104">
          <cell r="A1104" t="str">
            <v>1184031544</v>
          </cell>
          <cell r="B1104" t="str">
            <v>04001745</v>
          </cell>
          <cell r="C1104" t="str">
            <v>Ernst Lauren</v>
          </cell>
          <cell r="D1104" t="str">
            <v>E0391587</v>
          </cell>
          <cell r="E1104" t="str">
            <v>ERNST LAUREN MORTON</v>
          </cell>
          <cell r="G1104" t="str">
            <v>Kathryn Spaziani</v>
          </cell>
          <cell r="H1104" t="str">
            <v>(212) 305-1255</v>
          </cell>
          <cell r="J1104" t="str">
            <v>kas9171@nyp.org</v>
          </cell>
          <cell r="L1104" t="str">
            <v>Practitioner - Non-Primary Care Provider (PCP)</v>
          </cell>
          <cell r="M1104" t="str">
            <v>No</v>
          </cell>
          <cell r="R1104" t="str">
            <v>ERNST LAUREN MRS.</v>
          </cell>
          <cell r="W1104" t="str">
            <v>ERNST LAUREN MORTON</v>
          </cell>
          <cell r="X1104" t="str">
            <v>622 W 168TH ST</v>
          </cell>
          <cell r="Y1104" t="str">
            <v>NEW YORK</v>
          </cell>
          <cell r="Z1104" t="str">
            <v>NY</v>
          </cell>
          <cell r="AA1104" t="str">
            <v>10032-3720</v>
          </cell>
          <cell r="AB1104" t="str">
            <v>PHYSICIAN</v>
          </cell>
          <cell r="AC1104" t="str">
            <v>M</v>
          </cell>
          <cell r="AD1104" t="str">
            <v>No</v>
          </cell>
          <cell r="AE1104" t="str">
            <v>MMIS</v>
          </cell>
          <cell r="AF1104" t="str">
            <v>nypwestcampus</v>
          </cell>
          <cell r="AG1104" t="str">
            <v>P</v>
          </cell>
        </row>
        <row r="1105">
          <cell r="A1105" t="str">
            <v>1104909761</v>
          </cell>
          <cell r="B1105" t="str">
            <v>01422513</v>
          </cell>
          <cell r="C1105" t="str">
            <v>Giglio James</v>
          </cell>
          <cell r="D1105" t="str">
            <v>E0157723</v>
          </cell>
          <cell r="E1105" t="str">
            <v>GIGLIO JAMES F MD</v>
          </cell>
          <cell r="L1105" t="str">
            <v>Practitioner - Non-Primary Care Provider (PCP)</v>
          </cell>
          <cell r="M1105" t="str">
            <v>No</v>
          </cell>
          <cell r="R1105" t="str">
            <v>GIGLIO JAMES</v>
          </cell>
          <cell r="W1105" t="str">
            <v>GIGLIO JAMES FREDERICK</v>
          </cell>
          <cell r="Y1105" t="str">
            <v>NYACK</v>
          </cell>
          <cell r="Z1105" t="str">
            <v>NY</v>
          </cell>
          <cell r="AA1105" t="str">
            <v>10960-1998</v>
          </cell>
          <cell r="AB1105" t="str">
            <v>PHYSICIAN</v>
          </cell>
          <cell r="AC1105" t="str">
            <v>M</v>
          </cell>
          <cell r="AD1105" t="str">
            <v>No</v>
          </cell>
          <cell r="AE1105" t="str">
            <v>MMIS</v>
          </cell>
          <cell r="AF1105" t="str">
            <v>nypwestcampus</v>
          </cell>
          <cell r="AG1105" t="str">
            <v>P</v>
          </cell>
        </row>
        <row r="1106">
          <cell r="A1106" t="str">
            <v>1770758880</v>
          </cell>
          <cell r="B1106" t="str">
            <v>03069752</v>
          </cell>
          <cell r="C1106" t="str">
            <v>Hong Jin Ki</v>
          </cell>
          <cell r="D1106" t="str">
            <v>E0289484</v>
          </cell>
          <cell r="E1106" t="str">
            <v>JIN KI HONG</v>
          </cell>
          <cell r="L1106" t="str">
            <v>All Other:: Practitioner - Non-Primary Care Provider (PCP)</v>
          </cell>
          <cell r="M1106" t="str">
            <v>No</v>
          </cell>
          <cell r="R1106" t="str">
            <v>HONG JIN KI MR.</v>
          </cell>
          <cell r="W1106" t="str">
            <v>HONG JIN KI MD</v>
          </cell>
          <cell r="X1106" t="str">
            <v>170 WILLIAM ST</v>
          </cell>
          <cell r="Y1106" t="str">
            <v>NEW YORK</v>
          </cell>
          <cell r="Z1106" t="str">
            <v>NY</v>
          </cell>
          <cell r="AA1106" t="str">
            <v>10038-2612</v>
          </cell>
          <cell r="AB1106" t="str">
            <v>PHYSICIAN</v>
          </cell>
          <cell r="AC1106" t="str">
            <v>M</v>
          </cell>
          <cell r="AD1106" t="str">
            <v>No</v>
          </cell>
          <cell r="AE1106" t="str">
            <v>MMIS</v>
          </cell>
          <cell r="AF1106" t="str">
            <v>nypeastcampus</v>
          </cell>
          <cell r="AG1106" t="str">
            <v>P</v>
          </cell>
        </row>
        <row r="1107">
          <cell r="A1107" t="str">
            <v>1538269444</v>
          </cell>
          <cell r="B1107" t="str">
            <v>04034442</v>
          </cell>
          <cell r="C1107" t="str">
            <v>TRUSTEES OF COLUMBIA UNIVERSITY IN THE CITY OF NEW YORK</v>
          </cell>
          <cell r="D1107" t="str">
            <v>E0392732</v>
          </cell>
          <cell r="E1107" t="str">
            <v>TRUSTEES OF COLUMBIA UNIVERSITY IN</v>
          </cell>
          <cell r="L1107" t="str">
            <v>All Other</v>
          </cell>
          <cell r="M1107" t="str">
            <v>No</v>
          </cell>
          <cell r="R1107" t="str">
            <v>TRUSTEES OF COLUMBIA UNIVERSITY IN THE CITY OF NEW YORK</v>
          </cell>
          <cell r="W1107" t="str">
            <v>TRUSTEES OF COLUMBIA UNIVERSITY IN</v>
          </cell>
          <cell r="X1107" t="str">
            <v>630 W 168TH ST</v>
          </cell>
          <cell r="Y1107" t="str">
            <v>NEW YORK</v>
          </cell>
          <cell r="Z1107" t="str">
            <v>NY</v>
          </cell>
          <cell r="AA1107" t="str">
            <v>10032-3725</v>
          </cell>
          <cell r="AB1107" t="str">
            <v>PHYSICIANS GROUP</v>
          </cell>
          <cell r="AC1107" t="str">
            <v>M</v>
          </cell>
          <cell r="AD1107" t="str">
            <v>No</v>
          </cell>
          <cell r="AE1107" t="str">
            <v>MMIS</v>
          </cell>
          <cell r="AG1107" t="str">
            <v>P</v>
          </cell>
        </row>
        <row r="1108">
          <cell r="A1108" t="str">
            <v>1326207275</v>
          </cell>
          <cell r="C1108" t="str">
            <v>Salomao Marcela</v>
          </cell>
          <cell r="G1108" t="str">
            <v>Kathryn Spaziani</v>
          </cell>
          <cell r="H1108" t="str">
            <v>(212) 305-1255</v>
          </cell>
          <cell r="J1108" t="str">
            <v>kas9171@nyp.org</v>
          </cell>
          <cell r="K1108" t="str">
            <v>Physician</v>
          </cell>
          <cell r="L1108" t="str">
            <v>Uncategorized</v>
          </cell>
          <cell r="M1108" t="str">
            <v>No</v>
          </cell>
          <cell r="R1108" t="str">
            <v>SALOMAO MARCELA</v>
          </cell>
          <cell r="S1108" t="str">
            <v>13400 E SHEA BLVD</v>
          </cell>
          <cell r="T1108" t="str">
            <v>SCOTTSDALE</v>
          </cell>
          <cell r="U1108" t="str">
            <v>AZ</v>
          </cell>
          <cell r="V1108" t="str">
            <v>852595452</v>
          </cell>
          <cell r="AC1108" t="str">
            <v>M</v>
          </cell>
          <cell r="AD1108" t="str">
            <v>No</v>
          </cell>
          <cell r="AE1108" t="str">
            <v>NPI only</v>
          </cell>
          <cell r="AF1108" t="str">
            <v>nypwestcampus</v>
          </cell>
          <cell r="AG1108" t="str">
            <v>P</v>
          </cell>
        </row>
        <row r="1109">
          <cell r="A1109" t="str">
            <v>1932203346</v>
          </cell>
          <cell r="B1109" t="str">
            <v>02862802</v>
          </cell>
          <cell r="C1109" t="str">
            <v>Saqi Anjali</v>
          </cell>
          <cell r="D1109" t="str">
            <v>E0013918</v>
          </cell>
          <cell r="E1109" t="str">
            <v>SAQI ANJALI</v>
          </cell>
          <cell r="L1109" t="str">
            <v>All Other:: Practitioner - Non-Primary Care Provider (PCP)</v>
          </cell>
          <cell r="M1109" t="str">
            <v>No</v>
          </cell>
          <cell r="R1109" t="str">
            <v>WEILL MEDICAL COLLEGE OF CORNELL</v>
          </cell>
          <cell r="W1109" t="str">
            <v>SAQI ANJALI</v>
          </cell>
          <cell r="X1109" t="str">
            <v>525 E 68TH ST</v>
          </cell>
          <cell r="Y1109" t="str">
            <v>NEW YORK</v>
          </cell>
          <cell r="Z1109" t="str">
            <v>NY</v>
          </cell>
          <cell r="AA1109" t="str">
            <v>10065-4870</v>
          </cell>
          <cell r="AB1109" t="str">
            <v>PHYSICIAN</v>
          </cell>
          <cell r="AC1109" t="str">
            <v>M</v>
          </cell>
          <cell r="AD1109" t="str">
            <v>No</v>
          </cell>
          <cell r="AE1109" t="str">
            <v>MMIS</v>
          </cell>
          <cell r="AG1109" t="str">
            <v>P</v>
          </cell>
        </row>
        <row r="1110">
          <cell r="A1110" t="str">
            <v>1821125006</v>
          </cell>
          <cell r="B1110" t="str">
            <v>02761484</v>
          </cell>
          <cell r="C1110" t="str">
            <v>Stokes Michael</v>
          </cell>
          <cell r="D1110" t="str">
            <v>E0024044</v>
          </cell>
          <cell r="E1110" t="str">
            <v>STOKES MICHAEL</v>
          </cell>
          <cell r="L1110" t="str">
            <v>All Other:: Practitioner - Non-Primary Care Provider (PCP)</v>
          </cell>
          <cell r="M1110" t="str">
            <v>No</v>
          </cell>
          <cell r="R1110" t="str">
            <v>STOKES MICHAEL</v>
          </cell>
          <cell r="W1110" t="str">
            <v>STOKES MICHAEL</v>
          </cell>
          <cell r="X1110" t="str">
            <v>525 E 68TH ST</v>
          </cell>
          <cell r="Y1110" t="str">
            <v>NEW YORK</v>
          </cell>
          <cell r="Z1110" t="str">
            <v>NY</v>
          </cell>
          <cell r="AA1110" t="str">
            <v>10065-4870</v>
          </cell>
          <cell r="AB1110" t="str">
            <v>PHYSICIAN</v>
          </cell>
          <cell r="AC1110" t="str">
            <v>M</v>
          </cell>
          <cell r="AD1110" t="str">
            <v>No</v>
          </cell>
          <cell r="AE1110" t="str">
            <v>MMIS</v>
          </cell>
          <cell r="AF1110" t="str">
            <v>nypwestcampus</v>
          </cell>
          <cell r="AG1110" t="str">
            <v>P</v>
          </cell>
        </row>
        <row r="1111">
          <cell r="A1111" t="str">
            <v>1598804858</v>
          </cell>
          <cell r="B1111" t="str">
            <v>01970598</v>
          </cell>
          <cell r="C1111" t="str">
            <v>Szabolcs Matthias</v>
          </cell>
          <cell r="D1111" t="str">
            <v>E0102997</v>
          </cell>
          <cell r="E1111" t="str">
            <v>SZABOLCS MATTHIAS</v>
          </cell>
          <cell r="L1111" t="str">
            <v>All Other:: Practitioner - Non-Primary Care Provider (PCP)</v>
          </cell>
          <cell r="M1111" t="str">
            <v>No</v>
          </cell>
          <cell r="R1111" t="str">
            <v>SZABOLCS MATTHIAS DR.</v>
          </cell>
          <cell r="W1111" t="str">
            <v>SZABOLCS MATTHIAS</v>
          </cell>
          <cell r="X1111" t="str">
            <v>SZABOLCS MATTHIAS</v>
          </cell>
          <cell r="Y1111" t="str">
            <v>NEW YORK</v>
          </cell>
          <cell r="Z1111" t="str">
            <v>NY</v>
          </cell>
          <cell r="AA1111" t="str">
            <v>10032-3720</v>
          </cell>
          <cell r="AB1111" t="str">
            <v>PHYSICIAN</v>
          </cell>
          <cell r="AC1111" t="str">
            <v>M</v>
          </cell>
          <cell r="AD1111" t="str">
            <v>No</v>
          </cell>
          <cell r="AE1111" t="str">
            <v>MMIS</v>
          </cell>
          <cell r="AF1111" t="str">
            <v>nypwestcampus</v>
          </cell>
          <cell r="AG1111" t="str">
            <v>P</v>
          </cell>
        </row>
        <row r="1112">
          <cell r="A1112" t="str">
            <v>1952438863</v>
          </cell>
          <cell r="B1112" t="str">
            <v>02862935</v>
          </cell>
          <cell r="C1112" t="str">
            <v>Tanji Kurenai</v>
          </cell>
          <cell r="D1112" t="str">
            <v>E0013905</v>
          </cell>
          <cell r="E1112" t="str">
            <v>TANJI KURENAI</v>
          </cell>
          <cell r="L1112" t="str">
            <v>All Other:: Practitioner - Non-Primary Care Provider (PCP)</v>
          </cell>
          <cell r="M1112" t="str">
            <v>No</v>
          </cell>
          <cell r="R1112" t="str">
            <v>TANJI KURENAI</v>
          </cell>
          <cell r="W1112" t="str">
            <v>TANJI KURENAI</v>
          </cell>
          <cell r="X1112" t="str">
            <v>630 W 168TH ST</v>
          </cell>
          <cell r="Y1112" t="str">
            <v>NEW YORK</v>
          </cell>
          <cell r="Z1112" t="str">
            <v>NY</v>
          </cell>
          <cell r="AA1112" t="str">
            <v>10032-3725</v>
          </cell>
          <cell r="AB1112" t="str">
            <v>PHYSICIAN</v>
          </cell>
          <cell r="AC1112" t="str">
            <v>M</v>
          </cell>
          <cell r="AD1112" t="str">
            <v>No</v>
          </cell>
          <cell r="AE1112" t="str">
            <v>MMIS</v>
          </cell>
          <cell r="AF1112" t="str">
            <v>nypwestcampus</v>
          </cell>
          <cell r="AG1112" t="str">
            <v>P</v>
          </cell>
        </row>
        <row r="1113">
          <cell r="A1113" t="str">
            <v>1346409216</v>
          </cell>
          <cell r="C1113" t="str">
            <v>Teich Andrew</v>
          </cell>
          <cell r="G1113" t="str">
            <v>Kathryn Spaziani</v>
          </cell>
          <cell r="H1113" t="str">
            <v>(212) 305-1255</v>
          </cell>
          <cell r="J1113" t="str">
            <v>kas9171@nyp.org</v>
          </cell>
          <cell r="K1113" t="str">
            <v>Physician</v>
          </cell>
          <cell r="L1113" t="str">
            <v>Practitioner - Non-Primary Care Provider (PCP)</v>
          </cell>
          <cell r="M1113" t="str">
            <v>No</v>
          </cell>
          <cell r="R1113" t="str">
            <v>TEICH ANDREW</v>
          </cell>
          <cell r="S1113" t="str">
            <v>622 W 168TH ST, PH 1564W</v>
          </cell>
          <cell r="T1113" t="str">
            <v>NEW YORK</v>
          </cell>
          <cell r="U1113" t="str">
            <v>NY</v>
          </cell>
          <cell r="V1113" t="str">
            <v>100323720</v>
          </cell>
          <cell r="AC1113" t="str">
            <v>M</v>
          </cell>
          <cell r="AD1113" t="str">
            <v>No</v>
          </cell>
          <cell r="AE1113" t="str">
            <v>NPI only</v>
          </cell>
          <cell r="AF1113" t="str">
            <v>nypwestcampus</v>
          </cell>
          <cell r="AG1113" t="str">
            <v>P</v>
          </cell>
        </row>
        <row r="1114">
          <cell r="A1114" t="str">
            <v>1851428841</v>
          </cell>
          <cell r="B1114" t="str">
            <v>02862820</v>
          </cell>
          <cell r="C1114" t="str">
            <v>Vonsattel Jean Paul</v>
          </cell>
          <cell r="D1114" t="str">
            <v>E0013916</v>
          </cell>
          <cell r="E1114" t="str">
            <v>VONSATTEL JEAN-PAUL</v>
          </cell>
          <cell r="L1114" t="str">
            <v>All Other:: Practitioner - Non-Primary Care Provider (PCP)</v>
          </cell>
          <cell r="M1114" t="str">
            <v>No</v>
          </cell>
          <cell r="R1114" t="str">
            <v>VONSATTEL JEAN PAUL</v>
          </cell>
          <cell r="W1114" t="str">
            <v>VONSATTEL JEAN-PAUL</v>
          </cell>
          <cell r="X1114" t="str">
            <v>630 W 168TH ST STE P</v>
          </cell>
          <cell r="Y1114" t="str">
            <v>NEW YORK</v>
          </cell>
          <cell r="Z1114" t="str">
            <v>NY</v>
          </cell>
          <cell r="AA1114" t="str">
            <v>10032-3725</v>
          </cell>
          <cell r="AB1114" t="str">
            <v>PHYSICIAN</v>
          </cell>
          <cell r="AC1114" t="str">
            <v>M</v>
          </cell>
          <cell r="AD1114" t="str">
            <v>No</v>
          </cell>
          <cell r="AE1114" t="str">
            <v>MMIS</v>
          </cell>
          <cell r="AF1114" t="str">
            <v>nypwestcampus</v>
          </cell>
          <cell r="AG1114" t="str">
            <v>P</v>
          </cell>
        </row>
        <row r="1115">
          <cell r="A1115" t="str">
            <v>1164624201</v>
          </cell>
          <cell r="B1115" t="str">
            <v>03339571</v>
          </cell>
          <cell r="C1115" t="str">
            <v>Katzen Janine</v>
          </cell>
          <cell r="D1115" t="str">
            <v>E0320233</v>
          </cell>
          <cell r="E1115" t="str">
            <v>KATZEN JANINE T</v>
          </cell>
          <cell r="L1115" t="str">
            <v>All Other:: Practitioner - Non-Primary Care Provider (PCP)</v>
          </cell>
          <cell r="M1115" t="str">
            <v>No</v>
          </cell>
          <cell r="R1115" t="str">
            <v>KATZEN JANINE DR.</v>
          </cell>
          <cell r="W1115" t="str">
            <v>KATZEN JANINE T</v>
          </cell>
          <cell r="X1115" t="str">
            <v>525 E 68TH ST</v>
          </cell>
          <cell r="Y1115" t="str">
            <v>NEW YORK</v>
          </cell>
          <cell r="Z1115" t="str">
            <v>NY</v>
          </cell>
          <cell r="AA1115" t="str">
            <v>10065-4870</v>
          </cell>
          <cell r="AB1115" t="str">
            <v>PHYSICIAN</v>
          </cell>
          <cell r="AC1115" t="str">
            <v>M</v>
          </cell>
          <cell r="AD1115" t="str">
            <v>No</v>
          </cell>
          <cell r="AE1115" t="str">
            <v>MMIS</v>
          </cell>
          <cell r="AF1115" t="str">
            <v>nypeastcampus</v>
          </cell>
          <cell r="AG1115" t="str">
            <v>P</v>
          </cell>
        </row>
        <row r="1116">
          <cell r="A1116" t="str">
            <v>1659400364</v>
          </cell>
          <cell r="B1116" t="str">
            <v>02904034</v>
          </cell>
          <cell r="C1116" t="str">
            <v>Levy Allison</v>
          </cell>
          <cell r="D1116" t="str">
            <v>E0009804</v>
          </cell>
          <cell r="E1116" t="str">
            <v>LEVY ALLISON DANA MD</v>
          </cell>
          <cell r="L1116" t="str">
            <v>All Other:: Practitioner - Non-Primary Care Provider (PCP)</v>
          </cell>
          <cell r="M1116" t="str">
            <v>No</v>
          </cell>
          <cell r="R1116" t="str">
            <v>LEVY ALLISON DR.</v>
          </cell>
          <cell r="W1116" t="str">
            <v>LEVY ALLISON DANA MD</v>
          </cell>
          <cell r="X1116" t="str">
            <v>525 E 68TH ST</v>
          </cell>
          <cell r="Y1116" t="str">
            <v>NEW YORK</v>
          </cell>
          <cell r="Z1116" t="str">
            <v>NY</v>
          </cell>
          <cell r="AA1116" t="str">
            <v>10065-4870</v>
          </cell>
          <cell r="AB1116" t="str">
            <v>PHYSICIAN</v>
          </cell>
          <cell r="AC1116" t="str">
            <v>M</v>
          </cell>
          <cell r="AD1116" t="str">
            <v>No</v>
          </cell>
          <cell r="AE1116" t="str">
            <v>MMIS</v>
          </cell>
          <cell r="AF1116" t="str">
            <v>nypeastcampus</v>
          </cell>
          <cell r="AG1116" t="str">
            <v>P</v>
          </cell>
        </row>
        <row r="1117">
          <cell r="A1117" t="str">
            <v>1558440123</v>
          </cell>
          <cell r="B1117" t="str">
            <v>02444879</v>
          </cell>
          <cell r="C1117" t="str">
            <v>TRUSTEES OF COLUMBIA UNIVERSITY ADULT EKG GROUP</v>
          </cell>
          <cell r="D1117" t="str">
            <v>E0055646</v>
          </cell>
          <cell r="E1117" t="str">
            <v>TRUSTEES OF COLUMBIA UNIV</v>
          </cell>
          <cell r="L1117" t="str">
            <v>Uncategorized</v>
          </cell>
          <cell r="M1117" t="str">
            <v>No</v>
          </cell>
          <cell r="R1117" t="str">
            <v>TRUSTEES OF COLUMBIA UNIVERSITY ADULT EKG GROUP</v>
          </cell>
          <cell r="W1117" t="str">
            <v>TRUSTEES OF COLUMBIA UNIV</v>
          </cell>
          <cell r="X1117" t="str">
            <v>630 W 168TH ST</v>
          </cell>
          <cell r="Y1117" t="str">
            <v>NEW YORK</v>
          </cell>
          <cell r="Z1117" t="str">
            <v>NY</v>
          </cell>
          <cell r="AA1117" t="str">
            <v>10032-3725</v>
          </cell>
          <cell r="AB1117" t="str">
            <v>PHYSICIANS GROUP</v>
          </cell>
          <cell r="AC1117" t="str">
            <v>M</v>
          </cell>
          <cell r="AD1117" t="str">
            <v>No</v>
          </cell>
          <cell r="AE1117" t="str">
            <v>MMIS</v>
          </cell>
          <cell r="AG1117" t="str">
            <v>P</v>
          </cell>
        </row>
        <row r="1118">
          <cell r="A1118" t="str">
            <v>1073607800</v>
          </cell>
          <cell r="B1118" t="str">
            <v>03057352</v>
          </cell>
          <cell r="C1118" t="str">
            <v>Clark Jeanann</v>
          </cell>
          <cell r="D1118" t="str">
            <v>E0288028</v>
          </cell>
          <cell r="E1118" t="str">
            <v>CLARK JEANANN PA</v>
          </cell>
          <cell r="L1118" t="str">
            <v>Uncategorized</v>
          </cell>
          <cell r="M1118" t="str">
            <v>No</v>
          </cell>
          <cell r="R1118" t="str">
            <v>CLARK JEANANN</v>
          </cell>
          <cell r="W1118" t="str">
            <v>CLARK JEANANN PA</v>
          </cell>
          <cell r="X1118" t="str">
            <v>525 E 68TH ST # P-501</v>
          </cell>
          <cell r="Y1118" t="str">
            <v>NEW YORK</v>
          </cell>
          <cell r="Z1118" t="str">
            <v>NY</v>
          </cell>
          <cell r="AA1118" t="str">
            <v>10065-4870</v>
          </cell>
          <cell r="AB1118" t="str">
            <v>PHYSICIAN</v>
          </cell>
          <cell r="AC1118" t="str">
            <v>M</v>
          </cell>
          <cell r="AD1118" t="str">
            <v>No</v>
          </cell>
          <cell r="AE1118" t="str">
            <v>MMIS</v>
          </cell>
          <cell r="AF1118" t="str">
            <v>nypeastcampus</v>
          </cell>
          <cell r="AG1118" t="str">
            <v>P</v>
          </cell>
        </row>
        <row r="1119">
          <cell r="A1119" t="str">
            <v>1336109487</v>
          </cell>
          <cell r="B1119" t="str">
            <v>01475290</v>
          </cell>
          <cell r="C1119" t="str">
            <v>VILLENA, YOLANDA M</v>
          </cell>
          <cell r="D1119" t="str">
            <v>E0152456</v>
          </cell>
          <cell r="E1119" t="str">
            <v>VILLENA YOLANDA MARY</v>
          </cell>
          <cell r="G1119" t="str">
            <v>Kathryn Spaziani</v>
          </cell>
          <cell r="H1119" t="str">
            <v>(212) 305-1190</v>
          </cell>
          <cell r="J1119" t="str">
            <v>kas9171@nyp.org</v>
          </cell>
          <cell r="L1119" t="str">
            <v>Mental Health:: Practitioner - Non-Primary Care Provider (PCP)</v>
          </cell>
          <cell r="M1119" t="str">
            <v>No</v>
          </cell>
          <cell r="R1119" t="str">
            <v>VILLENA YOLANDA DR.</v>
          </cell>
          <cell r="W1119" t="str">
            <v>VILLENA YOLANDA MARY</v>
          </cell>
          <cell r="X1119" t="str">
            <v>829 PRESIDENT ST</v>
          </cell>
          <cell r="Y1119" t="str">
            <v>BROOKLYN</v>
          </cell>
          <cell r="Z1119" t="str">
            <v>NY</v>
          </cell>
          <cell r="AA1119" t="str">
            <v>11215-1405</v>
          </cell>
          <cell r="AB1119" t="str">
            <v>CLINICAL PSYCHOLOGIST</v>
          </cell>
          <cell r="AC1119" t="str">
            <v>M</v>
          </cell>
          <cell r="AD1119" t="str">
            <v>No</v>
          </cell>
          <cell r="AE1119" t="str">
            <v>MMIS</v>
          </cell>
          <cell r="AF1119" t="str">
            <v>nypwestcampus</v>
          </cell>
          <cell r="AG1119" t="str">
            <v>P</v>
          </cell>
        </row>
        <row r="1120">
          <cell r="A1120" t="str">
            <v>1801059068</v>
          </cell>
          <cell r="B1120" t="str">
            <v>03041178</v>
          </cell>
          <cell r="C1120" t="str">
            <v>LU, JONATHAN T</v>
          </cell>
          <cell r="D1120" t="str">
            <v>E0286231</v>
          </cell>
          <cell r="E1120" t="str">
            <v>LU JONATHAN</v>
          </cell>
          <cell r="G1120" t="str">
            <v>Kathryn Spaziani</v>
          </cell>
          <cell r="H1120" t="str">
            <v>(212) 305-1190</v>
          </cell>
          <cell r="J1120" t="str">
            <v>kas9171@nyp.org</v>
          </cell>
          <cell r="L1120" t="str">
            <v>Practitioner - Non-Primary Care Provider (PCP)</v>
          </cell>
          <cell r="M1120" t="str">
            <v>No</v>
          </cell>
          <cell r="R1120" t="str">
            <v>LU JONATHAN DR.</v>
          </cell>
          <cell r="W1120" t="str">
            <v>LU JONATHAN TOSHI MD</v>
          </cell>
          <cell r="X1120" t="str">
            <v>622 W 168TH ST</v>
          </cell>
          <cell r="Y1120" t="str">
            <v>NEW YORK</v>
          </cell>
          <cell r="Z1120" t="str">
            <v>NY</v>
          </cell>
          <cell r="AA1120" t="str">
            <v>10032-3720</v>
          </cell>
          <cell r="AB1120" t="str">
            <v>PHYSICIAN</v>
          </cell>
          <cell r="AC1120" t="str">
            <v>M</v>
          </cell>
          <cell r="AD1120" t="str">
            <v>No</v>
          </cell>
          <cell r="AE1120" t="str">
            <v>MMIS</v>
          </cell>
          <cell r="AF1120" t="str">
            <v>nypother</v>
          </cell>
          <cell r="AG1120" t="str">
            <v>P</v>
          </cell>
        </row>
        <row r="1121">
          <cell r="A1121" t="str">
            <v>1548277619</v>
          </cell>
          <cell r="B1121" t="str">
            <v>01702905</v>
          </cell>
          <cell r="C1121" t="str">
            <v>MARX, STEVEN O</v>
          </cell>
          <cell r="D1121" t="str">
            <v>E0129732</v>
          </cell>
          <cell r="E1121" t="str">
            <v>MARX STEVEN OWEN MD</v>
          </cell>
          <cell r="G1121" t="str">
            <v>Kathryn Spaziani</v>
          </cell>
          <cell r="H1121" t="str">
            <v>(212) 305-1190</v>
          </cell>
          <cell r="J1121" t="str">
            <v>kas9171@nyp.org</v>
          </cell>
          <cell r="L1121" t="str">
            <v>All Other:: Practitioner - Non-Primary Care Provider (PCP)</v>
          </cell>
          <cell r="M1121" t="str">
            <v>No</v>
          </cell>
          <cell r="R1121" t="str">
            <v>MARX STEVEN</v>
          </cell>
          <cell r="W1121" t="str">
            <v>MARX STEVEN OWEN MD</v>
          </cell>
          <cell r="Y1121" t="str">
            <v>NEW YORK</v>
          </cell>
          <cell r="Z1121" t="str">
            <v>NY</v>
          </cell>
          <cell r="AA1121" t="str">
            <v>10029-6500</v>
          </cell>
          <cell r="AB1121" t="str">
            <v>PHYSICIAN</v>
          </cell>
          <cell r="AC1121" t="str">
            <v>M</v>
          </cell>
          <cell r="AD1121" t="str">
            <v>No</v>
          </cell>
          <cell r="AE1121" t="str">
            <v>MMIS</v>
          </cell>
          <cell r="AF1121" t="str">
            <v>nypwestcampus</v>
          </cell>
          <cell r="AG1121" t="str">
            <v>P</v>
          </cell>
        </row>
        <row r="1122">
          <cell r="A1122" t="str">
            <v>1245291319</v>
          </cell>
          <cell r="B1122" t="str">
            <v>01544729</v>
          </cell>
          <cell r="C1122" t="str">
            <v>DUTKOWSKY, JOSEPH P</v>
          </cell>
          <cell r="D1122" t="str">
            <v>E0145523</v>
          </cell>
          <cell r="E1122" t="str">
            <v>DUTKOWSKY JOSEPH P MD</v>
          </cell>
          <cell r="G1122" t="str">
            <v>Kathryn Spaziani</v>
          </cell>
          <cell r="H1122" t="str">
            <v>(212) 305-1190</v>
          </cell>
          <cell r="J1122" t="str">
            <v>kas9171@nyp.org</v>
          </cell>
          <cell r="L1122" t="str">
            <v>All Other:: Practitioner - Non-Primary Care Provider (PCP)</v>
          </cell>
          <cell r="M1122" t="str">
            <v>Yes</v>
          </cell>
          <cell r="R1122" t="str">
            <v>DUTKOWSKY JOSEPH DR.</v>
          </cell>
          <cell r="W1122" t="str">
            <v>DUTKOWSKY JOSEPH P MD</v>
          </cell>
          <cell r="X1122" t="str">
            <v>1 ATWELL RD</v>
          </cell>
          <cell r="Y1122" t="str">
            <v>COOPERSTOWN</v>
          </cell>
          <cell r="Z1122" t="str">
            <v>NY</v>
          </cell>
          <cell r="AA1122" t="str">
            <v>13326-1394</v>
          </cell>
          <cell r="AB1122" t="str">
            <v>PHYSICIAN</v>
          </cell>
          <cell r="AC1122" t="str">
            <v>M</v>
          </cell>
          <cell r="AD1122" t="str">
            <v>No</v>
          </cell>
          <cell r="AE1122" t="str">
            <v>MMIS</v>
          </cell>
          <cell r="AF1122" t="str">
            <v>nypwestacn</v>
          </cell>
          <cell r="AG1122" t="str">
            <v>P</v>
          </cell>
        </row>
        <row r="1123">
          <cell r="A1123" t="str">
            <v>1881707388</v>
          </cell>
          <cell r="B1123" t="str">
            <v>02791362</v>
          </cell>
          <cell r="C1123" t="str">
            <v>Green, Cori M.</v>
          </cell>
          <cell r="D1123" t="str">
            <v>E0021057</v>
          </cell>
          <cell r="E1123" t="str">
            <v>GREEN CORI</v>
          </cell>
          <cell r="G1123" t="str">
            <v>Kathryn Spaziani</v>
          </cell>
          <cell r="H1123" t="str">
            <v>(212) 305-1190</v>
          </cell>
          <cell r="J1123" t="str">
            <v>kas9171@nyp.org</v>
          </cell>
          <cell r="L1123" t="str">
            <v>All Other:: Practitioner - Primary Care Provider (PCP)</v>
          </cell>
          <cell r="M1123" t="str">
            <v>Yes</v>
          </cell>
          <cell r="R1123" t="str">
            <v>GREEN CORI</v>
          </cell>
          <cell r="W1123" t="str">
            <v>GREEN CORI M MD</v>
          </cell>
          <cell r="X1123" t="str">
            <v>111 E 210TH ST</v>
          </cell>
          <cell r="Y1123" t="str">
            <v>BRONX</v>
          </cell>
          <cell r="Z1123" t="str">
            <v>NY</v>
          </cell>
          <cell r="AA1123" t="str">
            <v>10467-2401</v>
          </cell>
          <cell r="AB1123" t="str">
            <v>PHYSICIAN</v>
          </cell>
          <cell r="AC1123" t="str">
            <v>M</v>
          </cell>
          <cell r="AD1123" t="str">
            <v>No</v>
          </cell>
          <cell r="AE1123" t="str">
            <v>MMIS</v>
          </cell>
          <cell r="AF1123" t="str">
            <v>nypeastacn</v>
          </cell>
          <cell r="AG1123" t="str">
            <v>P</v>
          </cell>
        </row>
        <row r="1124">
          <cell r="A1124" t="str">
            <v>1356428437</v>
          </cell>
          <cell r="B1124" t="str">
            <v>01634913</v>
          </cell>
          <cell r="C1124" t="str">
            <v>DI TULLIO, MARCO R</v>
          </cell>
          <cell r="D1124" t="str">
            <v>E0136522</v>
          </cell>
          <cell r="E1124" t="str">
            <v>DITULLIO MARCO R MD</v>
          </cell>
          <cell r="G1124" t="str">
            <v>Kathryn Spaziani</v>
          </cell>
          <cell r="H1124" t="str">
            <v>(212) 305-1190</v>
          </cell>
          <cell r="J1124" t="str">
            <v>kas9171@nyp.org</v>
          </cell>
          <cell r="L1124" t="str">
            <v>All Other:: Practitioner - Non-Primary Care Provider (PCP)</v>
          </cell>
          <cell r="M1124" t="str">
            <v>No</v>
          </cell>
          <cell r="R1124" t="str">
            <v>DI TULLIO MARCO DR.</v>
          </cell>
          <cell r="W1124" t="str">
            <v>DITULLIO MARCO R MD</v>
          </cell>
          <cell r="X1124" t="str">
            <v>PRESBYTERIAN HSP</v>
          </cell>
          <cell r="Y1124" t="str">
            <v>NEW YORK</v>
          </cell>
          <cell r="Z1124" t="str">
            <v>NY</v>
          </cell>
          <cell r="AA1124" t="str">
            <v>10032-3720</v>
          </cell>
          <cell r="AB1124" t="str">
            <v>PHYSICIAN</v>
          </cell>
          <cell r="AC1124" t="str">
            <v>M</v>
          </cell>
          <cell r="AD1124" t="str">
            <v>No</v>
          </cell>
          <cell r="AE1124" t="str">
            <v>MMIS</v>
          </cell>
          <cell r="AF1124" t="str">
            <v>nypwestacn</v>
          </cell>
          <cell r="AG1124" t="str">
            <v>P</v>
          </cell>
        </row>
        <row r="1125">
          <cell r="A1125" t="str">
            <v>1598852675</v>
          </cell>
          <cell r="B1125" t="str">
            <v>02131813</v>
          </cell>
          <cell r="C1125" t="str">
            <v>WONG, FRANKLIN J</v>
          </cell>
          <cell r="D1125" t="str">
            <v>E0086889</v>
          </cell>
          <cell r="E1125" t="str">
            <v>WONG FRANKLIN JOSEPH MD</v>
          </cell>
          <cell r="G1125" t="str">
            <v>Kathryn Spaziani</v>
          </cell>
          <cell r="H1125" t="str">
            <v>(212) 305-1190</v>
          </cell>
          <cell r="J1125" t="str">
            <v>kas9171@nyp.org</v>
          </cell>
          <cell r="L1125" t="str">
            <v>All Other:: Practitioner - Non-Primary Care Provider (PCP)</v>
          </cell>
          <cell r="M1125" t="str">
            <v>No</v>
          </cell>
          <cell r="R1125" t="str">
            <v>WONG FRANKLIN</v>
          </cell>
          <cell r="W1125" t="str">
            <v>WONG FRANKLIN JOSEPH MD</v>
          </cell>
          <cell r="X1125" t="str">
            <v>520 E 70TH ST</v>
          </cell>
          <cell r="Y1125" t="str">
            <v>NEW YORK</v>
          </cell>
          <cell r="Z1125" t="str">
            <v>NY</v>
          </cell>
          <cell r="AA1125" t="str">
            <v>10021-9800</v>
          </cell>
          <cell r="AB1125" t="str">
            <v>PHYSICIAN</v>
          </cell>
          <cell r="AC1125" t="str">
            <v>M</v>
          </cell>
          <cell r="AD1125" t="str">
            <v>No</v>
          </cell>
          <cell r="AE1125" t="str">
            <v>MMIS</v>
          </cell>
          <cell r="AF1125" t="str">
            <v>nypeastcampus</v>
          </cell>
          <cell r="AG1125" t="str">
            <v>P</v>
          </cell>
        </row>
        <row r="1126">
          <cell r="A1126" t="str">
            <v>1073524369</v>
          </cell>
          <cell r="B1126" t="str">
            <v>02441918</v>
          </cell>
          <cell r="C1126" t="str">
            <v>TRUSTEES OF COLUMBIA UNIVERSITY IN THE CITY OF NEW YORK</v>
          </cell>
          <cell r="D1126" t="str">
            <v>E0055942</v>
          </cell>
          <cell r="E1126" t="str">
            <v>TRUSTEES OF COLUMBIA UNIVERSITY IN</v>
          </cell>
          <cell r="L1126" t="str">
            <v>All Other</v>
          </cell>
          <cell r="M1126" t="str">
            <v>No</v>
          </cell>
          <cell r="R1126" t="str">
            <v>TRUSTEES OF COLUMBIA UNIVERSITY IN THE CITY OF NEW YORK</v>
          </cell>
          <cell r="W1126" t="str">
            <v>TRUSTEES OF COLUMBIA UNIVERSITY IN</v>
          </cell>
          <cell r="X1126" t="str">
            <v>622 W 168TH ST PH 1-137</v>
          </cell>
          <cell r="Y1126" t="str">
            <v>NEW YORK</v>
          </cell>
          <cell r="Z1126" t="str">
            <v>NY</v>
          </cell>
          <cell r="AA1126" t="str">
            <v>10032-3720</v>
          </cell>
          <cell r="AB1126" t="str">
            <v>PHYSICIANS GROUP</v>
          </cell>
          <cell r="AC1126" t="str">
            <v>M</v>
          </cell>
          <cell r="AD1126" t="str">
            <v>No</v>
          </cell>
          <cell r="AE1126" t="str">
            <v>MMIS</v>
          </cell>
          <cell r="AG1126" t="str">
            <v>P</v>
          </cell>
        </row>
        <row r="1127">
          <cell r="A1127" t="str">
            <v>1336365196</v>
          </cell>
          <cell r="B1127" t="str">
            <v>03022286</v>
          </cell>
          <cell r="C1127" t="str">
            <v>MAHLER, RICHARD J</v>
          </cell>
          <cell r="D1127" t="str">
            <v>E0284191</v>
          </cell>
          <cell r="E1127" t="str">
            <v>MAHLER RICHARD</v>
          </cell>
          <cell r="G1127" t="str">
            <v>Kathryn Spaziani</v>
          </cell>
          <cell r="H1127" t="str">
            <v>(212) 305-1190</v>
          </cell>
          <cell r="J1127" t="str">
            <v>kas9171@nyp.org</v>
          </cell>
          <cell r="L1127" t="str">
            <v>Practitioner - Non-Primary Care Provider (PCP)</v>
          </cell>
          <cell r="M1127" t="str">
            <v>No</v>
          </cell>
          <cell r="R1127" t="str">
            <v>MAHLER RICHARD DR.</v>
          </cell>
          <cell r="W1127" t="str">
            <v>MAHLER RICHARD</v>
          </cell>
          <cell r="X1127" t="str">
            <v>525 E 68TH ST</v>
          </cell>
          <cell r="Y1127" t="str">
            <v>NEW YORK</v>
          </cell>
          <cell r="Z1127" t="str">
            <v>NY</v>
          </cell>
          <cell r="AA1127" t="str">
            <v>10065-4870</v>
          </cell>
          <cell r="AB1127" t="str">
            <v>PHYSICIAN</v>
          </cell>
          <cell r="AC1127" t="str">
            <v>M</v>
          </cell>
          <cell r="AD1127" t="str">
            <v>No</v>
          </cell>
          <cell r="AE1127" t="str">
            <v>MMIS</v>
          </cell>
          <cell r="AF1127" t="str">
            <v>nypeastcampus</v>
          </cell>
          <cell r="AG1127" t="str">
            <v>P</v>
          </cell>
        </row>
        <row r="1128">
          <cell r="A1128" t="str">
            <v>1033145255</v>
          </cell>
          <cell r="B1128" t="str">
            <v>02953666</v>
          </cell>
          <cell r="C1128" t="str">
            <v xml:space="preserve">MAYDAN, ELENA </v>
          </cell>
          <cell r="D1128" t="str">
            <v>E0003579</v>
          </cell>
          <cell r="E1128" t="str">
            <v>MAYDAN ELENA</v>
          </cell>
          <cell r="G1128" t="str">
            <v>Kathryn Spaziani</v>
          </cell>
          <cell r="H1128" t="str">
            <v>(212) 305-1190</v>
          </cell>
          <cell r="J1128" t="str">
            <v>kas9171@nyp.org</v>
          </cell>
          <cell r="L1128" t="str">
            <v>Practitioner - Non-Primary Care Provider (PCP)</v>
          </cell>
          <cell r="M1128" t="str">
            <v>No</v>
          </cell>
          <cell r="R1128" t="str">
            <v>MAYDAN ELENA</v>
          </cell>
          <cell r="W1128" t="str">
            <v>MAYDAN ELENA</v>
          </cell>
          <cell r="X1128" t="str">
            <v>29 VILLAGE SQ</v>
          </cell>
          <cell r="Y1128" t="str">
            <v>GLEN COVE</v>
          </cell>
          <cell r="Z1128" t="str">
            <v>NY</v>
          </cell>
          <cell r="AA1128" t="str">
            <v>11542-2515</v>
          </cell>
          <cell r="AB1128" t="str">
            <v>PHYSICIAN</v>
          </cell>
          <cell r="AC1128" t="str">
            <v>M</v>
          </cell>
          <cell r="AD1128" t="str">
            <v>No</v>
          </cell>
          <cell r="AE1128" t="str">
            <v>MMIS</v>
          </cell>
          <cell r="AF1128" t="str">
            <v>nypwestcampus</v>
          </cell>
          <cell r="AG1128" t="str">
            <v>P</v>
          </cell>
        </row>
        <row r="1129">
          <cell r="A1129" t="str">
            <v>1306853205</v>
          </cell>
          <cell r="B1129" t="str">
            <v>00606491</v>
          </cell>
          <cell r="C1129" t="str">
            <v xml:space="preserve">GREEN, PETER </v>
          </cell>
          <cell r="D1129" t="str">
            <v>E0239032</v>
          </cell>
          <cell r="E1129" t="str">
            <v>GREEN PETER H R            MD</v>
          </cell>
          <cell r="G1129" t="str">
            <v>Kathryn Spaziani</v>
          </cell>
          <cell r="H1129" t="str">
            <v>(212) 305-1190</v>
          </cell>
          <cell r="J1129" t="str">
            <v>kas9171@nyp.org</v>
          </cell>
          <cell r="L1129" t="str">
            <v>Practitioner - Primary Care Provider (PCP)</v>
          </cell>
          <cell r="M1129" t="str">
            <v>No</v>
          </cell>
          <cell r="R1129" t="str">
            <v>GREEN PETER DR.</v>
          </cell>
          <cell r="W1129" t="str">
            <v>GREEN PETER H R            MD</v>
          </cell>
          <cell r="X1129" t="str">
            <v>630 W 168TH ST # 4</v>
          </cell>
          <cell r="Y1129" t="str">
            <v>NEW YORK</v>
          </cell>
          <cell r="Z1129" t="str">
            <v>NY</v>
          </cell>
          <cell r="AA1129" t="str">
            <v>10032-3725</v>
          </cell>
          <cell r="AB1129" t="str">
            <v>PHYSICIAN</v>
          </cell>
          <cell r="AC1129" t="str">
            <v>M</v>
          </cell>
          <cell r="AD1129" t="str">
            <v>No</v>
          </cell>
          <cell r="AE1129" t="str">
            <v>MMIS</v>
          </cell>
          <cell r="AF1129" t="str">
            <v>nypwestacn</v>
          </cell>
          <cell r="AG1129" t="str">
            <v>P</v>
          </cell>
        </row>
        <row r="1130">
          <cell r="A1130" t="str">
            <v>1053671826</v>
          </cell>
          <cell r="B1130" t="str">
            <v>03484571</v>
          </cell>
          <cell r="C1130" t="str">
            <v>SHUKLA, PARUL</v>
          </cell>
          <cell r="D1130" t="str">
            <v>E0337874</v>
          </cell>
          <cell r="E1130" t="str">
            <v>SHUKLA PARUL</v>
          </cell>
          <cell r="G1130" t="str">
            <v>Kathryn Spaziani</v>
          </cell>
          <cell r="H1130" t="str">
            <v>(212) 305-1331</v>
          </cell>
          <cell r="J1130" t="str">
            <v>kas9171@nyp.org</v>
          </cell>
          <cell r="L1130" t="str">
            <v>Practitioner - Non-Primary Care Provider (PCP)</v>
          </cell>
          <cell r="M1130" t="str">
            <v>No</v>
          </cell>
          <cell r="R1130" t="str">
            <v>SHUKLA PARUL DR.</v>
          </cell>
          <cell r="W1130" t="str">
            <v>SHUKLA PARUL JAIKRISHNA</v>
          </cell>
          <cell r="X1130" t="str">
            <v>525 E 68TH ST</v>
          </cell>
          <cell r="Y1130" t="str">
            <v>NEW YORK</v>
          </cell>
          <cell r="Z1130" t="str">
            <v>NY</v>
          </cell>
          <cell r="AA1130" t="str">
            <v>10065-4870</v>
          </cell>
          <cell r="AB1130" t="str">
            <v>PHYSICIAN</v>
          </cell>
          <cell r="AC1130" t="str">
            <v>M</v>
          </cell>
          <cell r="AD1130" t="str">
            <v>No</v>
          </cell>
          <cell r="AE1130" t="str">
            <v>MMIS</v>
          </cell>
          <cell r="AF1130" t="str">
            <v>nypeastcampus</v>
          </cell>
          <cell r="AG1130" t="str">
            <v>P</v>
          </cell>
        </row>
        <row r="1131">
          <cell r="A1131" t="str">
            <v>1154421485</v>
          </cell>
          <cell r="B1131" t="str">
            <v>02329555</v>
          </cell>
          <cell r="C1131" t="str">
            <v>MACKAY-WIGGIN, JULIAN M</v>
          </cell>
          <cell r="D1131" t="str">
            <v>E0067148</v>
          </cell>
          <cell r="E1131" t="str">
            <v>MACKAY-WIGGAN JULIAN MD</v>
          </cell>
          <cell r="G1131" t="str">
            <v>Kathryn Spaziani</v>
          </cell>
          <cell r="H1131" t="str">
            <v>(212) 305-1190</v>
          </cell>
          <cell r="J1131" t="str">
            <v>kas9171@nyp.org</v>
          </cell>
          <cell r="L1131" t="str">
            <v>Practitioner - Non-Primary Care Provider (PCP)</v>
          </cell>
          <cell r="M1131" t="str">
            <v>No</v>
          </cell>
          <cell r="R1131" t="str">
            <v>MACKAY-WIGGAN JULIAN DR.</v>
          </cell>
          <cell r="W1131" t="str">
            <v>MACKAY-WIGGAN JULIAN MARIA</v>
          </cell>
          <cell r="X1131" t="str">
            <v>161 FORT WASHINGTON AVE</v>
          </cell>
          <cell r="Y1131" t="str">
            <v>NEW YORK</v>
          </cell>
          <cell r="Z1131" t="str">
            <v>NY</v>
          </cell>
          <cell r="AA1131" t="str">
            <v>10032-3729</v>
          </cell>
          <cell r="AB1131" t="str">
            <v>PHYSICIAN</v>
          </cell>
          <cell r="AC1131" t="str">
            <v>M</v>
          </cell>
          <cell r="AD1131" t="str">
            <v>No</v>
          </cell>
          <cell r="AE1131" t="str">
            <v>MMIS</v>
          </cell>
          <cell r="AF1131" t="str">
            <v>nypwestcampus</v>
          </cell>
          <cell r="AG1131" t="str">
            <v>P</v>
          </cell>
        </row>
        <row r="1132">
          <cell r="A1132" t="str">
            <v>1528259298</v>
          </cell>
          <cell r="B1132" t="str">
            <v>03226804</v>
          </cell>
          <cell r="C1132" t="str">
            <v>Lehrer Moshe</v>
          </cell>
          <cell r="D1132" t="str">
            <v>E0307458</v>
          </cell>
          <cell r="E1132" t="str">
            <v>MOSHE D LEHRER</v>
          </cell>
          <cell r="L1132" t="str">
            <v>All Other:: Practitioner - Non-Primary Care Provider (PCP)</v>
          </cell>
          <cell r="M1132" t="str">
            <v>No</v>
          </cell>
          <cell r="R1132" t="str">
            <v>LEHRER MOSHE DR.</v>
          </cell>
          <cell r="W1132" t="str">
            <v>LEHRER MOSHE DOVID</v>
          </cell>
          <cell r="X1132" t="str">
            <v>525 E 68TH ST</v>
          </cell>
          <cell r="Y1132" t="str">
            <v>NEW YORK</v>
          </cell>
          <cell r="Z1132" t="str">
            <v>NY</v>
          </cell>
          <cell r="AA1132" t="str">
            <v>10065-4870</v>
          </cell>
          <cell r="AB1132" t="str">
            <v>PHYSICIAN</v>
          </cell>
          <cell r="AC1132" t="str">
            <v>M</v>
          </cell>
          <cell r="AD1132" t="str">
            <v>No</v>
          </cell>
          <cell r="AE1132" t="str">
            <v>MMIS</v>
          </cell>
          <cell r="AF1132" t="str">
            <v>nypeastcampus</v>
          </cell>
          <cell r="AG1132" t="str">
            <v>P</v>
          </cell>
        </row>
        <row r="1133">
          <cell r="A1133" t="str">
            <v>1255366647</v>
          </cell>
          <cell r="B1133" t="str">
            <v>01369951</v>
          </cell>
          <cell r="C1133" t="str">
            <v>BOWE, BARBARA A</v>
          </cell>
          <cell r="D1133" t="str">
            <v>E0162957</v>
          </cell>
          <cell r="E1133" t="str">
            <v>BOWE BARBARA A MD</v>
          </cell>
          <cell r="G1133" t="str">
            <v>Kathryn Spaziani</v>
          </cell>
          <cell r="H1133" t="str">
            <v>(212) 305-1190</v>
          </cell>
          <cell r="J1133" t="str">
            <v>kas9171@nyp.org</v>
          </cell>
          <cell r="L1133" t="str">
            <v>Practitioner - Non-Primary Care Provider (PCP)</v>
          </cell>
          <cell r="M1133" t="str">
            <v>No</v>
          </cell>
          <cell r="R1133" t="str">
            <v>BOWE BARBARA</v>
          </cell>
          <cell r="W1133" t="str">
            <v>BOWE BARBARA A MD</v>
          </cell>
          <cell r="X1133" t="str">
            <v>VC 205</v>
          </cell>
          <cell r="Y1133" t="str">
            <v>NEW YORK</v>
          </cell>
          <cell r="Z1133" t="str">
            <v>NY</v>
          </cell>
          <cell r="AA1133" t="str">
            <v>10032-3720</v>
          </cell>
          <cell r="AB1133" t="str">
            <v>PHYSICIAN</v>
          </cell>
          <cell r="AC1133" t="str">
            <v>M</v>
          </cell>
          <cell r="AD1133" t="str">
            <v>No</v>
          </cell>
          <cell r="AE1133" t="str">
            <v>MMIS</v>
          </cell>
          <cell r="AF1133" t="str">
            <v>nypwestacn</v>
          </cell>
          <cell r="AG1133" t="str">
            <v>P</v>
          </cell>
        </row>
        <row r="1134">
          <cell r="A1134" t="str">
            <v>1699738369</v>
          </cell>
          <cell r="B1134" t="str">
            <v>01920492</v>
          </cell>
          <cell r="C1134" t="str">
            <v>Rivera, Janet</v>
          </cell>
          <cell r="D1134" t="str">
            <v>E0108000</v>
          </cell>
          <cell r="E1134" t="str">
            <v>RIVERA JANET MARIE</v>
          </cell>
          <cell r="G1134" t="str">
            <v>Kathryn Spaziani</v>
          </cell>
          <cell r="H1134" t="str">
            <v>(212) 305-1190</v>
          </cell>
          <cell r="J1134" t="str">
            <v>kas9171@nyp.org</v>
          </cell>
          <cell r="L1134" t="str">
            <v>Practitioner - Primary Care Provider (PCP)</v>
          </cell>
          <cell r="M1134" t="str">
            <v>No</v>
          </cell>
          <cell r="R1134" t="str">
            <v>RIVERA JANET</v>
          </cell>
          <cell r="W1134" t="str">
            <v>RIVERA JANET MARIE</v>
          </cell>
          <cell r="X1134" t="str">
            <v>170 WILLIAM ST FL 3</v>
          </cell>
          <cell r="Y1134" t="str">
            <v>NEW YORK</v>
          </cell>
          <cell r="Z1134" t="str">
            <v>NY</v>
          </cell>
          <cell r="AA1134" t="str">
            <v>10038-2612</v>
          </cell>
          <cell r="AB1134" t="str">
            <v>PHYSICIAN</v>
          </cell>
          <cell r="AC1134" t="str">
            <v>M</v>
          </cell>
          <cell r="AD1134" t="str">
            <v>No</v>
          </cell>
          <cell r="AE1134" t="str">
            <v>MMIS</v>
          </cell>
          <cell r="AF1134" t="str">
            <v>nypeastcampus</v>
          </cell>
          <cell r="AG1134" t="str">
            <v>P</v>
          </cell>
        </row>
        <row r="1135">
          <cell r="A1135" t="str">
            <v>1013989599</v>
          </cell>
          <cell r="B1135" t="str">
            <v>02744934</v>
          </cell>
          <cell r="C1135" t="str">
            <v xml:space="preserve">KOSS, TAMARA </v>
          </cell>
          <cell r="D1135" t="str">
            <v>E0025695</v>
          </cell>
          <cell r="E1135" t="str">
            <v>KOSS TAMARA MD</v>
          </cell>
          <cell r="G1135" t="str">
            <v>Kathryn Spaziani</v>
          </cell>
          <cell r="H1135" t="str">
            <v>(212) 305-1190</v>
          </cell>
          <cell r="J1135" t="str">
            <v>kas9171@nyp.org</v>
          </cell>
          <cell r="L1135" t="str">
            <v>Practitioner - Non-Primary Care Provider (PCP)</v>
          </cell>
          <cell r="M1135" t="str">
            <v>No</v>
          </cell>
          <cell r="R1135" t="str">
            <v>KOSS TAMARA MS.</v>
          </cell>
          <cell r="W1135" t="str">
            <v>KOSS TAMARA MD</v>
          </cell>
          <cell r="X1135" t="str">
            <v>260 E MAIN ST</v>
          </cell>
          <cell r="Y1135" t="str">
            <v>SMITHTOWN</v>
          </cell>
          <cell r="Z1135" t="str">
            <v>NY</v>
          </cell>
          <cell r="AA1135" t="str">
            <v>11787-2925</v>
          </cell>
          <cell r="AB1135" t="str">
            <v>PHYSICIAN</v>
          </cell>
          <cell r="AC1135" t="str">
            <v>M</v>
          </cell>
          <cell r="AD1135" t="str">
            <v>No</v>
          </cell>
          <cell r="AE1135" t="str">
            <v>MMIS</v>
          </cell>
          <cell r="AF1135" t="str">
            <v>nypwestcampus</v>
          </cell>
          <cell r="AG1135" t="str">
            <v>P</v>
          </cell>
        </row>
        <row r="1136">
          <cell r="A1136" t="str">
            <v>1194954990</v>
          </cell>
          <cell r="B1136" t="str">
            <v>03128127</v>
          </cell>
          <cell r="C1136" t="str">
            <v>CELLUM, ILANA P</v>
          </cell>
          <cell r="D1136" t="str">
            <v>E0296324</v>
          </cell>
          <cell r="E1136" t="str">
            <v>CELLUM ILANA</v>
          </cell>
          <cell r="G1136" t="str">
            <v>Kathryn Spaziani</v>
          </cell>
          <cell r="H1136" t="str">
            <v>(212) 305-1190</v>
          </cell>
          <cell r="J1136" t="str">
            <v>kas9171@nyp.org</v>
          </cell>
          <cell r="L1136" t="str">
            <v>Practitioner - Non-Primary Care Provider (PCP)</v>
          </cell>
          <cell r="M1136" t="str">
            <v>No</v>
          </cell>
          <cell r="R1136" t="str">
            <v>CELLUM ILANA</v>
          </cell>
          <cell r="W1136" t="str">
            <v>CELLUM ILANA PELZIG</v>
          </cell>
          <cell r="X1136" t="str">
            <v>622 W 168TH ST</v>
          </cell>
          <cell r="Y1136" t="str">
            <v>NEW YORK</v>
          </cell>
          <cell r="Z1136" t="str">
            <v>NY</v>
          </cell>
          <cell r="AA1136" t="str">
            <v>10032-3720</v>
          </cell>
          <cell r="AB1136" t="str">
            <v>MEDICAL APPLIANCE DEALER</v>
          </cell>
          <cell r="AC1136" t="str">
            <v>M</v>
          </cell>
          <cell r="AD1136" t="str">
            <v>No</v>
          </cell>
          <cell r="AE1136" t="str">
            <v>MMIS</v>
          </cell>
          <cell r="AF1136" t="str">
            <v>nypwestcampus</v>
          </cell>
          <cell r="AG1136" t="str">
            <v>P</v>
          </cell>
        </row>
        <row r="1137">
          <cell r="A1137" t="str">
            <v>1194978254</v>
          </cell>
          <cell r="B1137" t="str">
            <v>03569019</v>
          </cell>
          <cell r="C1137" t="str">
            <v>MINTZ, EMILY M</v>
          </cell>
          <cell r="D1137" t="str">
            <v>E0346958</v>
          </cell>
          <cell r="E1137" t="str">
            <v>MINTZ EMILY</v>
          </cell>
          <cell r="G1137" t="str">
            <v>Kathryn Spaziani</v>
          </cell>
          <cell r="H1137" t="str">
            <v>(212) 305-1190</v>
          </cell>
          <cell r="J1137" t="str">
            <v>kas9171@nyp.org</v>
          </cell>
          <cell r="L1137" t="str">
            <v>Practitioner - Non-Primary Care Provider (PCP)</v>
          </cell>
          <cell r="M1137" t="str">
            <v>No</v>
          </cell>
          <cell r="R1137" t="str">
            <v>MINTZ EMILY</v>
          </cell>
          <cell r="W1137" t="str">
            <v>MINTZ EMILY</v>
          </cell>
          <cell r="X1137" t="str">
            <v>161 FORT WASHINGTON AVE</v>
          </cell>
          <cell r="Y1137" t="str">
            <v>NEW YORK</v>
          </cell>
          <cell r="Z1137" t="str">
            <v>NY</v>
          </cell>
          <cell r="AA1137" t="str">
            <v>10032-3729</v>
          </cell>
          <cell r="AB1137" t="str">
            <v>PHYSICIAN</v>
          </cell>
          <cell r="AC1137" t="str">
            <v>M</v>
          </cell>
          <cell r="AD1137" t="str">
            <v>No</v>
          </cell>
          <cell r="AE1137" t="str">
            <v>MMIS</v>
          </cell>
          <cell r="AF1137" t="str">
            <v>nypwestcampus</v>
          </cell>
          <cell r="AG1137" t="str">
            <v>P</v>
          </cell>
        </row>
        <row r="1138">
          <cell r="A1138" t="str">
            <v>1790702884</v>
          </cell>
          <cell r="C1138" t="str">
            <v>TRUSTEES OF COLUMBIA IN THE CITY OF NEW YORK</v>
          </cell>
          <cell r="K1138" t="str">
            <v>All Other</v>
          </cell>
          <cell r="L1138" t="str">
            <v>Uncategorized</v>
          </cell>
          <cell r="M1138" t="str">
            <v>No</v>
          </cell>
          <cell r="R1138" t="str">
            <v>TRUSTEES OF COLUMBIA IN THE CITY OF NEW YORK</v>
          </cell>
          <cell r="S1138" t="str">
            <v>161 FORT WASHINGTON AVE, 12TH FLOOR</v>
          </cell>
          <cell r="T1138" t="str">
            <v>NEW YORK</v>
          </cell>
          <cell r="U1138" t="str">
            <v>NY</v>
          </cell>
          <cell r="V1138" t="str">
            <v>100323729</v>
          </cell>
          <cell r="AC1138" t="str">
            <v>M</v>
          </cell>
          <cell r="AD1138" t="str">
            <v>No</v>
          </cell>
          <cell r="AE1138" t="str">
            <v>NPI only</v>
          </cell>
          <cell r="AG1138" t="str">
            <v>P</v>
          </cell>
        </row>
        <row r="1139">
          <cell r="A1139" t="str">
            <v>1467682856</v>
          </cell>
          <cell r="B1139" t="str">
            <v>03589113</v>
          </cell>
          <cell r="C1139" t="str">
            <v>Kurtz, Jennifer Kate</v>
          </cell>
          <cell r="D1139" t="str">
            <v>E0349063</v>
          </cell>
          <cell r="E1139" t="str">
            <v>KURTZ JENNIFER KATE</v>
          </cell>
          <cell r="G1139" t="str">
            <v>Kathryn Spaziani</v>
          </cell>
          <cell r="H1139" t="str">
            <v>(212) 305-1190</v>
          </cell>
          <cell r="J1139" t="str">
            <v>kas9171@nyp.org</v>
          </cell>
          <cell r="L1139" t="str">
            <v>Practitioner - Non-Primary Care Provider (PCP)</v>
          </cell>
          <cell r="M1139" t="str">
            <v>No</v>
          </cell>
          <cell r="R1139" t="str">
            <v>KURTZ JENNIFER DR.</v>
          </cell>
          <cell r="W1139" t="str">
            <v>KURTZ JENNIFER KATE</v>
          </cell>
          <cell r="X1139" t="str">
            <v>525 E 68TH ST</v>
          </cell>
          <cell r="Y1139" t="str">
            <v>NEW YORK</v>
          </cell>
          <cell r="Z1139" t="str">
            <v>NY</v>
          </cell>
          <cell r="AA1139" t="str">
            <v>10065-4870</v>
          </cell>
          <cell r="AB1139" t="str">
            <v>PHYSICIAN</v>
          </cell>
          <cell r="AC1139" t="str">
            <v>M</v>
          </cell>
          <cell r="AD1139" t="str">
            <v>No</v>
          </cell>
          <cell r="AE1139" t="str">
            <v>MMIS</v>
          </cell>
          <cell r="AF1139" t="str">
            <v>nypeastcampus</v>
          </cell>
          <cell r="AG1139" t="str">
            <v>P</v>
          </cell>
        </row>
        <row r="1140">
          <cell r="A1140" t="str">
            <v>1467683532</v>
          </cell>
          <cell r="B1140" t="str">
            <v>03203674</v>
          </cell>
          <cell r="C1140" t="str">
            <v xml:space="preserve">PUNALES-MOREJON, DIANA </v>
          </cell>
          <cell r="D1140" t="str">
            <v>E0304853</v>
          </cell>
          <cell r="E1140" t="str">
            <v>PUNALES-MOREJON DIANA</v>
          </cell>
          <cell r="G1140" t="str">
            <v>Kathryn Spaziani</v>
          </cell>
          <cell r="H1140" t="str">
            <v>(212) 305-1190</v>
          </cell>
          <cell r="J1140" t="str">
            <v>kas9171@nyp.org</v>
          </cell>
          <cell r="L1140" t="str">
            <v>Practitioner - Non-Primary Care Provider (PCP)</v>
          </cell>
          <cell r="M1140" t="str">
            <v>No</v>
          </cell>
          <cell r="R1140" t="str">
            <v>PUNALES MOREJON DIANA DR.</v>
          </cell>
          <cell r="W1140" t="str">
            <v>PUNALES MOREJON DIANA</v>
          </cell>
          <cell r="X1140" t="str">
            <v>635 W 165TH ST FL 6</v>
          </cell>
          <cell r="Y1140" t="str">
            <v>NEW YORK</v>
          </cell>
          <cell r="Z1140" t="str">
            <v>NY</v>
          </cell>
          <cell r="AA1140" t="str">
            <v>10032-3724</v>
          </cell>
          <cell r="AB1140" t="str">
            <v>CLINICAL PSYCHOLOGIST</v>
          </cell>
          <cell r="AC1140" t="str">
            <v>M</v>
          </cell>
          <cell r="AD1140" t="str">
            <v>No</v>
          </cell>
          <cell r="AE1140" t="str">
            <v>MMIS</v>
          </cell>
          <cell r="AF1140" t="str">
            <v>nypwestcampus</v>
          </cell>
          <cell r="AG1140" t="str">
            <v>P</v>
          </cell>
        </row>
        <row r="1141">
          <cell r="A1141" t="str">
            <v>1417961707</v>
          </cell>
          <cell r="B1141" t="str">
            <v>03250479</v>
          </cell>
          <cell r="C1141" t="str">
            <v>SANO, ELLEN D</v>
          </cell>
          <cell r="D1141" t="str">
            <v>E0310124</v>
          </cell>
          <cell r="E1141" t="str">
            <v>SANO ELLEN DOYLE</v>
          </cell>
          <cell r="G1141" t="str">
            <v>Kathryn Spaziani</v>
          </cell>
          <cell r="H1141" t="str">
            <v>(212) 305-1190</v>
          </cell>
          <cell r="J1141" t="str">
            <v>kas9171@nyp.org</v>
          </cell>
          <cell r="L1141" t="str">
            <v>All Other:: Practitioner - Non-Primary Care Provider (PCP)</v>
          </cell>
          <cell r="M1141" t="str">
            <v>No</v>
          </cell>
          <cell r="R1141" t="str">
            <v>SANO ELLEN DR.</v>
          </cell>
          <cell r="W1141" t="str">
            <v>SANO ELLEN DOYLE</v>
          </cell>
          <cell r="X1141" t="str">
            <v>234 E 149TH ST</v>
          </cell>
          <cell r="Y1141" t="str">
            <v>BRONX</v>
          </cell>
          <cell r="Z1141" t="str">
            <v>NY</v>
          </cell>
          <cell r="AA1141" t="str">
            <v>10451-5504</v>
          </cell>
          <cell r="AB1141" t="str">
            <v>PHYSICIAN</v>
          </cell>
          <cell r="AC1141" t="str">
            <v>M</v>
          </cell>
          <cell r="AD1141" t="str">
            <v>No</v>
          </cell>
          <cell r="AE1141" t="str">
            <v>MMIS</v>
          </cell>
          <cell r="AF1141" t="str">
            <v>nypwestcampus</v>
          </cell>
          <cell r="AG1141" t="str">
            <v>P</v>
          </cell>
        </row>
        <row r="1142">
          <cell r="A1142" t="str">
            <v>1528194602</v>
          </cell>
          <cell r="B1142" t="str">
            <v>00785786</v>
          </cell>
          <cell r="C1142" t="str">
            <v>SLATER, EVE E</v>
          </cell>
          <cell r="D1142" t="str">
            <v>E0221149</v>
          </cell>
          <cell r="E1142" t="str">
            <v>SLATER EVE ELIZABETH       MD</v>
          </cell>
          <cell r="G1142" t="str">
            <v>Kathryn Spaziani</v>
          </cell>
          <cell r="H1142" t="str">
            <v>(212) 305-1190</v>
          </cell>
          <cell r="J1142" t="str">
            <v>kas9171@nyp.org</v>
          </cell>
          <cell r="L1142" t="str">
            <v>Practitioner - Primary Care Provider (PCP)</v>
          </cell>
          <cell r="M1142" t="str">
            <v>Yes</v>
          </cell>
          <cell r="R1142" t="str">
            <v>SLATER EVE DR.</v>
          </cell>
          <cell r="W1142" t="str">
            <v>SLATER EVE ELIZABETH       MD</v>
          </cell>
          <cell r="X1142" t="str">
            <v>622 W 168TH ST</v>
          </cell>
          <cell r="Y1142" t="str">
            <v>NEW YORK</v>
          </cell>
          <cell r="Z1142" t="str">
            <v>NY</v>
          </cell>
          <cell r="AA1142" t="str">
            <v>10032-3720</v>
          </cell>
          <cell r="AB1142" t="str">
            <v>PHYSICIAN</v>
          </cell>
          <cell r="AC1142" t="str">
            <v>M</v>
          </cell>
          <cell r="AD1142" t="str">
            <v>No</v>
          </cell>
          <cell r="AE1142" t="str">
            <v>MMIS</v>
          </cell>
          <cell r="AF1142" t="str">
            <v>nypwestcampus</v>
          </cell>
          <cell r="AG1142" t="str">
            <v>P</v>
          </cell>
        </row>
        <row r="1143">
          <cell r="A1143" t="str">
            <v>1801017108</v>
          </cell>
          <cell r="B1143" t="str">
            <v>03518527</v>
          </cell>
          <cell r="C1143" t="str">
            <v>SMYTH, DEBORAH A</v>
          </cell>
          <cell r="D1143" t="str">
            <v>E0341550</v>
          </cell>
          <cell r="E1143" t="str">
            <v>SMYTH DEBORAH ANNE</v>
          </cell>
          <cell r="G1143" t="str">
            <v>Kathryn Spaziani</v>
          </cell>
          <cell r="H1143" t="str">
            <v>(212) 305-1190</v>
          </cell>
          <cell r="J1143" t="str">
            <v>kas9171@nyp.org</v>
          </cell>
          <cell r="L1143" t="str">
            <v>Practitioner - Primary Care Provider (PCP)</v>
          </cell>
          <cell r="M1143" t="str">
            <v>No</v>
          </cell>
          <cell r="R1143" t="str">
            <v>SMYTH DEBORAH MS.</v>
          </cell>
          <cell r="W1143" t="str">
            <v>SMYTH DEBORAH ANNE</v>
          </cell>
          <cell r="X1143" t="str">
            <v>5141 BROADWAY 3 FIEL</v>
          </cell>
          <cell r="Y1143" t="str">
            <v>NEW YORK</v>
          </cell>
          <cell r="Z1143" t="str">
            <v>NY</v>
          </cell>
          <cell r="AA1143" t="str">
            <v>10034-0000</v>
          </cell>
          <cell r="AB1143" t="str">
            <v>PHYSICIAN</v>
          </cell>
          <cell r="AC1143" t="str">
            <v>M</v>
          </cell>
          <cell r="AD1143" t="str">
            <v>No</v>
          </cell>
          <cell r="AE1143" t="str">
            <v>MMIS</v>
          </cell>
          <cell r="AF1143" t="str">
            <v>nypwestcampus</v>
          </cell>
          <cell r="AG1143" t="str">
            <v>P</v>
          </cell>
        </row>
        <row r="1144">
          <cell r="A1144" t="str">
            <v>1801999164</v>
          </cell>
          <cell r="B1144" t="str">
            <v>01919593</v>
          </cell>
          <cell r="C1144" t="str">
            <v>SOFTNESS, ANITA M</v>
          </cell>
          <cell r="D1144" t="str">
            <v>E0108090</v>
          </cell>
          <cell r="E1144" t="str">
            <v>SOFTNESS ANITA M  MD</v>
          </cell>
          <cell r="G1144" t="str">
            <v>Kathryn Spaziani</v>
          </cell>
          <cell r="H1144" t="str">
            <v>(212) 305-1190</v>
          </cell>
          <cell r="J1144" t="str">
            <v>kas9171@nyp.org</v>
          </cell>
          <cell r="L1144" t="str">
            <v>All Other:: Practitioner - Primary Care Provider (PCP)</v>
          </cell>
          <cell r="M1144" t="str">
            <v>Yes</v>
          </cell>
          <cell r="R1144" t="str">
            <v>SOFTNESS ANITA DR.</v>
          </cell>
          <cell r="W1144" t="str">
            <v>SOFTNESS ANITA M  MD</v>
          </cell>
          <cell r="X1144" t="str">
            <v>NY PRESB HSP</v>
          </cell>
          <cell r="Y1144" t="str">
            <v>NEW YORK</v>
          </cell>
          <cell r="Z1144" t="str">
            <v>NY</v>
          </cell>
          <cell r="AA1144" t="str">
            <v>10032-3720</v>
          </cell>
          <cell r="AB1144" t="str">
            <v>PHYSICIAN</v>
          </cell>
          <cell r="AC1144" t="str">
            <v>M</v>
          </cell>
          <cell r="AD1144" t="str">
            <v>No</v>
          </cell>
          <cell r="AE1144" t="str">
            <v>MMIS</v>
          </cell>
          <cell r="AF1144" t="str">
            <v>nypwestcampus</v>
          </cell>
          <cell r="AG1144" t="str">
            <v>P</v>
          </cell>
        </row>
        <row r="1145">
          <cell r="A1145" t="str">
            <v>1326143710</v>
          </cell>
          <cell r="B1145" t="str">
            <v>02729160</v>
          </cell>
          <cell r="C1145" t="str">
            <v xml:space="preserve">DIMATTIA, MICHELLE </v>
          </cell>
          <cell r="D1145" t="str">
            <v>E0027270</v>
          </cell>
          <cell r="E1145" t="str">
            <v>DIMATTIA MICHELLE STEMMLE SLP</v>
          </cell>
          <cell r="G1145" t="str">
            <v>Kathryn Spaziani</v>
          </cell>
          <cell r="H1145" t="str">
            <v>(212) 305-1190</v>
          </cell>
          <cell r="J1145" t="str">
            <v>kas9171@nyp.org</v>
          </cell>
          <cell r="L1145" t="str">
            <v>Practitioner - Non-Primary Care Provider (PCP)</v>
          </cell>
          <cell r="M1145" t="str">
            <v>No</v>
          </cell>
          <cell r="R1145" t="str">
            <v>DI MATTIA MICHELLE</v>
          </cell>
          <cell r="W1145" t="str">
            <v>DIMATTIA MICHELLE STEMMLE SLP</v>
          </cell>
          <cell r="X1145" t="str">
            <v>622 W 168TH ST</v>
          </cell>
          <cell r="Y1145" t="str">
            <v>NEW YORK</v>
          </cell>
          <cell r="Z1145" t="str">
            <v>NY</v>
          </cell>
          <cell r="AA1145" t="str">
            <v>10032-3720</v>
          </cell>
          <cell r="AB1145" t="str">
            <v>THERAPIST</v>
          </cell>
          <cell r="AC1145" t="str">
            <v>M</v>
          </cell>
          <cell r="AD1145" t="str">
            <v>No</v>
          </cell>
          <cell r="AE1145" t="str">
            <v>MMIS</v>
          </cell>
          <cell r="AF1145" t="str">
            <v>nypother</v>
          </cell>
          <cell r="AG1145" t="str">
            <v>P</v>
          </cell>
        </row>
        <row r="1146">
          <cell r="A1146" t="str">
            <v>1205902210</v>
          </cell>
          <cell r="B1146" t="str">
            <v>00148196</v>
          </cell>
          <cell r="C1146" t="str">
            <v>Peter Sollaccio</v>
          </cell>
          <cell r="D1146" t="str">
            <v>E0278651</v>
          </cell>
          <cell r="E1146" t="str">
            <v>SOLLACCIO PETER A          MD</v>
          </cell>
          <cell r="G1146" t="str">
            <v>Eva Eng</v>
          </cell>
          <cell r="H1146" t="str">
            <v>(212) 752-4988</v>
          </cell>
          <cell r="J1146" t="str">
            <v>eeng@archcare.org</v>
          </cell>
          <cell r="L1146" t="str">
            <v>All Other:: Practitioner - Non-Primary Care Provider (PCP)</v>
          </cell>
          <cell r="M1146" t="str">
            <v>No</v>
          </cell>
          <cell r="R1146" t="str">
            <v>SOLLACCIO PETER DR.</v>
          </cell>
          <cell r="W1146" t="str">
            <v>SOLLACCIO PETER A</v>
          </cell>
          <cell r="X1146" t="str">
            <v>352 7TH AVE RM 805</v>
          </cell>
          <cell r="Y1146" t="str">
            <v>NEW YORK</v>
          </cell>
          <cell r="Z1146" t="str">
            <v>NY</v>
          </cell>
          <cell r="AA1146" t="str">
            <v>10001-5189</v>
          </cell>
          <cell r="AB1146" t="str">
            <v>PHYSICIAN</v>
          </cell>
          <cell r="AC1146" t="str">
            <v>M</v>
          </cell>
          <cell r="AD1146" t="str">
            <v>No</v>
          </cell>
          <cell r="AE1146" t="str">
            <v>MMIS</v>
          </cell>
          <cell r="AG1146" t="str">
            <v>P</v>
          </cell>
        </row>
        <row r="1147">
          <cell r="A1147" t="str">
            <v>1003863168</v>
          </cell>
          <cell r="C1147" t="str">
            <v>COLUMBIA PRESBYTERIAN MEDICAL CENTER</v>
          </cell>
          <cell r="K1147" t="str">
            <v>All Other</v>
          </cell>
          <cell r="L1147" t="str">
            <v>Uncategorized</v>
          </cell>
          <cell r="M1147" t="str">
            <v>No</v>
          </cell>
          <cell r="R1147" t="str">
            <v>COLUMBIA PRESBYTERIAN MEDICAL CENTER</v>
          </cell>
          <cell r="S1147" t="str">
            <v>622 W 168TH ST, ROOM PH1271</v>
          </cell>
          <cell r="T1147" t="str">
            <v>NEW YORK</v>
          </cell>
          <cell r="U1147" t="str">
            <v>NY</v>
          </cell>
          <cell r="V1147" t="str">
            <v>100323720</v>
          </cell>
          <cell r="AC1147" t="str">
            <v>M</v>
          </cell>
          <cell r="AD1147" t="str">
            <v>No</v>
          </cell>
          <cell r="AE1147" t="str">
            <v>NPI only</v>
          </cell>
          <cell r="AG1147" t="str">
            <v>P</v>
          </cell>
        </row>
        <row r="1148">
          <cell r="A1148" t="str">
            <v>1467560854</v>
          </cell>
          <cell r="B1148" t="str">
            <v>02186203</v>
          </cell>
          <cell r="C1148" t="str">
            <v>COLUMBIA PRESBYTERIAN RADIOLOGISTS</v>
          </cell>
          <cell r="D1148" t="str">
            <v>E0081460</v>
          </cell>
          <cell r="E1148" t="str">
            <v>TRUSTEES OF COLUMBIA UNIV</v>
          </cell>
          <cell r="L1148" t="str">
            <v>All Other</v>
          </cell>
          <cell r="M1148" t="str">
            <v>No</v>
          </cell>
          <cell r="R1148" t="str">
            <v>TRUSTEES OF COLUMBIA UNIVERSITY IN THE CITY OF NEW YORK</v>
          </cell>
          <cell r="W1148" t="str">
            <v>TRUSTEES OF COLUMBIA UNIV</v>
          </cell>
          <cell r="X1148" t="str">
            <v>622 W 168TH ST</v>
          </cell>
          <cell r="Y1148" t="str">
            <v>NEW YORK</v>
          </cell>
          <cell r="Z1148" t="str">
            <v>NY</v>
          </cell>
          <cell r="AA1148" t="str">
            <v>10032-3720</v>
          </cell>
          <cell r="AB1148" t="str">
            <v>PHYSICIANS GROUP</v>
          </cell>
          <cell r="AC1148" t="str">
            <v>M</v>
          </cell>
          <cell r="AD1148" t="str">
            <v>No</v>
          </cell>
          <cell r="AE1148" t="str">
            <v>MMIS</v>
          </cell>
          <cell r="AG1148" t="str">
            <v>P</v>
          </cell>
        </row>
        <row r="1149">
          <cell r="A1149" t="str">
            <v>1811199508</v>
          </cell>
          <cell r="B1149" t="str">
            <v>02726676</v>
          </cell>
          <cell r="C1149" t="str">
            <v>GLASSMAN, MELISSA E</v>
          </cell>
          <cell r="D1149" t="str">
            <v>E0027519</v>
          </cell>
          <cell r="E1149" t="str">
            <v>GLASSMAN MELISSA</v>
          </cell>
          <cell r="G1149" t="str">
            <v>Kathryn Spaziani</v>
          </cell>
          <cell r="H1149" t="str">
            <v>(212) 305-1190</v>
          </cell>
          <cell r="J1149" t="str">
            <v>kas9171@nyp.org</v>
          </cell>
          <cell r="L1149" t="str">
            <v>All Other:: Practitioner - Primary Care Provider (PCP)</v>
          </cell>
          <cell r="M1149" t="str">
            <v>Yes</v>
          </cell>
          <cell r="R1149" t="str">
            <v>GLASSMAN MELISSA DR.</v>
          </cell>
          <cell r="W1149" t="str">
            <v>GLASSMAN MELISSA</v>
          </cell>
          <cell r="X1149" t="str">
            <v>3959 BROADWAY</v>
          </cell>
          <cell r="Y1149" t="str">
            <v>NEW YORK</v>
          </cell>
          <cell r="Z1149" t="str">
            <v>NY</v>
          </cell>
          <cell r="AA1149" t="str">
            <v>10032-1559</v>
          </cell>
          <cell r="AB1149" t="str">
            <v>PHYSICIAN</v>
          </cell>
          <cell r="AC1149" t="str">
            <v>M</v>
          </cell>
          <cell r="AD1149" t="str">
            <v>No</v>
          </cell>
          <cell r="AE1149" t="str">
            <v>MMIS</v>
          </cell>
          <cell r="AF1149" t="str">
            <v>nypwestacn</v>
          </cell>
          <cell r="AG1149" t="str">
            <v>P</v>
          </cell>
        </row>
        <row r="1150">
          <cell r="A1150" t="str">
            <v>1821158064</v>
          </cell>
          <cell r="B1150" t="str">
            <v>01551940</v>
          </cell>
          <cell r="C1150" t="str">
            <v>GAINES, HENRY D</v>
          </cell>
          <cell r="D1150" t="str">
            <v>E0144803</v>
          </cell>
          <cell r="E1150" t="str">
            <v>GAINES HENRY D MD</v>
          </cell>
          <cell r="G1150" t="str">
            <v>Kathryn Spaziani</v>
          </cell>
          <cell r="H1150" t="str">
            <v>(212) 305-1190</v>
          </cell>
          <cell r="J1150" t="str">
            <v>kas9171@nyp.org</v>
          </cell>
          <cell r="L1150" t="str">
            <v>All Other:: Practitioner - Primary Care Provider (PCP)</v>
          </cell>
          <cell r="M1150" t="str">
            <v>Yes</v>
          </cell>
          <cell r="R1150" t="str">
            <v>GAINES HENRY DR.</v>
          </cell>
          <cell r="W1150" t="str">
            <v>GAINES HENRY D MD</v>
          </cell>
          <cell r="X1150" t="str">
            <v>PRESB HOSP</v>
          </cell>
          <cell r="Y1150" t="str">
            <v>NEW YORK</v>
          </cell>
          <cell r="Z1150" t="str">
            <v>NY</v>
          </cell>
          <cell r="AA1150" t="str">
            <v>10032-3720</v>
          </cell>
          <cell r="AB1150" t="str">
            <v>PHYSICIAN</v>
          </cell>
          <cell r="AC1150" t="str">
            <v>M</v>
          </cell>
          <cell r="AD1150" t="str">
            <v>No</v>
          </cell>
          <cell r="AE1150" t="str">
            <v>MMIS</v>
          </cell>
          <cell r="AF1150" t="str">
            <v>nypwestacn</v>
          </cell>
          <cell r="AG1150" t="str">
            <v>P</v>
          </cell>
        </row>
        <row r="1151">
          <cell r="A1151" t="str">
            <v>1023386653</v>
          </cell>
          <cell r="B1151" t="str">
            <v>03735595</v>
          </cell>
          <cell r="C1151" t="str">
            <v xml:space="preserve">VASSERMAN, ARIELA </v>
          </cell>
          <cell r="D1151" t="str">
            <v>E0364180</v>
          </cell>
          <cell r="E1151" t="str">
            <v>VASSERMAN ARIELA</v>
          </cell>
          <cell r="G1151" t="str">
            <v>Kathryn Spaziani</v>
          </cell>
          <cell r="H1151" t="str">
            <v>(212) 305-1190</v>
          </cell>
          <cell r="J1151" t="str">
            <v>kas9171@nyp.org</v>
          </cell>
          <cell r="L1151" t="str">
            <v>Practitioner - Non-Primary Care Provider (PCP)</v>
          </cell>
          <cell r="M1151" t="str">
            <v>No</v>
          </cell>
          <cell r="R1151" t="str">
            <v>VASSERMAN ARIELA</v>
          </cell>
          <cell r="W1151" t="str">
            <v>VASSERMAN ARIELA</v>
          </cell>
          <cell r="X1151" t="str">
            <v>635 W 165TH ST 6TH F</v>
          </cell>
          <cell r="Y1151" t="str">
            <v>NEW YORK</v>
          </cell>
          <cell r="Z1151" t="str">
            <v>NY</v>
          </cell>
          <cell r="AA1151" t="str">
            <v>10032</v>
          </cell>
          <cell r="AB1151" t="str">
            <v>CLINICAL PSYCHOLOGIST</v>
          </cell>
          <cell r="AC1151" t="str">
            <v>M</v>
          </cell>
          <cell r="AD1151" t="str">
            <v>No</v>
          </cell>
          <cell r="AE1151" t="str">
            <v>MMIS</v>
          </cell>
          <cell r="AF1151" t="str">
            <v>nypwestcampus</v>
          </cell>
          <cell r="AG1151" t="str">
            <v>P</v>
          </cell>
        </row>
        <row r="1152">
          <cell r="A1152" t="str">
            <v>1285857532</v>
          </cell>
          <cell r="C1152" t="str">
            <v>STOREY, JOAN E</v>
          </cell>
          <cell r="G1152" t="str">
            <v>Kathryn Spaziani</v>
          </cell>
          <cell r="H1152" t="str">
            <v>(212) 305-1190</v>
          </cell>
          <cell r="J1152" t="str">
            <v>kas9171@nyp.org</v>
          </cell>
          <cell r="K1152" t="str">
            <v>Physician</v>
          </cell>
          <cell r="L1152" t="str">
            <v>Practitioner - Non-Primary Care Provider (PCP)</v>
          </cell>
          <cell r="M1152" t="str">
            <v>No</v>
          </cell>
          <cell r="R1152" t="str">
            <v>STOREY JOAN DR.</v>
          </cell>
          <cell r="S1152" t="str">
            <v>275 W 96TH ST APT 23G</v>
          </cell>
          <cell r="T1152" t="str">
            <v>NEW YORK</v>
          </cell>
          <cell r="U1152" t="str">
            <v>NY</v>
          </cell>
          <cell r="V1152" t="str">
            <v>100256269</v>
          </cell>
          <cell r="AC1152" t="str">
            <v>M</v>
          </cell>
          <cell r="AD1152" t="str">
            <v>No</v>
          </cell>
          <cell r="AE1152" t="str">
            <v>NPI only</v>
          </cell>
          <cell r="AF1152" t="str">
            <v>nypother</v>
          </cell>
          <cell r="AG1152" t="str">
            <v>P</v>
          </cell>
        </row>
        <row r="1153">
          <cell r="C1153" t="str">
            <v>New York City Department of Health &amp; Mental Hygiene</v>
          </cell>
          <cell r="G1153" t="str">
            <v>Rosemary Martinez</v>
          </cell>
          <cell r="H1153" t="str">
            <v>(347) 396-4010</v>
          </cell>
          <cell r="J1153" t="str">
            <v>rmartinez2@health.nyc.gov</v>
          </cell>
          <cell r="K1153" t="str">
            <v>Local Government Unit (LGU)/Single Point of Access (SPOA)</v>
          </cell>
          <cell r="L1153" t="str">
            <v>CBO</v>
          </cell>
          <cell r="M1153" t="str">
            <v>No</v>
          </cell>
          <cell r="N1153" t="str">
            <v xml:space="preserve"> 42-09 28th Street</v>
          </cell>
          <cell r="O1153" t="str">
            <v>Long Island City</v>
          </cell>
          <cell r="P1153" t="str">
            <v>NY</v>
          </cell>
          <cell r="Q1153" t="str">
            <v>11101</v>
          </cell>
          <cell r="AC1153" t="str">
            <v>M</v>
          </cell>
          <cell r="AD1153" t="str">
            <v>No</v>
          </cell>
          <cell r="AE1153" t="str">
            <v>No NPI or MMIS</v>
          </cell>
          <cell r="AG1153" t="str">
            <v>P</v>
          </cell>
        </row>
        <row r="1154">
          <cell r="A1154" t="str">
            <v>1417968488</v>
          </cell>
          <cell r="B1154" t="str">
            <v>03000039</v>
          </cell>
          <cell r="C1154" t="str">
            <v>Calvary Hospital (CHHA)</v>
          </cell>
          <cell r="D1154" t="str">
            <v>E0271758</v>
          </cell>
          <cell r="E1154" t="str">
            <v>CALVARY HOSPITAL INC</v>
          </cell>
          <cell r="G1154" t="str">
            <v>David Grayson</v>
          </cell>
          <cell r="H1154" t="str">
            <v>(718) 518-2244</v>
          </cell>
          <cell r="J1154" t="str">
            <v>David@graysonco.com</v>
          </cell>
          <cell r="L1154" t="str">
            <v>All Other:: Clinic:: Hospice:: Hospital</v>
          </cell>
          <cell r="M1154" t="str">
            <v>Yes</v>
          </cell>
          <cell r="R1154" t="str">
            <v>CALVARY HOSPITAL INC.</v>
          </cell>
          <cell r="W1154" t="str">
            <v>CALVARY HOSPITAL INC</v>
          </cell>
          <cell r="X1154" t="str">
            <v>1740 EASTCHESTER RD</v>
          </cell>
          <cell r="Y1154" t="str">
            <v>BRONX</v>
          </cell>
          <cell r="Z1154" t="str">
            <v>NY</v>
          </cell>
          <cell r="AA1154" t="str">
            <v>10461-2300</v>
          </cell>
          <cell r="AB1154" t="str">
            <v>HOSPITAL</v>
          </cell>
          <cell r="AC1154" t="str">
            <v>M</v>
          </cell>
          <cell r="AD1154" t="str">
            <v>No</v>
          </cell>
          <cell r="AE1154" t="str">
            <v>MMIS</v>
          </cell>
          <cell r="AG1154" t="str">
            <v>P</v>
          </cell>
        </row>
        <row r="1155">
          <cell r="A1155" t="str">
            <v>1699867408</v>
          </cell>
          <cell r="B1155" t="str">
            <v>01836828</v>
          </cell>
          <cell r="C1155" t="str">
            <v>SPITZ, JOEL I</v>
          </cell>
          <cell r="D1155" t="str">
            <v>E0116358</v>
          </cell>
          <cell r="E1155" t="str">
            <v>SPITZ JOEL</v>
          </cell>
          <cell r="G1155" t="str">
            <v>Kathryn Spaziani</v>
          </cell>
          <cell r="H1155" t="str">
            <v>(212) 305-1190</v>
          </cell>
          <cell r="J1155" t="str">
            <v>kas9171@nyp.org</v>
          </cell>
          <cell r="L1155" t="str">
            <v>All Other:: Practitioner - Non-Primary Care Provider (PCP)</v>
          </cell>
          <cell r="M1155" t="str">
            <v>No</v>
          </cell>
          <cell r="R1155" t="str">
            <v>SPITZ JOEL DR.</v>
          </cell>
          <cell r="W1155" t="str">
            <v>SPITZ JOEL</v>
          </cell>
          <cell r="X1155" t="str">
            <v>SPITZ JOEL</v>
          </cell>
          <cell r="Y1155" t="str">
            <v>WILLISTON PARK</v>
          </cell>
          <cell r="Z1155" t="str">
            <v>NY</v>
          </cell>
          <cell r="AA1155" t="str">
            <v>11596-2335</v>
          </cell>
          <cell r="AB1155" t="str">
            <v>PHYSICIAN</v>
          </cell>
          <cell r="AC1155" t="str">
            <v>M</v>
          </cell>
          <cell r="AD1155" t="str">
            <v>No</v>
          </cell>
          <cell r="AE1155" t="str">
            <v>MMIS</v>
          </cell>
          <cell r="AF1155" t="str">
            <v>nypwestcampus</v>
          </cell>
          <cell r="AG1155" t="str">
            <v>P</v>
          </cell>
        </row>
        <row r="1156">
          <cell r="A1156" t="str">
            <v>1932323672</v>
          </cell>
          <cell r="B1156" t="str">
            <v>02878022</v>
          </cell>
          <cell r="C1156" t="str">
            <v>LaGratta Maria</v>
          </cell>
          <cell r="D1156" t="str">
            <v>E0012401</v>
          </cell>
          <cell r="E1156" t="str">
            <v>LAGRATTA MARIA D MD</v>
          </cell>
          <cell r="L1156" t="str">
            <v>All Other:: Practitioner - Non-Primary Care Provider (PCP)</v>
          </cell>
          <cell r="M1156" t="str">
            <v>No</v>
          </cell>
          <cell r="R1156" t="str">
            <v>LAGRATTA MARIA DR.</v>
          </cell>
          <cell r="W1156" t="str">
            <v>LAGRATTA MARIA DIVINA</v>
          </cell>
          <cell r="X1156" t="str">
            <v>525 E 68TH ST</v>
          </cell>
          <cell r="Y1156" t="str">
            <v>NEW YORK</v>
          </cell>
          <cell r="Z1156" t="str">
            <v>NY</v>
          </cell>
          <cell r="AA1156" t="str">
            <v>10065-4870</v>
          </cell>
          <cell r="AB1156" t="str">
            <v>PHYSICIAN</v>
          </cell>
          <cell r="AC1156" t="str">
            <v>M</v>
          </cell>
          <cell r="AD1156" t="str">
            <v>No</v>
          </cell>
          <cell r="AE1156" t="str">
            <v>MMIS</v>
          </cell>
          <cell r="AF1156" t="str">
            <v>nypeastcampus</v>
          </cell>
          <cell r="AG1156" t="str">
            <v>P</v>
          </cell>
        </row>
        <row r="1157">
          <cell r="A1157" t="str">
            <v>1912163601</v>
          </cell>
          <cell r="B1157" t="str">
            <v>03330509</v>
          </cell>
          <cell r="C1157" t="str">
            <v xml:space="preserve">JAMES, ELSY </v>
          </cell>
          <cell r="D1157" t="str">
            <v>E0319206</v>
          </cell>
          <cell r="E1157" t="str">
            <v>JAMES ELSY</v>
          </cell>
          <cell r="G1157" t="str">
            <v>Kathryn Spaziani</v>
          </cell>
          <cell r="H1157" t="str">
            <v>(212) 305-1190</v>
          </cell>
          <cell r="J1157" t="str">
            <v>kas9171@nyp.org</v>
          </cell>
          <cell r="L1157" t="str">
            <v>All Other:: Practitioner - Non-Primary Care Provider (PCP)</v>
          </cell>
          <cell r="M1157" t="str">
            <v>Yes</v>
          </cell>
          <cell r="R1157" t="str">
            <v>JAMES ELSY MRS.</v>
          </cell>
          <cell r="W1157" t="str">
            <v>JAMES ELSY</v>
          </cell>
          <cell r="X1157" t="str">
            <v>622 W 168TH ST FL 2</v>
          </cell>
          <cell r="Y1157" t="str">
            <v>NEW YORK</v>
          </cell>
          <cell r="Z1157" t="str">
            <v>NY</v>
          </cell>
          <cell r="AA1157" t="str">
            <v>10032-3720</v>
          </cell>
          <cell r="AB1157" t="str">
            <v>PHYSICIAN</v>
          </cell>
          <cell r="AC1157" t="str">
            <v>M</v>
          </cell>
          <cell r="AD1157" t="str">
            <v>No</v>
          </cell>
          <cell r="AE1157" t="str">
            <v>MMIS</v>
          </cell>
          <cell r="AF1157" t="str">
            <v>nypwestacn</v>
          </cell>
          <cell r="AG1157" t="str">
            <v>P</v>
          </cell>
        </row>
        <row r="1158">
          <cell r="A1158" t="str">
            <v>1144236324</v>
          </cell>
          <cell r="B1158" t="str">
            <v>00591539</v>
          </cell>
          <cell r="C1158" t="str">
            <v>SILVERSTEIN, RICHARD N</v>
          </cell>
          <cell r="D1158" t="str">
            <v>E0240527</v>
          </cell>
          <cell r="E1158" t="str">
            <v>SILVERSTEIN RICHARD N MD   PC</v>
          </cell>
          <cell r="G1158" t="str">
            <v>Kathryn Spaziani</v>
          </cell>
          <cell r="H1158" t="str">
            <v>(212) 305-1190</v>
          </cell>
          <cell r="J1158" t="str">
            <v>kas9171@nyp.org</v>
          </cell>
          <cell r="L1158" t="str">
            <v>Practitioner - Non-Primary Care Provider (PCP)</v>
          </cell>
          <cell r="M1158" t="str">
            <v>No</v>
          </cell>
          <cell r="R1158" t="str">
            <v>SILVERSTEIN RICHARD DR.</v>
          </cell>
          <cell r="W1158" t="str">
            <v>SILVERSTEIN RICHARD N MD   PC</v>
          </cell>
          <cell r="X1158" t="str">
            <v>3930 RICHMOND AVE</v>
          </cell>
          <cell r="Y1158" t="str">
            <v>STATEN ISLAND</v>
          </cell>
          <cell r="Z1158" t="str">
            <v>NY</v>
          </cell>
          <cell r="AA1158" t="str">
            <v>10312-5104</v>
          </cell>
          <cell r="AB1158" t="str">
            <v>PHYSICIAN</v>
          </cell>
          <cell r="AC1158" t="str">
            <v>M</v>
          </cell>
          <cell r="AD1158" t="str">
            <v>No</v>
          </cell>
          <cell r="AE1158" t="str">
            <v>MMIS</v>
          </cell>
          <cell r="AF1158" t="str">
            <v>nypwestcampus</v>
          </cell>
          <cell r="AG1158" t="str">
            <v>P</v>
          </cell>
        </row>
        <row r="1159">
          <cell r="A1159" t="str">
            <v>1144242678</v>
          </cell>
          <cell r="B1159" t="str">
            <v>00606175</v>
          </cell>
          <cell r="C1159" t="str">
            <v>BARNARD, JOHN T</v>
          </cell>
          <cell r="D1159" t="str">
            <v>E0239064</v>
          </cell>
          <cell r="E1159" t="str">
            <v>BARNARD JOHN THOMAS MD     PC</v>
          </cell>
          <cell r="G1159" t="str">
            <v>Kathryn Spaziani</v>
          </cell>
          <cell r="H1159" t="str">
            <v>(212) 305-1190</v>
          </cell>
          <cell r="J1159" t="str">
            <v>kas9171@nyp.org</v>
          </cell>
          <cell r="L1159" t="str">
            <v>All Other:: Practitioner - Non-Primary Care Provider (PCP)</v>
          </cell>
          <cell r="M1159" t="str">
            <v>No</v>
          </cell>
          <cell r="R1159" t="str">
            <v>BARNARD JOHN</v>
          </cell>
          <cell r="W1159" t="str">
            <v>BARNARD JOHN THOMAS</v>
          </cell>
          <cell r="X1159" t="str">
            <v>ST LUKES ROOSVLT HOS</v>
          </cell>
          <cell r="Y1159" t="str">
            <v>NEW YORK</v>
          </cell>
          <cell r="Z1159" t="str">
            <v>NY</v>
          </cell>
          <cell r="AA1159" t="str">
            <v>10025</v>
          </cell>
          <cell r="AB1159" t="str">
            <v>PHYSICIAN</v>
          </cell>
          <cell r="AC1159" t="str">
            <v>M</v>
          </cell>
          <cell r="AD1159" t="str">
            <v>No</v>
          </cell>
          <cell r="AE1159" t="str">
            <v>MMIS</v>
          </cell>
          <cell r="AF1159" t="str">
            <v>nypeastacn</v>
          </cell>
          <cell r="AG1159" t="str">
            <v>P</v>
          </cell>
        </row>
        <row r="1160">
          <cell r="A1160" t="str">
            <v>1619136637</v>
          </cell>
          <cell r="B1160" t="str">
            <v>03015116</v>
          </cell>
          <cell r="C1160" t="str">
            <v>Solomon, Aliza B</v>
          </cell>
          <cell r="D1160" t="str">
            <v>E0283378</v>
          </cell>
          <cell r="E1160" t="str">
            <v>SOLOMON ALIZA B MD</v>
          </cell>
          <cell r="G1160" t="str">
            <v>Kathryn Spaziani</v>
          </cell>
          <cell r="H1160" t="str">
            <v>(212) 305-1190</v>
          </cell>
          <cell r="J1160" t="str">
            <v>kas9171@nyp.org</v>
          </cell>
          <cell r="L1160" t="str">
            <v>All Other:: Practitioner - Non-Primary Care Provider (PCP)</v>
          </cell>
          <cell r="M1160" t="str">
            <v>No</v>
          </cell>
          <cell r="R1160" t="str">
            <v>SOLOMON ALIZA DR.</v>
          </cell>
          <cell r="W1160" t="str">
            <v>SOLOMON ALIZA B</v>
          </cell>
          <cell r="X1160" t="str">
            <v>525 E 68TH ST</v>
          </cell>
          <cell r="Y1160" t="str">
            <v>NEW YORK</v>
          </cell>
          <cell r="Z1160" t="str">
            <v>NY</v>
          </cell>
          <cell r="AA1160" t="str">
            <v>10065-4870</v>
          </cell>
          <cell r="AB1160" t="str">
            <v>PHYSICIAN</v>
          </cell>
          <cell r="AC1160" t="str">
            <v>M</v>
          </cell>
          <cell r="AD1160" t="str">
            <v>No</v>
          </cell>
          <cell r="AE1160" t="str">
            <v>MMIS</v>
          </cell>
          <cell r="AF1160" t="str">
            <v>nypeastcampus</v>
          </cell>
          <cell r="AG1160" t="str">
            <v>P</v>
          </cell>
        </row>
        <row r="1161">
          <cell r="A1161" t="str">
            <v>1922337567</v>
          </cell>
          <cell r="C1161" t="str">
            <v>Faulk Lesley</v>
          </cell>
          <cell r="G1161" t="str">
            <v>Kathryn Spaziani</v>
          </cell>
          <cell r="H1161" t="str">
            <v>(212) 305-1255</v>
          </cell>
          <cell r="J1161" t="str">
            <v>kas9171@nyp.org</v>
          </cell>
          <cell r="K1161" t="str">
            <v>Physician</v>
          </cell>
          <cell r="L1161" t="str">
            <v>Uncategorized</v>
          </cell>
          <cell r="M1161" t="str">
            <v>No</v>
          </cell>
          <cell r="R1161" t="str">
            <v>FAULK LESLEY</v>
          </cell>
          <cell r="S1161" t="str">
            <v>622 W 168TH ST</v>
          </cell>
          <cell r="T1161" t="str">
            <v>NEW YORK</v>
          </cell>
          <cell r="U1161" t="str">
            <v>NY</v>
          </cell>
          <cell r="V1161" t="str">
            <v>100323720</v>
          </cell>
          <cell r="AC1161" t="str">
            <v>M</v>
          </cell>
          <cell r="AD1161" t="str">
            <v>No</v>
          </cell>
          <cell r="AE1161" t="str">
            <v>NPI only</v>
          </cell>
          <cell r="AF1161" t="str">
            <v>nypwestcampus</v>
          </cell>
          <cell r="AG1161" t="str">
            <v>P</v>
          </cell>
        </row>
        <row r="1162">
          <cell r="A1162" t="str">
            <v>1487790291</v>
          </cell>
          <cell r="C1162" t="str">
            <v>Gordon Susan</v>
          </cell>
          <cell r="G1162" t="str">
            <v>Kathryn Spaziani</v>
          </cell>
          <cell r="H1162" t="str">
            <v>(212) 305-1255</v>
          </cell>
          <cell r="J1162" t="str">
            <v>kas9171@nyp.org</v>
          </cell>
          <cell r="K1162" t="str">
            <v>Physician</v>
          </cell>
          <cell r="L1162" t="str">
            <v>Uncategorized</v>
          </cell>
          <cell r="M1162" t="str">
            <v>No</v>
          </cell>
          <cell r="R1162" t="str">
            <v>GORDON SUSAN MS.</v>
          </cell>
          <cell r="S1162" t="str">
            <v>622 W 168TH ST</v>
          </cell>
          <cell r="T1162" t="str">
            <v>NEW YORK</v>
          </cell>
          <cell r="U1162" t="str">
            <v>NY</v>
          </cell>
          <cell r="V1162" t="str">
            <v>100323720</v>
          </cell>
          <cell r="AC1162" t="str">
            <v>M</v>
          </cell>
          <cell r="AD1162" t="str">
            <v>No</v>
          </cell>
          <cell r="AE1162" t="str">
            <v>NPI only</v>
          </cell>
          <cell r="AF1162" t="str">
            <v>nypother</v>
          </cell>
          <cell r="AG1162" t="str">
            <v>P</v>
          </cell>
        </row>
        <row r="1163">
          <cell r="A1163" t="str">
            <v>1265406896</v>
          </cell>
          <cell r="C1163" t="str">
            <v>Gray Rachel</v>
          </cell>
          <cell r="G1163" t="str">
            <v>Kathryn Spaziani</v>
          </cell>
          <cell r="H1163" t="str">
            <v>(212) 305-1255</v>
          </cell>
          <cell r="J1163" t="str">
            <v>kas9171@nyp.org</v>
          </cell>
          <cell r="K1163" t="str">
            <v>Physician</v>
          </cell>
          <cell r="L1163" t="str">
            <v>Practitioner - Non-Primary Care Provider (PCP)</v>
          </cell>
          <cell r="M1163" t="str">
            <v>No</v>
          </cell>
          <cell r="R1163" t="str">
            <v>GRAY RACHEL PROF.</v>
          </cell>
          <cell r="S1163" t="str">
            <v>622 W 168TH ST</v>
          </cell>
          <cell r="T1163" t="str">
            <v>NEW YORK</v>
          </cell>
          <cell r="U1163" t="str">
            <v>NY</v>
          </cell>
          <cell r="V1163" t="str">
            <v>100323720</v>
          </cell>
          <cell r="AC1163" t="str">
            <v>M</v>
          </cell>
          <cell r="AD1163" t="str">
            <v>No</v>
          </cell>
          <cell r="AE1163" t="str">
            <v>NPI only</v>
          </cell>
          <cell r="AF1163" t="str">
            <v>nypeastcampus</v>
          </cell>
          <cell r="AG1163" t="str">
            <v>P</v>
          </cell>
        </row>
        <row r="1164">
          <cell r="A1164" t="str">
            <v>1558606228</v>
          </cell>
          <cell r="C1164" t="str">
            <v>Griffin Katie</v>
          </cell>
          <cell r="G1164" t="str">
            <v>Kathryn Spaziani</v>
          </cell>
          <cell r="H1164" t="str">
            <v>(212) 305-1255</v>
          </cell>
          <cell r="J1164" t="str">
            <v>kas9171@nyp.org</v>
          </cell>
          <cell r="K1164" t="str">
            <v>Physician</v>
          </cell>
          <cell r="L1164" t="str">
            <v>Practitioner - Non-Primary Care Provider (PCP)</v>
          </cell>
          <cell r="M1164" t="str">
            <v>No</v>
          </cell>
          <cell r="R1164" t="str">
            <v>GRIFFIN KATIE MRS.</v>
          </cell>
          <cell r="S1164" t="str">
            <v>622 W 168TH ST</v>
          </cell>
          <cell r="T1164" t="str">
            <v>NEW YORK</v>
          </cell>
          <cell r="U1164" t="str">
            <v>NY</v>
          </cell>
          <cell r="V1164" t="str">
            <v>100323720</v>
          </cell>
          <cell r="AC1164" t="str">
            <v>M</v>
          </cell>
          <cell r="AD1164" t="str">
            <v>No</v>
          </cell>
          <cell r="AE1164" t="str">
            <v>NPI only</v>
          </cell>
          <cell r="AF1164" t="str">
            <v>nypwestcampus</v>
          </cell>
          <cell r="AG1164" t="str">
            <v>P</v>
          </cell>
        </row>
        <row r="1165">
          <cell r="A1165" t="str">
            <v>1891827465</v>
          </cell>
          <cell r="B1165" t="str">
            <v>03603358</v>
          </cell>
          <cell r="C1165" t="str">
            <v xml:space="preserve">ODIA, YASMIN </v>
          </cell>
          <cell r="D1165" t="str">
            <v>E0350500</v>
          </cell>
          <cell r="E1165" t="str">
            <v>ODIA YAZMIN</v>
          </cell>
          <cell r="G1165" t="str">
            <v>Kathryn Spaziani</v>
          </cell>
          <cell r="H1165" t="str">
            <v>(212) 305-1190</v>
          </cell>
          <cell r="J1165" t="str">
            <v>kas9171@nyp.org</v>
          </cell>
          <cell r="L1165" t="str">
            <v>Practitioner - Non-Primary Care Provider (PCP)</v>
          </cell>
          <cell r="M1165" t="str">
            <v>No</v>
          </cell>
          <cell r="R1165" t="str">
            <v>ODIA YAZMIN DR.</v>
          </cell>
          <cell r="W1165" t="str">
            <v>ODIA YAZMIN</v>
          </cell>
          <cell r="X1165" t="str">
            <v>710 WEST 168TH STREET</v>
          </cell>
          <cell r="Y1165" t="str">
            <v>NEW YORK</v>
          </cell>
          <cell r="Z1165" t="str">
            <v>NY</v>
          </cell>
          <cell r="AA1165" t="str">
            <v>10032-3726</v>
          </cell>
          <cell r="AB1165" t="str">
            <v>PHYSICIAN</v>
          </cell>
          <cell r="AC1165" t="str">
            <v>M</v>
          </cell>
          <cell r="AD1165" t="str">
            <v>No</v>
          </cell>
          <cell r="AE1165" t="str">
            <v>MMIS</v>
          </cell>
          <cell r="AF1165" t="str">
            <v>nypwestcampus</v>
          </cell>
          <cell r="AG1165" t="str">
            <v>P</v>
          </cell>
        </row>
        <row r="1166">
          <cell r="A1166" t="str">
            <v>1386759066</v>
          </cell>
          <cell r="B1166" t="str">
            <v>03449016</v>
          </cell>
          <cell r="C1166" t="str">
            <v>SWAMINATHAN, RAJESH V</v>
          </cell>
          <cell r="D1166" t="str">
            <v>E0333718</v>
          </cell>
          <cell r="E1166" t="str">
            <v>SWAMINATHAN RAJESH VISWANATHAN MD</v>
          </cell>
          <cell r="G1166" t="str">
            <v>Kathryn Spaziani</v>
          </cell>
          <cell r="H1166" t="str">
            <v>(212) 305-1190</v>
          </cell>
          <cell r="J1166" t="str">
            <v>kas9171@nyp.org</v>
          </cell>
          <cell r="L1166" t="str">
            <v>All Other:: Practitioner - Non-Primary Care Provider (PCP)</v>
          </cell>
          <cell r="M1166" t="str">
            <v>No</v>
          </cell>
          <cell r="R1166" t="str">
            <v>SWAMINATHAN RAJESH</v>
          </cell>
          <cell r="W1166" t="str">
            <v>SWAMINATHAN RAJESH VISWANATHAN MD</v>
          </cell>
          <cell r="X1166" t="str">
            <v>525 E 68TH ST</v>
          </cell>
          <cell r="Y1166" t="str">
            <v>NEW YORK</v>
          </cell>
          <cell r="Z1166" t="str">
            <v>NY</v>
          </cell>
          <cell r="AA1166" t="str">
            <v>10065-4870</v>
          </cell>
          <cell r="AB1166" t="str">
            <v>PHYSICIAN</v>
          </cell>
          <cell r="AC1166" t="str">
            <v>M</v>
          </cell>
          <cell r="AD1166" t="str">
            <v>No</v>
          </cell>
          <cell r="AE1166" t="str">
            <v>MMIS</v>
          </cell>
          <cell r="AF1166" t="str">
            <v>nypeastcampus</v>
          </cell>
          <cell r="AG1166" t="str">
            <v>P</v>
          </cell>
        </row>
        <row r="1167">
          <cell r="A1167" t="str">
            <v>1538189642</v>
          </cell>
          <cell r="B1167" t="str">
            <v>02865194</v>
          </cell>
          <cell r="C1167" t="str">
            <v xml:space="preserve">LAL, SONALI </v>
          </cell>
          <cell r="D1167" t="str">
            <v>E0013681</v>
          </cell>
          <cell r="E1167" t="str">
            <v>LAL SONALI MD</v>
          </cell>
          <cell r="G1167" t="str">
            <v>Kathryn Spaziani</v>
          </cell>
          <cell r="H1167" t="str">
            <v>(212) 305-1190</v>
          </cell>
          <cell r="J1167" t="str">
            <v>kas9171@nyp.org</v>
          </cell>
          <cell r="L1167" t="str">
            <v>Practitioner - Non-Primary Care Provider (PCP)</v>
          </cell>
          <cell r="M1167" t="str">
            <v>No</v>
          </cell>
          <cell r="R1167" t="str">
            <v>LAL SONALI</v>
          </cell>
          <cell r="W1167" t="str">
            <v>LAL SONALI MD</v>
          </cell>
          <cell r="X1167" t="str">
            <v>365 ROUTE 304 STE 102</v>
          </cell>
          <cell r="Y1167" t="str">
            <v>BARDONIA</v>
          </cell>
          <cell r="Z1167" t="str">
            <v>NY</v>
          </cell>
          <cell r="AA1167" t="str">
            <v>10954-1601</v>
          </cell>
          <cell r="AB1167" t="str">
            <v>PHYSICIAN</v>
          </cell>
          <cell r="AC1167" t="str">
            <v>M</v>
          </cell>
          <cell r="AD1167" t="str">
            <v>No</v>
          </cell>
          <cell r="AE1167" t="str">
            <v>MMIS</v>
          </cell>
          <cell r="AF1167" t="str">
            <v>nypwestcampus</v>
          </cell>
          <cell r="AG1167" t="str">
            <v>P</v>
          </cell>
        </row>
        <row r="1168">
          <cell r="A1168" t="str">
            <v>1821089319</v>
          </cell>
          <cell r="B1168" t="str">
            <v>01100545</v>
          </cell>
          <cell r="C1168" t="str">
            <v xml:space="preserve">KLEBANOFF, LOUISE </v>
          </cell>
          <cell r="D1168" t="str">
            <v>E0189819</v>
          </cell>
          <cell r="E1168" t="str">
            <v>KLEBANOFF LOUISE MICHELLE MD</v>
          </cell>
          <cell r="G1168" t="str">
            <v>Kathryn Spaziani</v>
          </cell>
          <cell r="H1168" t="str">
            <v>(212) 305-1190</v>
          </cell>
          <cell r="J1168" t="str">
            <v>kas9171@nyp.org</v>
          </cell>
          <cell r="L1168" t="str">
            <v>All Other:: Practitioner - Non-Primary Care Provider (PCP)</v>
          </cell>
          <cell r="M1168" t="str">
            <v>No</v>
          </cell>
          <cell r="R1168" t="str">
            <v>KLEBANOFF LOUISE</v>
          </cell>
          <cell r="W1168" t="str">
            <v>KLEBANOFF LOUISE MICHELLE MD</v>
          </cell>
          <cell r="Y1168" t="str">
            <v>NEW YORK</v>
          </cell>
          <cell r="Z1168" t="str">
            <v>NY</v>
          </cell>
          <cell r="AA1168" t="str">
            <v>10003-3804</v>
          </cell>
          <cell r="AB1168" t="str">
            <v>PHYSICIAN</v>
          </cell>
          <cell r="AC1168" t="str">
            <v>M</v>
          </cell>
          <cell r="AD1168" t="str">
            <v>No</v>
          </cell>
          <cell r="AE1168" t="str">
            <v>MMIS</v>
          </cell>
          <cell r="AF1168" t="str">
            <v>nypeastacn</v>
          </cell>
          <cell r="AG1168" t="str">
            <v>P</v>
          </cell>
        </row>
        <row r="1169">
          <cell r="A1169" t="str">
            <v>1104076363</v>
          </cell>
          <cell r="C1169" t="str">
            <v>WARD, ANGELA M</v>
          </cell>
          <cell r="G1169" t="str">
            <v>Kathryn Spaziani</v>
          </cell>
          <cell r="H1169" t="str">
            <v>(212) 305-1190</v>
          </cell>
          <cell r="J1169" t="str">
            <v>kas9171@nyp.org</v>
          </cell>
          <cell r="K1169" t="str">
            <v>Physician</v>
          </cell>
          <cell r="L1169" t="str">
            <v>Practitioner - Non-Primary Care Provider (PCP)</v>
          </cell>
          <cell r="M1169" t="str">
            <v>No</v>
          </cell>
          <cell r="R1169" t="str">
            <v>WARD ANGELA</v>
          </cell>
          <cell r="S1169" t="str">
            <v>99 FORT WASHINGTON AVE, 1ST FLOOR, ACN FT. WASHINGTON DENTAL</v>
          </cell>
          <cell r="T1169" t="str">
            <v>NEW YORK</v>
          </cell>
          <cell r="U1169" t="str">
            <v>NY</v>
          </cell>
          <cell r="V1169" t="str">
            <v>10032</v>
          </cell>
          <cell r="AC1169" t="str">
            <v>M</v>
          </cell>
          <cell r="AD1169" t="str">
            <v>No</v>
          </cell>
          <cell r="AE1169" t="str">
            <v>NPI only</v>
          </cell>
          <cell r="AF1169" t="str">
            <v>nypother</v>
          </cell>
          <cell r="AG1169" t="str">
            <v>P</v>
          </cell>
        </row>
        <row r="1170">
          <cell r="A1170" t="str">
            <v>1104120625</v>
          </cell>
          <cell r="B1170" t="str">
            <v>03918518</v>
          </cell>
          <cell r="C1170" t="str">
            <v>Bassetti, Jennifer A.</v>
          </cell>
          <cell r="D1170" t="str">
            <v>E0383019</v>
          </cell>
          <cell r="E1170" t="str">
            <v>BASSETTI JENNIFER</v>
          </cell>
          <cell r="G1170" t="str">
            <v>Kathryn Spaziani</v>
          </cell>
          <cell r="H1170" t="str">
            <v>(212) 305-1190</v>
          </cell>
          <cell r="J1170" t="str">
            <v>kas9171@nyp.org</v>
          </cell>
          <cell r="L1170" t="str">
            <v>All Other:: Practitioner - Non-Primary Care Provider (PCP)</v>
          </cell>
          <cell r="M1170" t="str">
            <v>No</v>
          </cell>
          <cell r="R1170" t="str">
            <v>BASSETTI JENNIFER DR.</v>
          </cell>
          <cell r="W1170" t="str">
            <v>BASSETTI JENNIFER ALISHA</v>
          </cell>
          <cell r="X1170" t="str">
            <v>525 E 68TH ST # 128</v>
          </cell>
          <cell r="Y1170" t="str">
            <v>NEW YORK</v>
          </cell>
          <cell r="Z1170" t="str">
            <v>NY</v>
          </cell>
          <cell r="AA1170" t="str">
            <v>10065-4870</v>
          </cell>
          <cell r="AB1170" t="str">
            <v>PHYSICIAN</v>
          </cell>
          <cell r="AC1170" t="str">
            <v>M</v>
          </cell>
          <cell r="AD1170" t="str">
            <v>No</v>
          </cell>
          <cell r="AE1170" t="str">
            <v>MMIS</v>
          </cell>
          <cell r="AF1170" t="str">
            <v>nypeastcampus</v>
          </cell>
          <cell r="AG1170" t="str">
            <v>P</v>
          </cell>
        </row>
        <row r="1171">
          <cell r="A1171" t="str">
            <v>1043533102</v>
          </cell>
          <cell r="B1171" t="str">
            <v>03420284</v>
          </cell>
          <cell r="C1171" t="str">
            <v>BARONE, DANIEL A</v>
          </cell>
          <cell r="D1171" t="str">
            <v>E0329844</v>
          </cell>
          <cell r="E1171" t="str">
            <v>BARONE DANIEL</v>
          </cell>
          <cell r="G1171" t="str">
            <v>Kathryn Spaziani</v>
          </cell>
          <cell r="H1171" t="str">
            <v>(212) 305-1190</v>
          </cell>
          <cell r="J1171" t="str">
            <v>kas9171@nyp.org</v>
          </cell>
          <cell r="L1171" t="str">
            <v>All Other:: Practitioner - Non-Primary Care Provider (PCP)</v>
          </cell>
          <cell r="M1171" t="str">
            <v>No</v>
          </cell>
          <cell r="R1171" t="str">
            <v>BARONE DANIEL MR.</v>
          </cell>
          <cell r="W1171" t="str">
            <v>BARONE DANIEL ANTHONY</v>
          </cell>
          <cell r="X1171" t="str">
            <v>425 E 61ST ST</v>
          </cell>
          <cell r="Y1171" t="str">
            <v>NEW YORK</v>
          </cell>
          <cell r="Z1171" t="str">
            <v>NY</v>
          </cell>
          <cell r="AA1171" t="str">
            <v>10065-8722</v>
          </cell>
          <cell r="AB1171" t="str">
            <v>PHYSICIAN</v>
          </cell>
          <cell r="AC1171" t="str">
            <v>M</v>
          </cell>
          <cell r="AD1171" t="str">
            <v>No</v>
          </cell>
          <cell r="AE1171" t="str">
            <v>MMIS</v>
          </cell>
          <cell r="AF1171" t="str">
            <v>nypeastacn</v>
          </cell>
          <cell r="AG1171" t="str">
            <v>P</v>
          </cell>
        </row>
        <row r="1172">
          <cell r="A1172" t="str">
            <v>1811017619</v>
          </cell>
          <cell r="B1172" t="str">
            <v>03522992</v>
          </cell>
          <cell r="C1172" t="str">
            <v>SCHAMBRA, HEIDI</v>
          </cell>
          <cell r="D1172" t="str">
            <v>E0340431</v>
          </cell>
          <cell r="E1172" t="str">
            <v>SCHAMBRA HEIDI M</v>
          </cell>
          <cell r="G1172" t="str">
            <v>Kathryn Spaziani</v>
          </cell>
          <cell r="H1172" t="str">
            <v>(212) 305-1326</v>
          </cell>
          <cell r="J1172" t="str">
            <v>kas9171@nyp.org</v>
          </cell>
          <cell r="L1172" t="str">
            <v>Practitioner - Non-Primary Care Provider (PCP)</v>
          </cell>
          <cell r="M1172" t="str">
            <v>No</v>
          </cell>
          <cell r="R1172" t="str">
            <v>SCHAMBRA HEIDI DR.</v>
          </cell>
          <cell r="W1172" t="str">
            <v>SCHAMBRA HEIDI M</v>
          </cell>
          <cell r="X1172" t="str">
            <v>16 E 60TH ST</v>
          </cell>
          <cell r="Y1172" t="str">
            <v>NEW YORK</v>
          </cell>
          <cell r="Z1172" t="str">
            <v>NY</v>
          </cell>
          <cell r="AA1172" t="str">
            <v>10022-1096</v>
          </cell>
          <cell r="AB1172" t="str">
            <v>PHYSICIAN</v>
          </cell>
          <cell r="AC1172" t="str">
            <v>M</v>
          </cell>
          <cell r="AD1172" t="str">
            <v>No</v>
          </cell>
          <cell r="AE1172" t="str">
            <v>MMIS</v>
          </cell>
          <cell r="AF1172" t="str">
            <v>nypwestcampus</v>
          </cell>
          <cell r="AG1172" t="str">
            <v>P</v>
          </cell>
        </row>
        <row r="1173">
          <cell r="A1173" t="str">
            <v>1588815302</v>
          </cell>
          <cell r="B1173" t="str">
            <v>01303786</v>
          </cell>
          <cell r="C1173" t="str">
            <v>ACMH, Inc. (FKA The Association for Rehabilitative Case Management and Housing, Inc.)</v>
          </cell>
          <cell r="D1173" t="str">
            <v>E0169539</v>
          </cell>
          <cell r="E1173" t="str">
            <v>ASSOC REHAB CM &amp; HOUSING INC</v>
          </cell>
          <cell r="G1173" t="str">
            <v>Daniel K. Johansson, Exec. VP/CEO</v>
          </cell>
          <cell r="H1173" t="str">
            <v>(212) 274-8558</v>
          </cell>
          <cell r="I1173">
            <v>214</v>
          </cell>
          <cell r="J1173" t="str">
            <v>djohansson@acmhnyc.org</v>
          </cell>
          <cell r="L1173" t="str">
            <v>Mental Health</v>
          </cell>
          <cell r="M1173" t="str">
            <v>Yes</v>
          </cell>
          <cell r="R1173" t="str">
            <v>THE ASSOCIATION FOR REHABILITATIVE CASE MANAGEMENT AND HOUSING</v>
          </cell>
          <cell r="W1173" t="str">
            <v>ASSOC REHAB CM &amp; HOUSING INC</v>
          </cell>
          <cell r="X1173" t="str">
            <v>545 8TH AVE ROOM 910</v>
          </cell>
          <cell r="Y1173" t="str">
            <v>NEW YORK</v>
          </cell>
          <cell r="Z1173" t="str">
            <v>NY</v>
          </cell>
          <cell r="AA1173" t="str">
            <v>10018-4307</v>
          </cell>
          <cell r="AB1173" t="str">
            <v>HOME HEALTH AGENCY</v>
          </cell>
          <cell r="AC1173" t="str">
            <v>M</v>
          </cell>
          <cell r="AD1173" t="str">
            <v>No</v>
          </cell>
          <cell r="AE1173" t="str">
            <v>MMIS</v>
          </cell>
          <cell r="AG1173" t="str">
            <v>P</v>
          </cell>
        </row>
        <row r="1174">
          <cell r="C1174" t="str">
            <v>NAMI - NYC Metro</v>
          </cell>
          <cell r="G1174" t="str">
            <v>Wendy Brennan</v>
          </cell>
          <cell r="H1174" t="str">
            <v>(212) 684-3365</v>
          </cell>
          <cell r="I1174">
            <v>208</v>
          </cell>
          <cell r="J1174" t="str">
            <v>wbrennan@naminyc.org</v>
          </cell>
          <cell r="K1174" t="str">
            <v>Unknown</v>
          </cell>
          <cell r="L1174" t="str">
            <v>CBO</v>
          </cell>
          <cell r="M1174" t="str">
            <v>No</v>
          </cell>
          <cell r="AC1174" t="str">
            <v>M</v>
          </cell>
          <cell r="AD1174" t="str">
            <v>No</v>
          </cell>
          <cell r="AE1174" t="str">
            <v>No NPI or MMIS</v>
          </cell>
          <cell r="AG1174" t="str">
            <v>P</v>
          </cell>
        </row>
        <row r="1175">
          <cell r="A1175" t="str">
            <v>1568554384</v>
          </cell>
          <cell r="C1175" t="str">
            <v>BITMAN, LESLIE M</v>
          </cell>
          <cell r="G1175" t="str">
            <v>Kathryn Spaziani</v>
          </cell>
          <cell r="H1175" t="str">
            <v>(212) 305-1190</v>
          </cell>
          <cell r="J1175" t="str">
            <v>kas9171@nyp.org</v>
          </cell>
          <cell r="K1175" t="str">
            <v>Physician</v>
          </cell>
          <cell r="L1175" t="str">
            <v>Uncategorized</v>
          </cell>
          <cell r="M1175" t="str">
            <v>No</v>
          </cell>
          <cell r="R1175" t="str">
            <v>BITMAN LESLIE DR.</v>
          </cell>
          <cell r="S1175" t="str">
            <v>2 HILLSIDE AVE STE G</v>
          </cell>
          <cell r="T1175" t="str">
            <v>WILLISTON PARK</v>
          </cell>
          <cell r="U1175" t="str">
            <v>NY</v>
          </cell>
          <cell r="V1175" t="str">
            <v>115962335</v>
          </cell>
          <cell r="AC1175" t="str">
            <v>M</v>
          </cell>
          <cell r="AD1175" t="str">
            <v>No</v>
          </cell>
          <cell r="AE1175" t="str">
            <v>NPI only</v>
          </cell>
          <cell r="AF1175" t="str">
            <v>nypwestacn</v>
          </cell>
          <cell r="AG1175" t="str">
            <v>P</v>
          </cell>
        </row>
        <row r="1176">
          <cell r="A1176" t="str">
            <v>1548235625</v>
          </cell>
          <cell r="B1176" t="str">
            <v>01591657</v>
          </cell>
          <cell r="C1176" t="str">
            <v>Aledo, Alexander</v>
          </cell>
          <cell r="D1176" t="str">
            <v>E0140841</v>
          </cell>
          <cell r="E1176" t="str">
            <v>ALEDO ALEXANDER MD</v>
          </cell>
          <cell r="G1176" t="str">
            <v>Kathryn Spaziani</v>
          </cell>
          <cell r="H1176" t="str">
            <v>(212) 305-1190</v>
          </cell>
          <cell r="J1176" t="str">
            <v>kas9171@nyp.org</v>
          </cell>
          <cell r="L1176" t="str">
            <v>All Other:: Practitioner - Non-Primary Care Provider (PCP)</v>
          </cell>
          <cell r="M1176" t="str">
            <v>No</v>
          </cell>
          <cell r="R1176" t="str">
            <v>ALEDO ALEXANDER</v>
          </cell>
          <cell r="W1176" t="str">
            <v>ALEDO ALEXANDER MD</v>
          </cell>
          <cell r="X1176" t="str">
            <v>525 E 68TH ST</v>
          </cell>
          <cell r="Y1176" t="str">
            <v>NEW YORK</v>
          </cell>
          <cell r="Z1176" t="str">
            <v>NY</v>
          </cell>
          <cell r="AA1176" t="str">
            <v>10065-4870</v>
          </cell>
          <cell r="AB1176" t="str">
            <v>PHYSICIAN</v>
          </cell>
          <cell r="AC1176" t="str">
            <v>M</v>
          </cell>
          <cell r="AD1176" t="str">
            <v>No</v>
          </cell>
          <cell r="AE1176" t="str">
            <v>MMIS</v>
          </cell>
          <cell r="AF1176" t="str">
            <v>nypeastcampus</v>
          </cell>
          <cell r="AG1176" t="str">
            <v>P</v>
          </cell>
        </row>
        <row r="1177">
          <cell r="A1177" t="str">
            <v>1164463444</v>
          </cell>
          <cell r="B1177" t="str">
            <v>01858873</v>
          </cell>
          <cell r="C1177" t="str">
            <v xml:space="preserve">HARREN, PATRICIA </v>
          </cell>
          <cell r="D1177" t="str">
            <v>E0114155</v>
          </cell>
          <cell r="E1177" t="str">
            <v>HARREN PATRICIA ANN</v>
          </cell>
          <cell r="G1177" t="str">
            <v>Kathryn Spaziani</v>
          </cell>
          <cell r="H1177" t="str">
            <v>(212) 305-1190</v>
          </cell>
          <cell r="J1177" t="str">
            <v>kas9171@nyp.org</v>
          </cell>
          <cell r="L1177" t="str">
            <v>Practitioner - Non-Primary Care Provider (PCP)</v>
          </cell>
          <cell r="M1177" t="str">
            <v>Yes</v>
          </cell>
          <cell r="R1177" t="str">
            <v>HARREN PATRICIA</v>
          </cell>
          <cell r="W1177" t="str">
            <v>HARREN PATRICIA ANN</v>
          </cell>
          <cell r="X1177" t="str">
            <v>622 W 168TH ST PH 14C</v>
          </cell>
          <cell r="Y1177" t="str">
            <v>NEW YORK</v>
          </cell>
          <cell r="Z1177" t="str">
            <v>NY</v>
          </cell>
          <cell r="AA1177" t="str">
            <v>10032-3720</v>
          </cell>
          <cell r="AB1177" t="str">
            <v>PHYSICIAN</v>
          </cell>
          <cell r="AC1177" t="str">
            <v>M</v>
          </cell>
          <cell r="AD1177" t="str">
            <v>No</v>
          </cell>
          <cell r="AE1177" t="str">
            <v>MMIS</v>
          </cell>
          <cell r="AF1177" t="str">
            <v>nypwestcampus</v>
          </cell>
          <cell r="AG1177" t="str">
            <v>P</v>
          </cell>
        </row>
        <row r="1178">
          <cell r="A1178" t="str">
            <v>1164506721</v>
          </cell>
          <cell r="B1178" t="str">
            <v>02940352</v>
          </cell>
          <cell r="C1178" t="str">
            <v>BROWN, REBECCA C</v>
          </cell>
          <cell r="D1178" t="str">
            <v>E0002167</v>
          </cell>
          <cell r="E1178" t="str">
            <v>REBECCA BROWN</v>
          </cell>
          <cell r="G1178" t="str">
            <v>Kathryn Spaziani</v>
          </cell>
          <cell r="H1178" t="str">
            <v>(212) 305-1190</v>
          </cell>
          <cell r="J1178" t="str">
            <v>kas9171@nyp.org</v>
          </cell>
          <cell r="L1178" t="str">
            <v>Practitioner - Non-Primary Care Provider (PCP)</v>
          </cell>
          <cell r="M1178" t="str">
            <v>No</v>
          </cell>
          <cell r="R1178" t="str">
            <v>BROWN REBECCA</v>
          </cell>
          <cell r="W1178" t="str">
            <v>BROWN REBECCA MD</v>
          </cell>
          <cell r="X1178" t="str">
            <v>365 ROUTE 304</v>
          </cell>
          <cell r="Y1178" t="str">
            <v>BARDONIA</v>
          </cell>
          <cell r="Z1178" t="str">
            <v>NY</v>
          </cell>
          <cell r="AA1178" t="str">
            <v>10954-1601</v>
          </cell>
          <cell r="AB1178" t="str">
            <v>PHYSICIAN</v>
          </cell>
          <cell r="AC1178" t="str">
            <v>M</v>
          </cell>
          <cell r="AD1178" t="str">
            <v>No</v>
          </cell>
          <cell r="AE1178" t="str">
            <v>MMIS</v>
          </cell>
          <cell r="AF1178" t="str">
            <v>nypwestacn</v>
          </cell>
          <cell r="AG1178" t="str">
            <v>P</v>
          </cell>
        </row>
        <row r="1179">
          <cell r="A1179" t="str">
            <v>1164529673</v>
          </cell>
          <cell r="B1179" t="str">
            <v>03557504</v>
          </cell>
          <cell r="C1179" t="str">
            <v xml:space="preserve">RUBINSTEIN, ROSALINDA </v>
          </cell>
          <cell r="D1179" t="str">
            <v>E0345720</v>
          </cell>
          <cell r="E1179" t="str">
            <v>RUBINSTEIN ROSALINDA</v>
          </cell>
          <cell r="G1179" t="str">
            <v>Kathryn Spaziani</v>
          </cell>
          <cell r="H1179" t="str">
            <v>(212) 305-1190</v>
          </cell>
          <cell r="J1179" t="str">
            <v>kas9171@nyp.org</v>
          </cell>
          <cell r="L1179" t="str">
            <v>Practitioner - Non-Primary Care Provider (PCP)</v>
          </cell>
          <cell r="M1179" t="str">
            <v>No</v>
          </cell>
          <cell r="R1179" t="str">
            <v>RUBINSTEIN ROSALINDA MISS</v>
          </cell>
          <cell r="W1179" t="str">
            <v>RUBINSTEIN ROSALINDA</v>
          </cell>
          <cell r="X1179" t="str">
            <v>622 WEST 168TH STREE</v>
          </cell>
          <cell r="Y1179" t="str">
            <v>NEW YORK</v>
          </cell>
          <cell r="Z1179" t="str">
            <v>NY</v>
          </cell>
          <cell r="AA1179" t="str">
            <v>10032</v>
          </cell>
          <cell r="AB1179" t="str">
            <v>PHYSICIAN</v>
          </cell>
          <cell r="AC1179" t="str">
            <v>M</v>
          </cell>
          <cell r="AD1179" t="str">
            <v>No</v>
          </cell>
          <cell r="AE1179" t="str">
            <v>MMIS</v>
          </cell>
          <cell r="AF1179" t="str">
            <v>nypwestcampus</v>
          </cell>
          <cell r="AG1179" t="str">
            <v>P</v>
          </cell>
        </row>
        <row r="1180">
          <cell r="A1180" t="str">
            <v>1164621249</v>
          </cell>
          <cell r="B1180" t="str">
            <v>03134269</v>
          </cell>
          <cell r="C1180" t="str">
            <v xml:space="preserve">KIM, MINSOO </v>
          </cell>
          <cell r="D1180" t="str">
            <v>E0297055</v>
          </cell>
          <cell r="E1180" t="str">
            <v>MINSOO JOANNE KIM</v>
          </cell>
          <cell r="G1180" t="str">
            <v>Kathryn Spaziani</v>
          </cell>
          <cell r="H1180" t="str">
            <v>(212) 305-1190</v>
          </cell>
          <cell r="J1180" t="str">
            <v>kas9171@nyp.org</v>
          </cell>
          <cell r="L1180" t="str">
            <v>All Other:: Practitioner - Primary Care Provider (PCP)</v>
          </cell>
          <cell r="M1180" t="str">
            <v>No</v>
          </cell>
          <cell r="R1180" t="str">
            <v>KIM MINSOO</v>
          </cell>
          <cell r="W1180" t="str">
            <v>KIM MINSOO JOANNE</v>
          </cell>
          <cell r="X1180" t="str">
            <v>10 NATHAN D PERLMAN PL</v>
          </cell>
          <cell r="Y1180" t="str">
            <v>NEW YORK</v>
          </cell>
          <cell r="Z1180" t="str">
            <v>NY</v>
          </cell>
          <cell r="AA1180" t="str">
            <v>10003-3851</v>
          </cell>
          <cell r="AB1180" t="str">
            <v>PHYSICIAN</v>
          </cell>
          <cell r="AC1180" t="str">
            <v>M</v>
          </cell>
          <cell r="AD1180" t="str">
            <v>No</v>
          </cell>
          <cell r="AE1180" t="str">
            <v>MMIS</v>
          </cell>
          <cell r="AF1180" t="str">
            <v>nypwestacn</v>
          </cell>
          <cell r="AG1180" t="str">
            <v>P</v>
          </cell>
        </row>
        <row r="1181">
          <cell r="A1181" t="str">
            <v>1881704716</v>
          </cell>
          <cell r="B1181" t="str">
            <v>02023710</v>
          </cell>
          <cell r="C1181" t="str">
            <v>KARCESKI, STEVEN C</v>
          </cell>
          <cell r="D1181" t="str">
            <v>E0097691</v>
          </cell>
          <cell r="E1181" t="str">
            <v>KARCESKI STEVEN C MD</v>
          </cell>
          <cell r="G1181" t="str">
            <v>Kathryn Spaziani</v>
          </cell>
          <cell r="H1181" t="str">
            <v>(212) 305-1190</v>
          </cell>
          <cell r="J1181" t="str">
            <v>kas9171@nyp.org</v>
          </cell>
          <cell r="L1181" t="str">
            <v>All Other:: Practitioner - Non-Primary Care Provider (PCP)</v>
          </cell>
          <cell r="M1181" t="str">
            <v>No</v>
          </cell>
          <cell r="R1181" t="str">
            <v>KARCESKI STEVEN DR.</v>
          </cell>
          <cell r="W1181" t="str">
            <v>KARCESKI STEVEN C MD</v>
          </cell>
          <cell r="X1181" t="str">
            <v>HARLEM FAC PRAC</v>
          </cell>
          <cell r="Y1181" t="str">
            <v>NEW YORK</v>
          </cell>
          <cell r="Z1181" t="str">
            <v>NY</v>
          </cell>
          <cell r="AA1181" t="str">
            <v>10087-0001</v>
          </cell>
          <cell r="AB1181" t="str">
            <v>PHYSICIAN</v>
          </cell>
          <cell r="AC1181" t="str">
            <v>M</v>
          </cell>
          <cell r="AD1181" t="str">
            <v>No</v>
          </cell>
          <cell r="AE1181" t="str">
            <v>MMIS</v>
          </cell>
          <cell r="AF1181" t="str">
            <v>nypeastacn</v>
          </cell>
          <cell r="AG1181" t="str">
            <v>P</v>
          </cell>
        </row>
        <row r="1182">
          <cell r="A1182" t="str">
            <v>1558488098</v>
          </cell>
          <cell r="B1182" t="str">
            <v>02896431</v>
          </cell>
          <cell r="C1182" t="str">
            <v>Killinger, James Scott</v>
          </cell>
          <cell r="D1182" t="str">
            <v>E0010563</v>
          </cell>
          <cell r="E1182" t="str">
            <v>KILLINGER JAMES MD</v>
          </cell>
          <cell r="G1182" t="str">
            <v>Kathryn Spaziani</v>
          </cell>
          <cell r="H1182" t="str">
            <v>(212) 305-1190</v>
          </cell>
          <cell r="J1182" t="str">
            <v>kas9171@nyp.org</v>
          </cell>
          <cell r="L1182" t="str">
            <v>Practitioner - Non-Primary Care Provider (PCP)</v>
          </cell>
          <cell r="M1182" t="str">
            <v>No</v>
          </cell>
          <cell r="R1182" t="str">
            <v>KILLINGER JAMES DR.</v>
          </cell>
          <cell r="W1182" t="str">
            <v>KILLINGER JAMES MD</v>
          </cell>
          <cell r="X1182" t="str">
            <v>3415 BAINBRIDGE AVE</v>
          </cell>
          <cell r="Y1182" t="str">
            <v>BRONX</v>
          </cell>
          <cell r="Z1182" t="str">
            <v>NY</v>
          </cell>
          <cell r="AA1182" t="str">
            <v>10467-2403</v>
          </cell>
          <cell r="AB1182" t="str">
            <v>PHYSICIAN</v>
          </cell>
          <cell r="AC1182" t="str">
            <v>M</v>
          </cell>
          <cell r="AD1182" t="str">
            <v>No</v>
          </cell>
          <cell r="AE1182" t="str">
            <v>MMIS</v>
          </cell>
          <cell r="AF1182" t="str">
            <v>nypeastcampus</v>
          </cell>
          <cell r="AG1182" t="str">
            <v>P</v>
          </cell>
        </row>
        <row r="1183">
          <cell r="A1183" t="str">
            <v>1194771683</v>
          </cell>
          <cell r="B1183" t="str">
            <v>03052691</v>
          </cell>
          <cell r="C1183" t="str">
            <v xml:space="preserve">BAPTISTA NETO, LOURIVAL </v>
          </cell>
          <cell r="D1183" t="str">
            <v>E0287461</v>
          </cell>
          <cell r="E1183" t="str">
            <v>BAPTISTA NETO LOURIVAL</v>
          </cell>
          <cell r="G1183" t="str">
            <v>Kathryn Spaziani</v>
          </cell>
          <cell r="H1183" t="str">
            <v>(212) 305-1190</v>
          </cell>
          <cell r="J1183" t="str">
            <v>kas9171@nyp.org</v>
          </cell>
          <cell r="L1183" t="str">
            <v>Practitioner - Non-Primary Care Provider (PCP)</v>
          </cell>
          <cell r="M1183" t="str">
            <v>No</v>
          </cell>
          <cell r="R1183" t="str">
            <v>BAPTISTA NETO LOURIVAL DR.</v>
          </cell>
          <cell r="W1183" t="str">
            <v>BAPTISTA -NETO LOURIVAL</v>
          </cell>
          <cell r="X1183" t="str">
            <v>3959 BROADWAY FL 6</v>
          </cell>
          <cell r="Y1183" t="str">
            <v>NEW YORK</v>
          </cell>
          <cell r="Z1183" t="str">
            <v>NY</v>
          </cell>
          <cell r="AA1183" t="str">
            <v>10032-1559</v>
          </cell>
          <cell r="AB1183" t="str">
            <v>PHYSICIAN</v>
          </cell>
          <cell r="AC1183" t="str">
            <v>M</v>
          </cell>
          <cell r="AD1183" t="str">
            <v>No</v>
          </cell>
          <cell r="AE1183" t="str">
            <v>MMIS</v>
          </cell>
          <cell r="AF1183" t="str">
            <v>nypwestcampus</v>
          </cell>
          <cell r="AG1183" t="str">
            <v>P</v>
          </cell>
        </row>
        <row r="1184">
          <cell r="A1184" t="str">
            <v>1023327269</v>
          </cell>
          <cell r="B1184" t="str">
            <v>03694626</v>
          </cell>
          <cell r="C1184" t="str">
            <v>CAMPOS, MACIEL A</v>
          </cell>
          <cell r="D1184" t="str">
            <v>E0359936</v>
          </cell>
          <cell r="E1184" t="str">
            <v>CAMPOS MACIEL A</v>
          </cell>
          <cell r="G1184" t="str">
            <v>Kathryn Spaziani</v>
          </cell>
          <cell r="H1184" t="str">
            <v>(212) 305-1190</v>
          </cell>
          <cell r="J1184" t="str">
            <v>kas9171@nyp.org</v>
          </cell>
          <cell r="L1184" t="str">
            <v>Practitioner - Non-Primary Care Provider (PCP)</v>
          </cell>
          <cell r="M1184" t="str">
            <v>No</v>
          </cell>
          <cell r="R1184" t="str">
            <v>CAMPOS MACIEL DR.</v>
          </cell>
          <cell r="W1184" t="str">
            <v>CAMPOS MACIEL ALEXANDRA</v>
          </cell>
          <cell r="X1184" t="str">
            <v>622 W 168TH ST FL 4</v>
          </cell>
          <cell r="Y1184" t="str">
            <v>NEW YORK</v>
          </cell>
          <cell r="Z1184" t="str">
            <v>NY</v>
          </cell>
          <cell r="AA1184" t="str">
            <v>10032-3720</v>
          </cell>
          <cell r="AB1184" t="str">
            <v>CLINICAL PSYCHOLOGIST</v>
          </cell>
          <cell r="AC1184" t="str">
            <v>M</v>
          </cell>
          <cell r="AD1184" t="str">
            <v>No</v>
          </cell>
          <cell r="AE1184" t="str">
            <v>MMIS</v>
          </cell>
          <cell r="AF1184" t="str">
            <v>nypwestacn</v>
          </cell>
          <cell r="AG1184" t="str">
            <v>P</v>
          </cell>
        </row>
        <row r="1185">
          <cell r="A1185" t="str">
            <v>1154343036</v>
          </cell>
          <cell r="B1185" t="str">
            <v>02784696</v>
          </cell>
          <cell r="C1185" t="str">
            <v>Merchant, Sabiha</v>
          </cell>
          <cell r="D1185" t="str">
            <v>E0021723</v>
          </cell>
          <cell r="E1185" t="str">
            <v>MERCHANT SABIHA MD</v>
          </cell>
          <cell r="G1185" t="str">
            <v>Kathryn Spaziani</v>
          </cell>
          <cell r="H1185" t="str">
            <v>(212) 305-1190</v>
          </cell>
          <cell r="J1185" t="str">
            <v>kas9171@nyp.org</v>
          </cell>
          <cell r="L1185" t="str">
            <v>All Other:: Practitioner - Non-Primary Care Provider (PCP)</v>
          </cell>
          <cell r="M1185" t="str">
            <v>No</v>
          </cell>
          <cell r="R1185" t="str">
            <v>MERCHANT SABIHA</v>
          </cell>
          <cell r="W1185" t="str">
            <v>MERCHANT SABIHA RASHIA</v>
          </cell>
          <cell r="X1185" t="str">
            <v>525 EAST 68TH STREET</v>
          </cell>
          <cell r="Y1185" t="str">
            <v>NYC</v>
          </cell>
          <cell r="Z1185" t="str">
            <v>NY</v>
          </cell>
          <cell r="AA1185" t="str">
            <v>10021</v>
          </cell>
          <cell r="AB1185" t="str">
            <v>PHYSICIAN</v>
          </cell>
          <cell r="AC1185" t="str">
            <v>M</v>
          </cell>
          <cell r="AD1185" t="str">
            <v>No</v>
          </cell>
          <cell r="AE1185" t="str">
            <v>MMIS</v>
          </cell>
          <cell r="AF1185" t="str">
            <v>nypeastcampus</v>
          </cell>
          <cell r="AG1185" t="str">
            <v>P</v>
          </cell>
        </row>
        <row r="1186">
          <cell r="A1186" t="str">
            <v>1154347888</v>
          </cell>
          <cell r="B1186" t="str">
            <v>01981837</v>
          </cell>
          <cell r="C1186" t="str">
            <v>MACAULAY, WILLIAM B</v>
          </cell>
          <cell r="D1186" t="str">
            <v>E0101874</v>
          </cell>
          <cell r="E1186" t="str">
            <v>MACAULAY WILLIAM BERNARD MD</v>
          </cell>
          <cell r="G1186" t="str">
            <v>Kathryn Spaziani</v>
          </cell>
          <cell r="H1186" t="str">
            <v>(212) 305-1190</v>
          </cell>
          <cell r="J1186" t="str">
            <v>kas9171@nyp.org</v>
          </cell>
          <cell r="L1186" t="str">
            <v>All Other:: Practitioner - Non-Primary Care Provider (PCP)</v>
          </cell>
          <cell r="M1186" t="str">
            <v>No</v>
          </cell>
          <cell r="R1186" t="str">
            <v>MACAULAY WILLIAM DR.</v>
          </cell>
          <cell r="W1186" t="str">
            <v>MACAULAY WILLIAM BERNARD MD</v>
          </cell>
          <cell r="X1186" t="str">
            <v>161 FORT WASHINGTON AVE</v>
          </cell>
          <cell r="Y1186" t="str">
            <v>NEW YORK</v>
          </cell>
          <cell r="Z1186" t="str">
            <v>NY</v>
          </cell>
          <cell r="AA1186" t="str">
            <v>10032-3729</v>
          </cell>
          <cell r="AB1186" t="str">
            <v>PHYSICIAN</v>
          </cell>
          <cell r="AC1186" t="str">
            <v>M</v>
          </cell>
          <cell r="AD1186" t="str">
            <v>No</v>
          </cell>
          <cell r="AE1186" t="str">
            <v>MMIS</v>
          </cell>
          <cell r="AF1186" t="str">
            <v>nypwestcampus</v>
          </cell>
          <cell r="AG1186" t="str">
            <v>P</v>
          </cell>
        </row>
        <row r="1187">
          <cell r="A1187" t="str">
            <v>1154358356</v>
          </cell>
          <cell r="B1187" t="str">
            <v>01015801</v>
          </cell>
          <cell r="C1187" t="str">
            <v>WASSERMAN, HAL S</v>
          </cell>
          <cell r="D1187" t="str">
            <v>E0198282</v>
          </cell>
          <cell r="E1187" t="str">
            <v>WASSERMAN HAL S            MD</v>
          </cell>
          <cell r="G1187" t="str">
            <v>Kathryn Spaziani</v>
          </cell>
          <cell r="H1187" t="str">
            <v>(212) 305-1190</v>
          </cell>
          <cell r="J1187" t="str">
            <v>kas9171@nyp.org</v>
          </cell>
          <cell r="L1187" t="str">
            <v>Practitioner - Non-Primary Care Provider (PCP)</v>
          </cell>
          <cell r="M1187" t="str">
            <v>No</v>
          </cell>
          <cell r="R1187" t="str">
            <v>WASSERMAN HAL</v>
          </cell>
          <cell r="W1187" t="str">
            <v>WASSERMAN HAL S            MD</v>
          </cell>
          <cell r="Y1187" t="str">
            <v>NEW YORK</v>
          </cell>
          <cell r="Z1187" t="str">
            <v>NY</v>
          </cell>
          <cell r="AA1187" t="str">
            <v>10032-3720</v>
          </cell>
          <cell r="AB1187" t="str">
            <v>PHYSICIAN</v>
          </cell>
          <cell r="AC1187" t="str">
            <v>M</v>
          </cell>
          <cell r="AD1187" t="str">
            <v>No</v>
          </cell>
          <cell r="AE1187" t="str">
            <v>MMIS</v>
          </cell>
          <cell r="AF1187" t="str">
            <v>nypwestcampus</v>
          </cell>
          <cell r="AG1187" t="str">
            <v>P</v>
          </cell>
        </row>
        <row r="1188">
          <cell r="A1188" t="str">
            <v>1154392504</v>
          </cell>
          <cell r="B1188" t="str">
            <v>01143131</v>
          </cell>
          <cell r="C1188" t="str">
            <v>Greenwald, Bruce</v>
          </cell>
          <cell r="D1188" t="str">
            <v>E0185568</v>
          </cell>
          <cell r="E1188" t="str">
            <v>GREENWALD BRUCE M MD</v>
          </cell>
          <cell r="G1188" t="str">
            <v>Kathryn Spaziani</v>
          </cell>
          <cell r="H1188" t="str">
            <v>(212) 305-1190</v>
          </cell>
          <cell r="J1188" t="str">
            <v>kas9171@nyp.org</v>
          </cell>
          <cell r="L1188" t="str">
            <v>Practitioner - Non-Primary Care Provider (PCP)</v>
          </cell>
          <cell r="M1188" t="str">
            <v>No</v>
          </cell>
          <cell r="R1188" t="str">
            <v>GREENWALD BRUCE</v>
          </cell>
          <cell r="W1188" t="str">
            <v>GREENWALD BRUCE M MD</v>
          </cell>
          <cell r="X1188" t="str">
            <v>RM N309</v>
          </cell>
          <cell r="Y1188" t="str">
            <v>NEW YORK</v>
          </cell>
          <cell r="Z1188" t="str">
            <v>NY</v>
          </cell>
          <cell r="AA1188" t="str">
            <v>10065-4870</v>
          </cell>
          <cell r="AB1188" t="str">
            <v>PHYSICIAN</v>
          </cell>
          <cell r="AC1188" t="str">
            <v>M</v>
          </cell>
          <cell r="AD1188" t="str">
            <v>No</v>
          </cell>
          <cell r="AE1188" t="str">
            <v>MMIS</v>
          </cell>
          <cell r="AF1188" t="str">
            <v>nypeastcampus</v>
          </cell>
          <cell r="AG1188" t="str">
            <v>P</v>
          </cell>
        </row>
        <row r="1189">
          <cell r="A1189" t="str">
            <v>1558438788</v>
          </cell>
          <cell r="B1189" t="str">
            <v>02381235</v>
          </cell>
          <cell r="C1189" t="str">
            <v>NICKOLAS, THOMAS L</v>
          </cell>
          <cell r="D1189" t="str">
            <v>E0061992</v>
          </cell>
          <cell r="E1189" t="str">
            <v>NICKOLAS THOMAS L MD</v>
          </cell>
          <cell r="G1189" t="str">
            <v>Kathryn Spaziani</v>
          </cell>
          <cell r="H1189" t="str">
            <v>(212) 305-1190</v>
          </cell>
          <cell r="J1189" t="str">
            <v>kas9171@nyp.org</v>
          </cell>
          <cell r="L1189" t="str">
            <v>Practitioner - Non-Primary Care Provider (PCP)</v>
          </cell>
          <cell r="M1189" t="str">
            <v>Yes</v>
          </cell>
          <cell r="R1189" t="str">
            <v>NICKOLAS THOMAS DR.</v>
          </cell>
          <cell r="W1189" t="str">
            <v>NICKOLAS THOMAS L</v>
          </cell>
          <cell r="X1189" t="str">
            <v>622 W 168TH ST</v>
          </cell>
          <cell r="Y1189" t="str">
            <v>NEW YORK</v>
          </cell>
          <cell r="Z1189" t="str">
            <v>NY</v>
          </cell>
          <cell r="AA1189" t="str">
            <v>10032-3720</v>
          </cell>
          <cell r="AB1189" t="str">
            <v>PHYSICIAN</v>
          </cell>
          <cell r="AC1189" t="str">
            <v>M</v>
          </cell>
          <cell r="AD1189" t="str">
            <v>No</v>
          </cell>
          <cell r="AE1189" t="str">
            <v>MMIS</v>
          </cell>
          <cell r="AF1189" t="str">
            <v>nypwestcampus</v>
          </cell>
          <cell r="AG1189" t="str">
            <v>P</v>
          </cell>
        </row>
        <row r="1190">
          <cell r="A1190" t="str">
            <v>1801837240</v>
          </cell>
          <cell r="B1190" t="str">
            <v>01220539</v>
          </cell>
          <cell r="C1190" t="str">
            <v>ELIEZRI, YEHUDA D</v>
          </cell>
          <cell r="D1190" t="str">
            <v>E0177842</v>
          </cell>
          <cell r="E1190" t="str">
            <v>ELIEZRI YEHUDA DAVID MD</v>
          </cell>
          <cell r="G1190" t="str">
            <v>Kathryn Spaziani</v>
          </cell>
          <cell r="H1190" t="str">
            <v>(212) 305-1190</v>
          </cell>
          <cell r="J1190" t="str">
            <v>kas9171@nyp.org</v>
          </cell>
          <cell r="L1190" t="str">
            <v>Practitioner - Non-Primary Care Provider (PCP)</v>
          </cell>
          <cell r="M1190" t="str">
            <v>No</v>
          </cell>
          <cell r="R1190" t="str">
            <v>ELIEZRI YEHUDA</v>
          </cell>
          <cell r="W1190" t="str">
            <v>ELIEZRI YEHUDA DAVID MD</v>
          </cell>
          <cell r="X1190" t="str">
            <v>7A MEDICAL PARK DR</v>
          </cell>
          <cell r="Y1190" t="str">
            <v>POMONA</v>
          </cell>
          <cell r="Z1190" t="str">
            <v>NY</v>
          </cell>
          <cell r="AA1190" t="str">
            <v>10970-3516</v>
          </cell>
          <cell r="AB1190" t="str">
            <v>PHYSICIAN</v>
          </cell>
          <cell r="AC1190" t="str">
            <v>M</v>
          </cell>
          <cell r="AD1190" t="str">
            <v>No</v>
          </cell>
          <cell r="AE1190" t="str">
            <v>MMIS</v>
          </cell>
          <cell r="AF1190" t="str">
            <v>nypwestacn</v>
          </cell>
          <cell r="AG1190" t="str">
            <v>P</v>
          </cell>
        </row>
        <row r="1191">
          <cell r="A1191" t="str">
            <v>1447518550</v>
          </cell>
          <cell r="B1191" t="str">
            <v>01391840</v>
          </cell>
          <cell r="C1191" t="str">
            <v>THE TRUSTEES OF COLUMBIA UNIVERSITY IN THE CITY OF NEW YORK</v>
          </cell>
          <cell r="D1191" t="str">
            <v>E0160777</v>
          </cell>
          <cell r="E1191" t="str">
            <v>COLUMBIA UNIVERSITY</v>
          </cell>
          <cell r="L1191" t="str">
            <v>All Other</v>
          </cell>
          <cell r="M1191" t="str">
            <v>No</v>
          </cell>
          <cell r="R1191" t="str">
            <v>THE TRUSTEES OF COLUMBIA UNIVERSITY IN THE CITY OF NEW YORK</v>
          </cell>
          <cell r="W1191" t="str">
            <v>TRUSTEES OF COLUMBIA UNIVERSITY IN</v>
          </cell>
          <cell r="X1191" t="str">
            <v>3959 BROADWAY</v>
          </cell>
          <cell r="Y1191" t="str">
            <v>NEW YORK</v>
          </cell>
          <cell r="Z1191" t="str">
            <v>NY</v>
          </cell>
          <cell r="AA1191" t="str">
            <v>10032-1559</v>
          </cell>
          <cell r="AB1191" t="str">
            <v>PHYSICIANS GROUP</v>
          </cell>
          <cell r="AC1191" t="str">
            <v>M</v>
          </cell>
          <cell r="AD1191" t="str">
            <v>No</v>
          </cell>
          <cell r="AE1191" t="str">
            <v>MMIS</v>
          </cell>
          <cell r="AG1191" t="str">
            <v>P</v>
          </cell>
        </row>
        <row r="1192">
          <cell r="A1192" t="str">
            <v>1225295702</v>
          </cell>
          <cell r="B1192" t="str">
            <v>03124316</v>
          </cell>
          <cell r="C1192" t="str">
            <v>Majid Adrian</v>
          </cell>
          <cell r="D1192" t="str">
            <v>E0295870</v>
          </cell>
          <cell r="E1192" t="str">
            <v>MAJID ADRIAN MOHINDER</v>
          </cell>
          <cell r="L1192" t="str">
            <v>Practitioner - Non-Primary Care Provider (PCP)</v>
          </cell>
          <cell r="M1192" t="str">
            <v>No</v>
          </cell>
          <cell r="R1192" t="str">
            <v>MAJID ADRIAN DR.</v>
          </cell>
          <cell r="W1192" t="str">
            <v>MAJID ADRIAN MOHINDER</v>
          </cell>
          <cell r="X1192" t="str">
            <v>525 E 68TH ST</v>
          </cell>
          <cell r="Y1192" t="str">
            <v>NEW YORK</v>
          </cell>
          <cell r="Z1192" t="str">
            <v>NY</v>
          </cell>
          <cell r="AA1192" t="str">
            <v>10065-4870</v>
          </cell>
          <cell r="AB1192" t="str">
            <v>PHYSICIAN</v>
          </cell>
          <cell r="AC1192" t="str">
            <v>M</v>
          </cell>
          <cell r="AD1192" t="str">
            <v>No</v>
          </cell>
          <cell r="AE1192" t="str">
            <v>MMIS</v>
          </cell>
          <cell r="AF1192" t="str">
            <v>nypeastcampus</v>
          </cell>
          <cell r="AG1192" t="str">
            <v>P</v>
          </cell>
        </row>
        <row r="1193">
          <cell r="A1193" t="str">
            <v>1083032502</v>
          </cell>
          <cell r="C1193" t="str">
            <v>Kiyatkin Michael</v>
          </cell>
          <cell r="G1193" t="str">
            <v>Kathryn Spaziani</v>
          </cell>
          <cell r="H1193" t="str">
            <v>(212) 305-1255</v>
          </cell>
          <cell r="J1193" t="str">
            <v>kas9171@nyp.org</v>
          </cell>
          <cell r="K1193" t="str">
            <v>Physician</v>
          </cell>
          <cell r="L1193" t="str">
            <v>Uncategorized</v>
          </cell>
          <cell r="M1193" t="str">
            <v>No</v>
          </cell>
          <cell r="R1193" t="str">
            <v>KIYATKIN MICHAEL DR.</v>
          </cell>
          <cell r="S1193" t="str">
            <v>622 W 168TH ST PH 5-133</v>
          </cell>
          <cell r="T1193" t="str">
            <v>NEW YORK</v>
          </cell>
          <cell r="U1193" t="str">
            <v>NY</v>
          </cell>
          <cell r="V1193" t="str">
            <v>100323720</v>
          </cell>
          <cell r="AC1193" t="str">
            <v>M</v>
          </cell>
          <cell r="AD1193" t="str">
            <v>No</v>
          </cell>
          <cell r="AE1193" t="str">
            <v>NPI only</v>
          </cell>
          <cell r="AF1193" t="str">
            <v>nypwestcampus</v>
          </cell>
          <cell r="AG1193" t="str">
            <v>P</v>
          </cell>
        </row>
        <row r="1194">
          <cell r="A1194" t="str">
            <v>1831480839</v>
          </cell>
          <cell r="C1194" t="str">
            <v>Kohler Matthew</v>
          </cell>
          <cell r="G1194" t="str">
            <v>Kathryn Spaziani</v>
          </cell>
          <cell r="H1194" t="str">
            <v>(212) 305-1255</v>
          </cell>
          <cell r="J1194" t="str">
            <v>kas9171@nyp.org</v>
          </cell>
          <cell r="K1194" t="str">
            <v>Physician</v>
          </cell>
          <cell r="L1194" t="str">
            <v>Uncategorized</v>
          </cell>
          <cell r="M1194" t="str">
            <v>No</v>
          </cell>
          <cell r="R1194" t="str">
            <v>KOHLER MATTHEW DR.</v>
          </cell>
          <cell r="S1194" t="str">
            <v>622 W 168TH ST, PH-505</v>
          </cell>
          <cell r="T1194" t="str">
            <v>NEW YORK</v>
          </cell>
          <cell r="U1194" t="str">
            <v>NY</v>
          </cell>
          <cell r="V1194" t="str">
            <v>100323720</v>
          </cell>
          <cell r="AC1194" t="str">
            <v>M</v>
          </cell>
          <cell r="AD1194" t="str">
            <v>No</v>
          </cell>
          <cell r="AE1194" t="str">
            <v>NPI only</v>
          </cell>
          <cell r="AF1194" t="str">
            <v>nypwestcampus</v>
          </cell>
          <cell r="AG1194" t="str">
            <v>P</v>
          </cell>
        </row>
        <row r="1195">
          <cell r="A1195" t="str">
            <v>1871936153</v>
          </cell>
          <cell r="C1195" t="str">
            <v>Kron Matthew</v>
          </cell>
          <cell r="G1195" t="str">
            <v>Kathryn Spaziani</v>
          </cell>
          <cell r="H1195" t="str">
            <v>(212) 305-1255</v>
          </cell>
          <cell r="J1195" t="str">
            <v>kas9171@nyp.org</v>
          </cell>
          <cell r="K1195" t="str">
            <v>Physician</v>
          </cell>
          <cell r="L1195" t="str">
            <v>Uncategorized</v>
          </cell>
          <cell r="M1195" t="str">
            <v>No</v>
          </cell>
          <cell r="R1195" t="str">
            <v>KRON MATTHEW</v>
          </cell>
          <cell r="S1195" t="str">
            <v>2437 SW ARDEN RD</v>
          </cell>
          <cell r="T1195" t="str">
            <v>PORTLAND</v>
          </cell>
          <cell r="U1195" t="str">
            <v>OR</v>
          </cell>
          <cell r="V1195" t="str">
            <v>972011601</v>
          </cell>
          <cell r="AC1195" t="str">
            <v>M</v>
          </cell>
          <cell r="AD1195" t="str">
            <v>No</v>
          </cell>
          <cell r="AE1195" t="str">
            <v>NPI only</v>
          </cell>
          <cell r="AF1195" t="str">
            <v>nypwestcampus</v>
          </cell>
          <cell r="AG1195" t="str">
            <v>P</v>
          </cell>
        </row>
        <row r="1196">
          <cell r="A1196" t="str">
            <v>1639597065</v>
          </cell>
          <cell r="C1196" t="str">
            <v>Kwong Allen</v>
          </cell>
          <cell r="G1196" t="str">
            <v>Kathryn Spaziani</v>
          </cell>
          <cell r="H1196" t="str">
            <v>(212) 305-1255</v>
          </cell>
          <cell r="J1196" t="str">
            <v>kas9171@nyp.org</v>
          </cell>
          <cell r="K1196" t="str">
            <v>Physician</v>
          </cell>
          <cell r="L1196" t="str">
            <v>Uncategorized</v>
          </cell>
          <cell r="M1196" t="str">
            <v>No</v>
          </cell>
          <cell r="R1196" t="str">
            <v>KWONG ALLEN</v>
          </cell>
          <cell r="S1196" t="str">
            <v>622 W 168TH ST, PH5-133</v>
          </cell>
          <cell r="T1196" t="str">
            <v>NEW YORK</v>
          </cell>
          <cell r="U1196" t="str">
            <v>NY</v>
          </cell>
          <cell r="V1196" t="str">
            <v>100323720</v>
          </cell>
          <cell r="AC1196" t="str">
            <v>M</v>
          </cell>
          <cell r="AD1196" t="str">
            <v>No</v>
          </cell>
          <cell r="AE1196" t="str">
            <v>NPI only</v>
          </cell>
          <cell r="AF1196" t="str">
            <v>nypwestcampus</v>
          </cell>
          <cell r="AG1196" t="str">
            <v>P</v>
          </cell>
        </row>
        <row r="1197">
          <cell r="A1197" t="str">
            <v>1558637710</v>
          </cell>
          <cell r="C1197" t="str">
            <v>Lan Victor</v>
          </cell>
          <cell r="G1197" t="str">
            <v>Kathryn Spaziani</v>
          </cell>
          <cell r="H1197" t="str">
            <v>(212) 305-1255</v>
          </cell>
          <cell r="J1197" t="str">
            <v>kas9171@nyp.org</v>
          </cell>
          <cell r="K1197" t="str">
            <v>Physician</v>
          </cell>
          <cell r="L1197" t="str">
            <v>Uncategorized</v>
          </cell>
          <cell r="M1197" t="str">
            <v>No</v>
          </cell>
          <cell r="R1197" t="str">
            <v>LAN VICTOR</v>
          </cell>
          <cell r="S1197" t="str">
            <v>622 W 168TH ST PH 5-133, COLUMBIA UNIVERSITY MEDICAL CENTER, DEPT OF ANES</v>
          </cell>
          <cell r="T1197" t="str">
            <v>NEW YORK</v>
          </cell>
          <cell r="U1197" t="str">
            <v>NY</v>
          </cell>
          <cell r="V1197" t="str">
            <v>100323720</v>
          </cell>
          <cell r="AC1197" t="str">
            <v>M</v>
          </cell>
          <cell r="AD1197" t="str">
            <v>No</v>
          </cell>
          <cell r="AE1197" t="str">
            <v>NPI only</v>
          </cell>
          <cell r="AF1197" t="str">
            <v>nypwestcampus</v>
          </cell>
          <cell r="AG1197" t="str">
            <v>P</v>
          </cell>
        </row>
        <row r="1198">
          <cell r="A1198" t="str">
            <v>1831456045</v>
          </cell>
          <cell r="C1198" t="str">
            <v>Le Giang</v>
          </cell>
          <cell r="G1198" t="str">
            <v>Kathryn Spaziani</v>
          </cell>
          <cell r="H1198" t="str">
            <v>(212) 305-1255</v>
          </cell>
          <cell r="J1198" t="str">
            <v>kas9171@nyp.org</v>
          </cell>
          <cell r="K1198" t="str">
            <v>Physician</v>
          </cell>
          <cell r="L1198" t="str">
            <v>Uncategorized</v>
          </cell>
          <cell r="M1198" t="str">
            <v>No</v>
          </cell>
          <cell r="R1198" t="str">
            <v>LE GIANG DR.</v>
          </cell>
          <cell r="S1198" t="str">
            <v>622 W 168TH ST</v>
          </cell>
          <cell r="T1198" t="str">
            <v>NEW YORK</v>
          </cell>
          <cell r="U1198" t="str">
            <v>NY</v>
          </cell>
          <cell r="V1198" t="str">
            <v>100323720</v>
          </cell>
          <cell r="AC1198" t="str">
            <v>M</v>
          </cell>
          <cell r="AD1198" t="str">
            <v>No</v>
          </cell>
          <cell r="AE1198" t="str">
            <v>NPI only</v>
          </cell>
          <cell r="AF1198" t="str">
            <v>nypwestcampus</v>
          </cell>
          <cell r="AG1198" t="str">
            <v>P</v>
          </cell>
        </row>
        <row r="1199">
          <cell r="A1199" t="str">
            <v>1073802666</v>
          </cell>
          <cell r="B1199" t="str">
            <v>04474246</v>
          </cell>
          <cell r="C1199" t="str">
            <v>Lee Angela</v>
          </cell>
          <cell r="D1199" t="str">
            <v>E0439971</v>
          </cell>
          <cell r="E1199" t="str">
            <v>LEE ANGELA CATHERINE</v>
          </cell>
          <cell r="G1199" t="str">
            <v>Kathryn Spaziani</v>
          </cell>
          <cell r="H1199" t="str">
            <v>(212) 305-1255</v>
          </cell>
          <cell r="J1199" t="str">
            <v>kas9171@nyp.org</v>
          </cell>
          <cell r="L1199" t="str">
            <v>Uncategorized</v>
          </cell>
          <cell r="M1199" t="str">
            <v>No</v>
          </cell>
          <cell r="R1199" t="str">
            <v>LEE ANGELA</v>
          </cell>
          <cell r="W1199" t="str">
            <v>LEE ANGELA CATHERINE</v>
          </cell>
          <cell r="AB1199" t="str">
            <v>PHYSICIAN</v>
          </cell>
          <cell r="AC1199" t="str">
            <v>M</v>
          </cell>
          <cell r="AD1199" t="str">
            <v>No</v>
          </cell>
          <cell r="AE1199" t="str">
            <v>MMIS</v>
          </cell>
          <cell r="AF1199" t="str">
            <v>nypwestcampus</v>
          </cell>
          <cell r="AG1199" t="str">
            <v>P</v>
          </cell>
        </row>
        <row r="1200">
          <cell r="A1200" t="str">
            <v>1033451554</v>
          </cell>
          <cell r="C1200" t="str">
            <v>Dillon Sarah</v>
          </cell>
          <cell r="G1200" t="str">
            <v>Kathryn Spaziani</v>
          </cell>
          <cell r="H1200" t="str">
            <v>(212) 305-1255</v>
          </cell>
          <cell r="J1200" t="str">
            <v>kas9171@nyp.org</v>
          </cell>
          <cell r="K1200" t="str">
            <v>Physician</v>
          </cell>
          <cell r="L1200" t="str">
            <v>Uncategorized</v>
          </cell>
          <cell r="M1200" t="str">
            <v>No</v>
          </cell>
          <cell r="R1200" t="str">
            <v>DILLON SARAH</v>
          </cell>
          <cell r="S1200" t="str">
            <v>60 PRESIDENTIAL PLZ APT 612</v>
          </cell>
          <cell r="T1200" t="str">
            <v>SYRACUSE</v>
          </cell>
          <cell r="U1200" t="str">
            <v>NY</v>
          </cell>
          <cell r="V1200" t="str">
            <v>132022432</v>
          </cell>
          <cell r="AC1200" t="str">
            <v>M</v>
          </cell>
          <cell r="AD1200" t="str">
            <v>No</v>
          </cell>
          <cell r="AE1200" t="str">
            <v>NPI only</v>
          </cell>
          <cell r="AF1200" t="str">
            <v>nypwestcampus</v>
          </cell>
          <cell r="AG1200" t="str">
            <v>P</v>
          </cell>
        </row>
        <row r="1201">
          <cell r="A1201" t="str">
            <v>1376850065</v>
          </cell>
          <cell r="B1201" t="str">
            <v>03743280</v>
          </cell>
          <cell r="C1201" t="str">
            <v>Chance Krempasky</v>
          </cell>
          <cell r="D1201" t="str">
            <v>E0363925</v>
          </cell>
          <cell r="E1201" t="str">
            <v>KREMPASKY CHANCE NICHOLAS</v>
          </cell>
          <cell r="G1201" t="str">
            <v>Corina Sharp</v>
          </cell>
          <cell r="H1201" t="str">
            <v>(212) 545-2441</v>
          </cell>
          <cell r="J1201" t="str">
            <v>csharp@chnnyc.org</v>
          </cell>
          <cell r="L1201" t="str">
            <v>All Other:: Practitioner - Non-Primary Care Provider (PCP)</v>
          </cell>
          <cell r="M1201" t="str">
            <v>Yes</v>
          </cell>
          <cell r="R1201" t="str">
            <v>KREMPASKY CHANCE</v>
          </cell>
          <cell r="W1201" t="str">
            <v>KREMPASKY CHANCE NICHOLAS</v>
          </cell>
          <cell r="X1201" t="str">
            <v>975 WESTCHESTER AVE</v>
          </cell>
          <cell r="Y1201" t="str">
            <v>BRONX</v>
          </cell>
          <cell r="Z1201" t="str">
            <v>NY</v>
          </cell>
          <cell r="AA1201" t="str">
            <v>10459-3204</v>
          </cell>
          <cell r="AB1201" t="str">
            <v>PHYSICIAN</v>
          </cell>
          <cell r="AC1201" t="str">
            <v>M</v>
          </cell>
          <cell r="AD1201" t="str">
            <v>No</v>
          </cell>
          <cell r="AE1201" t="str">
            <v>MMIS</v>
          </cell>
          <cell r="AF1201" t="str">
            <v>chn</v>
          </cell>
          <cell r="AG1201" t="str">
            <v>P</v>
          </cell>
        </row>
        <row r="1202">
          <cell r="A1202" t="str">
            <v>1487720017</v>
          </cell>
          <cell r="B1202" t="str">
            <v>02400195</v>
          </cell>
          <cell r="C1202" t="str">
            <v>Hafiz Maje</v>
          </cell>
          <cell r="D1202" t="str">
            <v>E0060108</v>
          </cell>
          <cell r="E1202" t="str">
            <v>MAJE HAFIZ</v>
          </cell>
          <cell r="G1202" t="str">
            <v>Corina Sharp</v>
          </cell>
          <cell r="H1202" t="str">
            <v>(212) 545-2441</v>
          </cell>
          <cell r="J1202" t="str">
            <v>csharp@chnnyc.org</v>
          </cell>
          <cell r="L1202" t="str">
            <v>All Other:: Practitioner - Primary Care Provider (PCP)</v>
          </cell>
          <cell r="M1202" t="str">
            <v>Yes</v>
          </cell>
          <cell r="R1202" t="str">
            <v>MAJE HAFIZ</v>
          </cell>
          <cell r="W1202" t="str">
            <v>MAJE HAFIZ</v>
          </cell>
          <cell r="X1202" t="str">
            <v>81 W 115TH ST</v>
          </cell>
          <cell r="Y1202" t="str">
            <v>NEW YORK</v>
          </cell>
          <cell r="Z1202" t="str">
            <v>NY</v>
          </cell>
          <cell r="AA1202" t="str">
            <v>10026-3138</v>
          </cell>
          <cell r="AB1202" t="str">
            <v>PHYSICIAN</v>
          </cell>
          <cell r="AC1202" t="str">
            <v>M</v>
          </cell>
          <cell r="AD1202" t="str">
            <v>No</v>
          </cell>
          <cell r="AE1202" t="str">
            <v>MMIS</v>
          </cell>
          <cell r="AF1202" t="str">
            <v>chn</v>
          </cell>
          <cell r="AG1202" t="str">
            <v>P</v>
          </cell>
        </row>
        <row r="1203">
          <cell r="A1203" t="str">
            <v>1992006514</v>
          </cell>
          <cell r="B1203" t="str">
            <v>03302036</v>
          </cell>
          <cell r="C1203" t="str">
            <v>Michelle Martin</v>
          </cell>
          <cell r="D1203" t="str">
            <v>E0315937</v>
          </cell>
          <cell r="E1203" t="str">
            <v>MARTIN MICHELLE</v>
          </cell>
          <cell r="G1203" t="str">
            <v>Corina Sharp</v>
          </cell>
          <cell r="H1203" t="str">
            <v>(212) 545-2441</v>
          </cell>
          <cell r="J1203" t="str">
            <v>csharp@chnnyc.org</v>
          </cell>
          <cell r="L1203" t="str">
            <v>All Other:: Practitioner - Primary Care Provider (PCP)</v>
          </cell>
          <cell r="M1203" t="str">
            <v>Yes</v>
          </cell>
          <cell r="R1203" t="str">
            <v>MARTIN MICHELLE</v>
          </cell>
          <cell r="W1203" t="str">
            <v>MARTIN MICHELLE</v>
          </cell>
          <cell r="X1203" t="str">
            <v>1065 SOUTHERN BLVD</v>
          </cell>
          <cell r="Y1203" t="str">
            <v>BRONX</v>
          </cell>
          <cell r="Z1203" t="str">
            <v>NY</v>
          </cell>
          <cell r="AA1203" t="str">
            <v>10459-2417</v>
          </cell>
          <cell r="AB1203" t="str">
            <v>PHYSICIAN</v>
          </cell>
          <cell r="AC1203" t="str">
            <v>M</v>
          </cell>
          <cell r="AD1203" t="str">
            <v>No</v>
          </cell>
          <cell r="AE1203" t="str">
            <v>MMIS</v>
          </cell>
          <cell r="AF1203" t="str">
            <v>chn</v>
          </cell>
          <cell r="AG1203" t="str">
            <v>P</v>
          </cell>
        </row>
        <row r="1204">
          <cell r="A1204" t="str">
            <v>1952622987</v>
          </cell>
          <cell r="B1204" t="str">
            <v>03650828</v>
          </cell>
          <cell r="C1204" t="str">
            <v>Nathan McGinnis</v>
          </cell>
          <cell r="D1204" t="str">
            <v>E0355553</v>
          </cell>
          <cell r="E1204" t="str">
            <v>MCGINNIS NATHAN LAMAR</v>
          </cell>
          <cell r="G1204" t="str">
            <v>Corina Sharp</v>
          </cell>
          <cell r="H1204" t="str">
            <v>(212) 545-2441</v>
          </cell>
          <cell r="J1204" t="str">
            <v>csharp@chnnyc.org</v>
          </cell>
          <cell r="L1204" t="str">
            <v>All Other:: Practitioner - Primary Care Provider (PCP)</v>
          </cell>
          <cell r="M1204" t="str">
            <v>Yes</v>
          </cell>
          <cell r="R1204" t="str">
            <v>MCGINNIS NATHAN DR.</v>
          </cell>
          <cell r="W1204" t="str">
            <v>MCGINNIS NATHAN LAMAR</v>
          </cell>
          <cell r="X1204" t="str">
            <v>81 W 115TH ST</v>
          </cell>
          <cell r="Y1204" t="str">
            <v>NEW YORK</v>
          </cell>
          <cell r="Z1204" t="str">
            <v>NY</v>
          </cell>
          <cell r="AA1204" t="str">
            <v>10026-3138</v>
          </cell>
          <cell r="AB1204" t="str">
            <v>PHYSICIAN</v>
          </cell>
          <cell r="AC1204" t="str">
            <v>M</v>
          </cell>
          <cell r="AD1204" t="str">
            <v>No</v>
          </cell>
          <cell r="AE1204" t="str">
            <v>MMIS</v>
          </cell>
          <cell r="AF1204" t="str">
            <v>chn</v>
          </cell>
          <cell r="AG1204" t="str">
            <v>P</v>
          </cell>
        </row>
        <row r="1205">
          <cell r="A1205" t="str">
            <v>1306085436</v>
          </cell>
          <cell r="B1205" t="str">
            <v>03107742</v>
          </cell>
          <cell r="C1205" t="str">
            <v>Neasha McMeo</v>
          </cell>
          <cell r="D1205" t="str">
            <v>E0293967</v>
          </cell>
          <cell r="E1205" t="str">
            <v>DUNCAN NEASHA</v>
          </cell>
          <cell r="G1205" t="str">
            <v>Corina Sharp</v>
          </cell>
          <cell r="H1205" t="str">
            <v>(212) 545-2441</v>
          </cell>
          <cell r="J1205" t="str">
            <v>csharp@chnnyc.org</v>
          </cell>
          <cell r="L1205" t="str">
            <v>All Other:: Practitioner - Primary Care Provider (PCP)</v>
          </cell>
          <cell r="M1205" t="str">
            <v>No</v>
          </cell>
          <cell r="R1205" t="str">
            <v>MCMEO NEASHA</v>
          </cell>
          <cell r="W1205" t="str">
            <v>MCMEO NEASHA DEANN</v>
          </cell>
          <cell r="X1205" t="str">
            <v>52 E 14TH ST</v>
          </cell>
          <cell r="Y1205" t="str">
            <v>NEW YORK</v>
          </cell>
          <cell r="Z1205" t="str">
            <v>NY</v>
          </cell>
          <cell r="AA1205" t="str">
            <v>10003-4140</v>
          </cell>
          <cell r="AB1205" t="str">
            <v>PHYSICIAN</v>
          </cell>
          <cell r="AC1205" t="str">
            <v>M</v>
          </cell>
          <cell r="AD1205" t="str">
            <v>No</v>
          </cell>
          <cell r="AE1205" t="str">
            <v>MMIS</v>
          </cell>
          <cell r="AF1205" t="str">
            <v>chn</v>
          </cell>
          <cell r="AG1205" t="str">
            <v>P</v>
          </cell>
        </row>
        <row r="1206">
          <cell r="A1206" t="str">
            <v>1295026714</v>
          </cell>
          <cell r="B1206" t="str">
            <v>03364665</v>
          </cell>
          <cell r="C1206" t="str">
            <v>Christine McPherson</v>
          </cell>
          <cell r="D1206" t="str">
            <v>E0323153</v>
          </cell>
          <cell r="E1206" t="str">
            <v>MCPHERSON CHRISTINA</v>
          </cell>
          <cell r="G1206" t="str">
            <v>Corina Sharp</v>
          </cell>
          <cell r="H1206" t="str">
            <v>(212) 545-2441</v>
          </cell>
          <cell r="J1206" t="str">
            <v>csharp@chnnyc.org</v>
          </cell>
          <cell r="L1206" t="str">
            <v>All Other:: Practitioner - Non-Primary Care Provider (PCP)</v>
          </cell>
          <cell r="M1206" t="str">
            <v>Yes</v>
          </cell>
          <cell r="R1206" t="str">
            <v>MCPHERSON CHRISTINA MS.</v>
          </cell>
          <cell r="W1206" t="str">
            <v>MCPHERSON CHRISTINA</v>
          </cell>
          <cell r="X1206" t="str">
            <v>18803 JAMAICA AVE</v>
          </cell>
          <cell r="Y1206" t="str">
            <v>HOLLIS</v>
          </cell>
          <cell r="Z1206" t="str">
            <v>NY</v>
          </cell>
          <cell r="AA1206" t="str">
            <v>11423-2511</v>
          </cell>
          <cell r="AB1206" t="str">
            <v>NURSE</v>
          </cell>
          <cell r="AC1206" t="str">
            <v>M</v>
          </cell>
          <cell r="AD1206" t="str">
            <v>No</v>
          </cell>
          <cell r="AE1206" t="str">
            <v>MMIS</v>
          </cell>
          <cell r="AF1206" t="str">
            <v>chn</v>
          </cell>
          <cell r="AG1206" t="str">
            <v>P</v>
          </cell>
        </row>
        <row r="1207">
          <cell r="A1207" t="str">
            <v>1649598731</v>
          </cell>
          <cell r="B1207" t="str">
            <v>03648120</v>
          </cell>
          <cell r="C1207" t="str">
            <v>Vyacheslav Miklheyev</v>
          </cell>
          <cell r="D1207" t="str">
            <v>E0355153</v>
          </cell>
          <cell r="E1207" t="str">
            <v>MIKHEYEV VYACHESLAV</v>
          </cell>
          <cell r="G1207" t="str">
            <v>Corina Sharp</v>
          </cell>
          <cell r="H1207" t="str">
            <v>(212) 545-2441</v>
          </cell>
          <cell r="J1207" t="str">
            <v>csharp@chnnyc.org</v>
          </cell>
          <cell r="L1207" t="str">
            <v>All Other:: Practitioner - Primary Care Provider (PCP)</v>
          </cell>
          <cell r="M1207" t="str">
            <v>Yes</v>
          </cell>
          <cell r="R1207" t="str">
            <v>MIKHEYEV VYACHESLAV</v>
          </cell>
          <cell r="W1207" t="str">
            <v>MIKHEYEV VYACHESLAV</v>
          </cell>
          <cell r="X1207" t="str">
            <v>975 WESTCHESTER AVE</v>
          </cell>
          <cell r="Y1207" t="str">
            <v>BRONX</v>
          </cell>
          <cell r="Z1207" t="str">
            <v>NY</v>
          </cell>
          <cell r="AA1207" t="str">
            <v>10459-3204</v>
          </cell>
          <cell r="AB1207" t="str">
            <v>PHYSICIAN</v>
          </cell>
          <cell r="AC1207" t="str">
            <v>M</v>
          </cell>
          <cell r="AD1207" t="str">
            <v>No</v>
          </cell>
          <cell r="AE1207" t="str">
            <v>MMIS</v>
          </cell>
          <cell r="AF1207" t="str">
            <v>chn</v>
          </cell>
          <cell r="AG1207" t="str">
            <v>P</v>
          </cell>
        </row>
        <row r="1208">
          <cell r="A1208" t="str">
            <v>1861824773</v>
          </cell>
          <cell r="B1208" t="str">
            <v>03818926</v>
          </cell>
          <cell r="C1208" t="str">
            <v>Clemaine Mitchell</v>
          </cell>
          <cell r="D1208" t="str">
            <v>E0372757</v>
          </cell>
          <cell r="E1208" t="str">
            <v>MITCHELL CLEMAINE C</v>
          </cell>
          <cell r="G1208" t="str">
            <v>Corina Sharp</v>
          </cell>
          <cell r="H1208" t="str">
            <v>(212) 545-2441</v>
          </cell>
          <cell r="J1208" t="str">
            <v>csharp@chnnyc.org</v>
          </cell>
          <cell r="L1208" t="str">
            <v>All Other:: Practitioner - Primary Care Provider (PCP)</v>
          </cell>
          <cell r="M1208" t="str">
            <v>No</v>
          </cell>
          <cell r="R1208" t="str">
            <v>MITCHELL CLEMAINE</v>
          </cell>
          <cell r="W1208" t="str">
            <v>MITCHELL CLEMAINE C</v>
          </cell>
          <cell r="X1208" t="str">
            <v>1167 NOSTRAND AVE</v>
          </cell>
          <cell r="Y1208" t="str">
            <v>BROOKLYN</v>
          </cell>
          <cell r="Z1208" t="str">
            <v>NY</v>
          </cell>
          <cell r="AA1208" t="str">
            <v>11225-5417</v>
          </cell>
          <cell r="AB1208" t="str">
            <v>PHYSICIAN</v>
          </cell>
          <cell r="AC1208" t="str">
            <v>M</v>
          </cell>
          <cell r="AD1208" t="str">
            <v>No</v>
          </cell>
          <cell r="AE1208" t="str">
            <v>MMIS</v>
          </cell>
          <cell r="AF1208" t="str">
            <v>chn</v>
          </cell>
          <cell r="AG1208" t="str">
            <v>P</v>
          </cell>
        </row>
        <row r="1209">
          <cell r="A1209" t="str">
            <v>1033290242</v>
          </cell>
          <cell r="B1209" t="str">
            <v>02080844</v>
          </cell>
          <cell r="C1209" t="str">
            <v>Sajjad Mohammad</v>
          </cell>
          <cell r="D1209" t="str">
            <v>E0091982</v>
          </cell>
          <cell r="E1209" t="str">
            <v>MOHAMMAD SAJJAD</v>
          </cell>
          <cell r="G1209" t="str">
            <v>Corina Sharp</v>
          </cell>
          <cell r="H1209" t="str">
            <v>(212) 545-2441</v>
          </cell>
          <cell r="J1209" t="str">
            <v>csharp@chnnyc.org</v>
          </cell>
          <cell r="L1209" t="str">
            <v>All Other:: Practitioner - Primary Care Provider (PCP)</v>
          </cell>
          <cell r="M1209" t="str">
            <v>Yes</v>
          </cell>
          <cell r="R1209" t="str">
            <v>MOHAMMAD SAJJAD DR.</v>
          </cell>
          <cell r="W1209" t="str">
            <v>MOHAMMAD SAJJAD</v>
          </cell>
          <cell r="X1209" t="str">
            <v>1510 WATERS PL</v>
          </cell>
          <cell r="Y1209" t="str">
            <v>BRONX</v>
          </cell>
          <cell r="Z1209" t="str">
            <v>NY</v>
          </cell>
          <cell r="AA1209" t="str">
            <v>10461-2700</v>
          </cell>
          <cell r="AB1209" t="str">
            <v>PHYSICIAN</v>
          </cell>
          <cell r="AC1209" t="str">
            <v>M</v>
          </cell>
          <cell r="AD1209" t="str">
            <v>No</v>
          </cell>
          <cell r="AE1209" t="str">
            <v>MMIS</v>
          </cell>
          <cell r="AF1209" t="str">
            <v>chn</v>
          </cell>
          <cell r="AG1209" t="str">
            <v>P</v>
          </cell>
        </row>
        <row r="1210">
          <cell r="A1210" t="str">
            <v>1134387079</v>
          </cell>
          <cell r="B1210" t="str">
            <v>03258986</v>
          </cell>
          <cell r="C1210" t="str">
            <v>Daniel Napolitano</v>
          </cell>
          <cell r="D1210" t="str">
            <v>E0311063</v>
          </cell>
          <cell r="E1210" t="str">
            <v>NAPOLITANO DANIEL LOUIS</v>
          </cell>
          <cell r="G1210" t="str">
            <v>Corina Sharp</v>
          </cell>
          <cell r="H1210" t="str">
            <v>(212) 545-2441</v>
          </cell>
          <cell r="J1210" t="str">
            <v>csharp@chnnyc.org</v>
          </cell>
          <cell r="L1210" t="str">
            <v>All Other:: Practitioner - Primary Care Provider (PCP)</v>
          </cell>
          <cell r="M1210" t="str">
            <v>Yes</v>
          </cell>
          <cell r="R1210" t="str">
            <v>NAPOLITANO DANIEL DR.</v>
          </cell>
          <cell r="W1210" t="str">
            <v>NAPOLITANO DANIEL LOUIS</v>
          </cell>
          <cell r="X1210" t="str">
            <v>16 E 16TH ST</v>
          </cell>
          <cell r="Y1210" t="str">
            <v>NEW YORK</v>
          </cell>
          <cell r="Z1210" t="str">
            <v>NY</v>
          </cell>
          <cell r="AA1210" t="str">
            <v>10003-3105</v>
          </cell>
          <cell r="AB1210" t="str">
            <v>PHYSICIAN</v>
          </cell>
          <cell r="AC1210" t="str">
            <v>M</v>
          </cell>
          <cell r="AD1210" t="str">
            <v>No</v>
          </cell>
          <cell r="AE1210" t="str">
            <v>MMIS</v>
          </cell>
          <cell r="AF1210" t="str">
            <v>chn</v>
          </cell>
          <cell r="AG1210" t="str">
            <v>P</v>
          </cell>
        </row>
        <row r="1211">
          <cell r="A1211" t="str">
            <v>1275873804</v>
          </cell>
          <cell r="B1211" t="str">
            <v>03551700</v>
          </cell>
          <cell r="C1211" t="str">
            <v>Safiyyah Okoye</v>
          </cell>
          <cell r="D1211" t="str">
            <v>E0345094</v>
          </cell>
          <cell r="E1211" t="str">
            <v>OKOYE SAFIYYAH MARYAM</v>
          </cell>
          <cell r="G1211" t="str">
            <v>Corina Sharp</v>
          </cell>
          <cell r="H1211" t="str">
            <v>(212) 545-2441</v>
          </cell>
          <cell r="J1211" t="str">
            <v>csharp@chnnyc.org</v>
          </cell>
          <cell r="L1211" t="str">
            <v>All Other:: Practitioner - Primary Care Provider (PCP)</v>
          </cell>
          <cell r="M1211" t="str">
            <v>Yes</v>
          </cell>
          <cell r="R1211" t="str">
            <v>OKOYE SAFIYYAH MS.</v>
          </cell>
          <cell r="W1211" t="str">
            <v>OKOYE SAFIYYAH MARYAM</v>
          </cell>
          <cell r="X1211" t="str">
            <v>3641 21ST ST</v>
          </cell>
          <cell r="Y1211" t="str">
            <v>LONG ISLAND CITY</v>
          </cell>
          <cell r="Z1211" t="str">
            <v>NY</v>
          </cell>
          <cell r="AA1211" t="str">
            <v>11106-4705</v>
          </cell>
          <cell r="AB1211" t="str">
            <v>PHYSICIAN</v>
          </cell>
          <cell r="AC1211" t="str">
            <v>M</v>
          </cell>
          <cell r="AD1211" t="str">
            <v>No</v>
          </cell>
          <cell r="AE1211" t="str">
            <v>MMIS</v>
          </cell>
          <cell r="AF1211" t="str">
            <v>chn</v>
          </cell>
          <cell r="AG1211" t="str">
            <v>P</v>
          </cell>
        </row>
        <row r="1212">
          <cell r="A1212" t="str">
            <v>1083700611</v>
          </cell>
          <cell r="B1212" t="str">
            <v>01780010</v>
          </cell>
          <cell r="C1212" t="str">
            <v>Rosemarie Olivera</v>
          </cell>
          <cell r="D1212" t="str">
            <v>E0122028</v>
          </cell>
          <cell r="E1212" t="str">
            <v>OLIVERA ROSEMARIE R CNM</v>
          </cell>
          <cell r="G1212" t="str">
            <v>Corina Sharp</v>
          </cell>
          <cell r="H1212" t="str">
            <v>(212) 545-2441</v>
          </cell>
          <cell r="J1212" t="str">
            <v>csharp@chnnyc.org</v>
          </cell>
          <cell r="L1212" t="str">
            <v>All Other:: Practitioner - Non-Primary Care Provider (PCP)</v>
          </cell>
          <cell r="M1212" t="str">
            <v>Yes</v>
          </cell>
          <cell r="R1212" t="str">
            <v>OLIVERA ROSEMARIE MS.</v>
          </cell>
          <cell r="W1212" t="str">
            <v>OLIVERA ROSEMARIE R CNM</v>
          </cell>
          <cell r="X1212" t="str">
            <v>60 MADISON AVE 5TH FL</v>
          </cell>
          <cell r="Y1212" t="str">
            <v>NEW YORK</v>
          </cell>
          <cell r="Z1212" t="str">
            <v>NY</v>
          </cell>
          <cell r="AA1212" t="str">
            <v>10010-1600</v>
          </cell>
          <cell r="AB1212" t="str">
            <v>NURSE</v>
          </cell>
          <cell r="AC1212" t="str">
            <v>M</v>
          </cell>
          <cell r="AD1212" t="str">
            <v>No</v>
          </cell>
          <cell r="AE1212" t="str">
            <v>MMIS</v>
          </cell>
          <cell r="AF1212" t="str">
            <v>chn</v>
          </cell>
          <cell r="AG1212" t="str">
            <v>P</v>
          </cell>
        </row>
        <row r="1213">
          <cell r="A1213" t="str">
            <v>1528155694</v>
          </cell>
          <cell r="B1213" t="str">
            <v>01665916</v>
          </cell>
          <cell r="C1213" t="str">
            <v>Fredrick Pelzman</v>
          </cell>
          <cell r="D1213" t="str">
            <v>E0133425</v>
          </cell>
          <cell r="E1213" t="str">
            <v>PELZMAN FRED NATHAN MD</v>
          </cell>
          <cell r="G1213" t="str">
            <v>Corina Sharp</v>
          </cell>
          <cell r="H1213" t="str">
            <v>(212) 545-2441</v>
          </cell>
          <cell r="J1213" t="str">
            <v>csharp@chnnyc.org</v>
          </cell>
          <cell r="L1213" t="str">
            <v>All Other:: Practitioner - Primary Care Provider (PCP)</v>
          </cell>
          <cell r="M1213" t="str">
            <v>No</v>
          </cell>
          <cell r="R1213" t="str">
            <v>PELZMAN FRED</v>
          </cell>
          <cell r="W1213" t="str">
            <v>PELZMAN FRED NATHAN MD</v>
          </cell>
          <cell r="X1213" t="str">
            <v>CORNELL INT MED ASC</v>
          </cell>
          <cell r="Y1213" t="str">
            <v>NEW YORK</v>
          </cell>
          <cell r="Z1213" t="str">
            <v>NY</v>
          </cell>
          <cell r="AA1213" t="str">
            <v>10021-4872</v>
          </cell>
          <cell r="AB1213" t="str">
            <v>PHYSICIAN</v>
          </cell>
          <cell r="AC1213" t="str">
            <v>M</v>
          </cell>
          <cell r="AD1213" t="str">
            <v>No</v>
          </cell>
          <cell r="AE1213" t="str">
            <v>MMIS</v>
          </cell>
          <cell r="AF1213" t="str">
            <v>chn</v>
          </cell>
          <cell r="AG1213" t="str">
            <v>P</v>
          </cell>
        </row>
        <row r="1214">
          <cell r="A1214" t="str">
            <v>1528231016</v>
          </cell>
          <cell r="B1214" t="str">
            <v>03417856</v>
          </cell>
          <cell r="C1214" t="str">
            <v>Jessica Petros</v>
          </cell>
          <cell r="D1214" t="str">
            <v>E0329926</v>
          </cell>
          <cell r="E1214" t="str">
            <v>PETROS JESSICA THERESA</v>
          </cell>
          <cell r="G1214" t="str">
            <v>Corina Sharp</v>
          </cell>
          <cell r="H1214" t="str">
            <v>(212) 545-2441</v>
          </cell>
          <cell r="J1214" t="str">
            <v>csharp@chnnyc.org</v>
          </cell>
          <cell r="L1214" t="str">
            <v>All Other:: Practitioner - Primary Care Provider (PCP)</v>
          </cell>
          <cell r="M1214" t="str">
            <v>Yes</v>
          </cell>
          <cell r="R1214" t="str">
            <v>PETROS JESSICA DR.</v>
          </cell>
          <cell r="W1214" t="str">
            <v>PETROS JESSICA THERESA</v>
          </cell>
          <cell r="X1214" t="str">
            <v>175 REMSEN ST FL 4</v>
          </cell>
          <cell r="Y1214" t="str">
            <v>BROOKLYN</v>
          </cell>
          <cell r="Z1214" t="str">
            <v>NY</v>
          </cell>
          <cell r="AA1214" t="str">
            <v>11201-4300</v>
          </cell>
          <cell r="AB1214" t="str">
            <v>PHYSICIAN</v>
          </cell>
          <cell r="AC1214" t="str">
            <v>M</v>
          </cell>
          <cell r="AD1214" t="str">
            <v>No</v>
          </cell>
          <cell r="AE1214" t="str">
            <v>MMIS</v>
          </cell>
          <cell r="AF1214" t="str">
            <v>chn</v>
          </cell>
          <cell r="AG1214" t="str">
            <v>P</v>
          </cell>
        </row>
        <row r="1215">
          <cell r="A1215" t="str">
            <v>1992898639</v>
          </cell>
          <cell r="B1215" t="str">
            <v>02235110</v>
          </cell>
          <cell r="C1215" t="str">
            <v>Anna Porizkova</v>
          </cell>
          <cell r="D1215" t="str">
            <v>E0076578</v>
          </cell>
          <cell r="E1215" t="str">
            <v>PORIZKOVA ANNA M</v>
          </cell>
          <cell r="G1215" t="str">
            <v>Corina Sharp</v>
          </cell>
          <cell r="H1215" t="str">
            <v>(212) 545-2441</v>
          </cell>
          <cell r="J1215" t="str">
            <v>csharp@chnnyc.org</v>
          </cell>
          <cell r="L1215" t="str">
            <v>All Other:: Practitioner - Non-Primary Care Provider (PCP)</v>
          </cell>
          <cell r="M1215" t="str">
            <v>Yes</v>
          </cell>
          <cell r="R1215" t="str">
            <v>PORIZKOVA ANNA MS.</v>
          </cell>
          <cell r="W1215" t="str">
            <v>PORIZKOVA ANNA M</v>
          </cell>
          <cell r="X1215" t="str">
            <v>3611 21ST ST</v>
          </cell>
          <cell r="Y1215" t="str">
            <v>LONG ISLAND CITY</v>
          </cell>
          <cell r="Z1215" t="str">
            <v>NY</v>
          </cell>
          <cell r="AA1215" t="str">
            <v>11106-4705</v>
          </cell>
          <cell r="AB1215" t="str">
            <v>NURSE</v>
          </cell>
          <cell r="AC1215" t="str">
            <v>M</v>
          </cell>
          <cell r="AD1215" t="str">
            <v>No</v>
          </cell>
          <cell r="AE1215" t="str">
            <v>MMIS</v>
          </cell>
          <cell r="AF1215" t="str">
            <v>chn</v>
          </cell>
          <cell r="AG1215" t="str">
            <v>P</v>
          </cell>
        </row>
        <row r="1216">
          <cell r="A1216" t="str">
            <v>1518235134</v>
          </cell>
          <cell r="B1216" t="str">
            <v>03426762</v>
          </cell>
          <cell r="C1216" t="str">
            <v>Lindsay Price</v>
          </cell>
          <cell r="D1216" t="str">
            <v>E0331091</v>
          </cell>
          <cell r="E1216" t="str">
            <v>LINDSAY N PRICE</v>
          </cell>
          <cell r="G1216" t="str">
            <v>Corina Sharp</v>
          </cell>
          <cell r="H1216" t="str">
            <v>(212) 545-2441</v>
          </cell>
          <cell r="J1216" t="str">
            <v>csharp@chnnyc.org</v>
          </cell>
          <cell r="L1216" t="str">
            <v>All Other:: Practitioner - Non-Primary Care Provider (PCP)</v>
          </cell>
          <cell r="M1216" t="str">
            <v>Yes</v>
          </cell>
          <cell r="R1216" t="str">
            <v>PRICE LINDSAY</v>
          </cell>
          <cell r="W1216" t="str">
            <v>PRICE LINDSAY NICOLE</v>
          </cell>
          <cell r="X1216" t="str">
            <v>13303 JAMAICA AVE</v>
          </cell>
          <cell r="Y1216" t="str">
            <v>RICHMOND HILL</v>
          </cell>
          <cell r="Z1216" t="str">
            <v>NY</v>
          </cell>
          <cell r="AA1216" t="str">
            <v>11418-2618</v>
          </cell>
          <cell r="AB1216" t="str">
            <v>NURSE</v>
          </cell>
          <cell r="AC1216" t="str">
            <v>M</v>
          </cell>
          <cell r="AD1216" t="str">
            <v>No</v>
          </cell>
          <cell r="AE1216" t="str">
            <v>MMIS</v>
          </cell>
          <cell r="AF1216" t="str">
            <v>chn</v>
          </cell>
          <cell r="AG1216" t="str">
            <v>P</v>
          </cell>
        </row>
        <row r="1217">
          <cell r="A1217" t="str">
            <v>1740204833</v>
          </cell>
          <cell r="B1217" t="str">
            <v>00977573</v>
          </cell>
          <cell r="C1217" t="str">
            <v>Carmen Ramis</v>
          </cell>
          <cell r="D1217" t="str">
            <v>E0202020</v>
          </cell>
          <cell r="E1217" t="str">
            <v>RAMIS CARMEN MARIA MD</v>
          </cell>
          <cell r="G1217" t="str">
            <v>Corina Sharp</v>
          </cell>
          <cell r="H1217" t="str">
            <v>(212) 545-2441</v>
          </cell>
          <cell r="J1217" t="str">
            <v>csharp@chnnyc.org</v>
          </cell>
          <cell r="L1217" t="str">
            <v>All Other:: Practitioner - Primary Care Provider (PCP)</v>
          </cell>
          <cell r="M1217" t="str">
            <v>Yes</v>
          </cell>
          <cell r="R1217" t="str">
            <v>RAMIS CARMEN DR.</v>
          </cell>
          <cell r="W1217" t="str">
            <v>RAMIS CARMEN MARIA MD</v>
          </cell>
          <cell r="X1217" t="str">
            <v>36 7TH AVE</v>
          </cell>
          <cell r="Y1217" t="str">
            <v>NEW YORK</v>
          </cell>
          <cell r="Z1217" t="str">
            <v>NY</v>
          </cell>
          <cell r="AA1217" t="str">
            <v>10011-6609</v>
          </cell>
          <cell r="AB1217" t="str">
            <v>PHYSICIAN</v>
          </cell>
          <cell r="AC1217" t="str">
            <v>M</v>
          </cell>
          <cell r="AD1217" t="str">
            <v>No</v>
          </cell>
          <cell r="AE1217" t="str">
            <v>MMIS</v>
          </cell>
          <cell r="AF1217" t="str">
            <v>chn</v>
          </cell>
          <cell r="AG1217" t="str">
            <v>P</v>
          </cell>
        </row>
        <row r="1218">
          <cell r="A1218" t="str">
            <v>1255541322</v>
          </cell>
          <cell r="B1218" t="str">
            <v>00600871</v>
          </cell>
          <cell r="C1218" t="str">
            <v>Flavia Robotti</v>
          </cell>
          <cell r="D1218" t="str">
            <v>E0239594</v>
          </cell>
          <cell r="E1218" t="str">
            <v>ROBOTTI FLAVIA             MD</v>
          </cell>
          <cell r="G1218" t="str">
            <v>Corina Sharp</v>
          </cell>
          <cell r="H1218" t="str">
            <v>(212) 545-2441</v>
          </cell>
          <cell r="J1218" t="str">
            <v>csharp@chnnyc.org</v>
          </cell>
          <cell r="L1218" t="str">
            <v>Mental Health:: Practitioner - Non-Primary Care Provider (PCP)</v>
          </cell>
          <cell r="M1218" t="str">
            <v>Yes</v>
          </cell>
          <cell r="R1218" t="str">
            <v>ROBOTTI FLAVIA</v>
          </cell>
          <cell r="W1218" t="str">
            <v>ROBOTTI FLAVIA             MD</v>
          </cell>
          <cell r="X1218" t="str">
            <v>227 E 19TH ST</v>
          </cell>
          <cell r="Y1218" t="str">
            <v>NEW YORK</v>
          </cell>
          <cell r="Z1218" t="str">
            <v>NY</v>
          </cell>
          <cell r="AA1218" t="str">
            <v>10003-2674</v>
          </cell>
          <cell r="AB1218" t="str">
            <v>PHYSICIAN</v>
          </cell>
          <cell r="AC1218" t="str">
            <v>M</v>
          </cell>
          <cell r="AD1218" t="str">
            <v>No</v>
          </cell>
          <cell r="AE1218" t="str">
            <v>MMIS</v>
          </cell>
          <cell r="AF1218" t="str">
            <v>chn</v>
          </cell>
          <cell r="AG1218" t="str">
            <v>P</v>
          </cell>
        </row>
        <row r="1219">
          <cell r="C1219" t="str">
            <v>Terrence Cardinal Cooke SNF</v>
          </cell>
          <cell r="K1219" t="str">
            <v>Residential Supports in Community Settings</v>
          </cell>
          <cell r="L1219" t="str">
            <v>CBO</v>
          </cell>
          <cell r="M1219" t="str">
            <v>No</v>
          </cell>
          <cell r="P1219" t="str">
            <v>NY</v>
          </cell>
          <cell r="AC1219" t="str">
            <v>M</v>
          </cell>
          <cell r="AD1219" t="str">
            <v>No</v>
          </cell>
          <cell r="AE1219" t="str">
            <v>No NPI or MMIS</v>
          </cell>
          <cell r="AG1219" t="str">
            <v>P</v>
          </cell>
        </row>
        <row r="1220">
          <cell r="C1220" t="str">
            <v>Terrence Cardinal Cooke OPWDD</v>
          </cell>
          <cell r="K1220" t="str">
            <v>Residential Supports in Community Settings</v>
          </cell>
          <cell r="L1220" t="str">
            <v>CBO</v>
          </cell>
          <cell r="M1220" t="str">
            <v>No</v>
          </cell>
          <cell r="P1220" t="str">
            <v>NY</v>
          </cell>
          <cell r="AC1220" t="str">
            <v>M</v>
          </cell>
          <cell r="AD1220" t="str">
            <v>No</v>
          </cell>
          <cell r="AE1220" t="str">
            <v>No NPI or MMIS</v>
          </cell>
          <cell r="AG1220" t="str">
            <v>P</v>
          </cell>
        </row>
        <row r="1221">
          <cell r="C1221" t="str">
            <v>Terence Cardinal Cooke SNF</v>
          </cell>
          <cell r="K1221" t="str">
            <v>Residential Supports in Community Settings</v>
          </cell>
          <cell r="L1221" t="str">
            <v>CBO</v>
          </cell>
          <cell r="M1221" t="str">
            <v>No</v>
          </cell>
          <cell r="P1221" t="str">
            <v>NY</v>
          </cell>
          <cell r="AC1221" t="str">
            <v>M</v>
          </cell>
          <cell r="AD1221" t="str">
            <v>No</v>
          </cell>
          <cell r="AE1221" t="str">
            <v>No NPI or MMIS</v>
          </cell>
          <cell r="AG1221" t="str">
            <v>P</v>
          </cell>
        </row>
        <row r="1222">
          <cell r="A1222" t="str">
            <v>1952644429</v>
          </cell>
          <cell r="C1222" t="str">
            <v>McTague Maura</v>
          </cell>
          <cell r="G1222" t="str">
            <v>Kathryn Spaziani</v>
          </cell>
          <cell r="H1222" t="str">
            <v>(212) 305-1255</v>
          </cell>
          <cell r="J1222" t="str">
            <v>kas9171@nyp.org</v>
          </cell>
          <cell r="K1222" t="str">
            <v>Physician</v>
          </cell>
          <cell r="L1222" t="str">
            <v>Uncategorized</v>
          </cell>
          <cell r="M1222" t="str">
            <v>No</v>
          </cell>
          <cell r="R1222" t="str">
            <v>MCTAGUE MAURA DR.</v>
          </cell>
          <cell r="S1222" t="str">
            <v>525 E 68TH ST</v>
          </cell>
          <cell r="T1222" t="str">
            <v>NEW YORK</v>
          </cell>
          <cell r="U1222" t="str">
            <v>NY</v>
          </cell>
          <cell r="V1222" t="str">
            <v>100654870</v>
          </cell>
          <cell r="AC1222" t="str">
            <v>M</v>
          </cell>
          <cell r="AD1222" t="str">
            <v>No</v>
          </cell>
          <cell r="AE1222" t="str">
            <v>NPI only</v>
          </cell>
          <cell r="AF1222" t="str">
            <v>nypeastcampus</v>
          </cell>
          <cell r="AG1222" t="str">
            <v>P</v>
          </cell>
        </row>
        <row r="1223">
          <cell r="A1223" t="str">
            <v>1245314061</v>
          </cell>
          <cell r="B1223" t="str">
            <v>02748456</v>
          </cell>
          <cell r="C1223" t="str">
            <v>Scott-Ranawake, Rebecca</v>
          </cell>
          <cell r="D1223" t="str">
            <v>E0025343</v>
          </cell>
          <cell r="E1223" t="str">
            <v>SCOTT-RANAWAKE REBECCA MD</v>
          </cell>
          <cell r="G1223" t="str">
            <v>Kathryn Spaziani</v>
          </cell>
          <cell r="H1223" t="str">
            <v>(212) 305-1190</v>
          </cell>
          <cell r="J1223" t="str">
            <v>kas9171@nyp.org</v>
          </cell>
          <cell r="L1223" t="str">
            <v>All Other:: Practitioner - Non-Primary Care Provider (PCP)</v>
          </cell>
          <cell r="M1223" t="str">
            <v>No</v>
          </cell>
          <cell r="R1223" t="str">
            <v>SCOTT-RANAWAKE REBECCA DR.</v>
          </cell>
          <cell r="W1223" t="str">
            <v>SCOTT-RANAWAKE REBECCA MD</v>
          </cell>
          <cell r="X1223" t="str">
            <v>525 E 68TH ST</v>
          </cell>
          <cell r="Y1223" t="str">
            <v>NEW YORK</v>
          </cell>
          <cell r="Z1223" t="str">
            <v>NY</v>
          </cell>
          <cell r="AA1223" t="str">
            <v>10065-4870</v>
          </cell>
          <cell r="AB1223" t="str">
            <v>PHYSICIAN</v>
          </cell>
          <cell r="AC1223" t="str">
            <v>M</v>
          </cell>
          <cell r="AD1223" t="str">
            <v>No</v>
          </cell>
          <cell r="AE1223" t="str">
            <v>MMIS</v>
          </cell>
          <cell r="AF1223" t="str">
            <v>nypeastcampus</v>
          </cell>
          <cell r="AG1223" t="str">
            <v>P</v>
          </cell>
        </row>
        <row r="1224">
          <cell r="A1224" t="str">
            <v>1548397870</v>
          </cell>
          <cell r="B1224" t="str">
            <v>01811265</v>
          </cell>
          <cell r="C1224" t="str">
            <v>Hamele-Bena Diane</v>
          </cell>
          <cell r="D1224" t="str">
            <v>E0118911</v>
          </cell>
          <cell r="E1224" t="str">
            <v>HAMELE-BENA DIANE</v>
          </cell>
          <cell r="L1224" t="str">
            <v>All Other:: Practitioner - Non-Primary Care Provider (PCP)</v>
          </cell>
          <cell r="M1224" t="str">
            <v>No</v>
          </cell>
          <cell r="R1224" t="str">
            <v>HAMELE-BENA DIANE</v>
          </cell>
          <cell r="W1224" t="str">
            <v>HAMELE-BENA DIANE</v>
          </cell>
          <cell r="X1224" t="str">
            <v>HAMELE-BENA DIANE</v>
          </cell>
          <cell r="Y1224" t="str">
            <v>NEW YORK</v>
          </cell>
          <cell r="Z1224" t="str">
            <v>NY</v>
          </cell>
          <cell r="AA1224" t="str">
            <v>10032-3720</v>
          </cell>
          <cell r="AB1224" t="str">
            <v>PHYSICIAN</v>
          </cell>
          <cell r="AC1224" t="str">
            <v>M</v>
          </cell>
          <cell r="AD1224" t="str">
            <v>No</v>
          </cell>
          <cell r="AE1224" t="str">
            <v>MMIS</v>
          </cell>
          <cell r="AF1224" t="str">
            <v>nypwestcampus</v>
          </cell>
          <cell r="AG1224" t="str">
            <v>P</v>
          </cell>
        </row>
        <row r="1225">
          <cell r="A1225" t="str">
            <v>1043403827</v>
          </cell>
          <cell r="B1225" t="str">
            <v>03117879</v>
          </cell>
          <cell r="C1225" t="str">
            <v>Harik Lara</v>
          </cell>
          <cell r="D1225" t="str">
            <v>E0295145</v>
          </cell>
          <cell r="E1225" t="str">
            <v>HARIK LARA</v>
          </cell>
          <cell r="L1225" t="str">
            <v>All Other:: Practitioner - Non-Primary Care Provider (PCP)</v>
          </cell>
          <cell r="M1225" t="str">
            <v>No</v>
          </cell>
          <cell r="R1225" t="str">
            <v>HARIK LARA</v>
          </cell>
          <cell r="W1225" t="str">
            <v>HARIK LARA</v>
          </cell>
          <cell r="X1225" t="str">
            <v>622 WEST 168TH STREE</v>
          </cell>
          <cell r="Y1225" t="str">
            <v>NEW YORK</v>
          </cell>
          <cell r="Z1225" t="str">
            <v>NY</v>
          </cell>
          <cell r="AA1225" t="str">
            <v>10032</v>
          </cell>
          <cell r="AB1225" t="str">
            <v>PHYSICIAN</v>
          </cell>
          <cell r="AC1225" t="str">
            <v>M</v>
          </cell>
          <cell r="AD1225" t="str">
            <v>No</v>
          </cell>
          <cell r="AE1225" t="str">
            <v>MMIS</v>
          </cell>
          <cell r="AG1225" t="str">
            <v>P</v>
          </cell>
        </row>
        <row r="1226">
          <cell r="A1226" t="str">
            <v>1346426772</v>
          </cell>
          <cell r="C1226" t="str">
            <v>Denison Keith</v>
          </cell>
          <cell r="G1226" t="str">
            <v>Kathryn Spaziani</v>
          </cell>
          <cell r="H1226" t="str">
            <v>(212) 305-1255</v>
          </cell>
          <cell r="J1226" t="str">
            <v>kas9171@nyp.org</v>
          </cell>
          <cell r="K1226" t="str">
            <v>Physician</v>
          </cell>
          <cell r="L1226" t="str">
            <v>Uncategorized</v>
          </cell>
          <cell r="M1226" t="str">
            <v>No</v>
          </cell>
          <cell r="R1226" t="str">
            <v>DENISON KEITH</v>
          </cell>
          <cell r="S1226" t="str">
            <v>525 E 68TH ST, A-1015</v>
          </cell>
          <cell r="T1226" t="str">
            <v>NEW YORK</v>
          </cell>
          <cell r="U1226" t="str">
            <v>NY</v>
          </cell>
          <cell r="V1226" t="str">
            <v>100654870</v>
          </cell>
          <cell r="AC1226" t="str">
            <v>M</v>
          </cell>
          <cell r="AD1226" t="str">
            <v>No</v>
          </cell>
          <cell r="AE1226" t="str">
            <v>NPI only</v>
          </cell>
          <cell r="AF1226" t="str">
            <v>nypeastcampus</v>
          </cell>
          <cell r="AG1226" t="str">
            <v>P</v>
          </cell>
        </row>
        <row r="1227">
          <cell r="A1227" t="str">
            <v>1083701163</v>
          </cell>
          <cell r="B1227" t="str">
            <v>02110901</v>
          </cell>
          <cell r="C1227" t="str">
            <v>Dhar Panchali</v>
          </cell>
          <cell r="D1227" t="str">
            <v>E0088978</v>
          </cell>
          <cell r="E1227" t="str">
            <v>DHAR PANCHALI MD</v>
          </cell>
          <cell r="L1227" t="str">
            <v>All Other:: Practitioner - Non-Primary Care Provider (PCP)</v>
          </cell>
          <cell r="M1227" t="str">
            <v>No</v>
          </cell>
          <cell r="R1227" t="str">
            <v>DHAR PANCHALI</v>
          </cell>
          <cell r="W1227" t="str">
            <v>DHAR PANCHALI MD</v>
          </cell>
          <cell r="X1227" t="str">
            <v>525 E 68TH ST</v>
          </cell>
          <cell r="Y1227" t="str">
            <v>NEW YORK</v>
          </cell>
          <cell r="Z1227" t="str">
            <v>NY</v>
          </cell>
          <cell r="AA1227" t="str">
            <v>10065-4870</v>
          </cell>
          <cell r="AB1227" t="str">
            <v>PHYSICIAN</v>
          </cell>
          <cell r="AC1227" t="str">
            <v>M</v>
          </cell>
          <cell r="AD1227" t="str">
            <v>No</v>
          </cell>
          <cell r="AE1227" t="str">
            <v>MMIS</v>
          </cell>
          <cell r="AF1227" t="str">
            <v>nypeastcampus</v>
          </cell>
          <cell r="AG1227" t="str">
            <v>P</v>
          </cell>
        </row>
        <row r="1228">
          <cell r="A1228" t="str">
            <v>1265433189</v>
          </cell>
          <cell r="C1228" t="str">
            <v>DiGioia Denise</v>
          </cell>
          <cell r="G1228" t="str">
            <v>Kathryn Spaziani</v>
          </cell>
          <cell r="H1228" t="str">
            <v>(212) 305-1255</v>
          </cell>
          <cell r="J1228" t="str">
            <v>kas9171@nyp.org</v>
          </cell>
          <cell r="K1228" t="str">
            <v>Physician</v>
          </cell>
          <cell r="L1228" t="str">
            <v>Practitioner - Non-Primary Care Provider (PCP)</v>
          </cell>
          <cell r="M1228" t="str">
            <v>No</v>
          </cell>
          <cell r="R1228" t="str">
            <v>DIGIOIA DENISE</v>
          </cell>
          <cell r="S1228" t="str">
            <v>400 E MAIN ST, NORTHERN WESTCHESTER HOSPITAL</v>
          </cell>
          <cell r="T1228" t="str">
            <v>MOUNT KISCO</v>
          </cell>
          <cell r="U1228" t="str">
            <v>NY</v>
          </cell>
          <cell r="V1228" t="str">
            <v>105493417</v>
          </cell>
          <cell r="AC1228" t="str">
            <v>M</v>
          </cell>
          <cell r="AD1228" t="str">
            <v>No</v>
          </cell>
          <cell r="AE1228" t="str">
            <v>NPI only</v>
          </cell>
          <cell r="AF1228" t="str">
            <v>nypeastcampus</v>
          </cell>
          <cell r="AG1228" t="str">
            <v>P</v>
          </cell>
        </row>
        <row r="1229">
          <cell r="A1229" t="str">
            <v>1356553010</v>
          </cell>
          <cell r="B1229" t="str">
            <v>02741862</v>
          </cell>
          <cell r="C1229" t="str">
            <v>DORWIE, FLORENCE M</v>
          </cell>
          <cell r="D1229" t="str">
            <v>E0026002</v>
          </cell>
          <cell r="E1229" t="str">
            <v>DORWIE FLORENCE</v>
          </cell>
          <cell r="G1229" t="str">
            <v>Kathryn Spaziani</v>
          </cell>
          <cell r="H1229" t="str">
            <v>(212) 305-1190</v>
          </cell>
          <cell r="J1229" t="str">
            <v>kas9171@nyp.org</v>
          </cell>
          <cell r="L1229" t="str">
            <v>Practitioner - Primary Care Provider (PCP)</v>
          </cell>
          <cell r="M1229" t="str">
            <v>No</v>
          </cell>
          <cell r="R1229" t="str">
            <v>DORWIE FLORANCE MS.</v>
          </cell>
          <cell r="W1229" t="str">
            <v>DORWIE FLORENCE</v>
          </cell>
          <cell r="X1229" t="str">
            <v>622 W 168TH ST</v>
          </cell>
          <cell r="Y1229" t="str">
            <v>NEW YORK</v>
          </cell>
          <cell r="Z1229" t="str">
            <v>NY</v>
          </cell>
          <cell r="AA1229" t="str">
            <v>10032-3720</v>
          </cell>
          <cell r="AB1229" t="str">
            <v>PHYSICIAN</v>
          </cell>
          <cell r="AC1229" t="str">
            <v>M</v>
          </cell>
          <cell r="AD1229" t="str">
            <v>No</v>
          </cell>
          <cell r="AE1229" t="str">
            <v>MMIS</v>
          </cell>
          <cell r="AF1229" t="str">
            <v>nypwestacn</v>
          </cell>
          <cell r="AG1229" t="str">
            <v>P</v>
          </cell>
        </row>
        <row r="1230">
          <cell r="A1230" t="str">
            <v>1407986144</v>
          </cell>
          <cell r="B1230" t="str">
            <v>03021863</v>
          </cell>
          <cell r="C1230" t="str">
            <v>BAKER, JASON C</v>
          </cell>
          <cell r="D1230" t="str">
            <v>E0284149</v>
          </cell>
          <cell r="E1230" t="str">
            <v>BAKER JASON</v>
          </cell>
          <cell r="G1230" t="str">
            <v>Kathryn Spaziani</v>
          </cell>
          <cell r="H1230" t="str">
            <v>(212) 305-1190</v>
          </cell>
          <cell r="J1230" t="str">
            <v>kas9171@nyp.org</v>
          </cell>
          <cell r="L1230" t="str">
            <v>All Other:: Practitioner - Non-Primary Care Provider (PCP)</v>
          </cell>
          <cell r="M1230" t="str">
            <v>No</v>
          </cell>
          <cell r="R1230" t="str">
            <v>BAKER JASON DR.</v>
          </cell>
          <cell r="W1230" t="str">
            <v>BAKER JASON CROSBY MD</v>
          </cell>
          <cell r="X1230" t="str">
            <v>505 EAST 70TH STREET</v>
          </cell>
          <cell r="Y1230" t="str">
            <v>NEW YORK</v>
          </cell>
          <cell r="Z1230" t="str">
            <v>NY</v>
          </cell>
          <cell r="AA1230" t="str">
            <v>10021-4872</v>
          </cell>
          <cell r="AB1230" t="str">
            <v>PHYSICIAN</v>
          </cell>
          <cell r="AC1230" t="str">
            <v>M</v>
          </cell>
          <cell r="AD1230" t="str">
            <v>No</v>
          </cell>
          <cell r="AE1230" t="str">
            <v>MMIS</v>
          </cell>
          <cell r="AF1230" t="str">
            <v>nypeastacn</v>
          </cell>
          <cell r="AG1230" t="str">
            <v>P</v>
          </cell>
        </row>
        <row r="1231">
          <cell r="A1231" t="str">
            <v>1902933807</v>
          </cell>
          <cell r="B1231" t="str">
            <v>02862917</v>
          </cell>
          <cell r="C1231" t="str">
            <v>Remotti Helen</v>
          </cell>
          <cell r="D1231" t="str">
            <v>E0013907</v>
          </cell>
          <cell r="E1231" t="str">
            <v>REMOTTI HELEN</v>
          </cell>
          <cell r="L1231" t="str">
            <v>All Other:: Practitioner - Non-Primary Care Provider (PCP)</v>
          </cell>
          <cell r="M1231" t="str">
            <v>No</v>
          </cell>
          <cell r="R1231" t="str">
            <v>REMOTTI HELEN</v>
          </cell>
          <cell r="W1231" t="str">
            <v>REMOTTI HELEN</v>
          </cell>
          <cell r="X1231" t="str">
            <v>630 W 168TH ST STE P</v>
          </cell>
          <cell r="Y1231" t="str">
            <v>NEW YORK</v>
          </cell>
          <cell r="Z1231" t="str">
            <v>NY</v>
          </cell>
          <cell r="AA1231" t="str">
            <v>10032-3725</v>
          </cell>
          <cell r="AB1231" t="str">
            <v>PHYSICIAN</v>
          </cell>
          <cell r="AC1231" t="str">
            <v>M</v>
          </cell>
          <cell r="AD1231" t="str">
            <v>No</v>
          </cell>
          <cell r="AE1231" t="str">
            <v>MMIS</v>
          </cell>
          <cell r="AF1231" t="str">
            <v>nypwestcampus</v>
          </cell>
          <cell r="AG1231" t="str">
            <v>P</v>
          </cell>
        </row>
        <row r="1232">
          <cell r="A1232" t="str">
            <v>1285933457</v>
          </cell>
          <cell r="C1232" t="str">
            <v>Eskreis-Winkler Sarah</v>
          </cell>
          <cell r="G1232" t="str">
            <v>Kathryn Spaziani</v>
          </cell>
          <cell r="H1232" t="str">
            <v>(212) 305-1255</v>
          </cell>
          <cell r="J1232" t="str">
            <v>kas9171@nyp.org</v>
          </cell>
          <cell r="K1232" t="str">
            <v>Physician</v>
          </cell>
          <cell r="L1232" t="str">
            <v>Uncategorized</v>
          </cell>
          <cell r="M1232" t="str">
            <v>No</v>
          </cell>
          <cell r="R1232" t="str">
            <v>ESKREIS-WINKLER SARAH</v>
          </cell>
          <cell r="S1232" t="str">
            <v>5645 MAIN ST</v>
          </cell>
          <cell r="T1232" t="str">
            <v>FLUSHING</v>
          </cell>
          <cell r="U1232" t="str">
            <v>NY</v>
          </cell>
          <cell r="V1232" t="str">
            <v>113555045</v>
          </cell>
          <cell r="AC1232" t="str">
            <v>M</v>
          </cell>
          <cell r="AD1232" t="str">
            <v>No</v>
          </cell>
          <cell r="AE1232" t="str">
            <v>NPI only</v>
          </cell>
          <cell r="AF1232" t="str">
            <v>nypeastcampus</v>
          </cell>
          <cell r="AG1232" t="str">
            <v>P</v>
          </cell>
        </row>
        <row r="1233">
          <cell r="A1233" t="str">
            <v>1497807770</v>
          </cell>
          <cell r="B1233" t="str">
            <v>02143066</v>
          </cell>
          <cell r="C1233" t="str">
            <v>ELIAS, RICHARD L</v>
          </cell>
          <cell r="D1233" t="str">
            <v>E0085767</v>
          </cell>
          <cell r="E1233" t="str">
            <v>ELIAS RICHARD L DMD</v>
          </cell>
          <cell r="G1233" t="str">
            <v>Kathryn Spaziani</v>
          </cell>
          <cell r="H1233" t="str">
            <v>(212) 305-1190</v>
          </cell>
          <cell r="J1233" t="str">
            <v>kas9171@nyp.org</v>
          </cell>
          <cell r="L1233" t="str">
            <v>Practitioner - Non-Primary Care Provider (PCP)</v>
          </cell>
          <cell r="M1233" t="str">
            <v>No</v>
          </cell>
          <cell r="R1233" t="str">
            <v>ELIAS RICHARD DR.</v>
          </cell>
          <cell r="W1233" t="str">
            <v>ELIAS RICHARD L DMD</v>
          </cell>
          <cell r="X1233" t="str">
            <v>ANNENBERS 2 DPT OMFS</v>
          </cell>
          <cell r="Y1233" t="str">
            <v>NEW YORK</v>
          </cell>
          <cell r="Z1233" t="str">
            <v>NY</v>
          </cell>
          <cell r="AA1233" t="str">
            <v>10029-6500</v>
          </cell>
          <cell r="AB1233" t="str">
            <v>DENTIST</v>
          </cell>
          <cell r="AC1233" t="str">
            <v>M</v>
          </cell>
          <cell r="AD1233" t="str">
            <v>No</v>
          </cell>
          <cell r="AE1233" t="str">
            <v>MMIS</v>
          </cell>
          <cell r="AF1233" t="str">
            <v>nypeastacn</v>
          </cell>
          <cell r="AG1233" t="str">
            <v>P</v>
          </cell>
        </row>
        <row r="1234">
          <cell r="A1234" t="str">
            <v>1538588330</v>
          </cell>
          <cell r="C1234" t="str">
            <v xml:space="preserve">MARGOLIS, AMY </v>
          </cell>
          <cell r="G1234" t="str">
            <v>Kathryn Spaziani</v>
          </cell>
          <cell r="H1234" t="str">
            <v>(212) 305-1190</v>
          </cell>
          <cell r="J1234" t="str">
            <v>kas9171@nyp.org</v>
          </cell>
          <cell r="K1234" t="str">
            <v>Physician</v>
          </cell>
          <cell r="L1234" t="str">
            <v>Uncategorized</v>
          </cell>
          <cell r="M1234" t="str">
            <v>No</v>
          </cell>
          <cell r="R1234" t="str">
            <v>MARGOLIS AMY</v>
          </cell>
          <cell r="S1234" t="str">
            <v>142 JORALEMON ST, # 3 E</v>
          </cell>
          <cell r="T1234" t="str">
            <v>BROOKLYN</v>
          </cell>
          <cell r="U1234" t="str">
            <v>NY</v>
          </cell>
          <cell r="V1234" t="str">
            <v>112014747</v>
          </cell>
          <cell r="AC1234" t="str">
            <v>M</v>
          </cell>
          <cell r="AD1234" t="str">
            <v>No</v>
          </cell>
          <cell r="AE1234" t="str">
            <v>NPI only</v>
          </cell>
          <cell r="AF1234" t="str">
            <v>nypother</v>
          </cell>
          <cell r="AG1234" t="str">
            <v>P</v>
          </cell>
        </row>
        <row r="1235">
          <cell r="A1235" t="str">
            <v>1063531432</v>
          </cell>
          <cell r="B1235" t="str">
            <v>02959855</v>
          </cell>
          <cell r="C1235" t="str">
            <v>Stone, Anne</v>
          </cell>
          <cell r="D1235" t="str">
            <v>E0004141</v>
          </cell>
          <cell r="E1235" t="str">
            <v>STONE ANNE  E</v>
          </cell>
          <cell r="G1235" t="str">
            <v>Kathryn Spaziani</v>
          </cell>
          <cell r="H1235" t="str">
            <v>(212) 305-1190</v>
          </cell>
          <cell r="J1235" t="str">
            <v>kas9171@nyp.org</v>
          </cell>
          <cell r="L1235" t="str">
            <v>Practitioner - Non-Primary Care Provider (PCP)</v>
          </cell>
          <cell r="M1235" t="str">
            <v>Yes</v>
          </cell>
          <cell r="R1235" t="str">
            <v>STONE ANNE</v>
          </cell>
          <cell r="W1235" t="str">
            <v>STONE ANNE  E MD</v>
          </cell>
          <cell r="X1235" t="str">
            <v>525 E 68TH ST</v>
          </cell>
          <cell r="Y1235" t="str">
            <v>NEW YORK</v>
          </cell>
          <cell r="Z1235" t="str">
            <v>NY</v>
          </cell>
          <cell r="AA1235" t="str">
            <v>10065-4870</v>
          </cell>
          <cell r="AB1235" t="str">
            <v>PHYSICIAN</v>
          </cell>
          <cell r="AC1235" t="str">
            <v>M</v>
          </cell>
          <cell r="AD1235" t="str">
            <v>No</v>
          </cell>
          <cell r="AE1235" t="str">
            <v>MMIS</v>
          </cell>
          <cell r="AF1235" t="str">
            <v>nypeastcampus</v>
          </cell>
          <cell r="AG1235" t="str">
            <v>P</v>
          </cell>
        </row>
        <row r="1236">
          <cell r="A1236" t="str">
            <v>1275758765</v>
          </cell>
          <cell r="B1236" t="str">
            <v>02941913</v>
          </cell>
          <cell r="C1236" t="str">
            <v>LEVY, OREN A</v>
          </cell>
          <cell r="D1236" t="str">
            <v>E0002162</v>
          </cell>
          <cell r="E1236" t="str">
            <v>LEVY OREN A MD</v>
          </cell>
          <cell r="G1236" t="str">
            <v>Kathryn Spaziani</v>
          </cell>
          <cell r="H1236" t="str">
            <v>(212) 305-1190</v>
          </cell>
          <cell r="J1236" t="str">
            <v>kas9171@nyp.org</v>
          </cell>
          <cell r="L1236" t="str">
            <v>Practitioner - Non-Primary Care Provider (PCP)</v>
          </cell>
          <cell r="M1236" t="str">
            <v>No</v>
          </cell>
          <cell r="R1236" t="str">
            <v>LEVY OREN DR.</v>
          </cell>
          <cell r="W1236" t="str">
            <v>LEVY OREN ABRAHAM MD</v>
          </cell>
          <cell r="X1236" t="str">
            <v>710 W 168TH ST</v>
          </cell>
          <cell r="Y1236" t="str">
            <v>NEW YORK</v>
          </cell>
          <cell r="Z1236" t="str">
            <v>NY</v>
          </cell>
          <cell r="AA1236" t="str">
            <v>10032-3726</v>
          </cell>
          <cell r="AB1236" t="str">
            <v>PHYSICIAN</v>
          </cell>
          <cell r="AC1236" t="str">
            <v>M</v>
          </cell>
          <cell r="AD1236" t="str">
            <v>No</v>
          </cell>
          <cell r="AE1236" t="str">
            <v>MMIS</v>
          </cell>
          <cell r="AF1236" t="str">
            <v>nypwestcampus</v>
          </cell>
          <cell r="AG1236" t="str">
            <v>P</v>
          </cell>
        </row>
        <row r="1237">
          <cell r="A1237" t="str">
            <v>1629311741</v>
          </cell>
          <cell r="C1237" t="str">
            <v>Lukovic Elvedin</v>
          </cell>
          <cell r="G1237" t="str">
            <v>Kathryn Spaziani</v>
          </cell>
          <cell r="H1237" t="str">
            <v>(212) 305-1255</v>
          </cell>
          <cell r="J1237" t="str">
            <v>kas9171@nyp.org</v>
          </cell>
          <cell r="K1237" t="str">
            <v>Physician</v>
          </cell>
          <cell r="L1237" t="str">
            <v>Uncategorized</v>
          </cell>
          <cell r="M1237" t="str">
            <v>No</v>
          </cell>
          <cell r="R1237" t="str">
            <v>LUKOVIC ELVEDIN DR.</v>
          </cell>
          <cell r="S1237" t="str">
            <v>100 BLEECKER ST, APT 10C</v>
          </cell>
          <cell r="T1237" t="str">
            <v>NEW YORK</v>
          </cell>
          <cell r="U1237" t="str">
            <v>NY</v>
          </cell>
          <cell r="V1237" t="str">
            <v>100122202</v>
          </cell>
          <cell r="AC1237" t="str">
            <v>M</v>
          </cell>
          <cell r="AD1237" t="str">
            <v>No</v>
          </cell>
          <cell r="AE1237" t="str">
            <v>NPI only</v>
          </cell>
          <cell r="AF1237" t="str">
            <v>nypwestcampus</v>
          </cell>
          <cell r="AG1237" t="str">
            <v>P</v>
          </cell>
        </row>
        <row r="1238">
          <cell r="A1238" t="str">
            <v>1376529420</v>
          </cell>
          <cell r="B1238" t="str">
            <v>01694655</v>
          </cell>
          <cell r="C1238" t="str">
            <v>KOSTACOS, CONNIE H</v>
          </cell>
          <cell r="D1238" t="str">
            <v>E0130555</v>
          </cell>
          <cell r="E1238" t="str">
            <v>KOSTACOS CONNIE</v>
          </cell>
          <cell r="G1238" t="str">
            <v>Kathryn Spaziani</v>
          </cell>
          <cell r="H1238" t="str">
            <v>(212) 305-1190</v>
          </cell>
          <cell r="J1238" t="str">
            <v>kas9171@nyp.org</v>
          </cell>
          <cell r="L1238" t="str">
            <v>All Other:: Practitioner - Primary Care Provider (PCP)</v>
          </cell>
          <cell r="M1238" t="str">
            <v>Yes</v>
          </cell>
          <cell r="R1238" t="str">
            <v>KOSTACOS CONNIE DR.</v>
          </cell>
          <cell r="W1238" t="str">
            <v>KOSTACOS CONNIE</v>
          </cell>
          <cell r="X1238" t="str">
            <v>PH 1-137</v>
          </cell>
          <cell r="Y1238" t="str">
            <v>NEW YORK</v>
          </cell>
          <cell r="Z1238" t="str">
            <v>NY</v>
          </cell>
          <cell r="AA1238" t="str">
            <v>10032-3720</v>
          </cell>
          <cell r="AB1238" t="str">
            <v>PHYSICIAN</v>
          </cell>
          <cell r="AC1238" t="str">
            <v>M</v>
          </cell>
          <cell r="AD1238" t="str">
            <v>No</v>
          </cell>
          <cell r="AE1238" t="str">
            <v>MMIS</v>
          </cell>
          <cell r="AF1238" t="str">
            <v>nypwestcampus</v>
          </cell>
          <cell r="AG1238" t="str">
            <v>P</v>
          </cell>
        </row>
        <row r="1239">
          <cell r="C1239" t="str">
            <v>New York Legal Assistance Group</v>
          </cell>
          <cell r="G1239" t="str">
            <v>Elizabeth O. Breslin</v>
          </cell>
          <cell r="J1239" t="str">
            <v>BBreslin@nylag.org</v>
          </cell>
          <cell r="K1239" t="str">
            <v>Family Peer Support Services</v>
          </cell>
          <cell r="L1239" t="str">
            <v>CBO</v>
          </cell>
          <cell r="M1239" t="str">
            <v>No</v>
          </cell>
          <cell r="AC1239" t="str">
            <v>M</v>
          </cell>
          <cell r="AD1239" t="str">
            <v>No</v>
          </cell>
          <cell r="AE1239" t="str">
            <v>No NPI or MMIS</v>
          </cell>
          <cell r="AG1239" t="str">
            <v>P</v>
          </cell>
        </row>
        <row r="1240">
          <cell r="A1240" t="str">
            <v>1740433978</v>
          </cell>
          <cell r="B1240" t="str">
            <v>03477965</v>
          </cell>
          <cell r="C1240" t="str">
            <v>Akash Shah</v>
          </cell>
          <cell r="D1240" t="str">
            <v>E0336303</v>
          </cell>
          <cell r="E1240" t="str">
            <v>SHAH AKASH</v>
          </cell>
          <cell r="G1240" t="str">
            <v>Kathryn Spaziani</v>
          </cell>
          <cell r="H1240" t="str">
            <v>(212) 305-1261</v>
          </cell>
          <cell r="J1240" t="str">
            <v>kas9171@nyp.org</v>
          </cell>
          <cell r="L1240" t="str">
            <v>All Other:: Practitioner - Non-Primary Care Provider (PCP)</v>
          </cell>
          <cell r="M1240" t="str">
            <v>No</v>
          </cell>
          <cell r="R1240" t="str">
            <v>SHAH AKASH</v>
          </cell>
          <cell r="W1240" t="str">
            <v>SHAH AKASH DEELIP</v>
          </cell>
          <cell r="X1240" t="str">
            <v>622 W 168TH ST</v>
          </cell>
          <cell r="Y1240" t="str">
            <v>NEW YORK</v>
          </cell>
          <cell r="Z1240" t="str">
            <v>NY</v>
          </cell>
          <cell r="AA1240" t="str">
            <v>10032-3720</v>
          </cell>
          <cell r="AB1240" t="str">
            <v>PHYSICIAN</v>
          </cell>
          <cell r="AC1240" t="str">
            <v>M</v>
          </cell>
          <cell r="AD1240" t="str">
            <v>No</v>
          </cell>
          <cell r="AE1240" t="str">
            <v>MMIS</v>
          </cell>
          <cell r="AF1240" t="str">
            <v>nypwestcampus</v>
          </cell>
          <cell r="AG1240" t="str">
            <v>P</v>
          </cell>
        </row>
        <row r="1241">
          <cell r="A1241" t="str">
            <v>1891901070</v>
          </cell>
          <cell r="B1241" t="str">
            <v>03235729</v>
          </cell>
          <cell r="C1241" t="str">
            <v>Pallavi S. Utukuri</v>
          </cell>
          <cell r="D1241" t="str">
            <v>E0308438</v>
          </cell>
          <cell r="E1241" t="str">
            <v>PALLAVI S UTUKURI</v>
          </cell>
          <cell r="G1241" t="str">
            <v>Kathryn Spaziani</v>
          </cell>
          <cell r="H1241" t="str">
            <v>(212) 305-1262</v>
          </cell>
          <cell r="J1241" t="str">
            <v>kas9171@nyp.org</v>
          </cell>
          <cell r="L1241" t="str">
            <v>All Other:: Practitioner - Non-Primary Care Provider (PCP)</v>
          </cell>
          <cell r="M1241" t="str">
            <v>No</v>
          </cell>
          <cell r="R1241" t="str">
            <v>UTUKURI PALLAVI MS.</v>
          </cell>
          <cell r="W1241" t="str">
            <v>UTUKURI PALLAVI S</v>
          </cell>
          <cell r="X1241" t="str">
            <v>622 W 168TH ST</v>
          </cell>
          <cell r="Y1241" t="str">
            <v>NEW YORK</v>
          </cell>
          <cell r="Z1241" t="str">
            <v>NY</v>
          </cell>
          <cell r="AA1241" t="str">
            <v>10032-3720</v>
          </cell>
          <cell r="AB1241" t="str">
            <v>PHYSICIAN</v>
          </cell>
          <cell r="AC1241" t="str">
            <v>M</v>
          </cell>
          <cell r="AD1241" t="str">
            <v>No</v>
          </cell>
          <cell r="AE1241" t="str">
            <v>MMIS</v>
          </cell>
          <cell r="AF1241" t="str">
            <v>nypwestcampus</v>
          </cell>
          <cell r="AG1241" t="str">
            <v>P</v>
          </cell>
        </row>
        <row r="1242">
          <cell r="A1242" t="str">
            <v>1780677427</v>
          </cell>
          <cell r="B1242" t="str">
            <v>02459254</v>
          </cell>
          <cell r="C1242" t="str">
            <v>Kim Donald</v>
          </cell>
          <cell r="D1242" t="str">
            <v>E0054210</v>
          </cell>
          <cell r="E1242" t="str">
            <v>KIM DONALD M MD</v>
          </cell>
          <cell r="L1242" t="str">
            <v>Practitioner - Non-Primary Care Provider (PCP)</v>
          </cell>
          <cell r="M1242" t="str">
            <v>No</v>
          </cell>
          <cell r="R1242" t="str">
            <v>KIM DONALD DR.</v>
          </cell>
          <cell r="W1242" t="str">
            <v>KIM DONALD M MD</v>
          </cell>
          <cell r="X1242" t="str">
            <v>NY PRESB HSP</v>
          </cell>
          <cell r="Y1242" t="str">
            <v>NEW YORK</v>
          </cell>
          <cell r="Z1242" t="str">
            <v>NY</v>
          </cell>
          <cell r="AA1242" t="str">
            <v>10032-3720</v>
          </cell>
          <cell r="AB1242" t="str">
            <v>PHYSICIAN</v>
          </cell>
          <cell r="AC1242" t="str">
            <v>M</v>
          </cell>
          <cell r="AD1242" t="str">
            <v>No</v>
          </cell>
          <cell r="AE1242" t="str">
            <v>MMIS</v>
          </cell>
          <cell r="AF1242" t="str">
            <v>nypwestcampus</v>
          </cell>
          <cell r="AG1242" t="str">
            <v>P</v>
          </cell>
        </row>
        <row r="1243">
          <cell r="A1243" t="str">
            <v>1053423921</v>
          </cell>
          <cell r="B1243" t="str">
            <v>03468811</v>
          </cell>
          <cell r="C1243" t="str">
            <v>Labella Angelena</v>
          </cell>
          <cell r="D1243" t="str">
            <v>E0335374</v>
          </cell>
          <cell r="E1243" t="str">
            <v>LABELLA ANGELENA M</v>
          </cell>
          <cell r="L1243" t="str">
            <v>Practitioner - Primary Care Provider (PCP)</v>
          </cell>
          <cell r="M1243" t="str">
            <v>No</v>
          </cell>
          <cell r="R1243" t="str">
            <v>LABELLA ANGELENA DR.</v>
          </cell>
          <cell r="W1243" t="str">
            <v>LABELLA ANGELENA M</v>
          </cell>
          <cell r="X1243" t="str">
            <v>622 W 168TH ST</v>
          </cell>
          <cell r="Y1243" t="str">
            <v>NEW YORK</v>
          </cell>
          <cell r="Z1243" t="str">
            <v>NY</v>
          </cell>
          <cell r="AA1243" t="str">
            <v>10032-3720</v>
          </cell>
          <cell r="AB1243" t="str">
            <v>PHYSICIAN</v>
          </cell>
          <cell r="AC1243" t="str">
            <v>M</v>
          </cell>
          <cell r="AD1243" t="str">
            <v>No</v>
          </cell>
          <cell r="AE1243" t="str">
            <v>MMIS</v>
          </cell>
          <cell r="AF1243" t="str">
            <v>nypwestcampus</v>
          </cell>
          <cell r="AG1243" t="str">
            <v>P</v>
          </cell>
        </row>
        <row r="1244">
          <cell r="A1244" t="str">
            <v>1821273392</v>
          </cell>
          <cell r="B1244" t="str">
            <v>02991615</v>
          </cell>
          <cell r="C1244" t="str">
            <v>Low Cari</v>
          </cell>
          <cell r="D1244" t="str">
            <v>E0007396</v>
          </cell>
          <cell r="E1244" t="str">
            <v>LOW CARI EVANS MD</v>
          </cell>
          <cell r="L1244" t="str">
            <v>Practitioner - Non-Primary Care Provider (PCP)</v>
          </cell>
          <cell r="M1244" t="str">
            <v>No</v>
          </cell>
          <cell r="R1244" t="str">
            <v>LOW CARI DR.</v>
          </cell>
          <cell r="W1244" t="str">
            <v>LOW CARI EVANS MD</v>
          </cell>
          <cell r="X1244" t="str">
            <v>622 W 168TH ST</v>
          </cell>
          <cell r="Y1244" t="str">
            <v>NEW YORK</v>
          </cell>
          <cell r="Z1244" t="str">
            <v>NY</v>
          </cell>
          <cell r="AA1244" t="str">
            <v>10032-3720</v>
          </cell>
          <cell r="AB1244" t="str">
            <v>PHYSICIAN</v>
          </cell>
          <cell r="AC1244" t="str">
            <v>M</v>
          </cell>
          <cell r="AD1244" t="str">
            <v>No</v>
          </cell>
          <cell r="AE1244" t="str">
            <v>MMIS</v>
          </cell>
          <cell r="AG1244" t="str">
            <v>P</v>
          </cell>
        </row>
        <row r="1245">
          <cell r="A1245" t="str">
            <v>1841379559</v>
          </cell>
          <cell r="B1245" t="str">
            <v>02366732</v>
          </cell>
          <cell r="C1245" t="str">
            <v>Malakshanova-richards Marina</v>
          </cell>
          <cell r="D1245" t="str">
            <v>E0063434</v>
          </cell>
          <cell r="E1245" t="str">
            <v>MARINA K MALAKSHANOVA-RICHARDS</v>
          </cell>
          <cell r="L1245" t="str">
            <v>All Other:: Practitioner - Primary Care Provider (PCP)</v>
          </cell>
          <cell r="M1245" t="str">
            <v>No</v>
          </cell>
          <cell r="R1245" t="str">
            <v>MALAKSHANOVA-RICHARDS MARINA DR.</v>
          </cell>
          <cell r="W1245" t="str">
            <v>MARINA K MALAKSHANOVA-RICHARDS</v>
          </cell>
          <cell r="X1245" t="str">
            <v>80 CENTRAL PARK W</v>
          </cell>
          <cell r="Y1245" t="str">
            <v>NEW YORK</v>
          </cell>
          <cell r="Z1245" t="str">
            <v>NY</v>
          </cell>
          <cell r="AA1245" t="str">
            <v>10023-5204</v>
          </cell>
          <cell r="AB1245" t="str">
            <v>PHYSICIAN</v>
          </cell>
          <cell r="AC1245" t="str">
            <v>M</v>
          </cell>
          <cell r="AD1245" t="str">
            <v>No</v>
          </cell>
          <cell r="AE1245" t="str">
            <v>MMIS</v>
          </cell>
          <cell r="AF1245" t="str">
            <v>nypwestcampus</v>
          </cell>
          <cell r="AG1245" t="str">
            <v>P</v>
          </cell>
        </row>
        <row r="1246">
          <cell r="A1246" t="str">
            <v>1801154018</v>
          </cell>
          <cell r="B1246" t="str">
            <v>03479169</v>
          </cell>
          <cell r="C1246" t="str">
            <v>Klein Michelle</v>
          </cell>
          <cell r="D1246" t="str">
            <v>E0337275</v>
          </cell>
          <cell r="E1246" t="str">
            <v>KLEIN MICHELLE ADRIANNE</v>
          </cell>
          <cell r="L1246" t="str">
            <v>All Other:: Practitioner - Non-Primary Care Provider (PCP)</v>
          </cell>
          <cell r="M1246" t="str">
            <v>No</v>
          </cell>
          <cell r="R1246" t="str">
            <v>KLEIN MICHELLE DR.</v>
          </cell>
          <cell r="W1246" t="str">
            <v>KLEIN MICHELLE ADRIANNE</v>
          </cell>
          <cell r="X1246" t="str">
            <v>525 E 68TH ST # 585</v>
          </cell>
          <cell r="Y1246" t="str">
            <v>NEW YORK</v>
          </cell>
          <cell r="Z1246" t="str">
            <v>NY</v>
          </cell>
          <cell r="AA1246" t="str">
            <v>10065-4870</v>
          </cell>
          <cell r="AB1246" t="str">
            <v>PHYSICIAN</v>
          </cell>
          <cell r="AC1246" t="str">
            <v>M</v>
          </cell>
          <cell r="AD1246" t="str">
            <v>No</v>
          </cell>
          <cell r="AE1246" t="str">
            <v>MMIS</v>
          </cell>
          <cell r="AF1246" t="str">
            <v>nypeastcampus</v>
          </cell>
          <cell r="AG1246" t="str">
            <v>P</v>
          </cell>
        </row>
        <row r="1247">
          <cell r="A1247" t="str">
            <v>1669615183</v>
          </cell>
          <cell r="B1247" t="str">
            <v>04269292</v>
          </cell>
          <cell r="C1247" t="str">
            <v>Lee Nicole</v>
          </cell>
          <cell r="D1247" t="str">
            <v>E0418996</v>
          </cell>
          <cell r="E1247" t="str">
            <v>LEE NICOLE</v>
          </cell>
          <cell r="G1247" t="str">
            <v>Kathryn Spaziani</v>
          </cell>
          <cell r="H1247" t="str">
            <v>(212) 305-1255</v>
          </cell>
          <cell r="J1247" t="str">
            <v>kas9171@nyp.org</v>
          </cell>
          <cell r="L1247" t="str">
            <v>All Other:: Practitioner - Non-Primary Care Provider (PCP)</v>
          </cell>
          <cell r="M1247" t="str">
            <v>No</v>
          </cell>
          <cell r="R1247" t="str">
            <v>LEE NICOLE DR.</v>
          </cell>
          <cell r="W1247" t="str">
            <v>LEE NICOLE</v>
          </cell>
          <cell r="X1247" t="str">
            <v>523 E 72ND ST</v>
          </cell>
          <cell r="Y1247" t="str">
            <v>NEW YORK</v>
          </cell>
          <cell r="Z1247" t="str">
            <v>NY</v>
          </cell>
          <cell r="AA1247" t="str">
            <v>10021-4099</v>
          </cell>
          <cell r="AB1247" t="str">
            <v>PHYSICIAN</v>
          </cell>
          <cell r="AC1247" t="str">
            <v>M</v>
          </cell>
          <cell r="AD1247" t="str">
            <v>No</v>
          </cell>
          <cell r="AE1247" t="str">
            <v>MMIS</v>
          </cell>
          <cell r="AF1247" t="str">
            <v>nypeastcampus</v>
          </cell>
          <cell r="AG1247" t="str">
            <v>P</v>
          </cell>
        </row>
        <row r="1248">
          <cell r="A1248" t="str">
            <v>1205970142</v>
          </cell>
          <cell r="B1248" t="str">
            <v>00877918</v>
          </cell>
          <cell r="C1248" t="str">
            <v>FISHMAN, LOREN M</v>
          </cell>
          <cell r="D1248" t="str">
            <v>E0211956</v>
          </cell>
          <cell r="E1248" t="str">
            <v>FISHMAN LOREN MARTIN       MD</v>
          </cell>
          <cell r="G1248" t="str">
            <v>Kathryn Spaziani</v>
          </cell>
          <cell r="H1248" t="str">
            <v>(212) 305-1190</v>
          </cell>
          <cell r="J1248" t="str">
            <v>kas9171@nyp.org</v>
          </cell>
          <cell r="L1248" t="str">
            <v>Practitioner - Non-Primary Care Provider (PCP)</v>
          </cell>
          <cell r="M1248" t="str">
            <v>No</v>
          </cell>
          <cell r="R1248" t="str">
            <v>FISHMAN LOREN</v>
          </cell>
          <cell r="W1248" t="str">
            <v>FISHMAN LOREN MARTIN       MD</v>
          </cell>
          <cell r="X1248" t="str">
            <v>EINSTEIN HOSP</v>
          </cell>
          <cell r="Y1248" t="str">
            <v>BRONX</v>
          </cell>
          <cell r="Z1248" t="str">
            <v>NY</v>
          </cell>
          <cell r="AA1248" t="str">
            <v>10461-2008</v>
          </cell>
          <cell r="AB1248" t="str">
            <v>PHYSICIAN</v>
          </cell>
          <cell r="AC1248" t="str">
            <v>M</v>
          </cell>
          <cell r="AD1248" t="str">
            <v>No</v>
          </cell>
          <cell r="AE1248" t="str">
            <v>MMIS</v>
          </cell>
          <cell r="AF1248" t="str">
            <v>nypwestacn</v>
          </cell>
          <cell r="AG1248" t="str">
            <v>P</v>
          </cell>
        </row>
        <row r="1249">
          <cell r="A1249" t="str">
            <v>1154346021</v>
          </cell>
          <cell r="B1249" t="str">
            <v>02559635</v>
          </cell>
          <cell r="C1249" t="str">
            <v>TRUSTEES OF COLUMBIA UNIVERSITY DEPT OF OBSTETRICS AND GYNECOLOGY</v>
          </cell>
          <cell r="D1249" t="str">
            <v>E0044189</v>
          </cell>
          <cell r="E1249" t="str">
            <v>DEPARTMENT OF OBSTETRICS GYN</v>
          </cell>
          <cell r="L1249" t="str">
            <v>All Other</v>
          </cell>
          <cell r="M1249" t="str">
            <v>No</v>
          </cell>
          <cell r="R1249" t="str">
            <v>TRUSTEES OF COLUMBIA UNIVERSITY DEPT OF OBSTETRICS AND GYNECOLOGY</v>
          </cell>
          <cell r="W1249" t="str">
            <v>TRUSTEES OF COLUMBIA UNIVERSITY</v>
          </cell>
          <cell r="X1249" t="str">
            <v>622 W 168TH ST</v>
          </cell>
          <cell r="Y1249" t="str">
            <v>NEW YORK</v>
          </cell>
          <cell r="Z1249" t="str">
            <v>NY</v>
          </cell>
          <cell r="AA1249" t="str">
            <v>10032-3720</v>
          </cell>
          <cell r="AB1249" t="str">
            <v>MULTI-TYPE GROUP</v>
          </cell>
          <cell r="AC1249" t="str">
            <v>M</v>
          </cell>
          <cell r="AD1249" t="str">
            <v>No</v>
          </cell>
          <cell r="AE1249" t="str">
            <v>MMIS</v>
          </cell>
          <cell r="AG1249" t="str">
            <v>P</v>
          </cell>
        </row>
        <row r="1250">
          <cell r="A1250" t="str">
            <v>1497893077</v>
          </cell>
          <cell r="B1250" t="str">
            <v>01176663</v>
          </cell>
          <cell r="C1250" t="str">
            <v>HAHN, REBECCA T</v>
          </cell>
          <cell r="D1250" t="str">
            <v>E0182222</v>
          </cell>
          <cell r="E1250" t="str">
            <v>HAHN REBECCA T MD</v>
          </cell>
          <cell r="G1250" t="str">
            <v>Kathryn Spaziani</v>
          </cell>
          <cell r="H1250" t="str">
            <v>(212) 305-1190</v>
          </cell>
          <cell r="J1250" t="str">
            <v>kas9171@nyp.org</v>
          </cell>
          <cell r="L1250" t="str">
            <v>All Other:: Practitioner - Primary Care Provider (PCP)</v>
          </cell>
          <cell r="M1250" t="str">
            <v>No</v>
          </cell>
          <cell r="R1250" t="str">
            <v>HAHN REBECCA</v>
          </cell>
          <cell r="W1250" t="str">
            <v>HAHN REBECCA T MD</v>
          </cell>
          <cell r="X1250" t="str">
            <v>SLRH INPATIENT WARD</v>
          </cell>
          <cell r="Y1250" t="str">
            <v>NEW YORK</v>
          </cell>
          <cell r="Z1250" t="str">
            <v>NY</v>
          </cell>
          <cell r="AA1250" t="str">
            <v>10019</v>
          </cell>
          <cell r="AB1250" t="str">
            <v>PHYSICIAN</v>
          </cell>
          <cell r="AC1250" t="str">
            <v>M</v>
          </cell>
          <cell r="AD1250" t="str">
            <v>No</v>
          </cell>
          <cell r="AE1250" t="str">
            <v>MMIS</v>
          </cell>
          <cell r="AF1250" t="str">
            <v>nypwestacn</v>
          </cell>
          <cell r="AG1250" t="str">
            <v>P</v>
          </cell>
        </row>
        <row r="1251">
          <cell r="A1251" t="str">
            <v>1700048527</v>
          </cell>
          <cell r="B1251" t="str">
            <v>03545966</v>
          </cell>
          <cell r="C1251" t="str">
            <v>HERMANN, ALISON D</v>
          </cell>
          <cell r="D1251" t="str">
            <v>E0344475</v>
          </cell>
          <cell r="E1251" t="str">
            <v>HERMANN ALISON</v>
          </cell>
          <cell r="G1251" t="str">
            <v>Kathryn Spaziani</v>
          </cell>
          <cell r="H1251" t="str">
            <v>(212) 305-1190</v>
          </cell>
          <cell r="J1251" t="str">
            <v>kas9171@nyp.org</v>
          </cell>
          <cell r="L1251" t="str">
            <v>Mental Health:: Practitioner - Non-Primary Care Provider (PCP)</v>
          </cell>
          <cell r="M1251" t="str">
            <v>No</v>
          </cell>
          <cell r="R1251" t="str">
            <v>HERMANN ALISON</v>
          </cell>
          <cell r="W1251" t="str">
            <v>HERMANN ALISON</v>
          </cell>
          <cell r="X1251" t="str">
            <v>525 E 68TH ST</v>
          </cell>
          <cell r="Y1251" t="str">
            <v>NEW YORK</v>
          </cell>
          <cell r="Z1251" t="str">
            <v>NY</v>
          </cell>
          <cell r="AA1251" t="str">
            <v>10065-4870</v>
          </cell>
          <cell r="AB1251" t="str">
            <v>PHYSICIAN</v>
          </cell>
          <cell r="AC1251" t="str">
            <v>M</v>
          </cell>
          <cell r="AD1251" t="str">
            <v>No</v>
          </cell>
          <cell r="AE1251" t="str">
            <v>MMIS</v>
          </cell>
          <cell r="AF1251" t="str">
            <v>nypwestacn</v>
          </cell>
          <cell r="AG1251" t="str">
            <v>P</v>
          </cell>
        </row>
        <row r="1252">
          <cell r="A1252" t="str">
            <v>1477676161</v>
          </cell>
          <cell r="B1252" t="str">
            <v>02088746</v>
          </cell>
          <cell r="C1252" t="str">
            <v>SHNEIDER, NEIL A</v>
          </cell>
          <cell r="D1252" t="str">
            <v>E0091194</v>
          </cell>
          <cell r="E1252" t="str">
            <v>SHNEIDER NEIL ALAN MD</v>
          </cell>
          <cell r="G1252" t="str">
            <v>Kathryn Spaziani</v>
          </cell>
          <cell r="H1252" t="str">
            <v>(212) 305-1190</v>
          </cell>
          <cell r="J1252" t="str">
            <v>kas9171@nyp.org</v>
          </cell>
          <cell r="L1252" t="str">
            <v>Practitioner - Non-Primary Care Provider (PCP)</v>
          </cell>
          <cell r="M1252" t="str">
            <v>No</v>
          </cell>
          <cell r="R1252" t="str">
            <v>SHNEIDER NEIL DR.</v>
          </cell>
          <cell r="W1252" t="str">
            <v>SHNEIDER NEIL ALAN MD</v>
          </cell>
          <cell r="X1252" t="str">
            <v>710 W 168TH ST</v>
          </cell>
          <cell r="Y1252" t="str">
            <v>NEW YORK</v>
          </cell>
          <cell r="Z1252" t="str">
            <v>NY</v>
          </cell>
          <cell r="AA1252" t="str">
            <v>10032-3726</v>
          </cell>
          <cell r="AB1252" t="str">
            <v>PHYSICIAN</v>
          </cell>
          <cell r="AC1252" t="str">
            <v>M</v>
          </cell>
          <cell r="AD1252" t="str">
            <v>No</v>
          </cell>
          <cell r="AE1252" t="str">
            <v>MMIS</v>
          </cell>
          <cell r="AF1252" t="str">
            <v>nypwestcampus</v>
          </cell>
          <cell r="AG1252" t="str">
            <v>P</v>
          </cell>
        </row>
        <row r="1253">
          <cell r="A1253" t="str">
            <v>1215079017</v>
          </cell>
          <cell r="B1253" t="str">
            <v>02885261</v>
          </cell>
          <cell r="C1253" t="str">
            <v>HAUG, CHRISTIE J</v>
          </cell>
          <cell r="D1253" t="str">
            <v>E0011678</v>
          </cell>
          <cell r="E1253" t="str">
            <v>HAUG CHRISTIE JOY</v>
          </cell>
          <cell r="G1253" t="str">
            <v>Kathryn Spaziani</v>
          </cell>
          <cell r="H1253" t="str">
            <v>(212) 305-1190</v>
          </cell>
          <cell r="J1253" t="str">
            <v>kas9171@nyp.org</v>
          </cell>
          <cell r="L1253" t="str">
            <v>All Other:: Practitioner - Non-Primary Care Provider (PCP)</v>
          </cell>
          <cell r="M1253" t="str">
            <v>No</v>
          </cell>
          <cell r="R1253" t="str">
            <v>HAUG CHRISTIE</v>
          </cell>
          <cell r="W1253" t="str">
            <v>HAUG CHRISTIE JOY</v>
          </cell>
          <cell r="X1253" t="str">
            <v>95 CRYSTAL RUN RD</v>
          </cell>
          <cell r="Y1253" t="str">
            <v>MIDDLETOWN</v>
          </cell>
          <cell r="Z1253" t="str">
            <v>NY</v>
          </cell>
          <cell r="AA1253" t="str">
            <v>10941-7001</v>
          </cell>
          <cell r="AB1253" t="str">
            <v>MEDICAL APPLIANCE DEALER</v>
          </cell>
          <cell r="AC1253" t="str">
            <v>M</v>
          </cell>
          <cell r="AD1253" t="str">
            <v>No</v>
          </cell>
          <cell r="AE1253" t="str">
            <v>MMIS</v>
          </cell>
          <cell r="AF1253" t="str">
            <v>nypwestacn</v>
          </cell>
          <cell r="AG1253" t="str">
            <v>P</v>
          </cell>
        </row>
        <row r="1254">
          <cell r="A1254" t="str">
            <v>1073848479</v>
          </cell>
          <cell r="B1254" t="str">
            <v>03923379</v>
          </cell>
          <cell r="C1254" t="str">
            <v>Popatia, Rizwana N.</v>
          </cell>
          <cell r="D1254" t="str">
            <v>E0383505</v>
          </cell>
          <cell r="E1254" t="str">
            <v>POPATIA RIZWANA</v>
          </cell>
          <cell r="G1254" t="str">
            <v>Kathryn Spaziani</v>
          </cell>
          <cell r="H1254" t="str">
            <v>(212) 305-1190</v>
          </cell>
          <cell r="J1254" t="str">
            <v>kas9171@nyp.org</v>
          </cell>
          <cell r="L1254" t="str">
            <v>Practitioner - Non-Primary Care Provider (PCP)</v>
          </cell>
          <cell r="M1254" t="str">
            <v>No</v>
          </cell>
          <cell r="R1254" t="str">
            <v>POPATIA RIZWANA</v>
          </cell>
          <cell r="W1254" t="str">
            <v>POPATIA RIZWANA NURUDDIN</v>
          </cell>
          <cell r="X1254" t="str">
            <v>505 E 70TH ST</v>
          </cell>
          <cell r="Y1254" t="str">
            <v>NEW YORK</v>
          </cell>
          <cell r="Z1254" t="str">
            <v>NY</v>
          </cell>
          <cell r="AA1254" t="str">
            <v>10021-4872</v>
          </cell>
          <cell r="AB1254" t="str">
            <v>PHYSICIAN</v>
          </cell>
          <cell r="AC1254" t="str">
            <v>M</v>
          </cell>
          <cell r="AD1254" t="str">
            <v>No</v>
          </cell>
          <cell r="AE1254" t="str">
            <v>MMIS</v>
          </cell>
          <cell r="AF1254" t="str">
            <v>nypeastcampus</v>
          </cell>
          <cell r="AG1254" t="str">
            <v>P</v>
          </cell>
        </row>
        <row r="1255">
          <cell r="A1255" t="str">
            <v>1114050846</v>
          </cell>
          <cell r="B1255" t="str">
            <v>02706536</v>
          </cell>
          <cell r="C1255" t="str">
            <v xml:space="preserve">SINGH, SARABJIT </v>
          </cell>
          <cell r="D1255" t="str">
            <v>E0029531</v>
          </cell>
          <cell r="E1255" t="str">
            <v>SINGH SARABJIT</v>
          </cell>
          <cell r="G1255" t="str">
            <v>Kathryn Spaziani</v>
          </cell>
          <cell r="H1255" t="str">
            <v>(212) 305-1190</v>
          </cell>
          <cell r="J1255" t="str">
            <v>kas9171@nyp.org</v>
          </cell>
          <cell r="L1255" t="str">
            <v>Practitioner - Non-Primary Care Provider (PCP)</v>
          </cell>
          <cell r="M1255" t="str">
            <v>No</v>
          </cell>
          <cell r="R1255" t="str">
            <v>SINGH SARABJIT DR.</v>
          </cell>
          <cell r="W1255" t="str">
            <v>SINGH SARABJIT</v>
          </cell>
          <cell r="X1255" t="str">
            <v>3959 BROADWAY FL 6 NORTH</v>
          </cell>
          <cell r="Y1255" t="str">
            <v>NEW YORK</v>
          </cell>
          <cell r="Z1255" t="str">
            <v>NY</v>
          </cell>
          <cell r="AA1255" t="str">
            <v>10032-1559</v>
          </cell>
          <cell r="AB1255" t="str">
            <v>PHYSICIAN</v>
          </cell>
          <cell r="AC1255" t="str">
            <v>M</v>
          </cell>
          <cell r="AD1255" t="str">
            <v>No</v>
          </cell>
          <cell r="AE1255" t="str">
            <v>MMIS</v>
          </cell>
          <cell r="AF1255" t="str">
            <v>nypother</v>
          </cell>
          <cell r="AG1255" t="str">
            <v>P</v>
          </cell>
        </row>
        <row r="1256">
          <cell r="A1256" t="str">
            <v>1053371906</v>
          </cell>
          <cell r="B1256" t="str">
            <v>03406159</v>
          </cell>
          <cell r="C1256" t="str">
            <v>LIN, FANGMING</v>
          </cell>
          <cell r="D1256" t="str">
            <v>E0328514</v>
          </cell>
          <cell r="E1256" t="str">
            <v>LIN FANGMING MD</v>
          </cell>
          <cell r="G1256" t="str">
            <v>Kathryn Spaziani</v>
          </cell>
          <cell r="H1256" t="str">
            <v>(212) 305-1286</v>
          </cell>
          <cell r="J1256" t="str">
            <v>kas9171@nyp.org</v>
          </cell>
          <cell r="L1256" t="str">
            <v>All Other:: Practitioner - Non-Primary Care Provider (PCP)</v>
          </cell>
          <cell r="M1256" t="str">
            <v>Yes</v>
          </cell>
          <cell r="R1256" t="str">
            <v>LIN FANGMING</v>
          </cell>
          <cell r="W1256" t="str">
            <v>LIN FANGMING MD</v>
          </cell>
          <cell r="X1256" t="str">
            <v>3959 BROADWAY</v>
          </cell>
          <cell r="Y1256" t="str">
            <v>NEW YORK</v>
          </cell>
          <cell r="Z1256" t="str">
            <v>NY</v>
          </cell>
          <cell r="AA1256" t="str">
            <v>10032-1559</v>
          </cell>
          <cell r="AB1256" t="str">
            <v>PHYSICIAN</v>
          </cell>
          <cell r="AC1256" t="str">
            <v>M</v>
          </cell>
          <cell r="AD1256" t="str">
            <v>No</v>
          </cell>
          <cell r="AE1256" t="str">
            <v>MMIS</v>
          </cell>
          <cell r="AF1256" t="str">
            <v>nypwestcampus</v>
          </cell>
          <cell r="AG1256" t="str">
            <v>P</v>
          </cell>
        </row>
        <row r="1257">
          <cell r="A1257" t="str">
            <v>1255587432</v>
          </cell>
          <cell r="B1257" t="str">
            <v>03224673</v>
          </cell>
          <cell r="C1257" t="str">
            <v>LAMBERT, SARAH M</v>
          </cell>
          <cell r="D1257" t="str">
            <v>E0307198</v>
          </cell>
          <cell r="E1257" t="str">
            <v>SARAH M LAMBERT MD</v>
          </cell>
          <cell r="G1257" t="str">
            <v>Kathryn Spaziani</v>
          </cell>
          <cell r="H1257" t="str">
            <v>(212) 305-1190</v>
          </cell>
          <cell r="J1257" t="str">
            <v>kas9171@nyp.org</v>
          </cell>
          <cell r="L1257" t="str">
            <v>All Other:: Practitioner - Non-Primary Care Provider (PCP)</v>
          </cell>
          <cell r="M1257" t="str">
            <v>No</v>
          </cell>
          <cell r="R1257" t="str">
            <v>LAMBERT SARAH</v>
          </cell>
          <cell r="W1257" t="str">
            <v>LAMBERT SARAH M MD</v>
          </cell>
          <cell r="X1257" t="str">
            <v>34TH AND CIVIC CENTER BLVD</v>
          </cell>
          <cell r="Y1257" t="str">
            <v>PHILADELPHIA</v>
          </cell>
          <cell r="Z1257" t="str">
            <v>PA</v>
          </cell>
          <cell r="AA1257" t="str">
            <v>19104-4306</v>
          </cell>
          <cell r="AB1257" t="str">
            <v>PHYSICIAN</v>
          </cell>
          <cell r="AC1257" t="str">
            <v>M</v>
          </cell>
          <cell r="AD1257" t="str">
            <v>No</v>
          </cell>
          <cell r="AE1257" t="str">
            <v>MMIS</v>
          </cell>
          <cell r="AF1257" t="str">
            <v>nypwestcampus</v>
          </cell>
          <cell r="AG1257" t="str">
            <v>P</v>
          </cell>
        </row>
        <row r="1258">
          <cell r="A1258" t="str">
            <v>1689898983</v>
          </cell>
          <cell r="B1258" t="str">
            <v>01513097</v>
          </cell>
          <cell r="C1258" t="str">
            <v>CUEVA, JEANETTE E</v>
          </cell>
          <cell r="D1258" t="str">
            <v>E0148682</v>
          </cell>
          <cell r="E1258" t="str">
            <v>CUEVA JEANETTE E MD</v>
          </cell>
          <cell r="G1258" t="str">
            <v>Kathryn Spaziani</v>
          </cell>
          <cell r="H1258" t="str">
            <v>(212) 305-1190</v>
          </cell>
          <cell r="J1258" t="str">
            <v>kas9171@nyp.org</v>
          </cell>
          <cell r="L1258" t="str">
            <v>Practitioner - Non-Primary Care Provider (PCP)</v>
          </cell>
          <cell r="M1258" t="str">
            <v>No</v>
          </cell>
          <cell r="R1258" t="str">
            <v>CUEVA JEANETTE</v>
          </cell>
          <cell r="W1258" t="str">
            <v>CUEVA JEANETTE E MD</v>
          </cell>
          <cell r="X1258" t="str">
            <v>RM 625</v>
          </cell>
          <cell r="Y1258" t="str">
            <v>NEW YORK</v>
          </cell>
          <cell r="Z1258" t="str">
            <v>NY</v>
          </cell>
          <cell r="AA1258" t="str">
            <v>10011-7762</v>
          </cell>
          <cell r="AB1258" t="str">
            <v>PHYSICIAN</v>
          </cell>
          <cell r="AC1258" t="str">
            <v>M</v>
          </cell>
          <cell r="AD1258" t="str">
            <v>No</v>
          </cell>
          <cell r="AE1258" t="str">
            <v>MMIS</v>
          </cell>
          <cell r="AF1258" t="str">
            <v>nypwestacn</v>
          </cell>
          <cell r="AG1258" t="str">
            <v>P</v>
          </cell>
        </row>
        <row r="1259">
          <cell r="A1259" t="str">
            <v>1699703918</v>
          </cell>
          <cell r="B1259" t="str">
            <v>03233790</v>
          </cell>
          <cell r="C1259" t="str">
            <v xml:space="preserve">TSENG, STEPHANIE </v>
          </cell>
          <cell r="D1259" t="str">
            <v>E0308209</v>
          </cell>
          <cell r="E1259" t="str">
            <v>TSENG STEPHANIE</v>
          </cell>
          <cell r="G1259" t="str">
            <v>Kathryn Spaziani</v>
          </cell>
          <cell r="H1259" t="str">
            <v>(212) 305-1190</v>
          </cell>
          <cell r="J1259" t="str">
            <v>kas9171@nyp.org</v>
          </cell>
          <cell r="L1259" t="str">
            <v>Practitioner - Non-Primary Care Provider (PCP)</v>
          </cell>
          <cell r="M1259" t="str">
            <v>No</v>
          </cell>
          <cell r="R1259" t="str">
            <v>TSENG STEPHANIE DR.</v>
          </cell>
          <cell r="W1259" t="str">
            <v>TSENG STEPHANIE</v>
          </cell>
          <cell r="X1259" t="str">
            <v>161 FORT WASHINGTON AVE</v>
          </cell>
          <cell r="Y1259" t="str">
            <v>NEW YORK</v>
          </cell>
          <cell r="Z1259" t="str">
            <v>NY</v>
          </cell>
          <cell r="AA1259" t="str">
            <v>10032-3729</v>
          </cell>
          <cell r="AB1259" t="str">
            <v>PHYSICIAN</v>
          </cell>
          <cell r="AC1259" t="str">
            <v>M</v>
          </cell>
          <cell r="AD1259" t="str">
            <v>No</v>
          </cell>
          <cell r="AE1259" t="str">
            <v>MMIS</v>
          </cell>
          <cell r="AF1259" t="str">
            <v>nypwestcampus</v>
          </cell>
          <cell r="AG1259" t="str">
            <v>P</v>
          </cell>
        </row>
        <row r="1260">
          <cell r="A1260" t="str">
            <v>1295787190</v>
          </cell>
          <cell r="B1260" t="str">
            <v>00890937</v>
          </cell>
          <cell r="C1260" t="str">
            <v>LEDERMAN, MARTIN E</v>
          </cell>
          <cell r="D1260" t="str">
            <v>E0210655</v>
          </cell>
          <cell r="E1260" t="str">
            <v>LEDERMAN MARTIN EDWARD     MD</v>
          </cell>
          <cell r="G1260" t="str">
            <v>Kathryn Spaziani</v>
          </cell>
          <cell r="H1260" t="str">
            <v>(212) 305-1190</v>
          </cell>
          <cell r="J1260" t="str">
            <v>kas9171@nyp.org</v>
          </cell>
          <cell r="L1260" t="str">
            <v>Practitioner - Non-Primary Care Provider (PCP)</v>
          </cell>
          <cell r="M1260" t="str">
            <v>No</v>
          </cell>
          <cell r="R1260" t="str">
            <v>LEDERMAN MARTIN</v>
          </cell>
          <cell r="W1260" t="str">
            <v>LEDERMAN MARTIN EDWARD     MD</v>
          </cell>
          <cell r="X1260" t="str">
            <v>10 CHESTER AVE</v>
          </cell>
          <cell r="Y1260" t="str">
            <v>WHITE PLAINS</v>
          </cell>
          <cell r="Z1260" t="str">
            <v>NY</v>
          </cell>
          <cell r="AA1260" t="str">
            <v>10601-5112</v>
          </cell>
          <cell r="AB1260" t="str">
            <v>PHYSICIAN</v>
          </cell>
          <cell r="AC1260" t="str">
            <v>M</v>
          </cell>
          <cell r="AD1260" t="str">
            <v>No</v>
          </cell>
          <cell r="AE1260" t="str">
            <v>MMIS</v>
          </cell>
          <cell r="AF1260" t="str">
            <v>nypwestcampus</v>
          </cell>
          <cell r="AG1260" t="str">
            <v>P</v>
          </cell>
        </row>
        <row r="1261">
          <cell r="A1261" t="str">
            <v>1871656637</v>
          </cell>
          <cell r="B1261" t="str">
            <v>01505191</v>
          </cell>
          <cell r="C1261" t="str">
            <v>Calamari Gail</v>
          </cell>
          <cell r="D1261" t="str">
            <v>E0149469</v>
          </cell>
          <cell r="E1261" t="str">
            <v>CALAMARI GAIL AMELIA MD</v>
          </cell>
          <cell r="L1261" t="str">
            <v>All Other:: Practitioner - Non-Primary Care Provider (PCP)</v>
          </cell>
          <cell r="M1261" t="str">
            <v>No</v>
          </cell>
          <cell r="R1261" t="str">
            <v>CALAMARI GAIL DR.</v>
          </cell>
          <cell r="W1261" t="str">
            <v>CALAMARI GAIL AMELIA</v>
          </cell>
          <cell r="X1261" t="str">
            <v>30 RYE RIDGE PLZ</v>
          </cell>
          <cell r="Y1261" t="str">
            <v>RYE BROOK</v>
          </cell>
          <cell r="Z1261" t="str">
            <v>NY</v>
          </cell>
          <cell r="AA1261" t="str">
            <v>10573-2820</v>
          </cell>
          <cell r="AB1261" t="str">
            <v>PHYSICIAN</v>
          </cell>
          <cell r="AC1261" t="str">
            <v>M</v>
          </cell>
          <cell r="AD1261" t="str">
            <v>No</v>
          </cell>
          <cell r="AE1261" t="str">
            <v>MMIS</v>
          </cell>
          <cell r="AF1261" t="str">
            <v>nypeastcampus</v>
          </cell>
          <cell r="AG1261" t="str">
            <v>P</v>
          </cell>
        </row>
        <row r="1262">
          <cell r="A1262" t="str">
            <v>1184697526</v>
          </cell>
          <cell r="B1262" t="str">
            <v>02791615</v>
          </cell>
          <cell r="C1262" t="str">
            <v>Choi Paul</v>
          </cell>
          <cell r="D1262" t="str">
            <v>E0021032</v>
          </cell>
          <cell r="E1262" t="str">
            <v>CHOI PAUL</v>
          </cell>
          <cell r="L1262" t="str">
            <v>All Other:: Practitioner - Non-Primary Care Provider (PCP)</v>
          </cell>
          <cell r="M1262" t="str">
            <v>No</v>
          </cell>
          <cell r="R1262" t="str">
            <v>CHOI PAUL</v>
          </cell>
          <cell r="W1262" t="str">
            <v>CHOI PAUL S</v>
          </cell>
          <cell r="X1262" t="str">
            <v>525 E 68TH STREET</v>
          </cell>
          <cell r="Y1262" t="str">
            <v>NEW YORK</v>
          </cell>
          <cell r="Z1262" t="str">
            <v>NY</v>
          </cell>
          <cell r="AA1262" t="str">
            <v>10065-4885</v>
          </cell>
          <cell r="AB1262" t="str">
            <v>PHYSICIAN</v>
          </cell>
          <cell r="AC1262" t="str">
            <v>M</v>
          </cell>
          <cell r="AD1262" t="str">
            <v>No</v>
          </cell>
          <cell r="AE1262" t="str">
            <v>MMIS</v>
          </cell>
          <cell r="AF1262" t="str">
            <v>nypeastcampus</v>
          </cell>
          <cell r="AG1262" t="str">
            <v>P</v>
          </cell>
        </row>
        <row r="1263">
          <cell r="A1263" t="str">
            <v>1437218690</v>
          </cell>
          <cell r="B1263" t="str">
            <v>02168656</v>
          </cell>
          <cell r="C1263" t="str">
            <v>CANFIELD, STEPHEN M</v>
          </cell>
          <cell r="D1263" t="str">
            <v>E0083212</v>
          </cell>
          <cell r="E1263" t="str">
            <v>CANFIELD STEPHEN MARC MD</v>
          </cell>
          <cell r="G1263" t="str">
            <v>Kathryn Spaziani</v>
          </cell>
          <cell r="H1263" t="str">
            <v>(212) 305-1190</v>
          </cell>
          <cell r="J1263" t="str">
            <v>kas9171@nyp.org</v>
          </cell>
          <cell r="L1263" t="str">
            <v>Practitioner - Non-Primary Care Provider (PCP)</v>
          </cell>
          <cell r="M1263" t="str">
            <v>No</v>
          </cell>
          <cell r="R1263" t="str">
            <v>CANFIELD STEPHEN DR.</v>
          </cell>
          <cell r="W1263" t="str">
            <v>CANFIELD STEPHEN MARC MD</v>
          </cell>
          <cell r="X1263" t="str">
            <v>NY PRESBYTERIAN</v>
          </cell>
          <cell r="Y1263" t="str">
            <v>NEW YORK</v>
          </cell>
          <cell r="Z1263" t="str">
            <v>NY</v>
          </cell>
          <cell r="AA1263" t="str">
            <v>10032-3720</v>
          </cell>
          <cell r="AB1263" t="str">
            <v>PHYSICIAN</v>
          </cell>
          <cell r="AC1263" t="str">
            <v>M</v>
          </cell>
          <cell r="AD1263" t="str">
            <v>No</v>
          </cell>
          <cell r="AE1263" t="str">
            <v>MMIS</v>
          </cell>
          <cell r="AF1263" t="str">
            <v>nypwestacn</v>
          </cell>
          <cell r="AG1263" t="str">
            <v>P</v>
          </cell>
        </row>
        <row r="1264">
          <cell r="A1264" t="str">
            <v>1437246501</v>
          </cell>
          <cell r="B1264" t="str">
            <v>01590050</v>
          </cell>
          <cell r="C1264" t="str">
            <v>Perelstein, Eduardo M</v>
          </cell>
          <cell r="D1264" t="str">
            <v>E0141001</v>
          </cell>
          <cell r="E1264" t="str">
            <v>PERELSTEIN EDUARDO M MD</v>
          </cell>
          <cell r="G1264" t="str">
            <v>Kathryn Spaziani</v>
          </cell>
          <cell r="H1264" t="str">
            <v>(212) 305-1190</v>
          </cell>
          <cell r="J1264" t="str">
            <v>kas9171@nyp.org</v>
          </cell>
          <cell r="L1264" t="str">
            <v>All Other:: Practitioner - Non-Primary Care Provider (PCP)</v>
          </cell>
          <cell r="M1264" t="str">
            <v>Yes</v>
          </cell>
          <cell r="R1264" t="str">
            <v>PERELSTEIN EDUARDO</v>
          </cell>
          <cell r="W1264" t="str">
            <v>PERELSTEIN EDUARDO M MD</v>
          </cell>
          <cell r="X1264" t="str">
            <v>525 E 68TH ST</v>
          </cell>
          <cell r="Y1264" t="str">
            <v>NEW YORK</v>
          </cell>
          <cell r="Z1264" t="str">
            <v>NY</v>
          </cell>
          <cell r="AA1264" t="str">
            <v>10065-4870</v>
          </cell>
          <cell r="AB1264" t="str">
            <v>PHYSICIAN</v>
          </cell>
          <cell r="AC1264" t="str">
            <v>M</v>
          </cell>
          <cell r="AD1264" t="str">
            <v>No</v>
          </cell>
          <cell r="AE1264" t="str">
            <v>MMIS</v>
          </cell>
          <cell r="AF1264" t="str">
            <v>nypeastcampus</v>
          </cell>
          <cell r="AG1264" t="str">
            <v>P</v>
          </cell>
        </row>
        <row r="1265">
          <cell r="A1265" t="str">
            <v>1487846762</v>
          </cell>
          <cell r="B1265" t="str">
            <v>03343226</v>
          </cell>
          <cell r="C1265" t="str">
            <v>CARRELLI, ANGELA L</v>
          </cell>
          <cell r="D1265" t="str">
            <v>E0320571</v>
          </cell>
          <cell r="E1265" t="str">
            <v>CARRELLI ANGELA LISA MD</v>
          </cell>
          <cell r="G1265" t="str">
            <v>Kathryn Spaziani</v>
          </cell>
          <cell r="H1265" t="str">
            <v>(212) 305-1190</v>
          </cell>
          <cell r="J1265" t="str">
            <v>kas9171@nyp.org</v>
          </cell>
          <cell r="L1265" t="str">
            <v>All Other:: Practitioner - Non-Primary Care Provider (PCP)</v>
          </cell>
          <cell r="M1265" t="str">
            <v>No</v>
          </cell>
          <cell r="R1265" t="str">
            <v>CARRELLI ANGELA DR.</v>
          </cell>
          <cell r="W1265" t="str">
            <v>CARRELLI ANGELA LISA MD</v>
          </cell>
          <cell r="X1265" t="str">
            <v>622 W 168TH ST</v>
          </cell>
          <cell r="Y1265" t="str">
            <v>NEW YORK</v>
          </cell>
          <cell r="Z1265" t="str">
            <v>NY</v>
          </cell>
          <cell r="AA1265" t="str">
            <v>10032-3720</v>
          </cell>
          <cell r="AB1265" t="str">
            <v>PHYSICIAN</v>
          </cell>
          <cell r="AC1265" t="str">
            <v>M</v>
          </cell>
          <cell r="AD1265" t="str">
            <v>No</v>
          </cell>
          <cell r="AE1265" t="str">
            <v>MMIS</v>
          </cell>
          <cell r="AF1265" t="str">
            <v>nypwestacn</v>
          </cell>
          <cell r="AG1265" t="str">
            <v>P</v>
          </cell>
        </row>
        <row r="1266">
          <cell r="A1266" t="str">
            <v>1487884946</v>
          </cell>
          <cell r="B1266" t="str">
            <v>03586514</v>
          </cell>
          <cell r="C1266" t="str">
            <v xml:space="preserve">RIVLIN, KATHERINE </v>
          </cell>
          <cell r="D1266" t="str">
            <v>E0348783</v>
          </cell>
          <cell r="E1266" t="str">
            <v>KATHERINE LEE RIVLIN</v>
          </cell>
          <cell r="G1266" t="str">
            <v>Kathryn Spaziani</v>
          </cell>
          <cell r="H1266" t="str">
            <v>(212) 305-1190</v>
          </cell>
          <cell r="J1266" t="str">
            <v>kas9171@nyp.org</v>
          </cell>
          <cell r="L1266" t="str">
            <v>All Other:: Practitioner - Non-Primary Care Provider (PCP)</v>
          </cell>
          <cell r="M1266" t="str">
            <v>No</v>
          </cell>
          <cell r="R1266" t="str">
            <v>RIVLIN KATHERINE</v>
          </cell>
          <cell r="W1266" t="str">
            <v>RIVLIN KATHERINE LEE</v>
          </cell>
          <cell r="X1266" t="str">
            <v>622 W 168TH ST</v>
          </cell>
          <cell r="Y1266" t="str">
            <v>NEW YORK</v>
          </cell>
          <cell r="Z1266" t="str">
            <v>NY</v>
          </cell>
          <cell r="AA1266" t="str">
            <v>10032-3720</v>
          </cell>
          <cell r="AB1266" t="str">
            <v>PHYSICIAN</v>
          </cell>
          <cell r="AC1266" t="str">
            <v>M</v>
          </cell>
          <cell r="AD1266" t="str">
            <v>No</v>
          </cell>
          <cell r="AE1266" t="str">
            <v>MMIS</v>
          </cell>
          <cell r="AF1266" t="str">
            <v>nypother</v>
          </cell>
          <cell r="AG1266" t="str">
            <v>P</v>
          </cell>
        </row>
        <row r="1267">
          <cell r="A1267" t="str">
            <v>1881774610</v>
          </cell>
          <cell r="B1267" t="str">
            <v>02990669</v>
          </cell>
          <cell r="C1267" t="str">
            <v>PALADINE, HEATHER L</v>
          </cell>
          <cell r="D1267" t="str">
            <v>E0007648</v>
          </cell>
          <cell r="E1267" t="str">
            <v>PALADINE HEATHER LYNN</v>
          </cell>
          <cell r="G1267" t="str">
            <v>Kathryn Spaziani</v>
          </cell>
          <cell r="H1267" t="str">
            <v>(212) 305-1190</v>
          </cell>
          <cell r="J1267" t="str">
            <v>kas9171@nyp.org</v>
          </cell>
          <cell r="L1267" t="str">
            <v>Practitioner - Primary Care Provider (PCP)</v>
          </cell>
          <cell r="M1267" t="str">
            <v>Yes</v>
          </cell>
          <cell r="R1267" t="str">
            <v>PALADINE HEATHER</v>
          </cell>
          <cell r="W1267" t="str">
            <v>PALADINE HEATHER LYNN</v>
          </cell>
          <cell r="X1267" t="str">
            <v>610 W 158TH ST</v>
          </cell>
          <cell r="Y1267" t="str">
            <v>NEW YORK</v>
          </cell>
          <cell r="Z1267" t="str">
            <v>NY</v>
          </cell>
          <cell r="AA1267" t="str">
            <v>10032-7104</v>
          </cell>
          <cell r="AB1267" t="str">
            <v>PHYSICIAN</v>
          </cell>
          <cell r="AC1267" t="str">
            <v>M</v>
          </cell>
          <cell r="AD1267" t="str">
            <v>No</v>
          </cell>
          <cell r="AE1267" t="str">
            <v>MMIS</v>
          </cell>
          <cell r="AF1267" t="str">
            <v>nypwestcampus</v>
          </cell>
          <cell r="AG1267" t="str">
            <v>P</v>
          </cell>
        </row>
        <row r="1268">
          <cell r="A1268" t="str">
            <v>1881781987</v>
          </cell>
          <cell r="B1268" t="str">
            <v>01433921</v>
          </cell>
          <cell r="C1268" t="str">
            <v xml:space="preserve">CHIN, HAROLD </v>
          </cell>
          <cell r="D1268" t="str">
            <v>E0156583</v>
          </cell>
          <cell r="E1268" t="str">
            <v>CHIN HAROLD MD</v>
          </cell>
          <cell r="G1268" t="str">
            <v>Kathryn Spaziani</v>
          </cell>
          <cell r="H1268" t="str">
            <v>(212) 305-1190</v>
          </cell>
          <cell r="J1268" t="str">
            <v>kas9171@nyp.org</v>
          </cell>
          <cell r="L1268" t="str">
            <v>All Other:: Practitioner - Primary Care Provider (PCP)</v>
          </cell>
          <cell r="M1268" t="str">
            <v>No</v>
          </cell>
          <cell r="R1268" t="str">
            <v>CHIN HAROLD</v>
          </cell>
          <cell r="W1268" t="str">
            <v>CHIN HAROLD MD</v>
          </cell>
          <cell r="X1268" t="str">
            <v>505 E 70TH ST RM HT-4</v>
          </cell>
          <cell r="Y1268" t="str">
            <v>NEW YORK</v>
          </cell>
          <cell r="Z1268" t="str">
            <v>NY</v>
          </cell>
          <cell r="AA1268" t="str">
            <v>10021-4872</v>
          </cell>
          <cell r="AB1268" t="str">
            <v>PHYSICIAN</v>
          </cell>
          <cell r="AC1268" t="str">
            <v>M</v>
          </cell>
          <cell r="AD1268" t="str">
            <v>No</v>
          </cell>
          <cell r="AE1268" t="str">
            <v>MMIS</v>
          </cell>
          <cell r="AF1268" t="str">
            <v>nypeastacn</v>
          </cell>
          <cell r="AG1268" t="str">
            <v>P</v>
          </cell>
        </row>
        <row r="1269">
          <cell r="A1269" t="str">
            <v>1891830709</v>
          </cell>
          <cell r="B1269" t="str">
            <v>01811063</v>
          </cell>
          <cell r="C1269" t="str">
            <v xml:space="preserve">EIS, RENIE </v>
          </cell>
          <cell r="D1269" t="str">
            <v>E0118931</v>
          </cell>
          <cell r="E1269" t="str">
            <v>EIS RENIE</v>
          </cell>
          <cell r="G1269" t="str">
            <v>Kathryn Spaziani</v>
          </cell>
          <cell r="H1269" t="str">
            <v>(212) 305-1190</v>
          </cell>
          <cell r="J1269" t="str">
            <v>kas9171@nyp.org</v>
          </cell>
          <cell r="L1269" t="str">
            <v>All Other:: Practitioner - Primary Care Provider (PCP)</v>
          </cell>
          <cell r="M1269" t="str">
            <v>Yes</v>
          </cell>
          <cell r="R1269" t="str">
            <v>EIS RENIE MS.</v>
          </cell>
          <cell r="W1269" t="str">
            <v>EIS RENIE</v>
          </cell>
          <cell r="X1269" t="str">
            <v>4781 BROADWAY</v>
          </cell>
          <cell r="Y1269" t="str">
            <v>NEW YORK</v>
          </cell>
          <cell r="Z1269" t="str">
            <v>NY</v>
          </cell>
          <cell r="AA1269" t="str">
            <v>10034-4915</v>
          </cell>
          <cell r="AB1269" t="str">
            <v>PHYSICIAN</v>
          </cell>
          <cell r="AC1269" t="str">
            <v>M</v>
          </cell>
          <cell r="AD1269" t="str">
            <v>No</v>
          </cell>
          <cell r="AE1269" t="str">
            <v>MMIS</v>
          </cell>
          <cell r="AF1269" t="str">
            <v>nypwestacn</v>
          </cell>
          <cell r="AG1269" t="str">
            <v>P</v>
          </cell>
        </row>
        <row r="1270">
          <cell r="A1270" t="str">
            <v>1902939432</v>
          </cell>
          <cell r="B1270" t="str">
            <v>02212586</v>
          </cell>
          <cell r="C1270" t="str">
            <v>YIN, XIAOSHUANG N</v>
          </cell>
          <cell r="D1270" t="str">
            <v>E0078828</v>
          </cell>
          <cell r="E1270" t="str">
            <v>YIN XIAOSHUANG MD</v>
          </cell>
          <cell r="G1270" t="str">
            <v>Kathryn Spaziani</v>
          </cell>
          <cell r="H1270" t="str">
            <v>(212) 305-1190</v>
          </cell>
          <cell r="J1270" t="str">
            <v>kas9171@nyp.org</v>
          </cell>
          <cell r="L1270" t="str">
            <v>Practitioner - Primary Care Provider (PCP)</v>
          </cell>
          <cell r="M1270" t="str">
            <v>No</v>
          </cell>
          <cell r="R1270" t="str">
            <v>YIN XIAOSHUANG DR.</v>
          </cell>
          <cell r="W1270" t="str">
            <v>YIN XIAOSHUANG</v>
          </cell>
          <cell r="X1270" t="str">
            <v>622 W 168TH ST</v>
          </cell>
          <cell r="Y1270" t="str">
            <v>NEW YORK</v>
          </cell>
          <cell r="Z1270" t="str">
            <v>NY</v>
          </cell>
          <cell r="AA1270" t="str">
            <v>10032-3720</v>
          </cell>
          <cell r="AB1270" t="str">
            <v>PHYSICIAN</v>
          </cell>
          <cell r="AC1270" t="str">
            <v>M</v>
          </cell>
          <cell r="AD1270" t="str">
            <v>No</v>
          </cell>
          <cell r="AE1270" t="str">
            <v>MMIS</v>
          </cell>
          <cell r="AF1270" t="str">
            <v>nypwestcampus</v>
          </cell>
          <cell r="AG1270" t="str">
            <v>P</v>
          </cell>
        </row>
        <row r="1271">
          <cell r="A1271" t="str">
            <v>1679914220</v>
          </cell>
          <cell r="C1271" t="str">
            <v>Sullivan Courtney</v>
          </cell>
          <cell r="G1271" t="str">
            <v>Kathryn Spaziani</v>
          </cell>
          <cell r="H1271" t="str">
            <v>(212) 305-1255</v>
          </cell>
          <cell r="J1271" t="str">
            <v>kas9171@nyp.org</v>
          </cell>
          <cell r="K1271" t="str">
            <v>Physician</v>
          </cell>
          <cell r="L1271" t="str">
            <v>Uncategorized</v>
          </cell>
          <cell r="M1271" t="str">
            <v>No</v>
          </cell>
          <cell r="R1271" t="str">
            <v>SULLIVAN COURTNEY</v>
          </cell>
          <cell r="S1271" t="str">
            <v>520 E 70TH ST</v>
          </cell>
          <cell r="T1271" t="str">
            <v>NEW YORK</v>
          </cell>
          <cell r="U1271" t="str">
            <v>NY</v>
          </cell>
          <cell r="V1271" t="str">
            <v>100219800</v>
          </cell>
          <cell r="AC1271" t="str">
            <v>M</v>
          </cell>
          <cell r="AD1271" t="str">
            <v>No</v>
          </cell>
          <cell r="AE1271" t="str">
            <v>NPI only</v>
          </cell>
          <cell r="AF1271" t="str">
            <v>nypeastcampus</v>
          </cell>
          <cell r="AG1271" t="str">
            <v>P</v>
          </cell>
        </row>
        <row r="1272">
          <cell r="A1272" t="str">
            <v>1245255538</v>
          </cell>
          <cell r="B1272" t="str">
            <v>00851345</v>
          </cell>
          <cell r="C1272" t="str">
            <v>Yacovone Joseph</v>
          </cell>
          <cell r="D1272" t="str">
            <v>E0214609</v>
          </cell>
          <cell r="E1272" t="str">
            <v>YACOVONE JOSEPH F          MD</v>
          </cell>
          <cell r="L1272" t="str">
            <v>All Other:: Practitioner - Non-Primary Care Provider (PCP)</v>
          </cell>
          <cell r="M1272" t="str">
            <v>No</v>
          </cell>
          <cell r="R1272" t="str">
            <v>YACOVONE JOSEPH</v>
          </cell>
          <cell r="W1272" t="str">
            <v>YACOVONE JOSEPH F          MD</v>
          </cell>
          <cell r="X1272" t="str">
            <v>HORTON HOSP XRAY</v>
          </cell>
          <cell r="Y1272" t="str">
            <v>MIDDLETOWN</v>
          </cell>
          <cell r="Z1272" t="str">
            <v>NY</v>
          </cell>
          <cell r="AA1272" t="str">
            <v>10940-4199</v>
          </cell>
          <cell r="AB1272" t="str">
            <v>PHYSICIAN</v>
          </cell>
          <cell r="AC1272" t="str">
            <v>M</v>
          </cell>
          <cell r="AD1272" t="str">
            <v>No</v>
          </cell>
          <cell r="AE1272" t="str">
            <v>MMIS</v>
          </cell>
          <cell r="AF1272" t="str">
            <v>nypeastcampus</v>
          </cell>
          <cell r="AG1272" t="str">
            <v>P</v>
          </cell>
        </row>
        <row r="1273">
          <cell r="A1273" t="str">
            <v>1801810015</v>
          </cell>
          <cell r="B1273" t="str">
            <v>02003029</v>
          </cell>
          <cell r="C1273" t="str">
            <v>Min Robert</v>
          </cell>
          <cell r="D1273" t="str">
            <v>E0099758</v>
          </cell>
          <cell r="E1273" t="str">
            <v>MIN ROBERT J MD</v>
          </cell>
          <cell r="L1273" t="str">
            <v>Uncategorized</v>
          </cell>
          <cell r="M1273" t="str">
            <v>No</v>
          </cell>
          <cell r="R1273" t="str">
            <v>MIN ROBERT DR.</v>
          </cell>
          <cell r="W1273" t="str">
            <v>MIN ROBERT J MD</v>
          </cell>
          <cell r="X1273" t="str">
            <v>525 E 68TH ST</v>
          </cell>
          <cell r="Y1273" t="str">
            <v>NEW YORK</v>
          </cell>
          <cell r="Z1273" t="str">
            <v>NY</v>
          </cell>
          <cell r="AA1273" t="str">
            <v>10065-4870</v>
          </cell>
          <cell r="AB1273" t="str">
            <v>PHYSICIAN</v>
          </cell>
          <cell r="AC1273" t="str">
            <v>M</v>
          </cell>
          <cell r="AD1273" t="str">
            <v>No</v>
          </cell>
          <cell r="AE1273" t="str">
            <v>MMIS</v>
          </cell>
          <cell r="AF1273" t="str">
            <v>nypeastcampus</v>
          </cell>
          <cell r="AG1273" t="str">
            <v>P</v>
          </cell>
        </row>
        <row r="1274">
          <cell r="A1274" t="str">
            <v>1629006143</v>
          </cell>
          <cell r="B1274" t="str">
            <v>03394130</v>
          </cell>
          <cell r="C1274" t="str">
            <v>COLENDA, MARYANN J</v>
          </cell>
          <cell r="D1274" t="str">
            <v>E0326948</v>
          </cell>
          <cell r="E1274" t="str">
            <v>COLENDA MARYANN</v>
          </cell>
          <cell r="G1274" t="str">
            <v>Kathryn Spaziani</v>
          </cell>
          <cell r="H1274" t="str">
            <v>(212) 305-1190</v>
          </cell>
          <cell r="J1274" t="str">
            <v>kas9171@nyp.org</v>
          </cell>
          <cell r="L1274" t="str">
            <v>Practitioner - Non-Primary Care Provider (PCP)</v>
          </cell>
          <cell r="M1274" t="str">
            <v>No</v>
          </cell>
          <cell r="R1274" t="str">
            <v>COLENDA MARYANNE DR.</v>
          </cell>
          <cell r="W1274" t="str">
            <v>COLENDA MARYANN</v>
          </cell>
          <cell r="X1274" t="str">
            <v>622 W 168TH ST</v>
          </cell>
          <cell r="Y1274" t="str">
            <v>NEW YORK</v>
          </cell>
          <cell r="Z1274" t="str">
            <v>NY</v>
          </cell>
          <cell r="AA1274" t="str">
            <v>10032-3720</v>
          </cell>
          <cell r="AB1274" t="str">
            <v>PHYSICIAN</v>
          </cell>
          <cell r="AC1274" t="str">
            <v>M</v>
          </cell>
          <cell r="AD1274" t="str">
            <v>No</v>
          </cell>
          <cell r="AE1274" t="str">
            <v>MMIS</v>
          </cell>
          <cell r="AF1274" t="str">
            <v>nypwestacn</v>
          </cell>
          <cell r="AG1274" t="str">
            <v>P</v>
          </cell>
        </row>
        <row r="1275">
          <cell r="A1275" t="str">
            <v>1588953327</v>
          </cell>
          <cell r="B1275" t="str">
            <v>03994745</v>
          </cell>
          <cell r="C1275" t="str">
            <v>Bao George</v>
          </cell>
          <cell r="D1275" t="str">
            <v>E0390902</v>
          </cell>
          <cell r="E1275" t="str">
            <v>BAO GEORGE CHENG XI</v>
          </cell>
          <cell r="G1275" t="str">
            <v>Kathryn Spaziani</v>
          </cell>
          <cell r="H1275" t="str">
            <v>(212) 305-1255</v>
          </cell>
          <cell r="J1275" t="str">
            <v>kas9171@nyp.org</v>
          </cell>
          <cell r="L1275" t="str">
            <v>Practitioner - Non-Primary Care Provider (PCP)</v>
          </cell>
          <cell r="M1275" t="str">
            <v>No</v>
          </cell>
          <cell r="R1275" t="str">
            <v>BAO GEORGE CHENG XI</v>
          </cell>
          <cell r="W1275" t="str">
            <v>BAO GEORGE CHENG XI</v>
          </cell>
          <cell r="X1275" t="str">
            <v>170 WILLIAM ST</v>
          </cell>
          <cell r="Y1275" t="str">
            <v>NEW YORK</v>
          </cell>
          <cell r="Z1275" t="str">
            <v>NY</v>
          </cell>
          <cell r="AA1275" t="str">
            <v>10038-2612</v>
          </cell>
          <cell r="AB1275" t="str">
            <v>PHYSICIAN</v>
          </cell>
          <cell r="AC1275" t="str">
            <v>M</v>
          </cell>
          <cell r="AD1275" t="str">
            <v>No</v>
          </cell>
          <cell r="AE1275" t="str">
            <v>MMIS</v>
          </cell>
          <cell r="AF1275" t="str">
            <v>nypeastcampus</v>
          </cell>
          <cell r="AG1275" t="str">
            <v>P</v>
          </cell>
        </row>
        <row r="1276">
          <cell r="A1276" t="str">
            <v>1497970586</v>
          </cell>
          <cell r="B1276" t="str">
            <v>02888984</v>
          </cell>
          <cell r="C1276" t="str">
            <v>Brown Claire</v>
          </cell>
          <cell r="D1276" t="str">
            <v>E0011307</v>
          </cell>
          <cell r="E1276" t="str">
            <v>BROWN CLAIRE MD</v>
          </cell>
          <cell r="L1276" t="str">
            <v>Practitioner - Non-Primary Care Provider (PCP)</v>
          </cell>
          <cell r="M1276" t="str">
            <v>No</v>
          </cell>
          <cell r="R1276" t="str">
            <v>BROWN CLAIRE DR.</v>
          </cell>
          <cell r="W1276" t="str">
            <v>BROWN CLAIRE MD</v>
          </cell>
          <cell r="X1276" t="str">
            <v>1825 EASTCHESTER RD</v>
          </cell>
          <cell r="Y1276" t="str">
            <v>BRONX</v>
          </cell>
          <cell r="Z1276" t="str">
            <v>NY</v>
          </cell>
          <cell r="AA1276" t="str">
            <v>10461-2301</v>
          </cell>
          <cell r="AB1276" t="str">
            <v>PHYSICIAN</v>
          </cell>
          <cell r="AC1276" t="str">
            <v>M</v>
          </cell>
          <cell r="AD1276" t="str">
            <v>No</v>
          </cell>
          <cell r="AE1276" t="str">
            <v>MMIS</v>
          </cell>
          <cell r="AF1276" t="str">
            <v>nypeastcampus</v>
          </cell>
          <cell r="AG1276" t="str">
            <v>P</v>
          </cell>
        </row>
        <row r="1277">
          <cell r="A1277" t="str">
            <v>1952537581</v>
          </cell>
          <cell r="B1277" t="str">
            <v>03589291</v>
          </cell>
          <cell r="C1277" t="str">
            <v>Bruneus Magalie</v>
          </cell>
          <cell r="D1277" t="str">
            <v>E0349081</v>
          </cell>
          <cell r="E1277" t="str">
            <v>BRUNEUS MAGALIE</v>
          </cell>
          <cell r="L1277" t="str">
            <v>Practitioner - Non-Primary Care Provider (PCP)</v>
          </cell>
          <cell r="M1277" t="str">
            <v>No</v>
          </cell>
          <cell r="R1277" t="str">
            <v>BRUNEUS MAGALIE</v>
          </cell>
          <cell r="W1277" t="str">
            <v>BRUNEUS MAGALIE</v>
          </cell>
          <cell r="X1277" t="str">
            <v>525 E 68TH ST # 130</v>
          </cell>
          <cell r="Y1277" t="str">
            <v>NEW YORK</v>
          </cell>
          <cell r="Z1277" t="str">
            <v>NY</v>
          </cell>
          <cell r="AA1277" t="str">
            <v>10065-4870</v>
          </cell>
          <cell r="AB1277" t="str">
            <v>PHYSICIAN</v>
          </cell>
          <cell r="AC1277" t="str">
            <v>M</v>
          </cell>
          <cell r="AD1277" t="str">
            <v>No</v>
          </cell>
          <cell r="AE1277" t="str">
            <v>MMIS</v>
          </cell>
          <cell r="AF1277" t="str">
            <v>nypeastcampus</v>
          </cell>
          <cell r="AG1277" t="str">
            <v>P</v>
          </cell>
        </row>
        <row r="1278">
          <cell r="A1278" t="str">
            <v>1518240688</v>
          </cell>
          <cell r="C1278" t="str">
            <v>O'Neill Christopher</v>
          </cell>
          <cell r="G1278" t="str">
            <v>Kathryn Spaziani</v>
          </cell>
          <cell r="H1278" t="str">
            <v>(212) 305-1255</v>
          </cell>
          <cell r="J1278" t="str">
            <v>kas9171@nyp.org</v>
          </cell>
          <cell r="K1278" t="str">
            <v>Physician</v>
          </cell>
          <cell r="L1278" t="str">
            <v>Uncategorized</v>
          </cell>
          <cell r="M1278" t="str">
            <v>No</v>
          </cell>
          <cell r="R1278" t="str">
            <v>O'NEILL CHRISTOPHER MR.</v>
          </cell>
          <cell r="S1278" t="str">
            <v>525 E 68TH ST, BOX 124</v>
          </cell>
          <cell r="T1278" t="str">
            <v>NEW YORK</v>
          </cell>
          <cell r="U1278" t="str">
            <v>NY</v>
          </cell>
          <cell r="V1278" t="str">
            <v>100654870</v>
          </cell>
          <cell r="AC1278" t="str">
            <v>M</v>
          </cell>
          <cell r="AD1278" t="str">
            <v>No</v>
          </cell>
          <cell r="AE1278" t="str">
            <v>NPI only</v>
          </cell>
          <cell r="AF1278" t="str">
            <v>nypeastcampus</v>
          </cell>
          <cell r="AG1278" t="str">
            <v>P</v>
          </cell>
        </row>
        <row r="1279">
          <cell r="A1279" t="str">
            <v>1245242163</v>
          </cell>
          <cell r="B1279" t="str">
            <v>02078839</v>
          </cell>
          <cell r="C1279" t="str">
            <v>Osorio James</v>
          </cell>
          <cell r="D1279" t="str">
            <v>E0092183</v>
          </cell>
          <cell r="E1279" t="str">
            <v>OSORIO JAMES ALBERT MD</v>
          </cell>
          <cell r="L1279" t="str">
            <v>All Other:: Practitioner - Non-Primary Care Provider (PCP)</v>
          </cell>
          <cell r="M1279" t="str">
            <v>No</v>
          </cell>
          <cell r="R1279" t="str">
            <v>OSORIO JAMES DR.</v>
          </cell>
          <cell r="W1279" t="str">
            <v>OSORIO JAMES ALBERT MD</v>
          </cell>
          <cell r="X1279" t="str">
            <v>CORNELL ANESTH</v>
          </cell>
          <cell r="Y1279" t="str">
            <v>NEW YORK</v>
          </cell>
          <cell r="Z1279" t="str">
            <v>NY</v>
          </cell>
          <cell r="AA1279" t="str">
            <v>10065-4870</v>
          </cell>
          <cell r="AB1279" t="str">
            <v>PHYSICIAN</v>
          </cell>
          <cell r="AC1279" t="str">
            <v>M</v>
          </cell>
          <cell r="AD1279" t="str">
            <v>No</v>
          </cell>
          <cell r="AE1279" t="str">
            <v>MMIS</v>
          </cell>
          <cell r="AF1279" t="str">
            <v>nypeastcampus</v>
          </cell>
          <cell r="AG1279" t="str">
            <v>P</v>
          </cell>
        </row>
        <row r="1280">
          <cell r="A1280" t="str">
            <v>1518111202</v>
          </cell>
          <cell r="B1280" t="str">
            <v>03137804</v>
          </cell>
          <cell r="C1280" t="str">
            <v>Pamnani Anup</v>
          </cell>
          <cell r="D1280" t="str">
            <v>E0297421</v>
          </cell>
          <cell r="E1280" t="str">
            <v>ANUP PAMNANI MD</v>
          </cell>
          <cell r="L1280" t="str">
            <v>All Other:: Practitioner - Non-Primary Care Provider (PCP)</v>
          </cell>
          <cell r="M1280" t="str">
            <v>No</v>
          </cell>
          <cell r="R1280" t="str">
            <v>PAMNANI ANUP</v>
          </cell>
          <cell r="W1280" t="str">
            <v>PAMNANI ANUP MD</v>
          </cell>
          <cell r="X1280" t="str">
            <v>525 E 68TH ST</v>
          </cell>
          <cell r="Y1280" t="str">
            <v>NEW YORK</v>
          </cell>
          <cell r="Z1280" t="str">
            <v>NY</v>
          </cell>
          <cell r="AA1280" t="str">
            <v>10065-4870</v>
          </cell>
          <cell r="AB1280" t="str">
            <v>PHYSICIAN</v>
          </cell>
          <cell r="AC1280" t="str">
            <v>M</v>
          </cell>
          <cell r="AD1280" t="str">
            <v>No</v>
          </cell>
          <cell r="AE1280" t="str">
            <v>MMIS</v>
          </cell>
          <cell r="AF1280" t="str">
            <v>nypeastcampus</v>
          </cell>
          <cell r="AG1280" t="str">
            <v>P</v>
          </cell>
        </row>
        <row r="1281">
          <cell r="A1281" t="str">
            <v>1982032843</v>
          </cell>
          <cell r="C1281" t="str">
            <v>Parvathaneni Suma</v>
          </cell>
          <cell r="G1281" t="str">
            <v>Kathryn Spaziani</v>
          </cell>
          <cell r="H1281" t="str">
            <v>(212) 305-1255</v>
          </cell>
          <cell r="J1281" t="str">
            <v>kas9171@nyp.org</v>
          </cell>
          <cell r="K1281" t="str">
            <v>Physician</v>
          </cell>
          <cell r="L1281" t="str">
            <v>Uncategorized</v>
          </cell>
          <cell r="M1281" t="str">
            <v>No</v>
          </cell>
          <cell r="R1281" t="str">
            <v>PARVATHANENI SUMA</v>
          </cell>
          <cell r="S1281" t="str">
            <v>1414 YORK AVE</v>
          </cell>
          <cell r="T1281" t="str">
            <v>NEW YORK</v>
          </cell>
          <cell r="U1281" t="str">
            <v>NY</v>
          </cell>
          <cell r="V1281" t="str">
            <v>100213129</v>
          </cell>
          <cell r="AC1281" t="str">
            <v>M</v>
          </cell>
          <cell r="AD1281" t="str">
            <v>No</v>
          </cell>
          <cell r="AE1281" t="str">
            <v>NPI only</v>
          </cell>
          <cell r="AF1281" t="str">
            <v>nypeastcampus</v>
          </cell>
          <cell r="AG1281" t="str">
            <v>P</v>
          </cell>
        </row>
        <row r="1282">
          <cell r="A1282" t="str">
            <v>1780831412</v>
          </cell>
          <cell r="B1282" t="str">
            <v>03486197</v>
          </cell>
          <cell r="C1282" t="str">
            <v>Patt Minda</v>
          </cell>
          <cell r="D1282" t="str">
            <v>E0338071</v>
          </cell>
          <cell r="E1282" t="str">
            <v>PATT MINDA L</v>
          </cell>
          <cell r="L1282" t="str">
            <v>All Other:: Practitioner - Non-Primary Care Provider (PCP)</v>
          </cell>
          <cell r="M1282" t="str">
            <v>No</v>
          </cell>
          <cell r="R1282" t="str">
            <v>PATT MINDA DR.</v>
          </cell>
          <cell r="W1282" t="str">
            <v>PATT MINDA LISA</v>
          </cell>
          <cell r="X1282" t="str">
            <v>525 E 68TH ST</v>
          </cell>
          <cell r="Y1282" t="str">
            <v>NEW YORK</v>
          </cell>
          <cell r="Z1282" t="str">
            <v>NY</v>
          </cell>
          <cell r="AA1282" t="str">
            <v>10065-4870</v>
          </cell>
          <cell r="AB1282" t="str">
            <v>PHYSICIAN</v>
          </cell>
          <cell r="AC1282" t="str">
            <v>M</v>
          </cell>
          <cell r="AD1282" t="str">
            <v>No</v>
          </cell>
          <cell r="AE1282" t="str">
            <v>MMIS</v>
          </cell>
          <cell r="AF1282" t="str">
            <v>nypeastcampus</v>
          </cell>
          <cell r="AG1282" t="str">
            <v>P</v>
          </cell>
        </row>
        <row r="1283">
          <cell r="A1283" t="str">
            <v>1013944180</v>
          </cell>
          <cell r="C1283" t="str">
            <v>Perley-Kwauk Rosemary</v>
          </cell>
          <cell r="G1283" t="str">
            <v>Kathryn Spaziani</v>
          </cell>
          <cell r="H1283" t="str">
            <v>(212) 305-1255</v>
          </cell>
          <cell r="J1283" t="str">
            <v>kas9171@nyp.org</v>
          </cell>
          <cell r="K1283" t="str">
            <v>Physician</v>
          </cell>
          <cell r="L1283" t="str">
            <v>Practitioner - Non-Primary Care Provider (PCP)</v>
          </cell>
          <cell r="M1283" t="str">
            <v>No</v>
          </cell>
          <cell r="R1283" t="str">
            <v>PERLEYKWAUK ROSEMARY</v>
          </cell>
          <cell r="S1283" t="str">
            <v>5 PERRYRIDGE RD</v>
          </cell>
          <cell r="T1283" t="str">
            <v>GREENWICH</v>
          </cell>
          <cell r="U1283" t="str">
            <v>CT</v>
          </cell>
          <cell r="V1283" t="str">
            <v>068304608</v>
          </cell>
          <cell r="AC1283" t="str">
            <v>M</v>
          </cell>
          <cell r="AD1283" t="str">
            <v>No</v>
          </cell>
          <cell r="AE1283" t="str">
            <v>NPI only</v>
          </cell>
          <cell r="AF1283" t="str">
            <v>nypeastcampus</v>
          </cell>
          <cell r="AG1283" t="str">
            <v>P</v>
          </cell>
        </row>
        <row r="1284">
          <cell r="A1284" t="str">
            <v>1902049869</v>
          </cell>
          <cell r="B1284" t="str">
            <v>03937088</v>
          </cell>
          <cell r="C1284" t="str">
            <v>Pick Jeremy</v>
          </cell>
          <cell r="D1284" t="str">
            <v>E0384888</v>
          </cell>
          <cell r="E1284" t="str">
            <v>PICK JEREMY SAMUEL</v>
          </cell>
          <cell r="G1284" t="str">
            <v>Kathryn Spaziani</v>
          </cell>
          <cell r="H1284" t="str">
            <v>(212) 305-1255</v>
          </cell>
          <cell r="J1284" t="str">
            <v>kas9171@nyp.org</v>
          </cell>
          <cell r="L1284" t="str">
            <v>All Other:: Practitioner - Non-Primary Care Provider (PCP)</v>
          </cell>
          <cell r="M1284" t="str">
            <v>No</v>
          </cell>
          <cell r="R1284" t="str">
            <v>PICK JEREMY</v>
          </cell>
          <cell r="W1284" t="str">
            <v>PICK JEREMY SAMUEL</v>
          </cell>
          <cell r="X1284" t="str">
            <v>625 E 68TH ST</v>
          </cell>
          <cell r="Y1284" t="str">
            <v>NEW YORK</v>
          </cell>
          <cell r="Z1284" t="str">
            <v>NY</v>
          </cell>
          <cell r="AA1284" t="str">
            <v>10065-0000</v>
          </cell>
          <cell r="AB1284" t="str">
            <v>PHYSICIAN</v>
          </cell>
          <cell r="AC1284" t="str">
            <v>M</v>
          </cell>
          <cell r="AD1284" t="str">
            <v>No</v>
          </cell>
          <cell r="AE1284" t="str">
            <v>MMIS</v>
          </cell>
          <cell r="AF1284" t="str">
            <v>nypeastcampus</v>
          </cell>
          <cell r="AG1284" t="str">
            <v>P</v>
          </cell>
        </row>
        <row r="1285">
          <cell r="A1285" t="str">
            <v>1245327311</v>
          </cell>
          <cell r="B1285" t="str">
            <v>00615054</v>
          </cell>
          <cell r="C1285" t="str">
            <v>RAIK, BARRIE L</v>
          </cell>
          <cell r="D1285" t="str">
            <v>E0238177</v>
          </cell>
          <cell r="E1285" t="str">
            <v>RAIK BARRIE LYNN           MD</v>
          </cell>
          <cell r="G1285" t="str">
            <v>Kathryn Spaziani</v>
          </cell>
          <cell r="H1285" t="str">
            <v>(212) 305-1190</v>
          </cell>
          <cell r="J1285" t="str">
            <v>kas9171@nyp.org</v>
          </cell>
          <cell r="L1285" t="str">
            <v>All Other:: Practitioner - Primary Care Provider (PCP)</v>
          </cell>
          <cell r="M1285" t="str">
            <v>No</v>
          </cell>
          <cell r="R1285" t="str">
            <v>RAIK BARRIE</v>
          </cell>
          <cell r="W1285" t="str">
            <v>RAIK BARRIE LYNN           MD</v>
          </cell>
          <cell r="X1285" t="str">
            <v>VC 2-205 AIM</v>
          </cell>
          <cell r="Y1285" t="str">
            <v>NEW YORK</v>
          </cell>
          <cell r="Z1285" t="str">
            <v>NY</v>
          </cell>
          <cell r="AA1285" t="str">
            <v>10032-3720</v>
          </cell>
          <cell r="AB1285" t="str">
            <v>PHYSICIAN</v>
          </cell>
          <cell r="AC1285" t="str">
            <v>M</v>
          </cell>
          <cell r="AD1285" t="str">
            <v>No</v>
          </cell>
          <cell r="AE1285" t="str">
            <v>MMIS</v>
          </cell>
          <cell r="AF1285" t="str">
            <v>nypeastcampus</v>
          </cell>
          <cell r="AG1285" t="str">
            <v>P</v>
          </cell>
        </row>
        <row r="1286">
          <cell r="A1286" t="str">
            <v>1437202660</v>
          </cell>
          <cell r="B1286" t="str">
            <v>01395308</v>
          </cell>
          <cell r="C1286" t="str">
            <v>Mesa-Jonassen Amy</v>
          </cell>
          <cell r="D1286" t="str">
            <v>E0160432</v>
          </cell>
          <cell r="E1286" t="str">
            <v>MESA-JONASSEN AMY  MD</v>
          </cell>
          <cell r="L1286" t="str">
            <v>All Other:: Practitioner - Non-Primary Care Provider (PCP)</v>
          </cell>
          <cell r="M1286" t="str">
            <v>No</v>
          </cell>
          <cell r="R1286" t="str">
            <v>MESA-JONASSEN AMY DR.</v>
          </cell>
          <cell r="W1286" t="str">
            <v>MESA-JONASSEN AMY  MD</v>
          </cell>
          <cell r="Y1286" t="str">
            <v>NEW YORK</v>
          </cell>
          <cell r="Z1286" t="str">
            <v>NY</v>
          </cell>
          <cell r="AA1286" t="str">
            <v>10032-3720</v>
          </cell>
          <cell r="AB1286" t="str">
            <v>PHYSICIAN</v>
          </cell>
          <cell r="AC1286" t="str">
            <v>M</v>
          </cell>
          <cell r="AD1286" t="str">
            <v>No</v>
          </cell>
          <cell r="AE1286" t="str">
            <v>MMIS</v>
          </cell>
          <cell r="AF1286" t="str">
            <v>nypwestcampus</v>
          </cell>
          <cell r="AG1286" t="str">
            <v>P</v>
          </cell>
        </row>
        <row r="1287">
          <cell r="A1287" t="str">
            <v>1710291034</v>
          </cell>
          <cell r="B1287" t="str">
            <v>03269330</v>
          </cell>
          <cell r="C1287" t="str">
            <v>KOHN, SHERRY</v>
          </cell>
          <cell r="D1287" t="str">
            <v>E0312215</v>
          </cell>
          <cell r="E1287" t="str">
            <v>KOHN SHERRY R</v>
          </cell>
          <cell r="G1287" t="str">
            <v>Kathryn Spaziani</v>
          </cell>
          <cell r="H1287" t="str">
            <v>(212) 305-1276</v>
          </cell>
          <cell r="J1287" t="str">
            <v>kas9171@nyp.org</v>
          </cell>
          <cell r="L1287" t="str">
            <v>All Other:: Practitioner - Non-Primary Care Provider (PCP)</v>
          </cell>
          <cell r="M1287" t="str">
            <v>Yes</v>
          </cell>
          <cell r="R1287" t="str">
            <v>KOHN SHERRY MS.</v>
          </cell>
          <cell r="W1287" t="str">
            <v>KOHN SHERRY R</v>
          </cell>
          <cell r="X1287" t="str">
            <v>622 W 168TH ST</v>
          </cell>
          <cell r="Y1287" t="str">
            <v>NEW YORK</v>
          </cell>
          <cell r="Z1287" t="str">
            <v>NY</v>
          </cell>
          <cell r="AA1287" t="str">
            <v>10032-3720</v>
          </cell>
          <cell r="AB1287" t="str">
            <v>PHYSICIAN</v>
          </cell>
          <cell r="AC1287" t="str">
            <v>M</v>
          </cell>
          <cell r="AD1287" t="str">
            <v>No</v>
          </cell>
          <cell r="AE1287" t="str">
            <v>MMIS</v>
          </cell>
          <cell r="AF1287" t="str">
            <v>nypwestcampus</v>
          </cell>
          <cell r="AG1287" t="str">
            <v>P</v>
          </cell>
        </row>
        <row r="1288">
          <cell r="A1288" t="str">
            <v>1316256324</v>
          </cell>
          <cell r="B1288" t="str">
            <v>03369817</v>
          </cell>
          <cell r="C1288" t="str">
            <v>KOTSOVOS, ALEXANDRA</v>
          </cell>
          <cell r="D1288" t="str">
            <v>E0323811</v>
          </cell>
          <cell r="E1288" t="str">
            <v>KOTSOVOS ALEXANDRA KATERINA</v>
          </cell>
          <cell r="G1288" t="str">
            <v>Kathryn Spaziani</v>
          </cell>
          <cell r="H1288" t="str">
            <v>(212) 305-1278</v>
          </cell>
          <cell r="J1288" t="str">
            <v>kas9171@nyp.org</v>
          </cell>
          <cell r="L1288" t="str">
            <v>Practitioner - Non-Primary Care Provider (PCP)</v>
          </cell>
          <cell r="M1288" t="str">
            <v>No</v>
          </cell>
          <cell r="R1288" t="str">
            <v>HAWKINS ALEXANDRA</v>
          </cell>
          <cell r="W1288" t="str">
            <v>KOTSOVOS ALEXANDRA KATERINA</v>
          </cell>
          <cell r="X1288" t="str">
            <v>525 E 68TH ST</v>
          </cell>
          <cell r="Y1288" t="str">
            <v>NEW YORK</v>
          </cell>
          <cell r="Z1288" t="str">
            <v>NY</v>
          </cell>
          <cell r="AA1288" t="str">
            <v>10065-4870</v>
          </cell>
          <cell r="AB1288" t="str">
            <v>PHYSICIAN</v>
          </cell>
          <cell r="AC1288" t="str">
            <v>M</v>
          </cell>
          <cell r="AD1288" t="str">
            <v>No</v>
          </cell>
          <cell r="AE1288" t="str">
            <v>MMIS</v>
          </cell>
          <cell r="AF1288" t="str">
            <v>nypother</v>
          </cell>
          <cell r="AG1288" t="str">
            <v>P</v>
          </cell>
        </row>
        <row r="1289">
          <cell r="A1289" t="str">
            <v>1841389103</v>
          </cell>
          <cell r="B1289" t="str">
            <v>00390381</v>
          </cell>
          <cell r="C1289" t="str">
            <v>ORTIZ-NEU, CARMEN I</v>
          </cell>
          <cell r="D1289" t="str">
            <v>E0260199</v>
          </cell>
          <cell r="E1289" t="str">
            <v>NEU CARMEN IRENE ORTIZ</v>
          </cell>
          <cell r="G1289" t="str">
            <v>Kathryn Spaziani</v>
          </cell>
          <cell r="H1289" t="str">
            <v>(212) 305-1190</v>
          </cell>
          <cell r="J1289" t="str">
            <v>kas9171@nyp.org</v>
          </cell>
          <cell r="L1289" t="str">
            <v>Practitioner - Non-Primary Care Provider (PCP)</v>
          </cell>
          <cell r="M1289" t="str">
            <v>Yes</v>
          </cell>
          <cell r="R1289" t="str">
            <v>ORTIZ-NEU CARMEN DR.</v>
          </cell>
          <cell r="W1289" t="str">
            <v>NEU CARMEN IRENE ORTIZ</v>
          </cell>
          <cell r="X1289" t="str">
            <v>VC 2 205 AIM</v>
          </cell>
          <cell r="Y1289" t="str">
            <v>NEW YORK</v>
          </cell>
          <cell r="Z1289" t="str">
            <v>NY</v>
          </cell>
          <cell r="AA1289" t="str">
            <v>10032-3720</v>
          </cell>
          <cell r="AB1289" t="str">
            <v>PHYSICIAN</v>
          </cell>
          <cell r="AC1289" t="str">
            <v>M</v>
          </cell>
          <cell r="AD1289" t="str">
            <v>No</v>
          </cell>
          <cell r="AE1289" t="str">
            <v>MMIS</v>
          </cell>
          <cell r="AF1289" t="str">
            <v>nypother</v>
          </cell>
          <cell r="AG1289" t="str">
            <v>P</v>
          </cell>
        </row>
        <row r="1290">
          <cell r="A1290" t="str">
            <v>1275783284</v>
          </cell>
          <cell r="B1290" t="str">
            <v>03156778</v>
          </cell>
          <cell r="C1290" t="str">
            <v>GONDA, TAMAS A</v>
          </cell>
          <cell r="D1290" t="str">
            <v>E0299506</v>
          </cell>
          <cell r="E1290" t="str">
            <v>GONDA TAMAS ADAM MD</v>
          </cell>
          <cell r="G1290" t="str">
            <v>Kathryn Spaziani</v>
          </cell>
          <cell r="H1290" t="str">
            <v>(212) 305-1190</v>
          </cell>
          <cell r="J1290" t="str">
            <v>kas9171@nyp.org</v>
          </cell>
          <cell r="L1290" t="str">
            <v>All Other:: Practitioner - Non-Primary Care Provider (PCP)</v>
          </cell>
          <cell r="M1290" t="str">
            <v>No</v>
          </cell>
          <cell r="R1290" t="str">
            <v>GONDA TAMAS DR.</v>
          </cell>
          <cell r="W1290" t="str">
            <v>GONDA TAMAS ADAM MD</v>
          </cell>
          <cell r="X1290" t="str">
            <v>161 FORT WASHINGTON AVE</v>
          </cell>
          <cell r="Y1290" t="str">
            <v>NEW YORK</v>
          </cell>
          <cell r="Z1290" t="str">
            <v>NY</v>
          </cell>
          <cell r="AA1290" t="str">
            <v>10032-3729</v>
          </cell>
          <cell r="AB1290" t="str">
            <v>PHYSICIAN</v>
          </cell>
          <cell r="AC1290" t="str">
            <v>M</v>
          </cell>
          <cell r="AD1290" t="str">
            <v>No</v>
          </cell>
          <cell r="AE1290" t="str">
            <v>MMIS</v>
          </cell>
          <cell r="AF1290" t="str">
            <v>nypwestacn</v>
          </cell>
          <cell r="AG1290" t="str">
            <v>P</v>
          </cell>
        </row>
        <row r="1291">
          <cell r="A1291" t="str">
            <v>1548330665</v>
          </cell>
          <cell r="B1291" t="str">
            <v>02589462</v>
          </cell>
          <cell r="C1291" t="str">
            <v>Breen Lorna</v>
          </cell>
          <cell r="D1291" t="str">
            <v>E0041209</v>
          </cell>
          <cell r="E1291" t="str">
            <v>BREEN LORNA M MD</v>
          </cell>
          <cell r="L1291" t="str">
            <v>All Other:: Practitioner - Non-Primary Care Provider (PCP)</v>
          </cell>
          <cell r="M1291" t="str">
            <v>No</v>
          </cell>
          <cell r="R1291" t="str">
            <v>BREEN LORNA</v>
          </cell>
          <cell r="W1291" t="str">
            <v>BREEN LORNA M MD</v>
          </cell>
          <cell r="X1291" t="str">
            <v>622 W 168TH ST PH 1-137</v>
          </cell>
          <cell r="Y1291" t="str">
            <v>NEW YORK</v>
          </cell>
          <cell r="Z1291" t="str">
            <v>NY</v>
          </cell>
          <cell r="AA1291" t="str">
            <v>10032-3720</v>
          </cell>
          <cell r="AB1291" t="str">
            <v>PHYSICIAN</v>
          </cell>
          <cell r="AC1291" t="str">
            <v>M</v>
          </cell>
          <cell r="AD1291" t="str">
            <v>No</v>
          </cell>
          <cell r="AE1291" t="str">
            <v>MMIS</v>
          </cell>
          <cell r="AF1291" t="str">
            <v>nypwestcampus</v>
          </cell>
          <cell r="AG1291" t="str">
            <v>P</v>
          </cell>
        </row>
        <row r="1292">
          <cell r="A1292" t="str">
            <v>1578706032</v>
          </cell>
          <cell r="C1292" t="str">
            <v>Wang Xuan</v>
          </cell>
          <cell r="G1292" t="str">
            <v>Kathryn Spaziani</v>
          </cell>
          <cell r="H1292" t="str">
            <v>(212) 305-1251</v>
          </cell>
          <cell r="J1292" t="str">
            <v>kas9171@nyp.org</v>
          </cell>
          <cell r="K1292" t="str">
            <v>Physician</v>
          </cell>
          <cell r="L1292" t="str">
            <v>Uncategorized</v>
          </cell>
          <cell r="M1292" t="str">
            <v>No</v>
          </cell>
          <cell r="R1292" t="str">
            <v>WANG XUAN</v>
          </cell>
          <cell r="S1292" t="str">
            <v>246 INDUSTRIAL WAY W</v>
          </cell>
          <cell r="T1292" t="str">
            <v>EATONTOWN</v>
          </cell>
          <cell r="U1292" t="str">
            <v>NJ</v>
          </cell>
          <cell r="V1292" t="str">
            <v>077244240</v>
          </cell>
          <cell r="AC1292" t="str">
            <v>M</v>
          </cell>
          <cell r="AD1292" t="str">
            <v>No</v>
          </cell>
          <cell r="AE1292" t="str">
            <v>NPI only</v>
          </cell>
          <cell r="AF1292" t="str">
            <v>nypeastcampus</v>
          </cell>
          <cell r="AG1292" t="str">
            <v>P</v>
          </cell>
        </row>
        <row r="1293">
          <cell r="A1293" t="str">
            <v>1902231129</v>
          </cell>
          <cell r="C1293" t="str">
            <v>Maslowski John</v>
          </cell>
          <cell r="G1293" t="str">
            <v>Kathryn Spaziani</v>
          </cell>
          <cell r="H1293" t="str">
            <v>(212) 305-1255</v>
          </cell>
          <cell r="J1293" t="str">
            <v>kas9171@nyp.org</v>
          </cell>
          <cell r="K1293" t="str">
            <v>Physician</v>
          </cell>
          <cell r="L1293" t="str">
            <v>Uncategorized</v>
          </cell>
          <cell r="M1293" t="str">
            <v>No</v>
          </cell>
          <cell r="R1293" t="str">
            <v>MASLOWSKI JOHN</v>
          </cell>
          <cell r="S1293" t="str">
            <v>525 E 68TH ST</v>
          </cell>
          <cell r="T1293" t="str">
            <v>NEW YORK</v>
          </cell>
          <cell r="U1293" t="str">
            <v>NY</v>
          </cell>
          <cell r="V1293" t="str">
            <v>100654870</v>
          </cell>
          <cell r="AC1293" t="str">
            <v>M</v>
          </cell>
          <cell r="AD1293" t="str">
            <v>No</v>
          </cell>
          <cell r="AE1293" t="str">
            <v>NPI only</v>
          </cell>
          <cell r="AF1293" t="str">
            <v>nypeastcampus</v>
          </cell>
          <cell r="AG1293" t="str">
            <v>P</v>
          </cell>
        </row>
        <row r="1294">
          <cell r="A1294" t="str">
            <v>1629015359</v>
          </cell>
          <cell r="B1294" t="str">
            <v>02195068</v>
          </cell>
          <cell r="C1294" t="str">
            <v>Lock Barbara</v>
          </cell>
          <cell r="D1294" t="str">
            <v>E0080575</v>
          </cell>
          <cell r="E1294" t="str">
            <v>LOCK BARBARA GAETANA MD</v>
          </cell>
          <cell r="L1294" t="str">
            <v>Practitioner - Non-Primary Care Provider (PCP)</v>
          </cell>
          <cell r="M1294" t="str">
            <v>No</v>
          </cell>
          <cell r="R1294" t="str">
            <v>LOCK BARBARA</v>
          </cell>
          <cell r="W1294" t="str">
            <v>LOCK BARBARA GAETANA MD</v>
          </cell>
          <cell r="X1294" t="str">
            <v>622 W 168TH ST PH 1-137</v>
          </cell>
          <cell r="Y1294" t="str">
            <v>NEW YORK</v>
          </cell>
          <cell r="Z1294" t="str">
            <v>NY</v>
          </cell>
          <cell r="AA1294" t="str">
            <v>10032-3720</v>
          </cell>
          <cell r="AB1294" t="str">
            <v>PHYSICIAN</v>
          </cell>
          <cell r="AC1294" t="str">
            <v>M</v>
          </cell>
          <cell r="AD1294" t="str">
            <v>No</v>
          </cell>
          <cell r="AE1294" t="str">
            <v>MMIS</v>
          </cell>
          <cell r="AF1294" t="str">
            <v>nypwestcampus</v>
          </cell>
          <cell r="AG1294" t="str">
            <v>P</v>
          </cell>
        </row>
        <row r="1295">
          <cell r="A1295" t="str">
            <v>1760507941</v>
          </cell>
          <cell r="B1295" t="str">
            <v>03938112</v>
          </cell>
          <cell r="C1295" t="str">
            <v>LoPuzzo Sharon</v>
          </cell>
          <cell r="D1295" t="str">
            <v>E0384965</v>
          </cell>
          <cell r="E1295" t="str">
            <v>LOPUZZO SHARON A</v>
          </cell>
          <cell r="G1295" t="str">
            <v>Kathryn Spaziani</v>
          </cell>
          <cell r="H1295" t="str">
            <v>(212) 305-1255</v>
          </cell>
          <cell r="J1295" t="str">
            <v>kas9171@nyp.org</v>
          </cell>
          <cell r="L1295" t="str">
            <v>Practitioner - Non-Primary Care Provider (PCP)</v>
          </cell>
          <cell r="M1295" t="str">
            <v>No</v>
          </cell>
          <cell r="R1295" t="str">
            <v>LOPUZZO SHARON MS.</v>
          </cell>
          <cell r="W1295" t="str">
            <v>LOPUZZO SHARON A</v>
          </cell>
          <cell r="X1295" t="str">
            <v>622 W 168TH ST</v>
          </cell>
          <cell r="Y1295" t="str">
            <v>NEW YORK</v>
          </cell>
          <cell r="Z1295" t="str">
            <v>NY</v>
          </cell>
          <cell r="AA1295" t="str">
            <v>10032-3720</v>
          </cell>
          <cell r="AB1295" t="str">
            <v>PHYSICIAN</v>
          </cell>
          <cell r="AC1295" t="str">
            <v>M</v>
          </cell>
          <cell r="AD1295" t="str">
            <v>No</v>
          </cell>
          <cell r="AE1295" t="str">
            <v>MMIS</v>
          </cell>
          <cell r="AF1295" t="str">
            <v>nypwestcampus</v>
          </cell>
          <cell r="AG1295" t="str">
            <v>P</v>
          </cell>
        </row>
        <row r="1296">
          <cell r="A1296" t="str">
            <v>1336126739</v>
          </cell>
          <cell r="B1296" t="str">
            <v>03538218</v>
          </cell>
          <cell r="C1296" t="str">
            <v>JOANNA HOFMANN</v>
          </cell>
          <cell r="D1296" t="str">
            <v>E0343633</v>
          </cell>
          <cell r="E1296" t="str">
            <v>HOFMANN JOANNA FRANCES</v>
          </cell>
          <cell r="G1296" t="str">
            <v>Eva Eng</v>
          </cell>
          <cell r="H1296" t="str">
            <v>(212) 752-5003</v>
          </cell>
          <cell r="J1296" t="str">
            <v>eeng@archcare.org</v>
          </cell>
          <cell r="L1296" t="str">
            <v>All Other:: Practitioner - Non-Primary Care Provider (PCP)</v>
          </cell>
          <cell r="M1296" t="str">
            <v>Yes</v>
          </cell>
          <cell r="R1296" t="str">
            <v>HOFMANN JOANNA</v>
          </cell>
          <cell r="W1296" t="str">
            <v>HOFMANN JOANNA FRANCES</v>
          </cell>
          <cell r="X1296" t="str">
            <v>8814 FOSTER AVE FL 2</v>
          </cell>
          <cell r="Y1296" t="str">
            <v>BROOKLYN</v>
          </cell>
          <cell r="Z1296" t="str">
            <v>NY</v>
          </cell>
          <cell r="AA1296" t="str">
            <v>11236-3211</v>
          </cell>
          <cell r="AB1296" t="str">
            <v>PHYSICIAN</v>
          </cell>
          <cell r="AC1296" t="str">
            <v>M</v>
          </cell>
          <cell r="AD1296" t="str">
            <v>No</v>
          </cell>
          <cell r="AE1296" t="str">
            <v>MMIS</v>
          </cell>
          <cell r="AG1296" t="str">
            <v>P</v>
          </cell>
        </row>
        <row r="1297">
          <cell r="A1297" t="str">
            <v>1326165002</v>
          </cell>
          <cell r="B1297" t="str">
            <v>03416680</v>
          </cell>
          <cell r="C1297" t="str">
            <v>Goldklang Monica</v>
          </cell>
          <cell r="D1297" t="str">
            <v>E0329769</v>
          </cell>
          <cell r="E1297" t="str">
            <v>GOLDKLANG MONICA</v>
          </cell>
          <cell r="L1297" t="str">
            <v>Practitioner - Non-Primary Care Provider (PCP)</v>
          </cell>
          <cell r="M1297" t="str">
            <v>Yes</v>
          </cell>
          <cell r="R1297" t="str">
            <v>GOLDKLANG MONICA DR.</v>
          </cell>
          <cell r="W1297" t="str">
            <v>GOLDKLANG MONICA</v>
          </cell>
          <cell r="X1297" t="str">
            <v>FIRST AVENUE AT 16TH STREET</v>
          </cell>
          <cell r="Y1297" t="str">
            <v>NEW YORK</v>
          </cell>
          <cell r="Z1297" t="str">
            <v>NY</v>
          </cell>
          <cell r="AA1297" t="str">
            <v>10003-0000</v>
          </cell>
          <cell r="AB1297" t="str">
            <v>PHYSICIAN</v>
          </cell>
          <cell r="AC1297" t="str">
            <v>M</v>
          </cell>
          <cell r="AD1297" t="str">
            <v>No</v>
          </cell>
          <cell r="AE1297" t="str">
            <v>MMIS</v>
          </cell>
          <cell r="AF1297" t="str">
            <v>nypwestcampus</v>
          </cell>
          <cell r="AG1297" t="str">
            <v>P</v>
          </cell>
        </row>
        <row r="1298">
          <cell r="A1298" t="str">
            <v>1922198498</v>
          </cell>
          <cell r="B1298" t="str">
            <v>02844246</v>
          </cell>
          <cell r="C1298" t="str">
            <v>Goswami Sumeet</v>
          </cell>
          <cell r="D1298" t="str">
            <v>E0015773</v>
          </cell>
          <cell r="E1298" t="str">
            <v>GOSWAMI SUMEET MD</v>
          </cell>
          <cell r="L1298" t="str">
            <v>All Other:: Practitioner - Non-Primary Care Provider (PCP)</v>
          </cell>
          <cell r="M1298" t="str">
            <v>No</v>
          </cell>
          <cell r="R1298" t="str">
            <v>GOSWAMI SUMEET</v>
          </cell>
          <cell r="W1298" t="str">
            <v>GOSWAMI SUMEET MD</v>
          </cell>
          <cell r="X1298" t="str">
            <v>622 W 168TH ST</v>
          </cell>
          <cell r="Y1298" t="str">
            <v>NEW YORK</v>
          </cell>
          <cell r="Z1298" t="str">
            <v>NY</v>
          </cell>
          <cell r="AA1298" t="str">
            <v>10032-3720</v>
          </cell>
          <cell r="AB1298" t="str">
            <v>PHYSICIAN</v>
          </cell>
          <cell r="AC1298" t="str">
            <v>M</v>
          </cell>
          <cell r="AD1298" t="str">
            <v>No</v>
          </cell>
          <cell r="AE1298" t="str">
            <v>MMIS</v>
          </cell>
          <cell r="AF1298" t="str">
            <v>nypwestcampus</v>
          </cell>
          <cell r="AG1298" t="str">
            <v>P</v>
          </cell>
        </row>
        <row r="1299">
          <cell r="A1299" t="str">
            <v>1275787608</v>
          </cell>
          <cell r="B1299" t="str">
            <v>03378383</v>
          </cell>
          <cell r="C1299" t="str">
            <v>Hastie Jonathan</v>
          </cell>
          <cell r="D1299" t="str">
            <v>E0324860</v>
          </cell>
          <cell r="E1299" t="str">
            <v>HASTIE JONATHAN MARK</v>
          </cell>
          <cell r="L1299" t="str">
            <v>All Other:: Practitioner - Non-Primary Care Provider (PCP)</v>
          </cell>
          <cell r="M1299" t="str">
            <v>No</v>
          </cell>
          <cell r="R1299" t="str">
            <v>HASTIE JONATHAN</v>
          </cell>
          <cell r="W1299" t="str">
            <v>HASTIE JONATHAN MARK</v>
          </cell>
          <cell r="X1299" t="str">
            <v>622 W 168TH ST</v>
          </cell>
          <cell r="Y1299" t="str">
            <v>NEW YORK</v>
          </cell>
          <cell r="Z1299" t="str">
            <v>NY</v>
          </cell>
          <cell r="AA1299" t="str">
            <v>10032-3720</v>
          </cell>
          <cell r="AB1299" t="str">
            <v>PHYSICIAN</v>
          </cell>
          <cell r="AC1299" t="str">
            <v>M</v>
          </cell>
          <cell r="AD1299" t="str">
            <v>No</v>
          </cell>
          <cell r="AE1299" t="str">
            <v>MMIS</v>
          </cell>
          <cell r="AF1299" t="str">
            <v>nypwestcampus</v>
          </cell>
          <cell r="AG1299" t="str">
            <v>P</v>
          </cell>
        </row>
        <row r="1300">
          <cell r="A1300" t="str">
            <v>1194871236</v>
          </cell>
          <cell r="B1300" t="str">
            <v>01027807</v>
          </cell>
          <cell r="C1300" t="str">
            <v>Jordan Desmond</v>
          </cell>
          <cell r="D1300" t="str">
            <v>E0197084</v>
          </cell>
          <cell r="E1300" t="str">
            <v>JORDAN DESMOND ARTHUR</v>
          </cell>
          <cell r="L1300" t="str">
            <v>Practitioner - Non-Primary Care Provider (PCP)</v>
          </cell>
          <cell r="M1300" t="str">
            <v>No</v>
          </cell>
          <cell r="R1300" t="str">
            <v>JORDAN DESMOND</v>
          </cell>
          <cell r="W1300" t="str">
            <v>JORDAN DESMOND ARTHUR</v>
          </cell>
          <cell r="X1300" t="str">
            <v>ROOM 31</v>
          </cell>
          <cell r="Y1300" t="str">
            <v>NEW YORK</v>
          </cell>
          <cell r="Z1300" t="str">
            <v>NY</v>
          </cell>
          <cell r="AA1300" t="str">
            <v>10032-3720</v>
          </cell>
          <cell r="AB1300" t="str">
            <v>PHYSICIAN</v>
          </cell>
          <cell r="AC1300" t="str">
            <v>M</v>
          </cell>
          <cell r="AD1300" t="str">
            <v>No</v>
          </cell>
          <cell r="AE1300" t="str">
            <v>MMIS</v>
          </cell>
          <cell r="AF1300" t="str">
            <v>nypwestcampus</v>
          </cell>
          <cell r="AG1300" t="str">
            <v>P</v>
          </cell>
        </row>
        <row r="1301">
          <cell r="A1301" t="str">
            <v>1053449462</v>
          </cell>
          <cell r="C1301" t="str">
            <v>Kantor Steve</v>
          </cell>
          <cell r="G1301" t="str">
            <v>Kathryn Spaziani</v>
          </cell>
          <cell r="H1301" t="str">
            <v>(212) 305-1255</v>
          </cell>
          <cell r="J1301" t="str">
            <v>kas9171@nyp.org</v>
          </cell>
          <cell r="K1301" t="str">
            <v>Physician</v>
          </cell>
          <cell r="L1301" t="str">
            <v>Uncategorized</v>
          </cell>
          <cell r="M1301" t="str">
            <v>No</v>
          </cell>
          <cell r="R1301" t="str">
            <v>KANTOR STEVEN MR.</v>
          </cell>
          <cell r="S1301" t="str">
            <v>177 FORT WASHINGTON AVE, COLUMBIA UNIVERSITY MEDICAL CENTER</v>
          </cell>
          <cell r="T1301" t="str">
            <v>NEW YORK</v>
          </cell>
          <cell r="U1301" t="str">
            <v>NY</v>
          </cell>
          <cell r="V1301" t="str">
            <v>100323733</v>
          </cell>
          <cell r="AC1301" t="str">
            <v>M</v>
          </cell>
          <cell r="AD1301" t="str">
            <v>No</v>
          </cell>
          <cell r="AE1301" t="str">
            <v>NPI only</v>
          </cell>
          <cell r="AF1301" t="str">
            <v>nypwestcampus</v>
          </cell>
          <cell r="AG1301" t="str">
            <v>P</v>
          </cell>
        </row>
        <row r="1302">
          <cell r="A1302" t="str">
            <v>1396979282</v>
          </cell>
          <cell r="B1302" t="str">
            <v>03880935</v>
          </cell>
          <cell r="C1302" t="str">
            <v>Kiamanesh David</v>
          </cell>
          <cell r="D1302" t="str">
            <v>E0379197</v>
          </cell>
          <cell r="E1302" t="str">
            <v>KIAMANESH DAVID ASHKAN</v>
          </cell>
          <cell r="L1302" t="str">
            <v>All Other:: Practitioner - Non-Primary Care Provider (PCP)</v>
          </cell>
          <cell r="M1302" t="str">
            <v>No</v>
          </cell>
          <cell r="R1302" t="str">
            <v>KIAMANESH DAVID</v>
          </cell>
          <cell r="W1302" t="str">
            <v>KIAMANESH DAVID ASHKAN</v>
          </cell>
          <cell r="X1302" t="str">
            <v>622 W 168TH ST</v>
          </cell>
          <cell r="Y1302" t="str">
            <v>NEW YORK</v>
          </cell>
          <cell r="Z1302" t="str">
            <v>NY</v>
          </cell>
          <cell r="AA1302" t="str">
            <v>10032-3720</v>
          </cell>
          <cell r="AB1302" t="str">
            <v>PHYSICIAN</v>
          </cell>
          <cell r="AC1302" t="str">
            <v>M</v>
          </cell>
          <cell r="AD1302" t="str">
            <v>No</v>
          </cell>
          <cell r="AE1302" t="str">
            <v>MMIS</v>
          </cell>
          <cell r="AF1302" t="str">
            <v>nypwestcampus</v>
          </cell>
          <cell r="AG1302" t="str">
            <v>P</v>
          </cell>
        </row>
        <row r="1303">
          <cell r="A1303" t="str">
            <v>1427216878</v>
          </cell>
          <cell r="B1303" t="str">
            <v>03228044</v>
          </cell>
          <cell r="C1303" t="str">
            <v>Miller Steven</v>
          </cell>
          <cell r="D1303" t="str">
            <v>E0307558</v>
          </cell>
          <cell r="E1303" t="str">
            <v>MILLER STEVEN ERIC MD</v>
          </cell>
          <cell r="L1303" t="str">
            <v>All Other:: Practitioner - Non-Primary Care Provider (PCP)</v>
          </cell>
          <cell r="M1303" t="str">
            <v>No</v>
          </cell>
          <cell r="R1303" t="str">
            <v>MILLER STEVEN DR.</v>
          </cell>
          <cell r="W1303" t="str">
            <v>MILLER STEVEN ERIC MD</v>
          </cell>
          <cell r="X1303" t="str">
            <v>622 W 168TH ST</v>
          </cell>
          <cell r="Y1303" t="str">
            <v>NEW YORK</v>
          </cell>
          <cell r="Z1303" t="str">
            <v>NY</v>
          </cell>
          <cell r="AA1303" t="str">
            <v>10032-3720</v>
          </cell>
          <cell r="AB1303" t="str">
            <v>PHYSICIAN</v>
          </cell>
          <cell r="AC1303" t="str">
            <v>M</v>
          </cell>
          <cell r="AD1303" t="str">
            <v>No</v>
          </cell>
          <cell r="AE1303" t="str">
            <v>MMIS</v>
          </cell>
          <cell r="AF1303" t="str">
            <v>nypwestcampus</v>
          </cell>
          <cell r="AG1303" t="str">
            <v>P</v>
          </cell>
        </row>
        <row r="1304">
          <cell r="A1304" t="str">
            <v>1245337336</v>
          </cell>
          <cell r="B1304" t="str">
            <v>02822833</v>
          </cell>
          <cell r="C1304" t="str">
            <v>Moitra Vivek</v>
          </cell>
          <cell r="D1304" t="str">
            <v>E0017912</v>
          </cell>
          <cell r="E1304" t="str">
            <v>MOITRA VIVEK K MD</v>
          </cell>
          <cell r="L1304" t="str">
            <v>All Other:: Practitioner - Non-Primary Care Provider (PCP)</v>
          </cell>
          <cell r="M1304" t="str">
            <v>No</v>
          </cell>
          <cell r="R1304" t="str">
            <v>MOITRA VIVEK</v>
          </cell>
          <cell r="W1304" t="str">
            <v>MOITRA VIVEK K MD</v>
          </cell>
          <cell r="X1304" t="str">
            <v>622 W 168TH ST</v>
          </cell>
          <cell r="Y1304" t="str">
            <v>NEW YORK</v>
          </cell>
          <cell r="Z1304" t="str">
            <v>NY</v>
          </cell>
          <cell r="AA1304" t="str">
            <v>10032-3720</v>
          </cell>
          <cell r="AB1304" t="str">
            <v>PHYSICIAN</v>
          </cell>
          <cell r="AC1304" t="str">
            <v>M</v>
          </cell>
          <cell r="AD1304" t="str">
            <v>No</v>
          </cell>
          <cell r="AE1304" t="str">
            <v>MMIS</v>
          </cell>
          <cell r="AF1304" t="str">
            <v>nypwestcampus</v>
          </cell>
          <cell r="AG1304" t="str">
            <v>P</v>
          </cell>
        </row>
        <row r="1305">
          <cell r="A1305" t="str">
            <v>1164450656</v>
          </cell>
          <cell r="B1305" t="str">
            <v>02010593</v>
          </cell>
          <cell r="C1305" t="str">
            <v>Chadha Deepa</v>
          </cell>
          <cell r="D1305" t="str">
            <v>E0099002</v>
          </cell>
          <cell r="E1305" t="str">
            <v>CHADHA DEEPA JAGDISH MD</v>
          </cell>
          <cell r="L1305" t="str">
            <v>All Other:: Practitioner - Non-Primary Care Provider (PCP)</v>
          </cell>
          <cell r="M1305" t="str">
            <v>No</v>
          </cell>
          <cell r="R1305" t="str">
            <v>CHADHA DEEPA DR.</v>
          </cell>
          <cell r="W1305" t="str">
            <v>CHADHA DEEPA JAGDISH MD</v>
          </cell>
          <cell r="X1305" t="str">
            <v>MID-ROCKLAND IMAG</v>
          </cell>
          <cell r="Y1305" t="str">
            <v>NEW CITY</v>
          </cell>
          <cell r="Z1305" t="str">
            <v>NY</v>
          </cell>
          <cell r="AA1305" t="str">
            <v>10956-5210</v>
          </cell>
          <cell r="AB1305" t="str">
            <v>PHYSICIAN</v>
          </cell>
          <cell r="AC1305" t="str">
            <v>M</v>
          </cell>
          <cell r="AD1305" t="str">
            <v>No</v>
          </cell>
          <cell r="AE1305" t="str">
            <v>MMIS</v>
          </cell>
          <cell r="AF1305" t="str">
            <v>nypwestcampus</v>
          </cell>
          <cell r="AG1305" t="str">
            <v>P</v>
          </cell>
        </row>
        <row r="1306">
          <cell r="A1306" t="str">
            <v>1689873614</v>
          </cell>
          <cell r="B1306" t="str">
            <v>02898626</v>
          </cell>
          <cell r="C1306" t="str">
            <v>SINHA, ABHINAV N</v>
          </cell>
          <cell r="D1306" t="str">
            <v>E0010344</v>
          </cell>
          <cell r="E1306" t="str">
            <v>SINHA ABHINAV NATH DDS</v>
          </cell>
          <cell r="G1306" t="str">
            <v>Kathryn Spaziani</v>
          </cell>
          <cell r="H1306" t="str">
            <v>(212) 305-1190</v>
          </cell>
          <cell r="J1306" t="str">
            <v>kas9171@nyp.org</v>
          </cell>
          <cell r="L1306" t="str">
            <v>Practitioner - Non-Primary Care Provider (PCP)</v>
          </cell>
          <cell r="M1306" t="str">
            <v>No</v>
          </cell>
          <cell r="R1306" t="str">
            <v>SINHA ABHINAV</v>
          </cell>
          <cell r="W1306" t="str">
            <v>SINHA ABHINAV NATH</v>
          </cell>
          <cell r="X1306" t="str">
            <v>525 E 68TH ST</v>
          </cell>
          <cell r="Y1306" t="str">
            <v>NEW YORK</v>
          </cell>
          <cell r="Z1306" t="str">
            <v>NY</v>
          </cell>
          <cell r="AA1306" t="str">
            <v>10065-4870</v>
          </cell>
          <cell r="AB1306" t="str">
            <v>DENTIST</v>
          </cell>
          <cell r="AC1306" t="str">
            <v>M</v>
          </cell>
          <cell r="AD1306" t="str">
            <v>No</v>
          </cell>
          <cell r="AE1306" t="str">
            <v>MMIS</v>
          </cell>
          <cell r="AF1306" t="str">
            <v>nypother</v>
          </cell>
          <cell r="AG1306" t="str">
            <v>P</v>
          </cell>
        </row>
        <row r="1307">
          <cell r="A1307" t="str">
            <v>1609024975</v>
          </cell>
          <cell r="C1307" t="str">
            <v xml:space="preserve">MANUSOV, MARINA </v>
          </cell>
          <cell r="G1307" t="str">
            <v>Kathryn Spaziani</v>
          </cell>
          <cell r="H1307" t="str">
            <v>(212) 305-1190</v>
          </cell>
          <cell r="J1307" t="str">
            <v>kas9171@nyp.org</v>
          </cell>
          <cell r="K1307" t="str">
            <v>Physician</v>
          </cell>
          <cell r="L1307" t="str">
            <v>Uncategorized</v>
          </cell>
          <cell r="M1307" t="str">
            <v>No</v>
          </cell>
          <cell r="R1307" t="str">
            <v>MANUSOV MARINA MRS.</v>
          </cell>
          <cell r="S1307" t="str">
            <v>57 W 57TH ST</v>
          </cell>
          <cell r="T1307" t="str">
            <v>NEW YORK</v>
          </cell>
          <cell r="U1307" t="str">
            <v>NY</v>
          </cell>
          <cell r="V1307" t="str">
            <v>100192802</v>
          </cell>
          <cell r="AC1307" t="str">
            <v>M</v>
          </cell>
          <cell r="AD1307" t="str">
            <v>No</v>
          </cell>
          <cell r="AE1307" t="str">
            <v>NPI only</v>
          </cell>
          <cell r="AF1307" t="str">
            <v>nypother</v>
          </cell>
          <cell r="AG1307" t="str">
            <v>P</v>
          </cell>
        </row>
        <row r="1308">
          <cell r="A1308" t="str">
            <v>1629279799</v>
          </cell>
          <cell r="B1308" t="str">
            <v>03095443</v>
          </cell>
          <cell r="C1308" t="str">
            <v>WINN, BRYAN J</v>
          </cell>
          <cell r="D1308" t="str">
            <v>E0292558</v>
          </cell>
          <cell r="E1308" t="str">
            <v>WINN BRYAN JON</v>
          </cell>
          <cell r="G1308" t="str">
            <v>Kathryn Spaziani</v>
          </cell>
          <cell r="H1308" t="str">
            <v>(212) 305-1190</v>
          </cell>
          <cell r="J1308" t="str">
            <v>kas9171@nyp.org</v>
          </cell>
          <cell r="L1308" t="str">
            <v>Practitioner - Non-Primary Care Provider (PCP)</v>
          </cell>
          <cell r="M1308" t="str">
            <v>No</v>
          </cell>
          <cell r="R1308" t="str">
            <v>WINN BRYAN DR.</v>
          </cell>
          <cell r="W1308" t="str">
            <v>WINN BRYAN JON</v>
          </cell>
          <cell r="X1308" t="str">
            <v>635 WEST 165TH ST</v>
          </cell>
          <cell r="Y1308" t="str">
            <v>NEW YORK</v>
          </cell>
          <cell r="Z1308" t="str">
            <v>NY</v>
          </cell>
          <cell r="AA1308" t="str">
            <v>10087-0001</v>
          </cell>
          <cell r="AB1308" t="str">
            <v>PHYSICIAN</v>
          </cell>
          <cell r="AC1308" t="str">
            <v>M</v>
          </cell>
          <cell r="AD1308" t="str">
            <v>No</v>
          </cell>
          <cell r="AE1308" t="str">
            <v>MMIS</v>
          </cell>
          <cell r="AF1308" t="str">
            <v>nypwestcampus</v>
          </cell>
          <cell r="AG1308" t="str">
            <v>P</v>
          </cell>
        </row>
        <row r="1309">
          <cell r="A1309" t="str">
            <v>1083750855</v>
          </cell>
          <cell r="B1309" t="str">
            <v>03346747</v>
          </cell>
          <cell r="C1309" t="str">
            <v xml:space="preserve">PAPPAS, DIMITRIOS </v>
          </cell>
          <cell r="D1309" t="str">
            <v>E0321051</v>
          </cell>
          <cell r="E1309" t="str">
            <v>PAPPAS DIMITRIOS</v>
          </cell>
          <cell r="G1309" t="str">
            <v>Kathryn Spaziani</v>
          </cell>
          <cell r="H1309" t="str">
            <v>(212) 305-1190</v>
          </cell>
          <cell r="J1309" t="str">
            <v>kas9171@nyp.org</v>
          </cell>
          <cell r="L1309" t="str">
            <v>All Other:: Practitioner - Non-Primary Care Provider (PCP)</v>
          </cell>
          <cell r="M1309" t="str">
            <v>Yes</v>
          </cell>
          <cell r="R1309" t="str">
            <v>PAPPAS DIMITRIOS DR.</v>
          </cell>
          <cell r="W1309" t="str">
            <v>PAPPAS DIMITRIOS</v>
          </cell>
          <cell r="X1309" t="str">
            <v>622 W 168TH ST</v>
          </cell>
          <cell r="Y1309" t="str">
            <v>NEW YORK</v>
          </cell>
          <cell r="Z1309" t="str">
            <v>NY</v>
          </cell>
          <cell r="AA1309" t="str">
            <v>10032-3720</v>
          </cell>
          <cell r="AB1309" t="str">
            <v>PHYSICIAN</v>
          </cell>
          <cell r="AC1309" t="str">
            <v>M</v>
          </cell>
          <cell r="AD1309" t="str">
            <v>No</v>
          </cell>
          <cell r="AE1309" t="str">
            <v>MMIS</v>
          </cell>
          <cell r="AF1309" t="str">
            <v>nypwestcampus</v>
          </cell>
          <cell r="AG1309" t="str">
            <v>P</v>
          </cell>
        </row>
        <row r="1310">
          <cell r="A1310" t="str">
            <v>1558336768</v>
          </cell>
          <cell r="B1310" t="str">
            <v>02721942</v>
          </cell>
          <cell r="C1310" t="str">
            <v xml:space="preserve">ASKANASE, ANA </v>
          </cell>
          <cell r="D1310" t="str">
            <v>E0027991</v>
          </cell>
          <cell r="E1310" t="str">
            <v>ASKANASE ANCA DINU MD</v>
          </cell>
          <cell r="G1310" t="str">
            <v>Kathryn Spaziani</v>
          </cell>
          <cell r="H1310" t="str">
            <v>(212) 305-1190</v>
          </cell>
          <cell r="J1310" t="str">
            <v>kas9171@nyp.org</v>
          </cell>
          <cell r="L1310" t="str">
            <v>Practitioner - Non-Primary Care Provider (PCP)</v>
          </cell>
          <cell r="M1310" t="str">
            <v>No</v>
          </cell>
          <cell r="R1310" t="str">
            <v>ASKANASE ANCA</v>
          </cell>
          <cell r="W1310" t="str">
            <v>ASKANASE ANCA DINU MD</v>
          </cell>
          <cell r="X1310" t="str">
            <v>111 E 210TH ST</v>
          </cell>
          <cell r="Y1310" t="str">
            <v>BRONX</v>
          </cell>
          <cell r="Z1310" t="str">
            <v>NY</v>
          </cell>
          <cell r="AA1310" t="str">
            <v>10467-2401</v>
          </cell>
          <cell r="AB1310" t="str">
            <v>PHYSICIAN</v>
          </cell>
          <cell r="AC1310" t="str">
            <v>M</v>
          </cell>
          <cell r="AD1310" t="str">
            <v>No</v>
          </cell>
          <cell r="AE1310" t="str">
            <v>MMIS</v>
          </cell>
          <cell r="AF1310" t="str">
            <v>nypwestcampus</v>
          </cell>
          <cell r="AG1310" t="str">
            <v>P</v>
          </cell>
        </row>
        <row r="1311">
          <cell r="A1311" t="str">
            <v>1154455483</v>
          </cell>
          <cell r="B1311" t="str">
            <v>01712032</v>
          </cell>
          <cell r="C1311" t="str">
            <v>RADECKI, JEFFREY</v>
          </cell>
          <cell r="D1311" t="str">
            <v>E0128819</v>
          </cell>
          <cell r="E1311" t="str">
            <v>QUIGLEY CLAIRE</v>
          </cell>
          <cell r="G1311" t="str">
            <v>Kathryn Spaziani</v>
          </cell>
          <cell r="H1311" t="str">
            <v>(212) 305-1320</v>
          </cell>
          <cell r="J1311" t="str">
            <v>kas9171@nyp.org</v>
          </cell>
          <cell r="L1311" t="str">
            <v>All Other:: Practitioner - Non-Primary Care Provider (PCP)</v>
          </cell>
          <cell r="M1311" t="str">
            <v>No</v>
          </cell>
          <cell r="R1311" t="str">
            <v>QUIGLEY CLAIRE MS.</v>
          </cell>
          <cell r="W1311" t="str">
            <v>QUIGLEY CLAIRE MARGARET</v>
          </cell>
          <cell r="X1311" t="str">
            <v>505 E 70TH ST</v>
          </cell>
          <cell r="Y1311" t="str">
            <v>NEW YORK</v>
          </cell>
          <cell r="Z1311" t="str">
            <v>NY</v>
          </cell>
          <cell r="AA1311" t="str">
            <v>10021-4872</v>
          </cell>
          <cell r="AB1311" t="str">
            <v>PHYSICIAN</v>
          </cell>
          <cell r="AC1311" t="str">
            <v>M</v>
          </cell>
          <cell r="AD1311" t="str">
            <v>No</v>
          </cell>
          <cell r="AE1311" t="str">
            <v>MMIS</v>
          </cell>
          <cell r="AF1311" t="str">
            <v>nypeastcampus</v>
          </cell>
          <cell r="AG1311" t="str">
            <v>P</v>
          </cell>
        </row>
        <row r="1312">
          <cell r="A1312" t="str">
            <v>1093904633</v>
          </cell>
          <cell r="B1312" t="str">
            <v>02940976</v>
          </cell>
          <cell r="C1312" t="str">
            <v>RAZA, KASHIF</v>
          </cell>
          <cell r="D1312" t="str">
            <v>E0001695</v>
          </cell>
          <cell r="E1312" t="str">
            <v>KASHIF RAZA</v>
          </cell>
          <cell r="G1312" t="str">
            <v>Kathryn Spaziani</v>
          </cell>
          <cell r="H1312" t="str">
            <v>(212) 305-1321</v>
          </cell>
          <cell r="J1312" t="str">
            <v>kas9171@nyp.org</v>
          </cell>
          <cell r="L1312" t="str">
            <v>All Other:: Practitioner - Non-Primary Care Provider (PCP)</v>
          </cell>
          <cell r="M1312" t="str">
            <v>No</v>
          </cell>
          <cell r="R1312" t="str">
            <v>RAZA KASHIF</v>
          </cell>
          <cell r="W1312" t="str">
            <v>RAZA KASHIF</v>
          </cell>
          <cell r="X1312" t="str">
            <v>622 W 168TH ST</v>
          </cell>
          <cell r="Y1312" t="str">
            <v>NEW YORK</v>
          </cell>
          <cell r="Z1312" t="str">
            <v>NY</v>
          </cell>
          <cell r="AA1312" t="str">
            <v>10032-3720</v>
          </cell>
          <cell r="AB1312" t="str">
            <v>PHYSICIAN</v>
          </cell>
          <cell r="AC1312" t="str">
            <v>M</v>
          </cell>
          <cell r="AD1312" t="str">
            <v>No</v>
          </cell>
          <cell r="AE1312" t="str">
            <v>MMIS</v>
          </cell>
          <cell r="AF1312" t="str">
            <v>nypwestcampus</v>
          </cell>
          <cell r="AG1312" t="str">
            <v>P</v>
          </cell>
        </row>
        <row r="1313">
          <cell r="A1313" t="str">
            <v>1073893004</v>
          </cell>
          <cell r="B1313" t="str">
            <v>03404006</v>
          </cell>
          <cell r="C1313" t="str">
            <v>MCKEE, COURTNEY L</v>
          </cell>
          <cell r="D1313" t="str">
            <v>E0328265</v>
          </cell>
          <cell r="E1313" t="str">
            <v>MCKEE COURTNEY</v>
          </cell>
          <cell r="G1313" t="str">
            <v>Kathryn Spaziani</v>
          </cell>
          <cell r="H1313" t="str">
            <v>(212) 305-1190</v>
          </cell>
          <cell r="J1313" t="str">
            <v>kas9171@nyp.org</v>
          </cell>
          <cell r="L1313" t="str">
            <v>Practitioner - Non-Primary Care Provider (PCP)</v>
          </cell>
          <cell r="M1313" t="str">
            <v>No</v>
          </cell>
          <cell r="R1313" t="str">
            <v>MCKEE COURTNEY MS.</v>
          </cell>
          <cell r="W1313" t="str">
            <v>MCKEE COURTNEY</v>
          </cell>
          <cell r="X1313" t="str">
            <v>160 W 86TH ST</v>
          </cell>
          <cell r="Y1313" t="str">
            <v>NEW YORK</v>
          </cell>
          <cell r="Z1313" t="str">
            <v>NY</v>
          </cell>
          <cell r="AA1313" t="str">
            <v>10024-4018</v>
          </cell>
          <cell r="AB1313" t="str">
            <v>CLINICAL SOCIAL WORKER (CSW)</v>
          </cell>
          <cell r="AC1313" t="str">
            <v>M</v>
          </cell>
          <cell r="AD1313" t="str">
            <v>No</v>
          </cell>
          <cell r="AE1313" t="str">
            <v>MMIS</v>
          </cell>
          <cell r="AF1313" t="str">
            <v>nypother</v>
          </cell>
          <cell r="AG1313" t="str">
            <v>P</v>
          </cell>
        </row>
        <row r="1314">
          <cell r="A1314" t="str">
            <v>1083604680</v>
          </cell>
          <cell r="B1314" t="str">
            <v>03152256</v>
          </cell>
          <cell r="C1314" t="str">
            <v>GOLDBERG, PABLO H</v>
          </cell>
          <cell r="D1314" t="str">
            <v>E0298976</v>
          </cell>
          <cell r="E1314" t="str">
            <v>GOLDBERG PABLO H</v>
          </cell>
          <cell r="G1314" t="str">
            <v>Kathryn Spaziani</v>
          </cell>
          <cell r="H1314" t="str">
            <v>(212) 305-1190</v>
          </cell>
          <cell r="J1314" t="str">
            <v>kas9171@nyp.org</v>
          </cell>
          <cell r="L1314" t="str">
            <v>Practitioner - Non-Primary Care Provider (PCP)</v>
          </cell>
          <cell r="M1314" t="str">
            <v>No</v>
          </cell>
          <cell r="R1314" t="str">
            <v>GOLDBERG PABLO</v>
          </cell>
          <cell r="W1314" t="str">
            <v>GOLDBERG PABLO H</v>
          </cell>
          <cell r="X1314" t="str">
            <v>1051 RIVERSIDE DR UNIT 74 STE 2522</v>
          </cell>
          <cell r="Y1314" t="str">
            <v>NEW YORK</v>
          </cell>
          <cell r="Z1314" t="str">
            <v>NY</v>
          </cell>
          <cell r="AA1314" t="str">
            <v>10032-1007</v>
          </cell>
          <cell r="AB1314" t="str">
            <v>PHYSICIAN</v>
          </cell>
          <cell r="AC1314" t="str">
            <v>M</v>
          </cell>
          <cell r="AD1314" t="str">
            <v>No</v>
          </cell>
          <cell r="AE1314" t="str">
            <v>MMIS</v>
          </cell>
          <cell r="AF1314" t="str">
            <v>nypwestacn</v>
          </cell>
          <cell r="AG1314" t="str">
            <v>P</v>
          </cell>
        </row>
        <row r="1315">
          <cell r="A1315" t="str">
            <v>1003868696</v>
          </cell>
          <cell r="B1315" t="str">
            <v>02768656</v>
          </cell>
          <cell r="C1315" t="str">
            <v>GELBMAN, JOY M</v>
          </cell>
          <cell r="D1315" t="str">
            <v>E0023327</v>
          </cell>
          <cell r="E1315" t="str">
            <v>GELBMAN JOY MARLA MD</v>
          </cell>
          <cell r="G1315" t="str">
            <v>Kathryn Spaziani</v>
          </cell>
          <cell r="H1315" t="str">
            <v>(212) 305-1190</v>
          </cell>
          <cell r="J1315" t="str">
            <v>kas9171@nyp.org</v>
          </cell>
          <cell r="L1315" t="str">
            <v>All Other:: Practitioner - Non-Primary Care Provider (PCP)</v>
          </cell>
          <cell r="M1315" t="str">
            <v>No</v>
          </cell>
          <cell r="R1315" t="str">
            <v>GELBMAN JOY</v>
          </cell>
          <cell r="W1315" t="str">
            <v>GELBMAN JOY MARLA MD</v>
          </cell>
          <cell r="X1315" t="str">
            <v>520 E 70TH ST</v>
          </cell>
          <cell r="Y1315" t="str">
            <v>NEW YORK</v>
          </cell>
          <cell r="Z1315" t="str">
            <v>NY</v>
          </cell>
          <cell r="AA1315" t="str">
            <v>10021-9800</v>
          </cell>
          <cell r="AB1315" t="str">
            <v>PHYSICIAN</v>
          </cell>
          <cell r="AC1315" t="str">
            <v>M</v>
          </cell>
          <cell r="AD1315" t="str">
            <v>No</v>
          </cell>
          <cell r="AE1315" t="str">
            <v>MMIS</v>
          </cell>
          <cell r="AF1315" t="str">
            <v>nypeastacn</v>
          </cell>
          <cell r="AG1315" t="str">
            <v>P</v>
          </cell>
        </row>
        <row r="1316">
          <cell r="A1316" t="str">
            <v>1619072303</v>
          </cell>
          <cell r="B1316" t="str">
            <v>02885303</v>
          </cell>
          <cell r="C1316" t="str">
            <v>SATRA, KARIN H</v>
          </cell>
          <cell r="D1316" t="str">
            <v>E0011674</v>
          </cell>
          <cell r="E1316" t="str">
            <v>SATRA KARIN</v>
          </cell>
          <cell r="G1316" t="str">
            <v>Kathryn Spaziani</v>
          </cell>
          <cell r="H1316" t="str">
            <v>(212) 305-1190</v>
          </cell>
          <cell r="J1316" t="str">
            <v>kas9171@nyp.org</v>
          </cell>
          <cell r="L1316" t="str">
            <v>Practitioner - Non-Primary Care Provider (PCP)</v>
          </cell>
          <cell r="M1316" t="str">
            <v>No</v>
          </cell>
          <cell r="R1316" t="str">
            <v>SATRA KARIN</v>
          </cell>
          <cell r="W1316" t="str">
            <v>SATRA KARIN</v>
          </cell>
          <cell r="X1316" t="str">
            <v>IRVING PAVILLIONN DE</v>
          </cell>
          <cell r="Y1316" t="str">
            <v>NEW YORK</v>
          </cell>
          <cell r="Z1316" t="str">
            <v>NY</v>
          </cell>
          <cell r="AA1316" t="str">
            <v>10032</v>
          </cell>
          <cell r="AB1316" t="str">
            <v>PHYSICIAN</v>
          </cell>
          <cell r="AC1316" t="str">
            <v>M</v>
          </cell>
          <cell r="AD1316" t="str">
            <v>No</v>
          </cell>
          <cell r="AE1316" t="str">
            <v>MMIS</v>
          </cell>
          <cell r="AF1316" t="str">
            <v>nypwestcampus</v>
          </cell>
          <cell r="AG1316" t="str">
            <v>P</v>
          </cell>
        </row>
        <row r="1317">
          <cell r="A1317" t="str">
            <v>1942257514</v>
          </cell>
          <cell r="B1317" t="str">
            <v>01356610</v>
          </cell>
          <cell r="C1317" t="str">
            <v>Sockolow, Robbyn E.</v>
          </cell>
          <cell r="D1317" t="str">
            <v>E0164286</v>
          </cell>
          <cell r="E1317" t="str">
            <v>SOCKOLOW ROBBYN ELLEN MD</v>
          </cell>
          <cell r="G1317" t="str">
            <v>Kathryn Spaziani</v>
          </cell>
          <cell r="H1317" t="str">
            <v>(212) 305-1190</v>
          </cell>
          <cell r="J1317" t="str">
            <v>kas9171@nyp.org</v>
          </cell>
          <cell r="L1317" t="str">
            <v>All Other:: Practitioner - Non-Primary Care Provider (PCP)</v>
          </cell>
          <cell r="M1317" t="str">
            <v>No</v>
          </cell>
          <cell r="R1317" t="str">
            <v>SOCKOLOW ROBBYN</v>
          </cell>
          <cell r="W1317" t="str">
            <v>SOCKOLOW ROBBYN ELLEN MD</v>
          </cell>
          <cell r="X1317" t="str">
            <v>259 1ST ST</v>
          </cell>
          <cell r="Y1317" t="str">
            <v>MINEOLA</v>
          </cell>
          <cell r="Z1317" t="str">
            <v>NY</v>
          </cell>
          <cell r="AA1317" t="str">
            <v>11501-3957</v>
          </cell>
          <cell r="AB1317" t="str">
            <v>PHYSICIAN</v>
          </cell>
          <cell r="AC1317" t="str">
            <v>M</v>
          </cell>
          <cell r="AD1317" t="str">
            <v>No</v>
          </cell>
          <cell r="AE1317" t="str">
            <v>MMIS</v>
          </cell>
          <cell r="AF1317" t="str">
            <v>nypeastcampus</v>
          </cell>
          <cell r="AG1317" t="str">
            <v>P</v>
          </cell>
        </row>
        <row r="1318">
          <cell r="A1318" t="str">
            <v>1346249794</v>
          </cell>
          <cell r="B1318" t="str">
            <v>00899087</v>
          </cell>
          <cell r="C1318" t="str">
            <v xml:space="preserve">BAEUERLE, JOHANNA </v>
          </cell>
          <cell r="D1318" t="str">
            <v>E0209841</v>
          </cell>
          <cell r="E1318" t="str">
            <v>BAEUERLE JOHANNA           MD</v>
          </cell>
          <cell r="G1318" t="str">
            <v>Kathryn Spaziani</v>
          </cell>
          <cell r="H1318" t="str">
            <v>(212) 305-1190</v>
          </cell>
          <cell r="J1318" t="str">
            <v>kas9171@nyp.org</v>
          </cell>
          <cell r="L1318" t="str">
            <v>Practitioner - Non-Primary Care Provider (PCP)</v>
          </cell>
          <cell r="M1318" t="str">
            <v>No</v>
          </cell>
          <cell r="R1318" t="str">
            <v>BAEUERLE JOHANNA DR.</v>
          </cell>
          <cell r="W1318" t="str">
            <v>BAEUERLE JOHANNA           MD</v>
          </cell>
          <cell r="X1318" t="str">
            <v>311 N MIDLAND AVE</v>
          </cell>
          <cell r="Y1318" t="str">
            <v>NYACK</v>
          </cell>
          <cell r="Z1318" t="str">
            <v>NY</v>
          </cell>
          <cell r="AA1318" t="str">
            <v>10960-1627</v>
          </cell>
          <cell r="AB1318" t="str">
            <v>PHYSICIAN</v>
          </cell>
          <cell r="AC1318" t="str">
            <v>M</v>
          </cell>
          <cell r="AD1318" t="str">
            <v>No</v>
          </cell>
          <cell r="AE1318" t="str">
            <v>MMIS</v>
          </cell>
          <cell r="AF1318" t="str">
            <v>nypwestacn</v>
          </cell>
          <cell r="AG1318" t="str">
            <v>P</v>
          </cell>
        </row>
        <row r="1319">
          <cell r="A1319" t="str">
            <v>1588751671</v>
          </cell>
          <cell r="B1319" t="str">
            <v>00723973</v>
          </cell>
          <cell r="C1319" t="str">
            <v>SAVILLO, ROBERT L</v>
          </cell>
          <cell r="D1319" t="str">
            <v>E0227310</v>
          </cell>
          <cell r="E1319" t="str">
            <v>SAVILLO ROBERT LOUIS       MD</v>
          </cell>
          <cell r="G1319" t="str">
            <v>Kathryn Spaziani</v>
          </cell>
          <cell r="H1319" t="str">
            <v>(212) 305-1190</v>
          </cell>
          <cell r="J1319" t="str">
            <v>kas9171@nyp.org</v>
          </cell>
          <cell r="L1319" t="str">
            <v>All Other:: Practitioner - Primary Care Provider (PCP)</v>
          </cell>
          <cell r="M1319" t="str">
            <v>No</v>
          </cell>
          <cell r="R1319" t="str">
            <v>SAVILLO ROBERT</v>
          </cell>
          <cell r="W1319" t="str">
            <v>SAVILLO ROBERT LOUIS       MD</v>
          </cell>
          <cell r="X1319" t="str">
            <v>COMP CARE CORNELL MD</v>
          </cell>
          <cell r="Y1319" t="str">
            <v>NEW YORK</v>
          </cell>
          <cell r="Z1319" t="str">
            <v>NY</v>
          </cell>
          <cell r="AA1319" t="str">
            <v>10021</v>
          </cell>
          <cell r="AB1319" t="str">
            <v>PHYSICIAN</v>
          </cell>
          <cell r="AC1319" t="str">
            <v>M</v>
          </cell>
          <cell r="AD1319" t="str">
            <v>No</v>
          </cell>
          <cell r="AE1319" t="str">
            <v>MMIS</v>
          </cell>
          <cell r="AF1319" t="str">
            <v>nypeastcampus</v>
          </cell>
          <cell r="AG1319" t="str">
            <v>P</v>
          </cell>
        </row>
        <row r="1320">
          <cell r="A1320" t="str">
            <v>1306990189</v>
          </cell>
          <cell r="B1320" t="str">
            <v>03405438</v>
          </cell>
          <cell r="C1320" t="str">
            <v>WARD, THERESA</v>
          </cell>
          <cell r="D1320" t="str">
            <v>E0328390</v>
          </cell>
          <cell r="E1320" t="str">
            <v>THERESA MONICA WARD</v>
          </cell>
          <cell r="G1320" t="str">
            <v>Kathryn Spaziani</v>
          </cell>
          <cell r="H1320" t="str">
            <v>(212) 305-1350</v>
          </cell>
          <cell r="J1320" t="str">
            <v>kas9171@nyp.org</v>
          </cell>
          <cell r="L1320" t="str">
            <v>Practitioner - Non-Primary Care Provider (PCP)</v>
          </cell>
          <cell r="M1320" t="str">
            <v>No</v>
          </cell>
          <cell r="R1320" t="str">
            <v>WARD THERESA MS.</v>
          </cell>
          <cell r="W1320" t="str">
            <v>WARD THERESA MONICA</v>
          </cell>
          <cell r="X1320" t="str">
            <v>622 W 168TH ST</v>
          </cell>
          <cell r="Y1320" t="str">
            <v>NEW YORK</v>
          </cell>
          <cell r="Z1320" t="str">
            <v>NY</v>
          </cell>
          <cell r="AA1320" t="str">
            <v>10032-3720</v>
          </cell>
          <cell r="AB1320" t="str">
            <v>PHYSICIAN</v>
          </cell>
          <cell r="AC1320" t="str">
            <v>M</v>
          </cell>
          <cell r="AD1320" t="str">
            <v>No</v>
          </cell>
          <cell r="AE1320" t="str">
            <v>MMIS</v>
          </cell>
          <cell r="AF1320" t="str">
            <v>nypwestcampus</v>
          </cell>
          <cell r="AG1320" t="str">
            <v>P</v>
          </cell>
        </row>
        <row r="1321">
          <cell r="A1321" t="str">
            <v>1326346065</v>
          </cell>
          <cell r="B1321" t="str">
            <v>03716878</v>
          </cell>
          <cell r="C1321" t="str">
            <v>TERGAS, ANA</v>
          </cell>
          <cell r="D1321" t="str">
            <v>E0362254</v>
          </cell>
          <cell r="E1321" t="str">
            <v>TERGAS ANA ISABEL</v>
          </cell>
          <cell r="G1321" t="str">
            <v>Kathryn Spaziani</v>
          </cell>
          <cell r="H1321" t="str">
            <v>(212) 305-1344</v>
          </cell>
          <cell r="J1321" t="str">
            <v>kas9171@nyp.org</v>
          </cell>
          <cell r="L1321" t="str">
            <v>Practitioner - Non-Primary Care Provider (PCP)</v>
          </cell>
          <cell r="M1321" t="str">
            <v>No</v>
          </cell>
          <cell r="R1321" t="str">
            <v>TERGAS ANA</v>
          </cell>
          <cell r="W1321" t="str">
            <v>TERGAS ANA ISABEL</v>
          </cell>
          <cell r="X1321" t="str">
            <v>161 FORT WASHINGTON AVE</v>
          </cell>
          <cell r="Y1321" t="str">
            <v>NEW YORK</v>
          </cell>
          <cell r="Z1321" t="str">
            <v>NY</v>
          </cell>
          <cell r="AA1321" t="str">
            <v>10032-3729</v>
          </cell>
          <cell r="AB1321" t="str">
            <v>PHYSICIAN</v>
          </cell>
          <cell r="AC1321" t="str">
            <v>M</v>
          </cell>
          <cell r="AD1321" t="str">
            <v>No</v>
          </cell>
          <cell r="AE1321" t="str">
            <v>MMIS</v>
          </cell>
          <cell r="AF1321" t="str">
            <v>nypwestcampus</v>
          </cell>
          <cell r="AG1321" t="str">
            <v>P</v>
          </cell>
        </row>
        <row r="1322">
          <cell r="A1322" t="str">
            <v>1033324009</v>
          </cell>
          <cell r="B1322" t="str">
            <v>03579119</v>
          </cell>
          <cell r="C1322" t="str">
            <v>McKinsey, Scarlett</v>
          </cell>
          <cell r="D1322" t="str">
            <v>E0348005</v>
          </cell>
          <cell r="E1322" t="str">
            <v>MCKINSEY SCARLETT</v>
          </cell>
          <cell r="G1322" t="str">
            <v>Kathryn Spaziani</v>
          </cell>
          <cell r="H1322" t="str">
            <v>(212) 305-1190</v>
          </cell>
          <cell r="J1322" t="str">
            <v>kas9171@nyp.org</v>
          </cell>
          <cell r="L1322" t="str">
            <v>Practitioner - Non-Primary Care Provider (PCP)</v>
          </cell>
          <cell r="M1322" t="str">
            <v>No</v>
          </cell>
          <cell r="R1322" t="str">
            <v>MCKINSEY SCARLETT DR.</v>
          </cell>
          <cell r="W1322" t="str">
            <v>MCKINSEY SCARLETT KATE</v>
          </cell>
          <cell r="X1322" t="str">
            <v>525 E 68TH ST</v>
          </cell>
          <cell r="Y1322" t="str">
            <v>NEW YORK</v>
          </cell>
          <cell r="Z1322" t="str">
            <v>NY</v>
          </cell>
          <cell r="AA1322" t="str">
            <v>10065-4870</v>
          </cell>
          <cell r="AB1322" t="str">
            <v>PHYSICIAN</v>
          </cell>
          <cell r="AC1322" t="str">
            <v>M</v>
          </cell>
          <cell r="AD1322" t="str">
            <v>No</v>
          </cell>
          <cell r="AE1322" t="str">
            <v>MMIS</v>
          </cell>
          <cell r="AF1322" t="str">
            <v>nypother</v>
          </cell>
          <cell r="AG1322" t="str">
            <v>P</v>
          </cell>
        </row>
        <row r="1323">
          <cell r="A1323" t="str">
            <v>1295851046</v>
          </cell>
          <cell r="B1323" t="str">
            <v>03345071</v>
          </cell>
          <cell r="C1323" t="str">
            <v>GEE, ELAINE</v>
          </cell>
          <cell r="D1323" t="str">
            <v>E0320861</v>
          </cell>
          <cell r="E1323" t="str">
            <v>GEE ELAINE Y</v>
          </cell>
          <cell r="G1323" t="str">
            <v>Kathryn Spaziani</v>
          </cell>
          <cell r="H1323" t="str">
            <v>(212) 305-1242</v>
          </cell>
          <cell r="J1323" t="str">
            <v>kas9171@nyp.org</v>
          </cell>
          <cell r="L1323" t="str">
            <v>Practitioner - Non-Primary Care Provider (PCP)</v>
          </cell>
          <cell r="M1323" t="str">
            <v>No</v>
          </cell>
          <cell r="R1323" t="str">
            <v>GEE ELAINE DR.</v>
          </cell>
          <cell r="W1323" t="str">
            <v>GEE ELAINE Y</v>
          </cell>
          <cell r="X1323" t="str">
            <v>525 E 68TH ST</v>
          </cell>
          <cell r="Y1323" t="str">
            <v>NEW YORK</v>
          </cell>
          <cell r="Z1323" t="str">
            <v>NY</v>
          </cell>
          <cell r="AA1323" t="str">
            <v>10065-4870</v>
          </cell>
          <cell r="AB1323" t="str">
            <v>PHYSICIAN</v>
          </cell>
          <cell r="AC1323" t="str">
            <v>M</v>
          </cell>
          <cell r="AD1323" t="str">
            <v>No</v>
          </cell>
          <cell r="AE1323" t="str">
            <v>MMIS</v>
          </cell>
          <cell r="AF1323" t="str">
            <v>nypeastcampus</v>
          </cell>
          <cell r="AG1323" t="str">
            <v>P</v>
          </cell>
        </row>
        <row r="1324">
          <cell r="A1324" t="str">
            <v>1922260421</v>
          </cell>
          <cell r="B1324" t="str">
            <v>03470468</v>
          </cell>
          <cell r="C1324" t="str">
            <v>TODMAN, RALEIGH</v>
          </cell>
          <cell r="D1324" t="str">
            <v>E0336327</v>
          </cell>
          <cell r="E1324" t="str">
            <v>TODMAN RALEIGH W</v>
          </cell>
          <cell r="G1324" t="str">
            <v>Kathryn Spaziani</v>
          </cell>
          <cell r="H1324" t="str">
            <v>(212) 305-1345</v>
          </cell>
          <cell r="J1324" t="str">
            <v>kas9171@nyp.org</v>
          </cell>
          <cell r="L1324" t="str">
            <v>Practitioner - Non-Primary Care Provider (PCP)</v>
          </cell>
          <cell r="M1324" t="str">
            <v>No</v>
          </cell>
          <cell r="R1324" t="str">
            <v>TODMAN RALEIGH</v>
          </cell>
          <cell r="W1324" t="str">
            <v>TODMAN RALEIGH W</v>
          </cell>
          <cell r="X1324" t="str">
            <v>622 W 168TH ST PH 1-137</v>
          </cell>
          <cell r="Y1324" t="str">
            <v>NEW YORK</v>
          </cell>
          <cell r="Z1324" t="str">
            <v>NY</v>
          </cell>
          <cell r="AA1324" t="str">
            <v>10032-3720</v>
          </cell>
          <cell r="AB1324" t="str">
            <v>PHYSICIAN</v>
          </cell>
          <cell r="AC1324" t="str">
            <v>M</v>
          </cell>
          <cell r="AD1324" t="str">
            <v>No</v>
          </cell>
          <cell r="AE1324" t="str">
            <v>MMIS</v>
          </cell>
          <cell r="AF1324" t="str">
            <v>nypwestcampus</v>
          </cell>
          <cell r="AG1324" t="str">
            <v>P</v>
          </cell>
        </row>
        <row r="1325">
          <cell r="A1325" t="str">
            <v>1780736702</v>
          </cell>
          <cell r="B1325" t="str">
            <v>02707179</v>
          </cell>
          <cell r="C1325" t="str">
            <v>MANDEL, ARTHUR M</v>
          </cell>
          <cell r="D1325" t="str">
            <v>E0029467</v>
          </cell>
          <cell r="E1325" t="str">
            <v>MANDEL ARTHUR M MD</v>
          </cell>
          <cell r="G1325" t="str">
            <v>Kathryn Spaziani</v>
          </cell>
          <cell r="H1325" t="str">
            <v>(212) 305-1190</v>
          </cell>
          <cell r="J1325" t="str">
            <v>kas9171@nyp.org</v>
          </cell>
          <cell r="L1325" t="str">
            <v>Practitioner - Non-Primary Care Provider (PCP)</v>
          </cell>
          <cell r="M1325" t="str">
            <v>No</v>
          </cell>
          <cell r="R1325" t="str">
            <v>MANDEL ARTHUR DR.</v>
          </cell>
          <cell r="W1325" t="str">
            <v>MANDEL ARTHUR M MD</v>
          </cell>
          <cell r="X1325" t="str">
            <v>506 MALCOLM X BLVD</v>
          </cell>
          <cell r="Y1325" t="str">
            <v>NEW YORK</v>
          </cell>
          <cell r="Z1325" t="str">
            <v>NY</v>
          </cell>
          <cell r="AA1325" t="str">
            <v>10037-1802</v>
          </cell>
          <cell r="AB1325" t="str">
            <v>PHYSICIAN</v>
          </cell>
          <cell r="AC1325" t="str">
            <v>M</v>
          </cell>
          <cell r="AD1325" t="str">
            <v>No</v>
          </cell>
          <cell r="AE1325" t="str">
            <v>MMIS</v>
          </cell>
          <cell r="AF1325" t="str">
            <v>nypwestcampus</v>
          </cell>
          <cell r="AG1325" t="str">
            <v>P</v>
          </cell>
        </row>
        <row r="1326">
          <cell r="A1326" t="str">
            <v>1780771873</v>
          </cell>
          <cell r="B1326" t="str">
            <v>01068813</v>
          </cell>
          <cell r="C1326" t="str">
            <v xml:space="preserve">RUBIN, MICHAEL </v>
          </cell>
          <cell r="D1326" t="str">
            <v>E0192989</v>
          </cell>
          <cell r="E1326" t="str">
            <v>RUBIN MICHAEL MD</v>
          </cell>
          <cell r="G1326" t="str">
            <v>Kathryn Spaziani</v>
          </cell>
          <cell r="H1326" t="str">
            <v>(212) 305-1190</v>
          </cell>
          <cell r="J1326" t="str">
            <v>kas9171@nyp.org</v>
          </cell>
          <cell r="L1326" t="str">
            <v>All Other:: Practitioner - Non-Primary Care Provider (PCP)</v>
          </cell>
          <cell r="M1326" t="str">
            <v>No</v>
          </cell>
          <cell r="R1326" t="str">
            <v>RUBIN MICHAEL PROF.</v>
          </cell>
          <cell r="W1326" t="str">
            <v>RUBIN MICHAEL MD</v>
          </cell>
          <cell r="X1326" t="str">
            <v>CUMC NEUROPHYSIOLOGY</v>
          </cell>
          <cell r="Y1326" t="str">
            <v>NEW YORK</v>
          </cell>
          <cell r="Z1326" t="str">
            <v>NY</v>
          </cell>
          <cell r="AA1326" t="str">
            <v>10065-4870</v>
          </cell>
          <cell r="AB1326" t="str">
            <v>PHYSICIAN</v>
          </cell>
          <cell r="AC1326" t="str">
            <v>M</v>
          </cell>
          <cell r="AD1326" t="str">
            <v>No</v>
          </cell>
          <cell r="AE1326" t="str">
            <v>MMIS</v>
          </cell>
          <cell r="AF1326" t="str">
            <v>nypeastcampus</v>
          </cell>
          <cell r="AG1326" t="str">
            <v>P</v>
          </cell>
        </row>
        <row r="1327">
          <cell r="A1327" t="str">
            <v>1801885447</v>
          </cell>
          <cell r="B1327" t="str">
            <v>02179399</v>
          </cell>
          <cell r="C1327" t="str">
            <v xml:space="preserve">Lin, Deborah H. </v>
          </cell>
          <cell r="D1327" t="str">
            <v>E0082140</v>
          </cell>
          <cell r="E1327" t="str">
            <v>LIN DEBORAH H</v>
          </cell>
          <cell r="G1327" t="str">
            <v>Betty Cheng</v>
          </cell>
          <cell r="H1327" t="str">
            <v>(212) 379-6988</v>
          </cell>
          <cell r="I1327">
            <v>2604</v>
          </cell>
          <cell r="J1327" t="str">
            <v>bcheng@cbwchc.org</v>
          </cell>
          <cell r="L1327" t="str">
            <v>All Other:: Practitioner - Non-Primary Care Provider (PCP)</v>
          </cell>
          <cell r="M1327" t="str">
            <v>Yes</v>
          </cell>
          <cell r="R1327" t="str">
            <v>LIN DEBORAH</v>
          </cell>
          <cell r="W1327" t="str">
            <v>LIN DEBORAH H</v>
          </cell>
          <cell r="X1327" t="str">
            <v>125 WALKER ST FL 2N</v>
          </cell>
          <cell r="Y1327" t="str">
            <v>NEW YORK</v>
          </cell>
          <cell r="Z1327" t="str">
            <v>NY</v>
          </cell>
          <cell r="AA1327" t="str">
            <v>10013-4135</v>
          </cell>
          <cell r="AB1327" t="str">
            <v>PHYSICIAN</v>
          </cell>
          <cell r="AC1327" t="str">
            <v>M</v>
          </cell>
          <cell r="AD1327" t="str">
            <v>No</v>
          </cell>
          <cell r="AE1327" t="str">
            <v>MMIS</v>
          </cell>
          <cell r="AF1327" t="str">
            <v>cbwchc</v>
          </cell>
          <cell r="AG1327" t="str">
            <v>P</v>
          </cell>
        </row>
        <row r="1328">
          <cell r="A1328" t="str">
            <v>1356318851</v>
          </cell>
          <cell r="B1328" t="str">
            <v>00984592</v>
          </cell>
          <cell r="C1328" t="str">
            <v>Kim Woods</v>
          </cell>
          <cell r="D1328" t="str">
            <v>E0201338</v>
          </cell>
          <cell r="E1328" t="str">
            <v>WOODS KIM BENJAMIN         MD</v>
          </cell>
          <cell r="G1328" t="str">
            <v>Kim Woods, MD</v>
          </cell>
          <cell r="H1328" t="str">
            <v>(718) 401-8030</v>
          </cell>
          <cell r="J1328" t="str">
            <v>irisbmarti@gmail.com</v>
          </cell>
          <cell r="L1328" t="str">
            <v>All Other:: Practitioner - Primary Care Provider (PCP)</v>
          </cell>
          <cell r="M1328" t="str">
            <v>Yes</v>
          </cell>
          <cell r="R1328" t="str">
            <v>WOODS KIM</v>
          </cell>
          <cell r="W1328" t="str">
            <v>WOODS KIM BENJAMIN         MD</v>
          </cell>
          <cell r="X1328" t="str">
            <v>506 MALCOLM X BLVD</v>
          </cell>
          <cell r="Y1328" t="str">
            <v>NEW YORK</v>
          </cell>
          <cell r="Z1328" t="str">
            <v>NY</v>
          </cell>
          <cell r="AA1328" t="str">
            <v>10037-1802</v>
          </cell>
          <cell r="AB1328" t="str">
            <v>PHYSICIAN</v>
          </cell>
          <cell r="AC1328" t="str">
            <v>M</v>
          </cell>
          <cell r="AD1328" t="str">
            <v>No</v>
          </cell>
          <cell r="AE1328" t="str">
            <v>MMIS</v>
          </cell>
          <cell r="AF1328" t="str">
            <v>nypwestcampus</v>
          </cell>
          <cell r="AG1328" t="str">
            <v>P</v>
          </cell>
        </row>
        <row r="1329">
          <cell r="A1329" t="str">
            <v>1134102106</v>
          </cell>
          <cell r="B1329" t="str">
            <v>02827907</v>
          </cell>
          <cell r="C1329" t="str">
            <v xml:space="preserve">SZYLIT, JO ANN </v>
          </cell>
          <cell r="D1329" t="str">
            <v>E0017405</v>
          </cell>
          <cell r="E1329" t="str">
            <v>SZYLIT JOANNE</v>
          </cell>
          <cell r="G1329" t="str">
            <v>Kathryn Spaziani</v>
          </cell>
          <cell r="H1329" t="str">
            <v>(212) 305-1190</v>
          </cell>
          <cell r="J1329" t="str">
            <v>kas9171@nyp.org</v>
          </cell>
          <cell r="L1329" t="str">
            <v>Practitioner - Non-Primary Care Provider (PCP)</v>
          </cell>
          <cell r="M1329" t="str">
            <v>No</v>
          </cell>
          <cell r="R1329" t="str">
            <v>SZYLIT JO-ANN DR.</v>
          </cell>
          <cell r="W1329" t="str">
            <v>SZYLIT JOANNE</v>
          </cell>
          <cell r="X1329" t="str">
            <v>161 FORT WASHINGTON AVE</v>
          </cell>
          <cell r="Y1329" t="str">
            <v>NEW YORK</v>
          </cell>
          <cell r="Z1329" t="str">
            <v>NY</v>
          </cell>
          <cell r="AA1329" t="str">
            <v>10032-3729</v>
          </cell>
          <cell r="AB1329" t="str">
            <v>PHYSICIAN</v>
          </cell>
          <cell r="AC1329" t="str">
            <v>M</v>
          </cell>
          <cell r="AD1329" t="str">
            <v>No</v>
          </cell>
          <cell r="AE1329" t="str">
            <v>MMIS</v>
          </cell>
          <cell r="AF1329" t="str">
            <v>nypwestcampus</v>
          </cell>
          <cell r="AG1329" t="str">
            <v>P</v>
          </cell>
        </row>
        <row r="1330">
          <cell r="A1330" t="str">
            <v>1023451085</v>
          </cell>
          <cell r="C1330" t="str">
            <v>Yoder Matthew</v>
          </cell>
          <cell r="G1330" t="str">
            <v>Kathryn Spaziani</v>
          </cell>
          <cell r="H1330" t="str">
            <v>(212) 305-1255</v>
          </cell>
          <cell r="J1330" t="str">
            <v>kas9171@nyp.org</v>
          </cell>
          <cell r="K1330" t="str">
            <v>Physician</v>
          </cell>
          <cell r="L1330" t="str">
            <v>Uncategorized</v>
          </cell>
          <cell r="M1330" t="str">
            <v>No</v>
          </cell>
          <cell r="R1330" t="str">
            <v>YODER MATTHEW MR.</v>
          </cell>
          <cell r="S1330" t="str">
            <v>630 W 168TH ST</v>
          </cell>
          <cell r="T1330" t="str">
            <v>NEW YORK</v>
          </cell>
          <cell r="U1330" t="str">
            <v>NY</v>
          </cell>
          <cell r="V1330" t="str">
            <v>100323725</v>
          </cell>
          <cell r="AC1330" t="str">
            <v>M</v>
          </cell>
          <cell r="AD1330" t="str">
            <v>No</v>
          </cell>
          <cell r="AE1330" t="str">
            <v>NPI only</v>
          </cell>
          <cell r="AF1330" t="str">
            <v>nypwestcampus</v>
          </cell>
          <cell r="AG1330" t="str">
            <v>P</v>
          </cell>
        </row>
        <row r="1331">
          <cell r="A1331" t="str">
            <v>1750709671</v>
          </cell>
          <cell r="C1331" t="str">
            <v>Yoon James</v>
          </cell>
          <cell r="G1331" t="str">
            <v>Kathryn Spaziani</v>
          </cell>
          <cell r="H1331" t="str">
            <v>(212) 305-1255</v>
          </cell>
          <cell r="J1331" t="str">
            <v>kas9171@nyp.org</v>
          </cell>
          <cell r="K1331" t="str">
            <v>Physician</v>
          </cell>
          <cell r="L1331" t="str">
            <v>Uncategorized</v>
          </cell>
          <cell r="M1331" t="str">
            <v>No</v>
          </cell>
          <cell r="R1331" t="str">
            <v>YOON JAMES</v>
          </cell>
          <cell r="S1331" t="str">
            <v>622 W 168TH ST, PH5-133 STEM</v>
          </cell>
          <cell r="T1331" t="str">
            <v>NEW YORK</v>
          </cell>
          <cell r="U1331" t="str">
            <v>NY</v>
          </cell>
          <cell r="V1331" t="str">
            <v>100323720</v>
          </cell>
          <cell r="AC1331" t="str">
            <v>M</v>
          </cell>
          <cell r="AD1331" t="str">
            <v>No</v>
          </cell>
          <cell r="AE1331" t="str">
            <v>NPI only</v>
          </cell>
          <cell r="AF1331" t="str">
            <v>nypwestcampus</v>
          </cell>
          <cell r="AG1331" t="str">
            <v>P</v>
          </cell>
        </row>
        <row r="1332">
          <cell r="A1332" t="str">
            <v>1386062008</v>
          </cell>
          <cell r="C1332" t="str">
            <v>Zheng Xiwen</v>
          </cell>
          <cell r="G1332" t="str">
            <v>Kathryn Spaziani</v>
          </cell>
          <cell r="H1332" t="str">
            <v>(212) 305-1255</v>
          </cell>
          <cell r="J1332" t="str">
            <v>kas9171@nyp.org</v>
          </cell>
          <cell r="K1332" t="str">
            <v>Physician</v>
          </cell>
          <cell r="L1332" t="str">
            <v>Uncategorized</v>
          </cell>
          <cell r="M1332" t="str">
            <v>No</v>
          </cell>
          <cell r="R1332" t="str">
            <v>ZHENG XIWEN</v>
          </cell>
          <cell r="S1332" t="str">
            <v>622 W 168TH ST, PH5-133</v>
          </cell>
          <cell r="T1332" t="str">
            <v>NEW YORK</v>
          </cell>
          <cell r="U1332" t="str">
            <v>NY</v>
          </cell>
          <cell r="V1332" t="str">
            <v>100323720</v>
          </cell>
          <cell r="AC1332" t="str">
            <v>M</v>
          </cell>
          <cell r="AD1332" t="str">
            <v>No</v>
          </cell>
          <cell r="AE1332" t="str">
            <v>NPI only</v>
          </cell>
          <cell r="AF1332" t="str">
            <v>nypwestcampus</v>
          </cell>
          <cell r="AG1332" t="str">
            <v>P</v>
          </cell>
        </row>
        <row r="1333">
          <cell r="A1333" t="str">
            <v>1699843458</v>
          </cell>
          <cell r="C1333" t="str">
            <v>Bourgeois Christian</v>
          </cell>
          <cell r="G1333" t="str">
            <v>Kathryn Spaziani</v>
          </cell>
          <cell r="H1333" t="str">
            <v>(212) 305-1255</v>
          </cell>
          <cell r="J1333" t="str">
            <v>kas9171@nyp.org</v>
          </cell>
          <cell r="K1333" t="str">
            <v>Physician</v>
          </cell>
          <cell r="L1333" t="str">
            <v>Uncategorized</v>
          </cell>
          <cell r="M1333" t="str">
            <v>No</v>
          </cell>
          <cell r="R1333" t="str">
            <v>BOURGEOIS CHRISTIAN MR.</v>
          </cell>
          <cell r="S1333" t="str">
            <v>622 W 168TH ST</v>
          </cell>
          <cell r="T1333" t="str">
            <v>NEW YORK</v>
          </cell>
          <cell r="U1333" t="str">
            <v>NY</v>
          </cell>
          <cell r="V1333" t="str">
            <v>100323720</v>
          </cell>
          <cell r="AC1333" t="str">
            <v>M</v>
          </cell>
          <cell r="AD1333" t="str">
            <v>No</v>
          </cell>
          <cell r="AE1333" t="str">
            <v>NPI only</v>
          </cell>
          <cell r="AF1333" t="str">
            <v>nypwestcampus</v>
          </cell>
          <cell r="AG1333" t="str">
            <v>P</v>
          </cell>
        </row>
        <row r="1334">
          <cell r="A1334" t="str">
            <v>1215269360</v>
          </cell>
          <cell r="B1334" t="str">
            <v>03593831</v>
          </cell>
          <cell r="C1334" t="str">
            <v>Chen Martin</v>
          </cell>
          <cell r="D1334" t="str">
            <v>E0349531</v>
          </cell>
          <cell r="E1334" t="str">
            <v>CHEN MARTIN</v>
          </cell>
          <cell r="L1334" t="str">
            <v>Practitioner - Non-Primary Care Provider (PCP)</v>
          </cell>
          <cell r="M1334" t="str">
            <v>No</v>
          </cell>
          <cell r="R1334" t="str">
            <v>CHEN MARTIN</v>
          </cell>
          <cell r="W1334" t="str">
            <v>CHEN MARTIN</v>
          </cell>
          <cell r="X1334" t="str">
            <v>622 W 168TH ST</v>
          </cell>
          <cell r="Y1334" t="str">
            <v>NEW YORK</v>
          </cell>
          <cell r="Z1334" t="str">
            <v>NY</v>
          </cell>
          <cell r="AA1334" t="str">
            <v>10032-3720</v>
          </cell>
          <cell r="AB1334" t="str">
            <v>PHYSICIAN</v>
          </cell>
          <cell r="AC1334" t="str">
            <v>M</v>
          </cell>
          <cell r="AD1334" t="str">
            <v>No</v>
          </cell>
          <cell r="AE1334" t="str">
            <v>MMIS</v>
          </cell>
          <cell r="AF1334" t="str">
            <v>nypwestcampus</v>
          </cell>
          <cell r="AG1334" t="str">
            <v>P</v>
          </cell>
        </row>
        <row r="1335">
          <cell r="A1335" t="str">
            <v>1386901742</v>
          </cell>
          <cell r="C1335" t="str">
            <v>Minkowitz Shlomo</v>
          </cell>
          <cell r="G1335" t="str">
            <v>Kathryn Spaziani</v>
          </cell>
          <cell r="H1335" t="str">
            <v>(212) 305-1255</v>
          </cell>
          <cell r="J1335" t="str">
            <v>kas9171@nyp.org</v>
          </cell>
          <cell r="K1335" t="str">
            <v>Physician</v>
          </cell>
          <cell r="L1335" t="str">
            <v>Uncategorized</v>
          </cell>
          <cell r="M1335" t="str">
            <v>No</v>
          </cell>
          <cell r="R1335" t="str">
            <v>MINKOWITZ SHLOMO</v>
          </cell>
          <cell r="S1335" t="str">
            <v>450 CLARKSON AVE</v>
          </cell>
          <cell r="T1335" t="str">
            <v>BROOKLYN</v>
          </cell>
          <cell r="U1335" t="str">
            <v>NY</v>
          </cell>
          <cell r="V1335" t="str">
            <v>112032012</v>
          </cell>
          <cell r="AC1335" t="str">
            <v>M</v>
          </cell>
          <cell r="AD1335" t="str">
            <v>No</v>
          </cell>
          <cell r="AE1335" t="str">
            <v>NPI only</v>
          </cell>
          <cell r="AF1335" t="str">
            <v>nypeastcampus</v>
          </cell>
          <cell r="AG1335" t="str">
            <v>P</v>
          </cell>
        </row>
        <row r="1336">
          <cell r="A1336" t="str">
            <v>1427373158</v>
          </cell>
          <cell r="C1336" t="str">
            <v>Niogi Sumit</v>
          </cell>
          <cell r="G1336" t="str">
            <v>Kathryn Spaziani</v>
          </cell>
          <cell r="H1336" t="str">
            <v>(212) 305-1255</v>
          </cell>
          <cell r="J1336" t="str">
            <v>kas9171@nyp.org</v>
          </cell>
          <cell r="K1336" t="str">
            <v>Physician</v>
          </cell>
          <cell r="L1336" t="str">
            <v>Uncategorized</v>
          </cell>
          <cell r="M1336" t="str">
            <v>No</v>
          </cell>
          <cell r="R1336" t="str">
            <v>NIOGI SUMIT DR.</v>
          </cell>
          <cell r="S1336" t="str">
            <v>525 E 68TH ST, BOX 207</v>
          </cell>
          <cell r="T1336" t="str">
            <v>NEW YORK</v>
          </cell>
          <cell r="U1336" t="str">
            <v>NY</v>
          </cell>
          <cell r="V1336" t="str">
            <v>100654870</v>
          </cell>
          <cell r="AC1336" t="str">
            <v>M</v>
          </cell>
          <cell r="AD1336" t="str">
            <v>No</v>
          </cell>
          <cell r="AE1336" t="str">
            <v>NPI only</v>
          </cell>
          <cell r="AF1336" t="str">
            <v>nypeastcampus</v>
          </cell>
          <cell r="AG1336" t="str">
            <v>P</v>
          </cell>
        </row>
        <row r="1337">
          <cell r="A1337" t="str">
            <v>1699752261</v>
          </cell>
          <cell r="B1337" t="str">
            <v>00592374</v>
          </cell>
          <cell r="C1337" t="str">
            <v xml:space="preserve">JAN, KUNG-MING </v>
          </cell>
          <cell r="D1337" t="str">
            <v>E0240443</v>
          </cell>
          <cell r="E1337" t="str">
            <v>KMJAN LLC                  MD</v>
          </cell>
          <cell r="G1337" t="str">
            <v>Kathryn Spaziani</v>
          </cell>
          <cell r="H1337" t="str">
            <v>(212) 305-1190</v>
          </cell>
          <cell r="J1337" t="str">
            <v>kas9171@nyp.org</v>
          </cell>
          <cell r="L1337" t="str">
            <v>All Other:: Practitioner - Primary Care Provider (PCP)</v>
          </cell>
          <cell r="M1337" t="str">
            <v>No</v>
          </cell>
          <cell r="R1337" t="str">
            <v>JAN KUNG-MING DR.</v>
          </cell>
          <cell r="W1337" t="str">
            <v>KMJAN LLC                  MD</v>
          </cell>
          <cell r="X1337" t="str">
            <v>630 W 168TH ST</v>
          </cell>
          <cell r="Y1337" t="str">
            <v>NEW YORK</v>
          </cell>
          <cell r="Z1337" t="str">
            <v>NY</v>
          </cell>
          <cell r="AA1337" t="str">
            <v>10032-3725</v>
          </cell>
          <cell r="AB1337" t="str">
            <v>PHYSICIAN</v>
          </cell>
          <cell r="AC1337" t="str">
            <v>M</v>
          </cell>
          <cell r="AD1337" t="str">
            <v>No</v>
          </cell>
          <cell r="AE1337" t="str">
            <v>MMIS</v>
          </cell>
          <cell r="AF1337" t="str">
            <v>nypwestcampus</v>
          </cell>
          <cell r="AG1337" t="str">
            <v>P</v>
          </cell>
        </row>
        <row r="1338">
          <cell r="A1338" t="str">
            <v>1457324295</v>
          </cell>
          <cell r="B1338" t="str">
            <v>01194765</v>
          </cell>
          <cell r="C1338" t="str">
            <v>COHALL, ALWYN T</v>
          </cell>
          <cell r="D1338" t="str">
            <v>E0180413</v>
          </cell>
          <cell r="E1338" t="str">
            <v>COHALL ALWYN MD</v>
          </cell>
          <cell r="G1338" t="str">
            <v>Kathryn Spaziani</v>
          </cell>
          <cell r="H1338" t="str">
            <v>(212) 305-1190</v>
          </cell>
          <cell r="J1338" t="str">
            <v>kas9171@nyp.org</v>
          </cell>
          <cell r="L1338" t="str">
            <v>All Other:: Practitioner - Primary Care Provider (PCP)</v>
          </cell>
          <cell r="M1338" t="str">
            <v>No</v>
          </cell>
          <cell r="R1338" t="str">
            <v>COHALL ALWYN DR.</v>
          </cell>
          <cell r="W1338" t="str">
            <v>COHALL ALWYN MD</v>
          </cell>
          <cell r="X1338" t="str">
            <v>SLRH</v>
          </cell>
          <cell r="Y1338" t="str">
            <v>NEW YORK</v>
          </cell>
          <cell r="Z1338" t="str">
            <v>NY</v>
          </cell>
          <cell r="AA1338" t="str">
            <v>10025</v>
          </cell>
          <cell r="AB1338" t="str">
            <v>PHYSICIAN</v>
          </cell>
          <cell r="AC1338" t="str">
            <v>M</v>
          </cell>
          <cell r="AD1338" t="str">
            <v>No</v>
          </cell>
          <cell r="AE1338" t="str">
            <v>MMIS</v>
          </cell>
          <cell r="AF1338" t="str">
            <v>nypwestacn</v>
          </cell>
          <cell r="AG1338" t="str">
            <v>P</v>
          </cell>
        </row>
        <row r="1339">
          <cell r="A1339" t="str">
            <v>1457487167</v>
          </cell>
          <cell r="B1339" t="str">
            <v>02965204</v>
          </cell>
          <cell r="C1339" t="str">
            <v>ALCALAY, ROY N</v>
          </cell>
          <cell r="D1339" t="str">
            <v>E0002079</v>
          </cell>
          <cell r="E1339" t="str">
            <v>ALCALAY ROY N MD</v>
          </cell>
          <cell r="G1339" t="str">
            <v>Kathryn Spaziani</v>
          </cell>
          <cell r="H1339" t="str">
            <v>(212) 305-1190</v>
          </cell>
          <cell r="J1339" t="str">
            <v>kas9171@nyp.org</v>
          </cell>
          <cell r="L1339" t="str">
            <v>Practitioner - Non-Primary Care Provider (PCP)</v>
          </cell>
          <cell r="M1339" t="str">
            <v>No</v>
          </cell>
          <cell r="R1339" t="str">
            <v>ALCALAY ROY</v>
          </cell>
          <cell r="W1339" t="str">
            <v>ALCALAY ROY N MD</v>
          </cell>
          <cell r="X1339" t="str">
            <v>710 W 168TH ST</v>
          </cell>
          <cell r="Y1339" t="str">
            <v>NEW YORK</v>
          </cell>
          <cell r="Z1339" t="str">
            <v>NY</v>
          </cell>
          <cell r="AA1339" t="str">
            <v>10032-3726</v>
          </cell>
          <cell r="AB1339" t="str">
            <v>PHYSICIAN</v>
          </cell>
          <cell r="AC1339" t="str">
            <v>M</v>
          </cell>
          <cell r="AD1339" t="str">
            <v>No</v>
          </cell>
          <cell r="AE1339" t="str">
            <v>MMIS</v>
          </cell>
          <cell r="AF1339" t="str">
            <v>nypwestacn</v>
          </cell>
          <cell r="AG1339" t="str">
            <v>P</v>
          </cell>
        </row>
        <row r="1340">
          <cell r="A1340" t="str">
            <v>1457523953</v>
          </cell>
          <cell r="B1340" t="str">
            <v>03384163</v>
          </cell>
          <cell r="C1340" t="str">
            <v xml:space="preserve">HONG, EUNE </v>
          </cell>
          <cell r="D1340" t="str">
            <v>E0325543</v>
          </cell>
          <cell r="E1340" t="str">
            <v>HONG EUNE</v>
          </cell>
          <cell r="G1340" t="str">
            <v>Kathryn Spaziani</v>
          </cell>
          <cell r="H1340" t="str">
            <v>(212) 305-1190</v>
          </cell>
          <cell r="J1340" t="str">
            <v>kas9171@nyp.org</v>
          </cell>
          <cell r="L1340" t="str">
            <v>Practitioner - Non-Primary Care Provider (PCP)</v>
          </cell>
          <cell r="M1340" t="str">
            <v>No</v>
          </cell>
          <cell r="R1340" t="str">
            <v>HONG EUNE</v>
          </cell>
          <cell r="W1340" t="str">
            <v>HONG EUNE</v>
          </cell>
          <cell r="X1340" t="str">
            <v>622 W 168TH ST 10TH FL</v>
          </cell>
          <cell r="Y1340" t="str">
            <v>NEW YORK</v>
          </cell>
          <cell r="Z1340" t="str">
            <v>NY</v>
          </cell>
          <cell r="AA1340" t="str">
            <v>10032-3720</v>
          </cell>
          <cell r="AB1340" t="str">
            <v>MEDICAL APPLIANCE DEALER</v>
          </cell>
          <cell r="AC1340" t="str">
            <v>M</v>
          </cell>
          <cell r="AD1340" t="str">
            <v>No</v>
          </cell>
          <cell r="AE1340" t="str">
            <v>MMIS</v>
          </cell>
          <cell r="AF1340" t="str">
            <v>nypwestacn</v>
          </cell>
          <cell r="AG1340" t="str">
            <v>P</v>
          </cell>
        </row>
        <row r="1341">
          <cell r="A1341" t="str">
            <v>1801917240</v>
          </cell>
          <cell r="B1341" t="str">
            <v>03230577</v>
          </cell>
          <cell r="C1341" t="str">
            <v>Asrani Ashwin</v>
          </cell>
          <cell r="D1341" t="str">
            <v>E0307854</v>
          </cell>
          <cell r="E1341" t="str">
            <v>ASRANI ASHWIN V</v>
          </cell>
          <cell r="L1341" t="str">
            <v>All Other:: Practitioner - Non-Primary Care Provider (PCP)</v>
          </cell>
          <cell r="M1341" t="str">
            <v>No</v>
          </cell>
          <cell r="R1341" t="str">
            <v>ASRANI ASHWIN</v>
          </cell>
          <cell r="W1341" t="str">
            <v>ASRANI ASHWIN V</v>
          </cell>
          <cell r="X1341" t="str">
            <v>525 E 68TH ST</v>
          </cell>
          <cell r="Y1341" t="str">
            <v>NEW YORK</v>
          </cell>
          <cell r="Z1341" t="str">
            <v>NY</v>
          </cell>
          <cell r="AA1341" t="str">
            <v>10065-4870</v>
          </cell>
          <cell r="AB1341" t="str">
            <v>PHYSICIAN</v>
          </cell>
          <cell r="AC1341" t="str">
            <v>M</v>
          </cell>
          <cell r="AD1341" t="str">
            <v>No</v>
          </cell>
          <cell r="AE1341" t="str">
            <v>MMIS</v>
          </cell>
          <cell r="AF1341" t="str">
            <v>nypeastcampus</v>
          </cell>
          <cell r="AG1341" t="str">
            <v>P</v>
          </cell>
        </row>
        <row r="1342">
          <cell r="A1342" t="str">
            <v>1205056082</v>
          </cell>
          <cell r="B1342" t="str">
            <v>02882699</v>
          </cell>
          <cell r="C1342" t="str">
            <v>Belfi Lily</v>
          </cell>
          <cell r="D1342" t="str">
            <v>E0011935</v>
          </cell>
          <cell r="E1342" t="str">
            <v>BELFI LILY MARIE MD</v>
          </cell>
          <cell r="L1342" t="str">
            <v>All Other:: Practitioner - Non-Primary Care Provider (PCP)</v>
          </cell>
          <cell r="M1342" t="str">
            <v>No</v>
          </cell>
          <cell r="R1342" t="str">
            <v>BELFI LILY DR.</v>
          </cell>
          <cell r="W1342" t="str">
            <v>BELFI LILY MARIE MD</v>
          </cell>
          <cell r="X1342" t="str">
            <v>525 E 68TH ST</v>
          </cell>
          <cell r="Y1342" t="str">
            <v>NEW YORK</v>
          </cell>
          <cell r="Z1342" t="str">
            <v>NY</v>
          </cell>
          <cell r="AA1342" t="str">
            <v>10065-4870</v>
          </cell>
          <cell r="AB1342" t="str">
            <v>PHYSICIAN</v>
          </cell>
          <cell r="AC1342" t="str">
            <v>M</v>
          </cell>
          <cell r="AD1342" t="str">
            <v>No</v>
          </cell>
          <cell r="AE1342" t="str">
            <v>MMIS</v>
          </cell>
          <cell r="AF1342" t="str">
            <v>nypeastcampus</v>
          </cell>
          <cell r="AG1342" t="str">
            <v>P</v>
          </cell>
        </row>
        <row r="1343">
          <cell r="A1343" t="str">
            <v>1356352918</v>
          </cell>
          <cell r="C1343" t="str">
            <v>TRUSTEES OF COLUMBIA UNIVERSITY</v>
          </cell>
          <cell r="K1343" t="str">
            <v>All Other</v>
          </cell>
          <cell r="L1343" t="str">
            <v>Uncategorized</v>
          </cell>
          <cell r="M1343" t="str">
            <v>No</v>
          </cell>
          <cell r="R1343" t="str">
            <v>TRUSTEES OF COLUMBIA UNIVERSITY</v>
          </cell>
          <cell r="S1343" t="str">
            <v>161 FT WASHINGTN AVE, IP 749</v>
          </cell>
          <cell r="T1343" t="str">
            <v>NEW YORK</v>
          </cell>
          <cell r="U1343" t="str">
            <v>NY</v>
          </cell>
          <cell r="V1343" t="str">
            <v>100323729</v>
          </cell>
          <cell r="AC1343" t="str">
            <v>M</v>
          </cell>
          <cell r="AD1343" t="str">
            <v>No</v>
          </cell>
          <cell r="AE1343" t="str">
            <v>NPI only</v>
          </cell>
          <cell r="AG1343" t="str">
            <v>P</v>
          </cell>
        </row>
        <row r="1344">
          <cell r="A1344" t="str">
            <v>1720270846</v>
          </cell>
          <cell r="B1344" t="str">
            <v>03878764</v>
          </cell>
          <cell r="C1344" t="str">
            <v>ZORK, NOELIA M</v>
          </cell>
          <cell r="D1344" t="str">
            <v>E0378947</v>
          </cell>
          <cell r="E1344" t="str">
            <v>ZORK NOELIA MILENA MODAD</v>
          </cell>
          <cell r="G1344" t="str">
            <v>Kathryn Spaziani</v>
          </cell>
          <cell r="H1344" t="str">
            <v>(212) 305-1190</v>
          </cell>
          <cell r="J1344" t="str">
            <v>kas9171@nyp.org</v>
          </cell>
          <cell r="L1344" t="str">
            <v>All Other:: Practitioner - Non-Primary Care Provider (PCP)</v>
          </cell>
          <cell r="M1344" t="str">
            <v>No</v>
          </cell>
          <cell r="R1344" t="str">
            <v>ZORK NOELIA MRS.</v>
          </cell>
          <cell r="W1344" t="str">
            <v>ZORK NOELIA MILENA MODAD</v>
          </cell>
          <cell r="X1344" t="str">
            <v>622 W 168TH ST</v>
          </cell>
          <cell r="Y1344" t="str">
            <v>NEW YORK</v>
          </cell>
          <cell r="Z1344" t="str">
            <v>NY</v>
          </cell>
          <cell r="AA1344" t="str">
            <v>10032-3720</v>
          </cell>
          <cell r="AB1344" t="str">
            <v>PHYSICIAN</v>
          </cell>
          <cell r="AC1344" t="str">
            <v>M</v>
          </cell>
          <cell r="AD1344" t="str">
            <v>No</v>
          </cell>
          <cell r="AE1344" t="str">
            <v>MMIS</v>
          </cell>
          <cell r="AF1344" t="str">
            <v>nypwestcampus</v>
          </cell>
          <cell r="AG1344" t="str">
            <v>P</v>
          </cell>
        </row>
        <row r="1345">
          <cell r="A1345" t="str">
            <v>1558313007</v>
          </cell>
          <cell r="B1345" t="str">
            <v>02752183</v>
          </cell>
          <cell r="C1345" t="str">
            <v>Chused Amy</v>
          </cell>
          <cell r="D1345" t="str">
            <v>E0024972</v>
          </cell>
          <cell r="E1345" t="str">
            <v>CHUSED AMY ELIZABETH MD</v>
          </cell>
          <cell r="L1345" t="str">
            <v>Practitioner - Primary Care Provider (PCP)</v>
          </cell>
          <cell r="M1345" t="str">
            <v>No</v>
          </cell>
          <cell r="R1345" t="str">
            <v>CHUSED AMY DR.</v>
          </cell>
          <cell r="W1345" t="str">
            <v>CHUSED AMY ELIZABETH</v>
          </cell>
          <cell r="X1345" t="str">
            <v>622 W 168TH ST</v>
          </cell>
          <cell r="Y1345" t="str">
            <v>NEW YORK</v>
          </cell>
          <cell r="Z1345" t="str">
            <v>NY</v>
          </cell>
          <cell r="AA1345" t="str">
            <v>10032-3720</v>
          </cell>
          <cell r="AB1345" t="str">
            <v>PHYSICIAN</v>
          </cell>
          <cell r="AC1345" t="str">
            <v>M</v>
          </cell>
          <cell r="AD1345" t="str">
            <v>No</v>
          </cell>
          <cell r="AE1345" t="str">
            <v>MMIS</v>
          </cell>
          <cell r="AF1345" t="str">
            <v>nypeastcampus</v>
          </cell>
          <cell r="AG1345" t="str">
            <v>P</v>
          </cell>
        </row>
        <row r="1346">
          <cell r="A1346" t="str">
            <v>1730306689</v>
          </cell>
          <cell r="B1346" t="str">
            <v>03355011</v>
          </cell>
          <cell r="C1346" t="str">
            <v>Zhang Ying</v>
          </cell>
          <cell r="D1346" t="str">
            <v>E0322082</v>
          </cell>
          <cell r="E1346" t="str">
            <v>ZHANG YING</v>
          </cell>
          <cell r="G1346" t="str">
            <v>Kathryn Spaziani</v>
          </cell>
          <cell r="H1346" t="str">
            <v>(212) 305-1253</v>
          </cell>
          <cell r="J1346" t="str">
            <v>kas9171@nyp.org</v>
          </cell>
          <cell r="L1346" t="str">
            <v>All Other:: Practitioner - Non-Primary Care Provider (PCP)</v>
          </cell>
          <cell r="M1346" t="str">
            <v>No</v>
          </cell>
          <cell r="R1346" t="str">
            <v>ZHANG YING</v>
          </cell>
          <cell r="W1346" t="str">
            <v>ZHANG YING</v>
          </cell>
          <cell r="X1346" t="str">
            <v>121 DEKALB AVE</v>
          </cell>
          <cell r="Y1346" t="str">
            <v>BROOKLYN</v>
          </cell>
          <cell r="Z1346" t="str">
            <v>NY</v>
          </cell>
          <cell r="AA1346" t="str">
            <v>11201-5425</v>
          </cell>
          <cell r="AB1346" t="str">
            <v>PHYSICIAN</v>
          </cell>
          <cell r="AC1346" t="str">
            <v>M</v>
          </cell>
          <cell r="AD1346" t="str">
            <v>No</v>
          </cell>
          <cell r="AE1346" t="str">
            <v>MMIS</v>
          </cell>
          <cell r="AF1346" t="str">
            <v>nypeastcampus</v>
          </cell>
          <cell r="AG1346" t="str">
            <v>P</v>
          </cell>
        </row>
        <row r="1347">
          <cell r="A1347" t="str">
            <v>1538326491</v>
          </cell>
          <cell r="B1347" t="str">
            <v>03387919</v>
          </cell>
          <cell r="C1347" t="str">
            <v>Loukeris Kristina</v>
          </cell>
          <cell r="D1347" t="str">
            <v>E0326063</v>
          </cell>
          <cell r="E1347" t="str">
            <v>LOUKERIS KRISTINA</v>
          </cell>
          <cell r="G1347" t="str">
            <v>Kathryn Spaziani</v>
          </cell>
          <cell r="H1347" t="str">
            <v>(212) 305-1254</v>
          </cell>
          <cell r="J1347" t="str">
            <v>kas9171@nyp.org</v>
          </cell>
          <cell r="L1347" t="str">
            <v>All Other:: Practitioner - Non-Primary Care Provider (PCP)</v>
          </cell>
          <cell r="M1347" t="str">
            <v>No</v>
          </cell>
          <cell r="R1347" t="str">
            <v>LOUKERIS KRISTINA DR.</v>
          </cell>
          <cell r="W1347" t="str">
            <v>LOUKERIS KRISTINA</v>
          </cell>
          <cell r="X1347" t="str">
            <v>170 WILLIAM ST 3RD FL</v>
          </cell>
          <cell r="Y1347" t="str">
            <v>NEW YORK</v>
          </cell>
          <cell r="Z1347" t="str">
            <v>NY</v>
          </cell>
          <cell r="AA1347" t="str">
            <v>10038-2612</v>
          </cell>
          <cell r="AB1347" t="str">
            <v>PHYSICIAN</v>
          </cell>
          <cell r="AC1347" t="str">
            <v>M</v>
          </cell>
          <cell r="AD1347" t="str">
            <v>No</v>
          </cell>
          <cell r="AE1347" t="str">
            <v>MMIS</v>
          </cell>
          <cell r="AF1347" t="str">
            <v>nypeastcampus</v>
          </cell>
          <cell r="AG1347" t="str">
            <v>P</v>
          </cell>
        </row>
        <row r="1348">
          <cell r="A1348" t="str">
            <v>1063711653</v>
          </cell>
          <cell r="C1348" t="str">
            <v>Finkelstone Lee</v>
          </cell>
          <cell r="G1348" t="str">
            <v>Kathryn Spaziani</v>
          </cell>
          <cell r="H1348" t="str">
            <v>(212) 305-1255</v>
          </cell>
          <cell r="J1348" t="str">
            <v>kas9171@nyp.org</v>
          </cell>
          <cell r="K1348" t="str">
            <v>Physician</v>
          </cell>
          <cell r="L1348" t="str">
            <v>Uncategorized</v>
          </cell>
          <cell r="M1348" t="str">
            <v>No</v>
          </cell>
          <cell r="R1348" t="str">
            <v>FINKELSTONE LEE</v>
          </cell>
          <cell r="S1348" t="str">
            <v>1275 YORK AVE</v>
          </cell>
          <cell r="T1348" t="str">
            <v>NEW YORK</v>
          </cell>
          <cell r="U1348" t="str">
            <v>NY</v>
          </cell>
          <cell r="V1348" t="str">
            <v>100656007</v>
          </cell>
          <cell r="AC1348" t="str">
            <v>M</v>
          </cell>
          <cell r="AD1348" t="str">
            <v>No</v>
          </cell>
          <cell r="AE1348" t="str">
            <v>NPI only</v>
          </cell>
          <cell r="AF1348" t="str">
            <v>nypwestcampus</v>
          </cell>
          <cell r="AG1348" t="str">
            <v>P</v>
          </cell>
        </row>
        <row r="1349">
          <cell r="A1349" t="str">
            <v>1164747895</v>
          </cell>
          <cell r="C1349" t="str">
            <v>Heiney Carrie</v>
          </cell>
          <cell r="G1349" t="str">
            <v>Kathryn Spaziani</v>
          </cell>
          <cell r="H1349" t="str">
            <v>(212) 305-1255</v>
          </cell>
          <cell r="J1349" t="str">
            <v>kas9171@nyp.org</v>
          </cell>
          <cell r="K1349" t="str">
            <v>Physician</v>
          </cell>
          <cell r="L1349" t="str">
            <v>Uncategorized</v>
          </cell>
          <cell r="M1349" t="str">
            <v>No</v>
          </cell>
          <cell r="R1349" t="str">
            <v>HEINEY CARRIE</v>
          </cell>
          <cell r="S1349" t="str">
            <v>1001 SOUTH GEORGE STREET</v>
          </cell>
          <cell r="T1349" t="str">
            <v>YORK</v>
          </cell>
          <cell r="U1349" t="str">
            <v>PA</v>
          </cell>
          <cell r="V1349" t="str">
            <v>17403</v>
          </cell>
          <cell r="AC1349" t="str">
            <v>M</v>
          </cell>
          <cell r="AD1349" t="str">
            <v>No</v>
          </cell>
          <cell r="AE1349" t="str">
            <v>NPI only</v>
          </cell>
          <cell r="AF1349" t="str">
            <v>nypother</v>
          </cell>
          <cell r="AG1349" t="str">
            <v>P</v>
          </cell>
        </row>
        <row r="1350">
          <cell r="A1350" t="str">
            <v>1043216633</v>
          </cell>
          <cell r="B1350" t="str">
            <v>01550807</v>
          </cell>
          <cell r="C1350" t="str">
            <v>Hom Adam</v>
          </cell>
          <cell r="D1350" t="str">
            <v>E0144917</v>
          </cell>
          <cell r="E1350" t="str">
            <v>HOM ADAM MD</v>
          </cell>
          <cell r="L1350" t="str">
            <v>All Other:: Practitioner - Non-Primary Care Provider (PCP)</v>
          </cell>
          <cell r="M1350" t="str">
            <v>No</v>
          </cell>
          <cell r="R1350" t="str">
            <v>HOM ADAM</v>
          </cell>
          <cell r="W1350" t="str">
            <v>HOM ADAM MD</v>
          </cell>
          <cell r="X1350" t="str">
            <v>300 COMMUNITY DR</v>
          </cell>
          <cell r="Y1350" t="str">
            <v>MANHASSET</v>
          </cell>
          <cell r="Z1350" t="str">
            <v>NY</v>
          </cell>
          <cell r="AA1350" t="str">
            <v>11030-3816</v>
          </cell>
          <cell r="AB1350" t="str">
            <v>PHYSICIAN</v>
          </cell>
          <cell r="AC1350" t="str">
            <v>M</v>
          </cell>
          <cell r="AD1350" t="str">
            <v>No</v>
          </cell>
          <cell r="AE1350" t="str">
            <v>MMIS</v>
          </cell>
          <cell r="AF1350" t="str">
            <v>nypeastcampus</v>
          </cell>
          <cell r="AG1350" t="str">
            <v>P</v>
          </cell>
        </row>
        <row r="1351">
          <cell r="A1351" t="str">
            <v>1649281650</v>
          </cell>
          <cell r="B1351" t="str">
            <v>02078779</v>
          </cell>
          <cell r="C1351" t="str">
            <v>Kjaer-Pedersen Klaus</v>
          </cell>
          <cell r="D1351" t="str">
            <v>E0092189</v>
          </cell>
          <cell r="E1351" t="str">
            <v>KJAER-PEDERSEN KLAUS MD</v>
          </cell>
          <cell r="L1351" t="str">
            <v>Practitioner - Non-Primary Care Provider (PCP)</v>
          </cell>
          <cell r="M1351" t="str">
            <v>No</v>
          </cell>
          <cell r="R1351" t="str">
            <v>KJAER-PEDERSEN KLAUS DR.</v>
          </cell>
          <cell r="W1351" t="str">
            <v>KJAER-PEDERSEN KLAUS MD</v>
          </cell>
          <cell r="X1351" t="str">
            <v>CORNELL ANESTH</v>
          </cell>
          <cell r="Y1351" t="str">
            <v>NEW YORK</v>
          </cell>
          <cell r="Z1351" t="str">
            <v>NY</v>
          </cell>
          <cell r="AA1351" t="str">
            <v>10065-4870</v>
          </cell>
          <cell r="AB1351" t="str">
            <v>PHYSICIAN</v>
          </cell>
          <cell r="AC1351" t="str">
            <v>M</v>
          </cell>
          <cell r="AD1351" t="str">
            <v>No</v>
          </cell>
          <cell r="AE1351" t="str">
            <v>MMIS</v>
          </cell>
          <cell r="AF1351" t="str">
            <v>nypeastcampus</v>
          </cell>
          <cell r="AG1351" t="str">
            <v>P</v>
          </cell>
        </row>
        <row r="1352">
          <cell r="A1352" t="str">
            <v>1366644973</v>
          </cell>
          <cell r="C1352" t="str">
            <v>Klein Carol</v>
          </cell>
          <cell r="G1352" t="str">
            <v>Kathryn Spaziani</v>
          </cell>
          <cell r="H1352" t="str">
            <v>(212) 305-1255</v>
          </cell>
          <cell r="J1352" t="str">
            <v>kas9171@nyp.org</v>
          </cell>
          <cell r="K1352" t="str">
            <v>Physician</v>
          </cell>
          <cell r="L1352" t="str">
            <v>Uncategorized</v>
          </cell>
          <cell r="M1352" t="str">
            <v>No</v>
          </cell>
          <cell r="R1352" t="str">
            <v>KLEIN CAROL</v>
          </cell>
          <cell r="S1352" t="str">
            <v>525 E 68TH ST</v>
          </cell>
          <cell r="T1352" t="str">
            <v>NEW YORK</v>
          </cell>
          <cell r="U1352" t="str">
            <v>NY</v>
          </cell>
          <cell r="V1352" t="str">
            <v>100214870</v>
          </cell>
          <cell r="AC1352" t="str">
            <v>M</v>
          </cell>
          <cell r="AD1352" t="str">
            <v>No</v>
          </cell>
          <cell r="AE1352" t="str">
            <v>NPI only</v>
          </cell>
          <cell r="AF1352" t="str">
            <v>nypeastcampus</v>
          </cell>
          <cell r="AG1352" t="str">
            <v>P</v>
          </cell>
        </row>
        <row r="1353">
          <cell r="A1353" t="str">
            <v>1912094095</v>
          </cell>
          <cell r="B1353" t="str">
            <v>00955500</v>
          </cell>
          <cell r="C1353" t="str">
            <v>Koff Howard</v>
          </cell>
          <cell r="D1353" t="str">
            <v>E0204213</v>
          </cell>
          <cell r="E1353" t="str">
            <v>KOFF HOWARD DANIEL         MD</v>
          </cell>
          <cell r="L1353" t="str">
            <v>All Other:: Practitioner - Non-Primary Care Provider (PCP)</v>
          </cell>
          <cell r="M1353" t="str">
            <v>No</v>
          </cell>
          <cell r="R1353" t="str">
            <v>KOFF HOWARD</v>
          </cell>
          <cell r="W1353" t="str">
            <v>KOFF HOWARD DANIEL         MD</v>
          </cell>
          <cell r="X1353" t="str">
            <v>DEPT OF ANESTHESIA</v>
          </cell>
          <cell r="Y1353" t="str">
            <v>NEW YORK</v>
          </cell>
          <cell r="Z1353" t="str">
            <v>NY</v>
          </cell>
          <cell r="AA1353" t="str">
            <v>10065-4870</v>
          </cell>
          <cell r="AB1353" t="str">
            <v>PHYSICIAN</v>
          </cell>
          <cell r="AC1353" t="str">
            <v>M</v>
          </cell>
          <cell r="AD1353" t="str">
            <v>No</v>
          </cell>
          <cell r="AE1353" t="str">
            <v>MMIS</v>
          </cell>
          <cell r="AF1353" t="str">
            <v>nypeastcampus</v>
          </cell>
          <cell r="AG1353" t="str">
            <v>P</v>
          </cell>
        </row>
        <row r="1354">
          <cell r="A1354" t="str">
            <v>1275647265</v>
          </cell>
          <cell r="B1354" t="str">
            <v>02670051</v>
          </cell>
          <cell r="C1354" t="str">
            <v>Kopman David</v>
          </cell>
          <cell r="D1354" t="str">
            <v>E0033169</v>
          </cell>
          <cell r="E1354" t="str">
            <v>KOPMAN DAVID MD</v>
          </cell>
          <cell r="L1354" t="str">
            <v>All Other:: Practitioner - Non-Primary Care Provider (PCP)</v>
          </cell>
          <cell r="M1354" t="str">
            <v>No</v>
          </cell>
          <cell r="R1354" t="str">
            <v>KOPMAN DAVID</v>
          </cell>
          <cell r="W1354" t="str">
            <v>KOPMAN DAVID MD</v>
          </cell>
          <cell r="X1354" t="str">
            <v>153 W 11TH ST</v>
          </cell>
          <cell r="Y1354" t="str">
            <v>NEW YORK</v>
          </cell>
          <cell r="Z1354" t="str">
            <v>NY</v>
          </cell>
          <cell r="AA1354" t="str">
            <v>10011-8305</v>
          </cell>
          <cell r="AB1354" t="str">
            <v>PHYSICIAN</v>
          </cell>
          <cell r="AC1354" t="str">
            <v>M</v>
          </cell>
          <cell r="AD1354" t="str">
            <v>No</v>
          </cell>
          <cell r="AE1354" t="str">
            <v>MMIS</v>
          </cell>
          <cell r="AF1354" t="str">
            <v>nypeastcampus</v>
          </cell>
          <cell r="AG1354" t="str">
            <v>P</v>
          </cell>
        </row>
        <row r="1355">
          <cell r="A1355" t="str">
            <v>1043435639</v>
          </cell>
          <cell r="B1355" t="str">
            <v>02892780</v>
          </cell>
          <cell r="C1355" t="str">
            <v>Tedeschi Christopher</v>
          </cell>
          <cell r="D1355" t="str">
            <v>E0010928</v>
          </cell>
          <cell r="E1355" t="str">
            <v>TEDESCHI CHRISTOPHER MICHAEL MD</v>
          </cell>
          <cell r="L1355" t="str">
            <v>Practitioner - Non-Primary Care Provider (PCP)</v>
          </cell>
          <cell r="M1355" t="str">
            <v>No</v>
          </cell>
          <cell r="R1355" t="str">
            <v>TEDESCHI CHRISTOPHER DR.</v>
          </cell>
          <cell r="W1355" t="str">
            <v>TEDESCHI CHRISTOPHER MICHAEL MD</v>
          </cell>
          <cell r="X1355" t="str">
            <v>622 W 168TH ST</v>
          </cell>
          <cell r="Y1355" t="str">
            <v>NEW YORK</v>
          </cell>
          <cell r="Z1355" t="str">
            <v>NY</v>
          </cell>
          <cell r="AA1355" t="str">
            <v>10032-3720</v>
          </cell>
          <cell r="AB1355" t="str">
            <v>PHYSICIAN</v>
          </cell>
          <cell r="AC1355" t="str">
            <v>M</v>
          </cell>
          <cell r="AD1355" t="str">
            <v>No</v>
          </cell>
          <cell r="AE1355" t="str">
            <v>MMIS</v>
          </cell>
          <cell r="AF1355" t="str">
            <v>nypwestcampus</v>
          </cell>
          <cell r="AG1355" t="str">
            <v>P</v>
          </cell>
        </row>
        <row r="1356">
          <cell r="A1356" t="str">
            <v>1518391556</v>
          </cell>
          <cell r="C1356" t="str">
            <v>Jachno Stephanie</v>
          </cell>
          <cell r="G1356" t="str">
            <v>Kathryn Spaziani</v>
          </cell>
          <cell r="H1356" t="str">
            <v>(212) 305-1255</v>
          </cell>
          <cell r="J1356" t="str">
            <v>kas9171@nyp.org</v>
          </cell>
          <cell r="K1356" t="str">
            <v>Physician</v>
          </cell>
          <cell r="L1356" t="str">
            <v>Uncategorized</v>
          </cell>
          <cell r="M1356" t="str">
            <v>No</v>
          </cell>
          <cell r="R1356" t="str">
            <v>JACHNO STEPHANIE</v>
          </cell>
          <cell r="S1356" t="str">
            <v>622 W 168TH ST</v>
          </cell>
          <cell r="T1356" t="str">
            <v>NEW YORK</v>
          </cell>
          <cell r="U1356" t="str">
            <v>NY</v>
          </cell>
          <cell r="V1356" t="str">
            <v>100323720</v>
          </cell>
          <cell r="AC1356" t="str">
            <v>M</v>
          </cell>
          <cell r="AD1356" t="str">
            <v>No</v>
          </cell>
          <cell r="AE1356" t="str">
            <v>NPI only</v>
          </cell>
          <cell r="AF1356" t="str">
            <v>nypwestcampus</v>
          </cell>
          <cell r="AG1356" t="str">
            <v>P</v>
          </cell>
        </row>
        <row r="1357">
          <cell r="A1357" t="str">
            <v>1699937052</v>
          </cell>
          <cell r="B1357" t="str">
            <v>03484851</v>
          </cell>
          <cell r="C1357" t="str">
            <v>Caputo Nicholas</v>
          </cell>
          <cell r="D1357" t="str">
            <v>E0337902</v>
          </cell>
          <cell r="E1357" t="str">
            <v>CAPUTO NICHOLAS</v>
          </cell>
          <cell r="L1357" t="str">
            <v>Practitioner - Non-Primary Care Provider (PCP)</v>
          </cell>
          <cell r="M1357" t="str">
            <v>No</v>
          </cell>
          <cell r="R1357" t="str">
            <v>CAPUTO NICHOLAS DR.</v>
          </cell>
          <cell r="W1357" t="str">
            <v>CAPUTO NICHOLAS DINO</v>
          </cell>
          <cell r="X1357" t="str">
            <v>234 E 149TH ST RM 8D-200</v>
          </cell>
          <cell r="Y1357" t="str">
            <v>BRONX</v>
          </cell>
          <cell r="Z1357" t="str">
            <v>NY</v>
          </cell>
          <cell r="AA1357" t="str">
            <v>10451-5504</v>
          </cell>
          <cell r="AB1357" t="str">
            <v>PHYSICIAN</v>
          </cell>
          <cell r="AC1357" t="str">
            <v>M</v>
          </cell>
          <cell r="AD1357" t="str">
            <v>No</v>
          </cell>
          <cell r="AE1357" t="str">
            <v>MMIS</v>
          </cell>
          <cell r="AF1357" t="str">
            <v>nypwestcampus</v>
          </cell>
          <cell r="AG1357" t="str">
            <v>P</v>
          </cell>
        </row>
        <row r="1358">
          <cell r="A1358" t="str">
            <v>1427145523</v>
          </cell>
          <cell r="B1358" t="str">
            <v>01801234</v>
          </cell>
          <cell r="C1358" t="str">
            <v>Carter Wallace</v>
          </cell>
          <cell r="D1358" t="str">
            <v>E0119911</v>
          </cell>
          <cell r="E1358" t="str">
            <v>CARTER WALLACE A JR MD</v>
          </cell>
          <cell r="L1358" t="str">
            <v>Practitioner - Non-Primary Care Provider (PCP)</v>
          </cell>
          <cell r="M1358" t="str">
            <v>No</v>
          </cell>
          <cell r="R1358" t="str">
            <v>CARTER WALLACE</v>
          </cell>
          <cell r="W1358" t="str">
            <v>CARTER WALLACE A JR MD</v>
          </cell>
          <cell r="X1358" t="str">
            <v>1825 EASTCHESTER RD</v>
          </cell>
          <cell r="Y1358" t="str">
            <v>BRONX</v>
          </cell>
          <cell r="Z1358" t="str">
            <v>NY</v>
          </cell>
          <cell r="AA1358" t="str">
            <v>10461-2301</v>
          </cell>
          <cell r="AB1358" t="str">
            <v>PHYSICIAN</v>
          </cell>
          <cell r="AC1358" t="str">
            <v>M</v>
          </cell>
          <cell r="AD1358" t="str">
            <v>No</v>
          </cell>
          <cell r="AE1358" t="str">
            <v>MMIS</v>
          </cell>
          <cell r="AF1358" t="str">
            <v>nypwestcampus</v>
          </cell>
          <cell r="AG1358" t="str">
            <v>P</v>
          </cell>
        </row>
        <row r="1359">
          <cell r="A1359" t="str">
            <v>1003994930</v>
          </cell>
          <cell r="B1359" t="str">
            <v>02862962</v>
          </cell>
          <cell r="C1359" t="str">
            <v xml:space="preserve">SHALEV, NOGA </v>
          </cell>
          <cell r="D1359" t="str">
            <v>E0013902</v>
          </cell>
          <cell r="E1359" t="str">
            <v>SHALEV NOGA</v>
          </cell>
          <cell r="G1359" t="str">
            <v>Kathryn Spaziani</v>
          </cell>
          <cell r="H1359" t="str">
            <v>(212) 305-1190</v>
          </cell>
          <cell r="J1359" t="str">
            <v>kas9171@nyp.org</v>
          </cell>
          <cell r="L1359" t="str">
            <v>All Other:: Practitioner - Primary Care Provider (PCP)</v>
          </cell>
          <cell r="M1359" t="str">
            <v>Yes</v>
          </cell>
          <cell r="R1359" t="str">
            <v>SHALEV NOGA DR.</v>
          </cell>
          <cell r="W1359" t="str">
            <v>SHALEV NOGA</v>
          </cell>
          <cell r="X1359" t="str">
            <v>622 W 168TH ST</v>
          </cell>
          <cell r="Y1359" t="str">
            <v>NEW YORK</v>
          </cell>
          <cell r="Z1359" t="str">
            <v>NY</v>
          </cell>
          <cell r="AA1359" t="str">
            <v>10032-3720</v>
          </cell>
          <cell r="AB1359" t="str">
            <v>PHYSICIAN</v>
          </cell>
          <cell r="AC1359" t="str">
            <v>M</v>
          </cell>
          <cell r="AD1359" t="str">
            <v>No</v>
          </cell>
          <cell r="AE1359" t="str">
            <v>MMIS</v>
          </cell>
          <cell r="AF1359" t="str">
            <v>nypwestcampus</v>
          </cell>
          <cell r="AG1359" t="str">
            <v>P</v>
          </cell>
        </row>
        <row r="1360">
          <cell r="A1360" t="str">
            <v>1831164110</v>
          </cell>
          <cell r="B1360" t="str">
            <v>03625050</v>
          </cell>
          <cell r="C1360" t="str">
            <v>Sepulveda Antonia</v>
          </cell>
          <cell r="D1360" t="str">
            <v>E0352763</v>
          </cell>
          <cell r="E1360" t="str">
            <v>SEPULVEDA ANTONIA</v>
          </cell>
          <cell r="G1360" t="str">
            <v>Kathryn Spaziani</v>
          </cell>
          <cell r="H1360" t="str">
            <v>(212) 305-1193</v>
          </cell>
          <cell r="J1360" t="str">
            <v>kas9171@nyp.org</v>
          </cell>
          <cell r="L1360" t="str">
            <v>All Other:: Practitioner - Non-Primary Care Provider (PCP)</v>
          </cell>
          <cell r="M1360" t="str">
            <v>No</v>
          </cell>
          <cell r="R1360" t="str">
            <v>SEPULVEDA ANTONIA DR.</v>
          </cell>
          <cell r="W1360" t="str">
            <v>SEPULVEDA ANTONIA</v>
          </cell>
          <cell r="X1360" t="str">
            <v>622 WEST 168TH STREE</v>
          </cell>
          <cell r="Y1360" t="str">
            <v>NEW YORK</v>
          </cell>
          <cell r="Z1360" t="str">
            <v>NY</v>
          </cell>
          <cell r="AA1360" t="str">
            <v>10032</v>
          </cell>
          <cell r="AB1360" t="str">
            <v>PHYSICIAN</v>
          </cell>
          <cell r="AC1360" t="str">
            <v>M</v>
          </cell>
          <cell r="AD1360" t="str">
            <v>No</v>
          </cell>
          <cell r="AE1360" t="str">
            <v>MMIS</v>
          </cell>
          <cell r="AF1360" t="str">
            <v>nypwestcampus</v>
          </cell>
          <cell r="AG1360" t="str">
            <v>P</v>
          </cell>
        </row>
        <row r="1361">
          <cell r="A1361" t="str">
            <v>1730491671</v>
          </cell>
          <cell r="B1361" t="str">
            <v>03264986</v>
          </cell>
          <cell r="C1361" t="str">
            <v>ARGUS COMMUNITY INC</v>
          </cell>
          <cell r="D1361" t="str">
            <v>E0311781</v>
          </cell>
          <cell r="E1361" t="str">
            <v>ARGUS COMMUNITY INC</v>
          </cell>
          <cell r="G1361" t="str">
            <v>Daniel Lowy</v>
          </cell>
          <cell r="H1361" t="str">
            <v>(718) 401-5650</v>
          </cell>
          <cell r="J1361" t="str">
            <v>dlowy@arguscommunity.org</v>
          </cell>
          <cell r="L1361" t="str">
            <v>All Other:: Mental Health</v>
          </cell>
          <cell r="M1361" t="str">
            <v>No</v>
          </cell>
          <cell r="R1361" t="str">
            <v>ARGUS COMMUNITY, INC.</v>
          </cell>
          <cell r="W1361" t="str">
            <v>ARGUS COMMUNITY INC</v>
          </cell>
          <cell r="X1361" t="str">
            <v>760 EAST 160TH ST CELLAR</v>
          </cell>
          <cell r="Y1361" t="str">
            <v>BRONX</v>
          </cell>
          <cell r="Z1361" t="str">
            <v>NY</v>
          </cell>
          <cell r="AA1361" t="str">
            <v>10456-7815</v>
          </cell>
          <cell r="AB1361" t="str">
            <v>DIAGNOSTIC AND TREATMENT CENTER</v>
          </cell>
          <cell r="AC1361" t="str">
            <v>M</v>
          </cell>
          <cell r="AD1361" t="str">
            <v>No</v>
          </cell>
          <cell r="AE1361" t="str">
            <v>MMIS</v>
          </cell>
          <cell r="AF1361" t="str">
            <v>arguscommunity</v>
          </cell>
          <cell r="AG1361" t="str">
            <v>P</v>
          </cell>
        </row>
        <row r="1362">
          <cell r="A1362" t="str">
            <v>1710022330</v>
          </cell>
          <cell r="B1362" t="str">
            <v>01103593</v>
          </cell>
          <cell r="C1362" t="str">
            <v>ARGUS COMMUNITY, INS</v>
          </cell>
          <cell r="D1362" t="str">
            <v>E0189515</v>
          </cell>
          <cell r="E1362" t="str">
            <v>ARGUS COMMUNITY,INC</v>
          </cell>
          <cell r="G1362" t="str">
            <v>Daniel Lowy</v>
          </cell>
          <cell r="H1362" t="str">
            <v>(718) 401-5650</v>
          </cell>
          <cell r="J1362" t="str">
            <v>dlowy@arguscommunity.org</v>
          </cell>
          <cell r="L1362" t="str">
            <v>All Other:: Mental Health</v>
          </cell>
          <cell r="M1362" t="str">
            <v>No</v>
          </cell>
          <cell r="R1362" t="str">
            <v>ARGUS COMMUNITY, INC.</v>
          </cell>
          <cell r="W1362" t="str">
            <v>ARGUS COMMUNITY,INC</v>
          </cell>
          <cell r="X1362" t="str">
            <v>CONT TRT OMH</v>
          </cell>
          <cell r="Y1362" t="str">
            <v>BRONX</v>
          </cell>
          <cell r="Z1362" t="str">
            <v>NY</v>
          </cell>
          <cell r="AA1362" t="str">
            <v>10455-1232</v>
          </cell>
          <cell r="AB1362" t="str">
            <v>DIAGNOSTIC AND TREATMENT CENTER</v>
          </cell>
          <cell r="AC1362" t="str">
            <v>M</v>
          </cell>
          <cell r="AD1362" t="str">
            <v>No</v>
          </cell>
          <cell r="AE1362" t="str">
            <v>MMIS</v>
          </cell>
          <cell r="AF1362" t="str">
            <v>arguscommunity</v>
          </cell>
          <cell r="AG1362" t="str">
            <v>P</v>
          </cell>
        </row>
        <row r="1363">
          <cell r="A1363" t="str">
            <v>1245467810</v>
          </cell>
          <cell r="B1363" t="str">
            <v>03121542</v>
          </cell>
          <cell r="C1363" t="str">
            <v>NORTHERN MANHATTAN PER PART TASA</v>
          </cell>
          <cell r="D1363" t="str">
            <v>E0295551</v>
          </cell>
          <cell r="E1363" t="str">
            <v>NORTHERN MANHATTAN PER PART TASA</v>
          </cell>
          <cell r="G1363" t="str">
            <v>Mario Drummonds</v>
          </cell>
          <cell r="H1363" t="str">
            <v>(347) 489-4769</v>
          </cell>
          <cell r="J1363" t="str">
            <v>mdrummonds@msn.com</v>
          </cell>
          <cell r="L1363" t="str">
            <v>Uncategorized</v>
          </cell>
          <cell r="M1363" t="str">
            <v>No</v>
          </cell>
          <cell r="R1363" t="str">
            <v>NORTHERN MANHATTAN PERINATAL PARTNERSHIP, INC.</v>
          </cell>
          <cell r="W1363" t="str">
            <v>NORTHERN MANHATTAN PER PART TASA</v>
          </cell>
          <cell r="X1363" t="str">
            <v>127 W 127TH ST RM 306D</v>
          </cell>
          <cell r="Y1363" t="str">
            <v>NEW YORK</v>
          </cell>
          <cell r="Z1363" t="str">
            <v>NY</v>
          </cell>
          <cell r="AA1363" t="str">
            <v>10027-3723</v>
          </cell>
          <cell r="AB1363" t="str">
            <v>HOME HEALTH AGENCY</v>
          </cell>
          <cell r="AC1363" t="str">
            <v>M</v>
          </cell>
          <cell r="AD1363" t="str">
            <v>No</v>
          </cell>
          <cell r="AE1363" t="str">
            <v>MMIS</v>
          </cell>
          <cell r="AG1363" t="str">
            <v>P</v>
          </cell>
        </row>
        <row r="1364">
          <cell r="A1364" t="str">
            <v>1104840503</v>
          </cell>
          <cell r="B1364" t="str">
            <v>02184178</v>
          </cell>
          <cell r="C1364" t="str">
            <v>Peter Pasley</v>
          </cell>
          <cell r="D1364" t="str">
            <v>E0081663</v>
          </cell>
          <cell r="E1364" t="str">
            <v>PASLEY PETER MACPHERSON MD</v>
          </cell>
          <cell r="G1364" t="str">
            <v>Eva Eng</v>
          </cell>
          <cell r="H1364" t="str">
            <v>(212) 752-4989</v>
          </cell>
          <cell r="J1364" t="str">
            <v>eeng@archcare.org</v>
          </cell>
          <cell r="L1364" t="str">
            <v>All Other:: Practitioner - Non-Primary Care Provider (PCP)</v>
          </cell>
          <cell r="M1364" t="str">
            <v>No</v>
          </cell>
          <cell r="R1364" t="str">
            <v>PASLEY PETER DR.</v>
          </cell>
          <cell r="W1364" t="str">
            <v>PASLEY PETER MACPHERSON MD</v>
          </cell>
          <cell r="X1364" t="str">
            <v>29 WASHINGTON SQ W</v>
          </cell>
          <cell r="Y1364" t="str">
            <v>NEW YORK</v>
          </cell>
          <cell r="Z1364" t="str">
            <v>NY</v>
          </cell>
          <cell r="AA1364" t="str">
            <v>10011-9180</v>
          </cell>
          <cell r="AB1364" t="str">
            <v>PHYSICIAN</v>
          </cell>
          <cell r="AC1364" t="str">
            <v>M</v>
          </cell>
          <cell r="AD1364" t="str">
            <v>No</v>
          </cell>
          <cell r="AE1364" t="str">
            <v>MMIS</v>
          </cell>
          <cell r="AG1364" t="str">
            <v>P</v>
          </cell>
        </row>
        <row r="1365">
          <cell r="A1365" t="str">
            <v>1275527798</v>
          </cell>
          <cell r="B1365" t="str">
            <v>00845336</v>
          </cell>
          <cell r="C1365" t="str">
            <v>Vincent Calamia</v>
          </cell>
          <cell r="D1365" t="str">
            <v>E0215206</v>
          </cell>
          <cell r="E1365" t="str">
            <v>CALAMIA VINCENT            MD</v>
          </cell>
          <cell r="G1365" t="str">
            <v>Eva Eng</v>
          </cell>
          <cell r="H1365" t="str">
            <v>(212) 752-4990</v>
          </cell>
          <cell r="J1365" t="str">
            <v>eeng@archcare.org</v>
          </cell>
          <cell r="L1365" t="str">
            <v>All Other:: Practitioner - Primary Care Provider (PCP)</v>
          </cell>
          <cell r="M1365" t="str">
            <v>No</v>
          </cell>
          <cell r="R1365" t="str">
            <v>CALAMIA VINCENT</v>
          </cell>
          <cell r="W1365" t="str">
            <v>CALAMIA VINCENT            MD</v>
          </cell>
          <cell r="X1365" t="str">
            <v>STATEN ISLAND HOSPT</v>
          </cell>
          <cell r="Y1365" t="str">
            <v>STATEN ISLAND</v>
          </cell>
          <cell r="Z1365" t="str">
            <v>NY</v>
          </cell>
          <cell r="AA1365" t="str">
            <v>10305-3498</v>
          </cell>
          <cell r="AB1365" t="str">
            <v>PHYSICIAN</v>
          </cell>
          <cell r="AC1365" t="str">
            <v>M</v>
          </cell>
          <cell r="AD1365" t="str">
            <v>No</v>
          </cell>
          <cell r="AE1365" t="str">
            <v>MMIS</v>
          </cell>
          <cell r="AG1365" t="str">
            <v>P</v>
          </cell>
        </row>
        <row r="1366">
          <cell r="A1366" t="str">
            <v>1942370135</v>
          </cell>
          <cell r="B1366" t="str">
            <v>02097941</v>
          </cell>
          <cell r="C1366" t="str">
            <v>DEMPSTER, JOANNE S</v>
          </cell>
          <cell r="D1366" t="str">
            <v>E0090274</v>
          </cell>
          <cell r="E1366" t="str">
            <v>DEMPSTER JOANNE</v>
          </cell>
          <cell r="G1366" t="str">
            <v>Kathryn Spaziani</v>
          </cell>
          <cell r="H1366" t="str">
            <v>(212) 305-1190</v>
          </cell>
          <cell r="J1366" t="str">
            <v>kas9171@nyp.org</v>
          </cell>
          <cell r="L1366" t="str">
            <v>Practitioner - Primary Care Provider (PCP)</v>
          </cell>
          <cell r="M1366" t="str">
            <v>Yes</v>
          </cell>
          <cell r="R1366" t="str">
            <v>DEMPSTER JOANNE</v>
          </cell>
          <cell r="W1366" t="str">
            <v>DEMPSTER JOANNE</v>
          </cell>
          <cell r="X1366" t="str">
            <v>3448 BOSTON POST RD</v>
          </cell>
          <cell r="Y1366" t="str">
            <v>BRONX</v>
          </cell>
          <cell r="Z1366" t="str">
            <v>NY</v>
          </cell>
          <cell r="AA1366" t="str">
            <v>10469</v>
          </cell>
          <cell r="AB1366" t="str">
            <v>PHYSICIAN</v>
          </cell>
          <cell r="AC1366" t="str">
            <v>M</v>
          </cell>
          <cell r="AD1366" t="str">
            <v>No</v>
          </cell>
          <cell r="AE1366" t="str">
            <v>MMIS</v>
          </cell>
          <cell r="AF1366" t="str">
            <v>nypwestacn</v>
          </cell>
          <cell r="AG1366" t="str">
            <v>P</v>
          </cell>
        </row>
        <row r="1367">
          <cell r="A1367" t="str">
            <v>1942397021</v>
          </cell>
          <cell r="B1367" t="str">
            <v>00834804</v>
          </cell>
          <cell r="C1367" t="str">
            <v>JACOBS, JONATHAN L</v>
          </cell>
          <cell r="D1367" t="str">
            <v>E0216257</v>
          </cell>
          <cell r="E1367" t="str">
            <v>JACOBS JONATHAN LEWIS</v>
          </cell>
          <cell r="G1367" t="str">
            <v>Kathryn Spaziani</v>
          </cell>
          <cell r="H1367" t="str">
            <v>(212) 305-1190</v>
          </cell>
          <cell r="J1367" t="str">
            <v>kas9171@nyp.org</v>
          </cell>
          <cell r="L1367" t="str">
            <v>All Other:: Practitioner - Primary Care Provider (PCP)</v>
          </cell>
          <cell r="M1367" t="str">
            <v>No</v>
          </cell>
          <cell r="R1367" t="str">
            <v>JACOBS JONATHAN</v>
          </cell>
          <cell r="W1367" t="str">
            <v>JACOBS JONATHAN LEWIS</v>
          </cell>
          <cell r="X1367" t="str">
            <v>525 E 68TH ST 24TH FL</v>
          </cell>
          <cell r="Y1367" t="str">
            <v>NEW YORK</v>
          </cell>
          <cell r="Z1367" t="str">
            <v>NY</v>
          </cell>
          <cell r="AA1367" t="str">
            <v>10065-4870</v>
          </cell>
          <cell r="AB1367" t="str">
            <v>PHYSICIAN</v>
          </cell>
          <cell r="AC1367" t="str">
            <v>M</v>
          </cell>
          <cell r="AD1367" t="str">
            <v>No</v>
          </cell>
          <cell r="AE1367" t="str">
            <v>MMIS</v>
          </cell>
          <cell r="AF1367" t="str">
            <v>nypeastacn</v>
          </cell>
          <cell r="AG1367" t="str">
            <v>P</v>
          </cell>
        </row>
        <row r="1368">
          <cell r="A1368" t="str">
            <v>1184724437</v>
          </cell>
          <cell r="B1368" t="str">
            <v>01979919</v>
          </cell>
          <cell r="C1368" t="str">
            <v>MOREL, KIMBERLY D</v>
          </cell>
          <cell r="D1368" t="str">
            <v>E0102065</v>
          </cell>
          <cell r="E1368" t="str">
            <v>MOREL KIMBERLY MD</v>
          </cell>
          <cell r="G1368" t="str">
            <v>Kathryn Spaziani</v>
          </cell>
          <cell r="H1368" t="str">
            <v>(212) 305-1190</v>
          </cell>
          <cell r="J1368" t="str">
            <v>kas9171@nyp.org</v>
          </cell>
          <cell r="L1368" t="str">
            <v>Practitioner - Primary Care Provider (PCP)</v>
          </cell>
          <cell r="M1368" t="str">
            <v>No</v>
          </cell>
          <cell r="R1368" t="str">
            <v>MOREL KIMBERLY DR.</v>
          </cell>
          <cell r="W1368" t="str">
            <v>MOREL KIMBERLY MD</v>
          </cell>
          <cell r="X1368" t="str">
            <v>622 W 168TH ST</v>
          </cell>
          <cell r="Y1368" t="str">
            <v>NEW YORK</v>
          </cell>
          <cell r="Z1368" t="str">
            <v>NY</v>
          </cell>
          <cell r="AA1368" t="str">
            <v>10032-3720</v>
          </cell>
          <cell r="AB1368" t="str">
            <v>PHYSICIAN</v>
          </cell>
          <cell r="AC1368" t="str">
            <v>M</v>
          </cell>
          <cell r="AD1368" t="str">
            <v>No</v>
          </cell>
          <cell r="AE1368" t="str">
            <v>MMIS</v>
          </cell>
          <cell r="AF1368" t="str">
            <v>nypwestcampus</v>
          </cell>
          <cell r="AG1368" t="str">
            <v>P</v>
          </cell>
        </row>
        <row r="1369">
          <cell r="A1369" t="str">
            <v>1487636858</v>
          </cell>
          <cell r="B1369" t="str">
            <v>02161379</v>
          </cell>
          <cell r="C1369" t="str">
            <v>HARDICK-DACKO, ANNE C</v>
          </cell>
          <cell r="D1369" t="str">
            <v>E0083938</v>
          </cell>
          <cell r="E1369" t="str">
            <v>HARDICK DACKO ANNE C MD</v>
          </cell>
          <cell r="G1369" t="str">
            <v>Kathryn Spaziani</v>
          </cell>
          <cell r="H1369" t="str">
            <v>(212) 305-1190</v>
          </cell>
          <cell r="J1369" t="str">
            <v>kas9171@nyp.org</v>
          </cell>
          <cell r="L1369" t="str">
            <v>Practitioner - Non-Primary Care Provider (PCP)</v>
          </cell>
          <cell r="M1369" t="str">
            <v>No</v>
          </cell>
          <cell r="R1369" t="str">
            <v>HARDICK DACKO ANNE DR.</v>
          </cell>
          <cell r="W1369" t="str">
            <v>HARDICK DACKO ANNE C MD</v>
          </cell>
          <cell r="X1369" t="str">
            <v>1090 AMSTERDAM AVE</v>
          </cell>
          <cell r="Y1369" t="str">
            <v>NEW YORK</v>
          </cell>
          <cell r="Z1369" t="str">
            <v>NY</v>
          </cell>
          <cell r="AA1369" t="str">
            <v>10025-1737</v>
          </cell>
          <cell r="AB1369" t="str">
            <v>PHYSICIAN</v>
          </cell>
          <cell r="AC1369" t="str">
            <v>M</v>
          </cell>
          <cell r="AD1369" t="str">
            <v>No</v>
          </cell>
          <cell r="AE1369" t="str">
            <v>MMIS</v>
          </cell>
          <cell r="AF1369" t="str">
            <v>nypwestacn</v>
          </cell>
          <cell r="AG1369" t="str">
            <v>P</v>
          </cell>
        </row>
        <row r="1370">
          <cell r="A1370" t="str">
            <v>1588667877</v>
          </cell>
          <cell r="B1370" t="str">
            <v>01663845</v>
          </cell>
          <cell r="C1370" t="str">
            <v>Decorato Douglas</v>
          </cell>
          <cell r="D1370" t="str">
            <v>E0133632</v>
          </cell>
          <cell r="E1370" t="str">
            <v>DECORATO DOUGLAS MD</v>
          </cell>
          <cell r="L1370" t="str">
            <v>All Other:: Practitioner - Non-Primary Care Provider (PCP)</v>
          </cell>
          <cell r="M1370" t="str">
            <v>No</v>
          </cell>
          <cell r="R1370" t="str">
            <v>DECORATO DOUGLAS DR.</v>
          </cell>
          <cell r="W1370" t="str">
            <v>DECORATO DOUGLAS MD</v>
          </cell>
          <cell r="X1370" t="str">
            <v>NEW YORK RADIOLOGY</v>
          </cell>
          <cell r="Y1370" t="str">
            <v>NEW YORK</v>
          </cell>
          <cell r="Z1370" t="str">
            <v>NY</v>
          </cell>
          <cell r="AA1370" t="str">
            <v>10003</v>
          </cell>
          <cell r="AB1370" t="str">
            <v>PHYSICIAN</v>
          </cell>
          <cell r="AC1370" t="str">
            <v>M</v>
          </cell>
          <cell r="AD1370" t="str">
            <v>No</v>
          </cell>
          <cell r="AE1370" t="str">
            <v>MMIS</v>
          </cell>
          <cell r="AF1370" t="str">
            <v>nypeastcampus</v>
          </cell>
          <cell r="AG1370" t="str">
            <v>P</v>
          </cell>
        </row>
        <row r="1371">
          <cell r="A1371" t="str">
            <v>1659532232</v>
          </cell>
          <cell r="B1371" t="str">
            <v>03293029</v>
          </cell>
          <cell r="C1371" t="str">
            <v>Deyer Timothy</v>
          </cell>
          <cell r="D1371" t="str">
            <v>E0314925</v>
          </cell>
          <cell r="E1371" t="str">
            <v>DEYER TIMOTHY WILLIAM</v>
          </cell>
          <cell r="L1371" t="str">
            <v>All Other:: Practitioner - Non-Primary Care Provider (PCP)</v>
          </cell>
          <cell r="M1371" t="str">
            <v>No</v>
          </cell>
          <cell r="R1371" t="str">
            <v>DEYER TIMOTHY DR.</v>
          </cell>
          <cell r="W1371" t="str">
            <v>DEYER TIMOTHY WILLIAM</v>
          </cell>
          <cell r="X1371" t="str">
            <v>525 E 68TH ST BOX 585</v>
          </cell>
          <cell r="Y1371" t="str">
            <v>NEW YORK</v>
          </cell>
          <cell r="Z1371" t="str">
            <v>NY</v>
          </cell>
          <cell r="AA1371" t="str">
            <v>10065-4870</v>
          </cell>
          <cell r="AB1371" t="str">
            <v>PHYSICIAN</v>
          </cell>
          <cell r="AC1371" t="str">
            <v>M</v>
          </cell>
          <cell r="AD1371" t="str">
            <v>No</v>
          </cell>
          <cell r="AE1371" t="str">
            <v>MMIS</v>
          </cell>
          <cell r="AF1371" t="str">
            <v>nypeastcampus</v>
          </cell>
          <cell r="AG1371" t="str">
            <v>P</v>
          </cell>
        </row>
        <row r="1372">
          <cell r="A1372" t="str">
            <v>1841234838</v>
          </cell>
          <cell r="B1372" t="str">
            <v>02759511</v>
          </cell>
          <cell r="C1372" t="str">
            <v>WEINER, SHEPARD D</v>
          </cell>
          <cell r="D1372" t="str">
            <v>E0024241</v>
          </cell>
          <cell r="E1372" t="str">
            <v>WEINER SHEPARD D MD</v>
          </cell>
          <cell r="G1372" t="str">
            <v>Kathryn Spaziani</v>
          </cell>
          <cell r="H1372" t="str">
            <v>(212) 305-1190</v>
          </cell>
          <cell r="J1372" t="str">
            <v>kas9171@nyp.org</v>
          </cell>
          <cell r="L1372" t="str">
            <v>All Other:: Practitioner - Non-Primary Care Provider (PCP)</v>
          </cell>
          <cell r="M1372" t="str">
            <v>No</v>
          </cell>
          <cell r="R1372" t="str">
            <v>WEINER SHEPARD DR.</v>
          </cell>
          <cell r="W1372" t="str">
            <v>WEINER SHEPARD D MD</v>
          </cell>
          <cell r="X1372" t="str">
            <v>622 W 168TH ST</v>
          </cell>
          <cell r="Y1372" t="str">
            <v>NEW YORK</v>
          </cell>
          <cell r="Z1372" t="str">
            <v>NY</v>
          </cell>
          <cell r="AA1372" t="str">
            <v>10032-3720</v>
          </cell>
          <cell r="AB1372" t="str">
            <v>PHYSICIAN</v>
          </cell>
          <cell r="AC1372" t="str">
            <v>M</v>
          </cell>
          <cell r="AD1372" t="str">
            <v>No</v>
          </cell>
          <cell r="AE1372" t="str">
            <v>MMIS</v>
          </cell>
          <cell r="AF1372" t="str">
            <v>nypwestcampus</v>
          </cell>
          <cell r="AG1372" t="str">
            <v>P</v>
          </cell>
        </row>
        <row r="1373">
          <cell r="A1373" t="str">
            <v>1235340001</v>
          </cell>
          <cell r="B1373" t="str">
            <v>03366823</v>
          </cell>
          <cell r="C1373" t="str">
            <v>JOWZA, MARYAM</v>
          </cell>
          <cell r="D1373" t="str">
            <v>E0323369</v>
          </cell>
          <cell r="E1373" t="str">
            <v>JOWZA MARYAM</v>
          </cell>
          <cell r="G1373" t="str">
            <v>Kathryn Spaziani</v>
          </cell>
          <cell r="H1373" t="str">
            <v>(212) 305-1265</v>
          </cell>
          <cell r="J1373" t="str">
            <v>kas9171@nyp.org</v>
          </cell>
          <cell r="L1373" t="str">
            <v>All Other:: Practitioner - Non-Primary Care Provider (PCP)</v>
          </cell>
          <cell r="M1373" t="str">
            <v>No</v>
          </cell>
          <cell r="R1373" t="str">
            <v>JOWZA MARYAM DR.</v>
          </cell>
          <cell r="W1373" t="str">
            <v>JOWZA MARYAM</v>
          </cell>
          <cell r="X1373" t="str">
            <v>525 E 68TH ST</v>
          </cell>
          <cell r="Y1373" t="str">
            <v>NEW YORK</v>
          </cell>
          <cell r="Z1373" t="str">
            <v>NY</v>
          </cell>
          <cell r="AA1373" t="str">
            <v>10065-4870</v>
          </cell>
          <cell r="AB1373" t="str">
            <v>PHYSICIAN</v>
          </cell>
          <cell r="AC1373" t="str">
            <v>M</v>
          </cell>
          <cell r="AD1373" t="str">
            <v>No</v>
          </cell>
          <cell r="AE1373" t="str">
            <v>MMIS</v>
          </cell>
          <cell r="AF1373" t="str">
            <v>nypother</v>
          </cell>
          <cell r="AG1373" t="str">
            <v>P</v>
          </cell>
        </row>
        <row r="1374">
          <cell r="A1374" t="str">
            <v>1235301318</v>
          </cell>
          <cell r="B1374" t="str">
            <v>03482262</v>
          </cell>
          <cell r="C1374" t="str">
            <v>TAN, TIMOTHY M-H</v>
          </cell>
          <cell r="D1374" t="str">
            <v>E0337638</v>
          </cell>
          <cell r="E1374" t="str">
            <v>TAN TIMOTHY MENG-HONG</v>
          </cell>
          <cell r="G1374" t="str">
            <v>Kathryn Spaziani</v>
          </cell>
          <cell r="H1374" t="str">
            <v>(212) 305-1190</v>
          </cell>
          <cell r="J1374" t="str">
            <v>kas9171@nyp.org</v>
          </cell>
          <cell r="L1374" t="str">
            <v>All Other:: Practitioner - Non-Primary Care Provider (PCP)</v>
          </cell>
          <cell r="M1374" t="str">
            <v>No</v>
          </cell>
          <cell r="R1374" t="str">
            <v>TAN TIMOTHY DR.</v>
          </cell>
          <cell r="W1374" t="str">
            <v>TAN TIMOTHY MENG-HONG</v>
          </cell>
          <cell r="X1374" t="str">
            <v>622 W 168TH ST</v>
          </cell>
          <cell r="Y1374" t="str">
            <v>NEW YORK</v>
          </cell>
          <cell r="Z1374" t="str">
            <v>NY</v>
          </cell>
          <cell r="AA1374" t="str">
            <v>10032-3720</v>
          </cell>
          <cell r="AB1374" t="str">
            <v>PHYSICIAN</v>
          </cell>
          <cell r="AC1374" t="str">
            <v>M</v>
          </cell>
          <cell r="AD1374" t="str">
            <v>No</v>
          </cell>
          <cell r="AE1374" t="str">
            <v>MMIS</v>
          </cell>
          <cell r="AF1374" t="str">
            <v>nypother</v>
          </cell>
          <cell r="AG1374" t="str">
            <v>P</v>
          </cell>
        </row>
        <row r="1375">
          <cell r="A1375" t="str">
            <v>1447404892</v>
          </cell>
          <cell r="B1375" t="str">
            <v>03366103</v>
          </cell>
          <cell r="C1375" t="str">
            <v>Doherty Kathleen</v>
          </cell>
          <cell r="D1375" t="str">
            <v>E0323297</v>
          </cell>
          <cell r="E1375" t="str">
            <v>DOHERTY KATHLEEN</v>
          </cell>
          <cell r="L1375" t="str">
            <v>All Other:: Practitioner - Non-Primary Care Provider (PCP)</v>
          </cell>
          <cell r="M1375" t="str">
            <v>No</v>
          </cell>
          <cell r="R1375" t="str">
            <v>DOHERTY KATHLEEN DR.</v>
          </cell>
          <cell r="W1375" t="str">
            <v>DOHERTY KATHLEEN MEGHAN</v>
          </cell>
          <cell r="X1375" t="str">
            <v>525 E 68TH STREET</v>
          </cell>
          <cell r="Y1375" t="str">
            <v>NEW YORK</v>
          </cell>
          <cell r="Z1375" t="str">
            <v>NY</v>
          </cell>
          <cell r="AA1375" t="str">
            <v>10087-4885</v>
          </cell>
          <cell r="AB1375" t="str">
            <v>PHYSICIAN</v>
          </cell>
          <cell r="AC1375" t="str">
            <v>M</v>
          </cell>
          <cell r="AD1375" t="str">
            <v>No</v>
          </cell>
          <cell r="AE1375" t="str">
            <v>MMIS</v>
          </cell>
          <cell r="AF1375" t="str">
            <v>nypeastcampus</v>
          </cell>
          <cell r="AG1375" t="str">
            <v>P</v>
          </cell>
        </row>
        <row r="1376">
          <cell r="A1376" t="str">
            <v>1801879564</v>
          </cell>
          <cell r="B1376" t="str">
            <v>00661610</v>
          </cell>
          <cell r="C1376" t="str">
            <v xml:space="preserve">LISS, HOWARD </v>
          </cell>
          <cell r="D1376" t="str">
            <v>E0233529</v>
          </cell>
          <cell r="E1376" t="str">
            <v>LISS HOWARD                MD</v>
          </cell>
          <cell r="G1376" t="str">
            <v>Kathryn Spaziani</v>
          </cell>
          <cell r="H1376" t="str">
            <v>(212) 305-1190</v>
          </cell>
          <cell r="J1376" t="str">
            <v>kas9171@nyp.org</v>
          </cell>
          <cell r="L1376" t="str">
            <v>Practitioner - Non-Primary Care Provider (PCP)</v>
          </cell>
          <cell r="M1376" t="str">
            <v>No</v>
          </cell>
          <cell r="R1376" t="str">
            <v>LISS HOWARD DR.</v>
          </cell>
          <cell r="W1376" t="str">
            <v>LISS HOWARD MD</v>
          </cell>
          <cell r="X1376" t="str">
            <v>365 ROUTE 304</v>
          </cell>
          <cell r="Y1376" t="str">
            <v>BARDONIA</v>
          </cell>
          <cell r="Z1376" t="str">
            <v>NY</v>
          </cell>
          <cell r="AA1376" t="str">
            <v>10954-1601</v>
          </cell>
          <cell r="AB1376" t="str">
            <v>PHYSICIAN</v>
          </cell>
          <cell r="AC1376" t="str">
            <v>M</v>
          </cell>
          <cell r="AD1376" t="str">
            <v>No</v>
          </cell>
          <cell r="AE1376" t="str">
            <v>MMIS</v>
          </cell>
          <cell r="AF1376" t="str">
            <v>nypwestcampus</v>
          </cell>
          <cell r="AG1376" t="str">
            <v>P</v>
          </cell>
        </row>
        <row r="1377">
          <cell r="A1377" t="str">
            <v>1184824393</v>
          </cell>
          <cell r="B1377" t="str">
            <v>03918701</v>
          </cell>
          <cell r="C1377" t="str">
            <v xml:space="preserve">AL-DUJAILI, ZEENA </v>
          </cell>
          <cell r="D1377" t="str">
            <v>E0383038</v>
          </cell>
          <cell r="E1377" t="str">
            <v>AL-DUJAILI ZEENA</v>
          </cell>
          <cell r="G1377" t="str">
            <v>Kathryn Spaziani</v>
          </cell>
          <cell r="H1377" t="str">
            <v>(212) 305-1190</v>
          </cell>
          <cell r="J1377" t="str">
            <v>kas9171@nyp.org</v>
          </cell>
          <cell r="L1377" t="str">
            <v>Practitioner - Non-Primary Care Provider (PCP)</v>
          </cell>
          <cell r="M1377" t="str">
            <v>No</v>
          </cell>
          <cell r="R1377" t="str">
            <v>AL-DUJAILI ZEENA</v>
          </cell>
          <cell r="W1377" t="str">
            <v>AL-DUJAILI ZEENA</v>
          </cell>
          <cell r="X1377" t="str">
            <v>161 FORT WASHINGTON AVE</v>
          </cell>
          <cell r="Y1377" t="str">
            <v>NEW YORK</v>
          </cell>
          <cell r="Z1377" t="str">
            <v>NY</v>
          </cell>
          <cell r="AA1377" t="str">
            <v>10032-3729</v>
          </cell>
          <cell r="AB1377" t="str">
            <v>PHYSICIAN</v>
          </cell>
          <cell r="AC1377" t="str">
            <v>M</v>
          </cell>
          <cell r="AD1377" t="str">
            <v>No</v>
          </cell>
          <cell r="AE1377" t="str">
            <v>MMIS</v>
          </cell>
          <cell r="AF1377" t="str">
            <v>nypwestcampus</v>
          </cell>
          <cell r="AG1377" t="str">
            <v>P</v>
          </cell>
        </row>
        <row r="1378">
          <cell r="A1378" t="str">
            <v>1184942773</v>
          </cell>
          <cell r="B1378" t="str">
            <v>03879316</v>
          </cell>
          <cell r="C1378" t="str">
            <v xml:space="preserve">PRADITPAN, PIYAPA </v>
          </cell>
          <cell r="D1378" t="str">
            <v>E0378997</v>
          </cell>
          <cell r="E1378" t="str">
            <v>PRADITPAN PIYAPA</v>
          </cell>
          <cell r="G1378" t="str">
            <v>Kathryn Spaziani</v>
          </cell>
          <cell r="H1378" t="str">
            <v>(212) 305-1190</v>
          </cell>
          <cell r="J1378" t="str">
            <v>kas9171@nyp.org</v>
          </cell>
          <cell r="L1378" t="str">
            <v>All Other:: Practitioner - Non-Primary Care Provider (PCP)</v>
          </cell>
          <cell r="M1378" t="str">
            <v>No</v>
          </cell>
          <cell r="R1378" t="str">
            <v>PRADITPAN PIYAPA</v>
          </cell>
          <cell r="W1378" t="str">
            <v>PRADITPAN PIYAPA</v>
          </cell>
          <cell r="X1378" t="str">
            <v>161 FORT WASHINGTON AVE</v>
          </cell>
          <cell r="Y1378" t="str">
            <v>NEW YORK</v>
          </cell>
          <cell r="Z1378" t="str">
            <v>NY</v>
          </cell>
          <cell r="AA1378" t="str">
            <v>10032-3729</v>
          </cell>
          <cell r="AB1378" t="str">
            <v>PHYSICIAN</v>
          </cell>
          <cell r="AC1378" t="str">
            <v>M</v>
          </cell>
          <cell r="AD1378" t="str">
            <v>No</v>
          </cell>
          <cell r="AE1378" t="str">
            <v>MMIS</v>
          </cell>
          <cell r="AF1378" t="str">
            <v>nypwestcampus</v>
          </cell>
          <cell r="AG1378" t="str">
            <v>P</v>
          </cell>
        </row>
        <row r="1379">
          <cell r="A1379" t="str">
            <v>1992719173</v>
          </cell>
          <cell r="B1379" t="str">
            <v>02583695</v>
          </cell>
          <cell r="C1379" t="str">
            <v>Chen Mildred</v>
          </cell>
          <cell r="D1379" t="str">
            <v>E0041785</v>
          </cell>
          <cell r="E1379" t="str">
            <v>CHEN MILDRED MD</v>
          </cell>
          <cell r="L1379" t="str">
            <v>All Other:: Practitioner - Non-Primary Care Provider (PCP)</v>
          </cell>
          <cell r="M1379" t="str">
            <v>No</v>
          </cell>
          <cell r="R1379" t="str">
            <v>CHEN MILDRED DR.</v>
          </cell>
          <cell r="W1379" t="str">
            <v>CHEN MILDRED MD</v>
          </cell>
          <cell r="X1379" t="str">
            <v>NYH CUMC RADIOLOGY</v>
          </cell>
          <cell r="Y1379" t="str">
            <v>NEW YORK</v>
          </cell>
          <cell r="Z1379" t="str">
            <v>NY</v>
          </cell>
          <cell r="AA1379" t="str">
            <v>10065-4870</v>
          </cell>
          <cell r="AB1379" t="str">
            <v>PHYSICIAN</v>
          </cell>
          <cell r="AC1379" t="str">
            <v>M</v>
          </cell>
          <cell r="AD1379" t="str">
            <v>No</v>
          </cell>
          <cell r="AE1379" t="str">
            <v>MMIS</v>
          </cell>
          <cell r="AF1379" t="str">
            <v>nypeastcampus</v>
          </cell>
          <cell r="AG1379" t="str">
            <v>P</v>
          </cell>
        </row>
        <row r="1380">
          <cell r="A1380" t="str">
            <v>1013151208</v>
          </cell>
          <cell r="B1380" t="str">
            <v>03109964</v>
          </cell>
          <cell r="C1380" t="str">
            <v>Gumpeni Naveen</v>
          </cell>
          <cell r="D1380" t="str">
            <v>E0294262</v>
          </cell>
          <cell r="E1380" t="str">
            <v>GUMPENI NAVEEN</v>
          </cell>
          <cell r="L1380" t="str">
            <v>All Other:: Practitioner - Non-Primary Care Provider (PCP)</v>
          </cell>
          <cell r="M1380" t="str">
            <v>No</v>
          </cell>
          <cell r="R1380" t="str">
            <v>GUMPENI NAVEEN DR.</v>
          </cell>
          <cell r="W1380" t="str">
            <v>GUMPENI NAVEEN</v>
          </cell>
          <cell r="X1380" t="str">
            <v>525 E 68TH ST</v>
          </cell>
          <cell r="Y1380" t="str">
            <v>NEW YORK</v>
          </cell>
          <cell r="Z1380" t="str">
            <v>NY</v>
          </cell>
          <cell r="AA1380" t="str">
            <v>10065-4885</v>
          </cell>
          <cell r="AB1380" t="str">
            <v>PHYSICIAN</v>
          </cell>
          <cell r="AC1380" t="str">
            <v>M</v>
          </cell>
          <cell r="AD1380" t="str">
            <v>No</v>
          </cell>
          <cell r="AE1380" t="str">
            <v>MMIS</v>
          </cell>
          <cell r="AF1380" t="str">
            <v>nypeastcampus</v>
          </cell>
          <cell r="AG1380" t="str">
            <v>P</v>
          </cell>
        </row>
        <row r="1381">
          <cell r="A1381" t="str">
            <v>1073542866</v>
          </cell>
          <cell r="B1381" t="str">
            <v>02575244</v>
          </cell>
          <cell r="C1381" t="str">
            <v>KRONISH, IAN M</v>
          </cell>
          <cell r="D1381" t="str">
            <v>E0042629</v>
          </cell>
          <cell r="E1381" t="str">
            <v>KRONISH IAN MATTHEW MD</v>
          </cell>
          <cell r="G1381" t="str">
            <v>Kathryn Spaziani</v>
          </cell>
          <cell r="H1381" t="str">
            <v>(212) 305-1190</v>
          </cell>
          <cell r="J1381" t="str">
            <v>kas9171@nyp.org</v>
          </cell>
          <cell r="L1381" t="str">
            <v>All Other:: Practitioner - Primary Care Provider (PCP)</v>
          </cell>
          <cell r="M1381" t="str">
            <v>Yes</v>
          </cell>
          <cell r="R1381" t="str">
            <v>KRONISH IAN</v>
          </cell>
          <cell r="W1381" t="str">
            <v>KRONISH IAN MATTHEW MD</v>
          </cell>
          <cell r="X1381" t="str">
            <v>1470 MADISON AVE</v>
          </cell>
          <cell r="Y1381" t="str">
            <v>NEW YORK</v>
          </cell>
          <cell r="Z1381" t="str">
            <v>NY</v>
          </cell>
          <cell r="AA1381" t="str">
            <v>10029-6542</v>
          </cell>
          <cell r="AB1381" t="str">
            <v>PHYSICIAN</v>
          </cell>
          <cell r="AC1381" t="str">
            <v>M</v>
          </cell>
          <cell r="AD1381" t="str">
            <v>No</v>
          </cell>
          <cell r="AE1381" t="str">
            <v>MMIS</v>
          </cell>
          <cell r="AF1381" t="str">
            <v>nypwestcampus</v>
          </cell>
          <cell r="AG1381" t="str">
            <v>P</v>
          </cell>
        </row>
        <row r="1382">
          <cell r="A1382" t="str">
            <v>1699800821</v>
          </cell>
          <cell r="B1382" t="str">
            <v>03402935</v>
          </cell>
          <cell r="C1382" t="str">
            <v>ALGERMISSEN, MOLLY A</v>
          </cell>
          <cell r="D1382" t="str">
            <v>E0328158</v>
          </cell>
          <cell r="E1382" t="str">
            <v>ALGERMISSEN MOLLY</v>
          </cell>
          <cell r="G1382" t="str">
            <v>Kathryn Spaziani</v>
          </cell>
          <cell r="H1382" t="str">
            <v>(212) 305-1190</v>
          </cell>
          <cell r="J1382" t="str">
            <v>kas9171@nyp.org</v>
          </cell>
          <cell r="L1382" t="str">
            <v>Practitioner - Non-Primary Care Provider (PCP)</v>
          </cell>
          <cell r="M1382" t="str">
            <v>No</v>
          </cell>
          <cell r="R1382" t="str">
            <v>ALGERMISSEN MOLLY</v>
          </cell>
          <cell r="W1382" t="str">
            <v>ALGERMISSEN MOLLY ANN</v>
          </cell>
          <cell r="X1382" t="str">
            <v>3959 BROADWAY FL 6 # N</v>
          </cell>
          <cell r="Y1382" t="str">
            <v>NEW YORK</v>
          </cell>
          <cell r="Z1382" t="str">
            <v>NY</v>
          </cell>
          <cell r="AA1382" t="str">
            <v>10032-1559</v>
          </cell>
          <cell r="AB1382" t="str">
            <v>CLINICAL PSYCHOLOGIST</v>
          </cell>
          <cell r="AC1382" t="str">
            <v>M</v>
          </cell>
          <cell r="AD1382" t="str">
            <v>No</v>
          </cell>
          <cell r="AE1382" t="str">
            <v>MMIS</v>
          </cell>
          <cell r="AF1382" t="str">
            <v>nypwestacn</v>
          </cell>
          <cell r="AG1382" t="str">
            <v>P</v>
          </cell>
        </row>
        <row r="1383">
          <cell r="A1383" t="str">
            <v>1104912898</v>
          </cell>
          <cell r="B1383" t="str">
            <v>03100061</v>
          </cell>
          <cell r="C1383" t="str">
            <v xml:space="preserve">BURTH, GLORIA </v>
          </cell>
          <cell r="D1383" t="str">
            <v>E0293040</v>
          </cell>
          <cell r="E1383" t="str">
            <v>BURTH GLORIA</v>
          </cell>
          <cell r="G1383" t="str">
            <v>Kathryn Spaziani</v>
          </cell>
          <cell r="H1383" t="str">
            <v>(212) 305-1190</v>
          </cell>
          <cell r="J1383" t="str">
            <v>kas9171@nyp.org</v>
          </cell>
          <cell r="L1383" t="str">
            <v>Practitioner - Non-Primary Care Provider (PCP)</v>
          </cell>
          <cell r="M1383" t="str">
            <v>No</v>
          </cell>
          <cell r="R1383" t="str">
            <v>BURTH GLORIA</v>
          </cell>
          <cell r="W1383" t="str">
            <v>BURTH GLORIA</v>
          </cell>
          <cell r="X1383" t="str">
            <v>503 E 70TH ST FL 1</v>
          </cell>
          <cell r="Y1383" t="str">
            <v>NEW YORK</v>
          </cell>
          <cell r="Z1383" t="str">
            <v>NY</v>
          </cell>
          <cell r="AA1383" t="str">
            <v>10021-4872</v>
          </cell>
          <cell r="AB1383" t="str">
            <v>CLINICAL SOCIAL WORKER (CSW)</v>
          </cell>
          <cell r="AC1383" t="str">
            <v>M</v>
          </cell>
          <cell r="AD1383" t="str">
            <v>No</v>
          </cell>
          <cell r="AE1383" t="str">
            <v>MMIS</v>
          </cell>
          <cell r="AF1383" t="str">
            <v>nypeastacn</v>
          </cell>
          <cell r="AG1383" t="str">
            <v>P</v>
          </cell>
        </row>
        <row r="1384">
          <cell r="A1384" t="str">
            <v>1851310254</v>
          </cell>
          <cell r="B1384" t="str">
            <v>00226375</v>
          </cell>
          <cell r="C1384" t="str">
            <v>MITCHELL, JOHN P</v>
          </cell>
          <cell r="D1384" t="str">
            <v>E0274999</v>
          </cell>
          <cell r="E1384" t="str">
            <v>MITCHELL JOHN P            MD</v>
          </cell>
          <cell r="G1384" t="str">
            <v>Kathryn Spaziani</v>
          </cell>
          <cell r="H1384" t="str">
            <v>(212) 305-1190</v>
          </cell>
          <cell r="J1384" t="str">
            <v>kas9171@nyp.org</v>
          </cell>
          <cell r="L1384" t="str">
            <v>All Other:: Practitioner - Non-Primary Care Provider (PCP)</v>
          </cell>
          <cell r="M1384" t="str">
            <v>Yes</v>
          </cell>
          <cell r="R1384" t="str">
            <v>MITCHELL JOHN</v>
          </cell>
          <cell r="W1384" t="str">
            <v>MITCHELL JOHN P            MD</v>
          </cell>
          <cell r="X1384" t="str">
            <v>226 W 135TH ST</v>
          </cell>
          <cell r="Y1384" t="str">
            <v>NEW YORK</v>
          </cell>
          <cell r="Z1384" t="str">
            <v>NY</v>
          </cell>
          <cell r="AA1384" t="str">
            <v>10030-2802</v>
          </cell>
          <cell r="AB1384" t="str">
            <v>PHYSICIAN</v>
          </cell>
          <cell r="AC1384" t="str">
            <v>M</v>
          </cell>
          <cell r="AD1384" t="str">
            <v>No</v>
          </cell>
          <cell r="AE1384" t="str">
            <v>MMIS</v>
          </cell>
          <cell r="AF1384" t="str">
            <v>nypwestcampus</v>
          </cell>
          <cell r="AG1384" t="str">
            <v>P</v>
          </cell>
        </row>
        <row r="1385">
          <cell r="A1385" t="str">
            <v>1659659357</v>
          </cell>
          <cell r="B1385" t="str">
            <v>04138143</v>
          </cell>
          <cell r="C1385" t="str">
            <v>Schneller, Netta</v>
          </cell>
          <cell r="D1385" t="str">
            <v>E0405634</v>
          </cell>
          <cell r="E1385" t="str">
            <v>SCHNELLER NETTA</v>
          </cell>
          <cell r="G1385" t="str">
            <v>Kathryn Spaziani</v>
          </cell>
          <cell r="H1385" t="str">
            <v>(212) 305-1190</v>
          </cell>
          <cell r="J1385" t="str">
            <v>kas9171@nyp.org</v>
          </cell>
          <cell r="L1385" t="str">
            <v>Practitioner - Non-Primary Care Provider (PCP)</v>
          </cell>
          <cell r="M1385" t="str">
            <v>No</v>
          </cell>
          <cell r="R1385" t="str">
            <v>SCHNELLER NETTA DR.</v>
          </cell>
          <cell r="W1385" t="str">
            <v>SCHNELLER NETTA</v>
          </cell>
          <cell r="X1385" t="str">
            <v>170 WILLIAM ST</v>
          </cell>
          <cell r="Y1385" t="str">
            <v>NEW YORK</v>
          </cell>
          <cell r="Z1385" t="str">
            <v>NY</v>
          </cell>
          <cell r="AA1385" t="str">
            <v>10038-2612</v>
          </cell>
          <cell r="AB1385" t="str">
            <v>PHYSICIAN</v>
          </cell>
          <cell r="AC1385" t="str">
            <v>M</v>
          </cell>
          <cell r="AD1385" t="str">
            <v>No</v>
          </cell>
          <cell r="AE1385" t="str">
            <v>MMIS</v>
          </cell>
          <cell r="AF1385" t="str">
            <v>nypother</v>
          </cell>
          <cell r="AG1385" t="str">
            <v>P</v>
          </cell>
        </row>
        <row r="1386">
          <cell r="A1386" t="str">
            <v>1881731172</v>
          </cell>
          <cell r="B1386" t="str">
            <v>01845110</v>
          </cell>
          <cell r="C1386" t="str">
            <v>GULICK, ROY M</v>
          </cell>
          <cell r="D1386" t="str">
            <v>E0115529</v>
          </cell>
          <cell r="E1386" t="str">
            <v>GULICK ROY MOYER</v>
          </cell>
          <cell r="G1386" t="str">
            <v>Kathryn Spaziani</v>
          </cell>
          <cell r="H1386" t="str">
            <v>(212) 305-1190</v>
          </cell>
          <cell r="J1386" t="str">
            <v>kas9171@nyp.org</v>
          </cell>
          <cell r="L1386" t="str">
            <v>All Other:: Practitioner - Primary Care Provider (PCP)</v>
          </cell>
          <cell r="M1386" t="str">
            <v>No</v>
          </cell>
          <cell r="R1386" t="str">
            <v>GULICK ROY</v>
          </cell>
          <cell r="W1386" t="str">
            <v>GULICK ROY MOYER</v>
          </cell>
          <cell r="X1386" t="str">
            <v>525 E 68TH ST # 125</v>
          </cell>
          <cell r="Y1386" t="str">
            <v>NEW YORK</v>
          </cell>
          <cell r="Z1386" t="str">
            <v>NY</v>
          </cell>
          <cell r="AA1386" t="str">
            <v>10065-4870</v>
          </cell>
          <cell r="AB1386" t="str">
            <v>PHYSICIAN</v>
          </cell>
          <cell r="AC1386" t="str">
            <v>M</v>
          </cell>
          <cell r="AD1386" t="str">
            <v>No</v>
          </cell>
          <cell r="AE1386" t="str">
            <v>MMIS</v>
          </cell>
          <cell r="AF1386" t="str">
            <v>nypeastacn</v>
          </cell>
          <cell r="AG1386" t="str">
            <v>P</v>
          </cell>
        </row>
        <row r="1387">
          <cell r="A1387" t="str">
            <v>1972525988</v>
          </cell>
          <cell r="B1387" t="str">
            <v>02931088</v>
          </cell>
          <cell r="C1387" t="str">
            <v>Cynthia Kolbowski, LCSW</v>
          </cell>
          <cell r="D1387" t="str">
            <v>E0001100</v>
          </cell>
          <cell r="E1387" t="str">
            <v>KOLBOWSKI CYNTHIA</v>
          </cell>
          <cell r="G1387" t="str">
            <v>Dianna Dragatsi</v>
          </cell>
          <cell r="H1387" t="str">
            <v>(212) 942-8518</v>
          </cell>
          <cell r="J1387" t="str">
            <v>Dragats@nyspi.columbia.edu</v>
          </cell>
          <cell r="L1387" t="str">
            <v>Uncategorized</v>
          </cell>
          <cell r="M1387" t="str">
            <v>No</v>
          </cell>
          <cell r="R1387" t="str">
            <v>KOLBOWSKI CYNTHIA MS.</v>
          </cell>
          <cell r="W1387" t="str">
            <v>KOLBOWSKI CYNTHIA</v>
          </cell>
          <cell r="X1387" t="str">
            <v>27 W 96TH ST APT 1E</v>
          </cell>
          <cell r="Y1387" t="str">
            <v>NEW YORK</v>
          </cell>
          <cell r="Z1387" t="str">
            <v>NY</v>
          </cell>
          <cell r="AA1387" t="str">
            <v>10025-6525</v>
          </cell>
          <cell r="AB1387" t="str">
            <v>CLINICAL SOCIAL WORKER (CSW)</v>
          </cell>
          <cell r="AC1387" t="str">
            <v>M</v>
          </cell>
          <cell r="AD1387" t="str">
            <v>No</v>
          </cell>
          <cell r="AE1387" t="str">
            <v>MMIS</v>
          </cell>
          <cell r="AF1387" t="str">
            <v>nyspi</v>
          </cell>
          <cell r="AG1387" t="str">
            <v>P</v>
          </cell>
        </row>
        <row r="1388">
          <cell r="A1388" t="str">
            <v>1346313178</v>
          </cell>
          <cell r="B1388" t="str">
            <v>03967806</v>
          </cell>
          <cell r="C1388" t="str">
            <v>Amarilis Lendof, LCSW</v>
          </cell>
          <cell r="D1388" t="str">
            <v>E0387999</v>
          </cell>
          <cell r="E1388" t="str">
            <v>LENDOF AMARILIS</v>
          </cell>
          <cell r="G1388" t="str">
            <v>Dianna Dragatsi</v>
          </cell>
          <cell r="H1388" t="str">
            <v>(212) 942-8519</v>
          </cell>
          <cell r="J1388" t="str">
            <v>Dragats@nyspi.columbia.edu</v>
          </cell>
          <cell r="L1388" t="str">
            <v>Practitioner - Non-Primary Care Provider (PCP)</v>
          </cell>
          <cell r="M1388" t="str">
            <v>No</v>
          </cell>
          <cell r="R1388" t="str">
            <v>LENDOF AMARILIS</v>
          </cell>
          <cell r="W1388" t="str">
            <v>LENDOF AMARILIS</v>
          </cell>
          <cell r="X1388" t="str">
            <v>513 W 166TH ST FL 4</v>
          </cell>
          <cell r="Y1388" t="str">
            <v>NEW YORK</v>
          </cell>
          <cell r="Z1388" t="str">
            <v>NY</v>
          </cell>
          <cell r="AA1388" t="str">
            <v>10032-4207</v>
          </cell>
          <cell r="AB1388" t="str">
            <v>CLINICAL SOCIAL WORKER (CSW)</v>
          </cell>
          <cell r="AC1388" t="str">
            <v>M</v>
          </cell>
          <cell r="AD1388" t="str">
            <v>No</v>
          </cell>
          <cell r="AE1388" t="str">
            <v>MMIS</v>
          </cell>
          <cell r="AF1388" t="str">
            <v>nyspi</v>
          </cell>
          <cell r="AG1388" t="str">
            <v>P</v>
          </cell>
        </row>
        <row r="1389">
          <cell r="A1389" t="str">
            <v>1144417635</v>
          </cell>
          <cell r="B1389" t="str">
            <v>03033630</v>
          </cell>
          <cell r="C1389" t="str">
            <v>EVANGELISTA, MARIA</v>
          </cell>
          <cell r="D1389" t="str">
            <v>E0285338</v>
          </cell>
          <cell r="E1389" t="str">
            <v>DACANAY MARIA CARMELA E NP</v>
          </cell>
          <cell r="G1389" t="str">
            <v>Kathryn Spaziani</v>
          </cell>
          <cell r="H1389" t="str">
            <v>(212) 305-1233</v>
          </cell>
          <cell r="J1389" t="str">
            <v>kas9171@nyp.org</v>
          </cell>
          <cell r="L1389" t="str">
            <v>Practitioner - Non-Primary Care Provider (PCP)</v>
          </cell>
          <cell r="M1389" t="str">
            <v>No</v>
          </cell>
          <cell r="R1389" t="str">
            <v>EVANGELISTA MARIA CARMELA</v>
          </cell>
          <cell r="W1389" t="str">
            <v>EVANGELISTA MARIA CARMELA YU SAM</v>
          </cell>
          <cell r="X1389" t="str">
            <v>161 FORT WASHINGTON AVE FL 2</v>
          </cell>
          <cell r="Y1389" t="str">
            <v>NEW YORK</v>
          </cell>
          <cell r="Z1389" t="str">
            <v>NY</v>
          </cell>
          <cell r="AA1389" t="str">
            <v>10032-3729</v>
          </cell>
          <cell r="AB1389" t="str">
            <v>PHYSICIAN</v>
          </cell>
          <cell r="AC1389" t="str">
            <v>M</v>
          </cell>
          <cell r="AD1389" t="str">
            <v>No</v>
          </cell>
          <cell r="AE1389" t="str">
            <v>MMIS</v>
          </cell>
          <cell r="AF1389" t="str">
            <v>nypwestcampus</v>
          </cell>
          <cell r="AG1389" t="str">
            <v>P</v>
          </cell>
        </row>
        <row r="1390">
          <cell r="A1390" t="str">
            <v>1558461871</v>
          </cell>
          <cell r="B1390" t="str">
            <v>01644375</v>
          </cell>
          <cell r="C1390" t="str">
            <v>KNOBLER, ELIZABETH H</v>
          </cell>
          <cell r="D1390" t="str">
            <v>E0135577</v>
          </cell>
          <cell r="E1390" t="str">
            <v>KNOBLER ELIZABETH MD</v>
          </cell>
          <cell r="G1390" t="str">
            <v>Kathryn Spaziani</v>
          </cell>
          <cell r="H1390" t="str">
            <v>(212) 305-1190</v>
          </cell>
          <cell r="J1390" t="str">
            <v>kas9171@nyp.org</v>
          </cell>
          <cell r="L1390" t="str">
            <v>Practitioner - Non-Primary Care Provider (PCP)</v>
          </cell>
          <cell r="M1390" t="str">
            <v>No</v>
          </cell>
          <cell r="R1390" t="str">
            <v>KNOBLER ELIZABETH DR.</v>
          </cell>
          <cell r="W1390" t="str">
            <v>KNOBLER ELIZABETH MD</v>
          </cell>
          <cell r="X1390" t="str">
            <v>16 E 60TH ST</v>
          </cell>
          <cell r="Y1390" t="str">
            <v>NEW YORK</v>
          </cell>
          <cell r="Z1390" t="str">
            <v>NY</v>
          </cell>
          <cell r="AA1390" t="str">
            <v>10022-1002</v>
          </cell>
          <cell r="AB1390" t="str">
            <v>PHYSICIAN</v>
          </cell>
          <cell r="AC1390" t="str">
            <v>M</v>
          </cell>
          <cell r="AD1390" t="str">
            <v>No</v>
          </cell>
          <cell r="AE1390" t="str">
            <v>MMIS</v>
          </cell>
          <cell r="AF1390" t="str">
            <v>nypwestacn</v>
          </cell>
          <cell r="AG1390" t="str">
            <v>P</v>
          </cell>
        </row>
        <row r="1391">
          <cell r="A1391" t="str">
            <v>1083633036</v>
          </cell>
          <cell r="B1391" t="str">
            <v>00243518</v>
          </cell>
          <cell r="C1391" t="str">
            <v>WCMC NYP Rehab</v>
          </cell>
          <cell r="D1391" t="str">
            <v>E0274062</v>
          </cell>
          <cell r="E1391" t="str">
            <v>NY HOSPITAL</v>
          </cell>
          <cell r="G1391" t="str">
            <v>Kathryn Spaziani</v>
          </cell>
          <cell r="H1391" t="str">
            <v>(212) 305-1190</v>
          </cell>
          <cell r="J1391" t="str">
            <v>kas9171@nyp.org</v>
          </cell>
          <cell r="L1391" t="str">
            <v>All Other:: Case Management / Health Home:: Clinic:: Hospital:: Mental Health:: Pharmacy:: Substance Abuse</v>
          </cell>
          <cell r="M1391" t="str">
            <v>Yes</v>
          </cell>
          <cell r="R1391" t="str">
            <v>THE NEW YORK AND PRESBYTERIAN HOSPITAL</v>
          </cell>
          <cell r="W1391" t="str">
            <v>NEW YORK PRESBYTERIAN HOSPITAL</v>
          </cell>
          <cell r="X1391" t="str">
            <v>525 E 68TH ST</v>
          </cell>
          <cell r="Y1391" t="str">
            <v>NEW YORK</v>
          </cell>
          <cell r="Z1391" t="str">
            <v>NY</v>
          </cell>
          <cell r="AA1391" t="str">
            <v>10065-4870</v>
          </cell>
          <cell r="AB1391" t="str">
            <v>HOSPITAL</v>
          </cell>
          <cell r="AC1391" t="str">
            <v>M</v>
          </cell>
          <cell r="AD1391" t="str">
            <v>No</v>
          </cell>
          <cell r="AE1391" t="str">
            <v>MMIS</v>
          </cell>
          <cell r="AF1391" t="str">
            <v>nypeastcampus</v>
          </cell>
          <cell r="AG1391" t="str">
            <v>P</v>
          </cell>
        </row>
        <row r="1392">
          <cell r="A1392" t="str">
            <v>1144504044</v>
          </cell>
          <cell r="C1392" t="str">
            <v>CUMC NYP Dialysis</v>
          </cell>
          <cell r="G1392" t="str">
            <v>Kathryn Spaziani</v>
          </cell>
          <cell r="H1392" t="str">
            <v>(212) 305-1190</v>
          </cell>
          <cell r="J1392" t="str">
            <v>kas9171@nyp.org</v>
          </cell>
          <cell r="K1392" t="str">
            <v>Rehab/Therapy</v>
          </cell>
          <cell r="L1392" t="str">
            <v>Uncategorized</v>
          </cell>
          <cell r="M1392" t="str">
            <v>No</v>
          </cell>
          <cell r="R1392" t="str">
            <v>THE NEW YORK AND PRESBYTERIAN HOSPITALS</v>
          </cell>
          <cell r="S1392" t="str">
            <v>525 E 68TH ST</v>
          </cell>
          <cell r="T1392" t="str">
            <v>NEW YORK</v>
          </cell>
          <cell r="U1392" t="str">
            <v>NY</v>
          </cell>
          <cell r="V1392" t="str">
            <v>100654870</v>
          </cell>
          <cell r="AC1392" t="str">
            <v>M</v>
          </cell>
          <cell r="AD1392" t="str">
            <v>No</v>
          </cell>
          <cell r="AE1392" t="str">
            <v>NPI only</v>
          </cell>
          <cell r="AF1392" t="str">
            <v>nypother</v>
          </cell>
          <cell r="AG1392" t="str">
            <v>P</v>
          </cell>
        </row>
        <row r="1393">
          <cell r="A1393" t="str">
            <v>1659663995</v>
          </cell>
          <cell r="B1393" t="str">
            <v>04454766</v>
          </cell>
          <cell r="C1393" t="str">
            <v>Joseph Darcie</v>
          </cell>
          <cell r="D1393" t="str">
            <v>E0437490</v>
          </cell>
          <cell r="E1393" t="str">
            <v>JOSEPH DARCIE</v>
          </cell>
          <cell r="G1393" t="str">
            <v>Kathryn Spaziani</v>
          </cell>
          <cell r="H1393" t="str">
            <v>(212) 305-1255</v>
          </cell>
          <cell r="J1393" t="str">
            <v>kas9171@nyp.org</v>
          </cell>
          <cell r="L1393" t="str">
            <v>Uncategorized</v>
          </cell>
          <cell r="M1393" t="str">
            <v>No</v>
          </cell>
          <cell r="R1393" t="str">
            <v>JOSEPH DARCIE</v>
          </cell>
          <cell r="W1393" t="str">
            <v>JOSEPH DARCIE</v>
          </cell>
          <cell r="AB1393" t="str">
            <v>PHYSICIAN</v>
          </cell>
          <cell r="AC1393" t="str">
            <v>M</v>
          </cell>
          <cell r="AD1393" t="str">
            <v>No</v>
          </cell>
          <cell r="AE1393" t="str">
            <v>MMIS</v>
          </cell>
          <cell r="AF1393" t="str">
            <v>nypother</v>
          </cell>
          <cell r="AG1393" t="str">
            <v>P</v>
          </cell>
        </row>
        <row r="1394">
          <cell r="A1394" t="str">
            <v>1730471079</v>
          </cell>
          <cell r="B1394" t="str">
            <v>04181646</v>
          </cell>
          <cell r="C1394" t="str">
            <v>Kuang Lana</v>
          </cell>
          <cell r="D1394" t="str">
            <v>E0410030</v>
          </cell>
          <cell r="E1394" t="str">
            <v>KUANG LANA RUOLAN</v>
          </cell>
          <cell r="G1394" t="str">
            <v>Kathryn Spaziani</v>
          </cell>
          <cell r="H1394" t="str">
            <v>(212) 305-1255</v>
          </cell>
          <cell r="J1394" t="str">
            <v>kas9171@nyp.org</v>
          </cell>
          <cell r="L1394" t="str">
            <v>All Other:: Practitioner - Non-Primary Care Provider (PCP)</v>
          </cell>
          <cell r="M1394" t="str">
            <v>No</v>
          </cell>
          <cell r="R1394" t="str">
            <v>KUANG LANA</v>
          </cell>
          <cell r="W1394" t="str">
            <v>KUANG LANA RUOLAN</v>
          </cell>
          <cell r="X1394" t="str">
            <v>100 WOODS RD</v>
          </cell>
          <cell r="Y1394" t="str">
            <v>VALHALLA</v>
          </cell>
          <cell r="Z1394" t="str">
            <v>NY</v>
          </cell>
          <cell r="AA1394" t="str">
            <v>10595-1530</v>
          </cell>
          <cell r="AB1394" t="str">
            <v>PHYSICIAN</v>
          </cell>
          <cell r="AC1394" t="str">
            <v>M</v>
          </cell>
          <cell r="AD1394" t="str">
            <v>No</v>
          </cell>
          <cell r="AE1394" t="str">
            <v>MMIS</v>
          </cell>
          <cell r="AF1394" t="str">
            <v>nypother</v>
          </cell>
          <cell r="AG1394" t="str">
            <v>P</v>
          </cell>
        </row>
        <row r="1395">
          <cell r="A1395" t="str">
            <v>1780716423</v>
          </cell>
          <cell r="B1395" t="str">
            <v>03756769</v>
          </cell>
          <cell r="C1395" t="str">
            <v>Dymphna M. Gilhooley</v>
          </cell>
          <cell r="D1395" t="str">
            <v>E0366324</v>
          </cell>
          <cell r="E1395" t="str">
            <v>GILHOOLEY DYMPHNA</v>
          </cell>
          <cell r="G1395" t="str">
            <v>Eva Eng</v>
          </cell>
          <cell r="H1395" t="str">
            <v>(212) 752-4975</v>
          </cell>
          <cell r="J1395" t="str">
            <v>eeng@archcare.org</v>
          </cell>
          <cell r="L1395" t="str">
            <v>Practitioner - Non-Primary Care Provider (PCP)</v>
          </cell>
          <cell r="M1395" t="str">
            <v>No</v>
          </cell>
          <cell r="R1395" t="str">
            <v>GILHOOLEY DYMPHNA MS.</v>
          </cell>
          <cell r="W1395" t="str">
            <v>GILHOOLEY DYMPHNA</v>
          </cell>
          <cell r="X1395" t="str">
            <v>1339 YORK AVE</v>
          </cell>
          <cell r="Y1395" t="str">
            <v>NEW YORK</v>
          </cell>
          <cell r="Z1395" t="str">
            <v>NY</v>
          </cell>
          <cell r="AA1395" t="str">
            <v>10021-4707</v>
          </cell>
          <cell r="AB1395" t="str">
            <v>PHYSICIAN</v>
          </cell>
          <cell r="AC1395" t="str">
            <v>M</v>
          </cell>
          <cell r="AD1395" t="str">
            <v>No</v>
          </cell>
          <cell r="AE1395" t="str">
            <v>MMIS</v>
          </cell>
          <cell r="AG1395" t="str">
            <v>P</v>
          </cell>
        </row>
        <row r="1396">
          <cell r="A1396" t="str">
            <v>1700897840</v>
          </cell>
          <cell r="B1396" t="str">
            <v>01195853</v>
          </cell>
          <cell r="C1396" t="str">
            <v>Kerr Gregory</v>
          </cell>
          <cell r="D1396" t="str">
            <v>E0180304</v>
          </cell>
          <cell r="E1396" t="str">
            <v>KERR GREGORY MD</v>
          </cell>
          <cell r="L1396" t="str">
            <v>All Other:: Practitioner - Non-Primary Care Provider (PCP)</v>
          </cell>
          <cell r="M1396" t="str">
            <v>No</v>
          </cell>
          <cell r="R1396" t="str">
            <v>KERR GREGORY DR.</v>
          </cell>
          <cell r="W1396" t="str">
            <v>KERR GREGORY MD</v>
          </cell>
          <cell r="X1396" t="str">
            <v>525 E 68TH ST</v>
          </cell>
          <cell r="Y1396" t="str">
            <v>NEW YORK</v>
          </cell>
          <cell r="Z1396" t="str">
            <v>NY</v>
          </cell>
          <cell r="AA1396" t="str">
            <v>10065-4870</v>
          </cell>
          <cell r="AB1396" t="str">
            <v>PHYSICIAN</v>
          </cell>
          <cell r="AC1396" t="str">
            <v>M</v>
          </cell>
          <cell r="AD1396" t="str">
            <v>No</v>
          </cell>
          <cell r="AE1396" t="str">
            <v>MMIS</v>
          </cell>
          <cell r="AG1396" t="str">
            <v>P</v>
          </cell>
        </row>
        <row r="1397">
          <cell r="A1397" t="str">
            <v>1083974794</v>
          </cell>
          <cell r="B1397" t="str">
            <v>04606153</v>
          </cell>
          <cell r="C1397" t="str">
            <v>Gurny Marc</v>
          </cell>
          <cell r="D1397" t="str">
            <v>E0452942</v>
          </cell>
          <cell r="E1397" t="str">
            <v>GURNY MARC ANDREW</v>
          </cell>
          <cell r="G1397" t="str">
            <v>Kathryn Spaziani</v>
          </cell>
          <cell r="H1397" t="str">
            <v>(212) 305-1255</v>
          </cell>
          <cell r="J1397" t="str">
            <v>kas9171@nyp.org</v>
          </cell>
          <cell r="L1397" t="str">
            <v>Uncategorized</v>
          </cell>
          <cell r="M1397" t="str">
            <v>No</v>
          </cell>
          <cell r="R1397" t="str">
            <v>GURNY MARC DR.</v>
          </cell>
          <cell r="W1397" t="str">
            <v>GURNY MARC ANDREW</v>
          </cell>
          <cell r="AB1397" t="str">
            <v>PHYSICIAN</v>
          </cell>
          <cell r="AC1397" t="str">
            <v>M</v>
          </cell>
          <cell r="AD1397" t="str">
            <v>No</v>
          </cell>
          <cell r="AE1397" t="str">
            <v>MMIS</v>
          </cell>
          <cell r="AF1397" t="str">
            <v>nypeastcampus</v>
          </cell>
          <cell r="AG1397" t="str">
            <v>P</v>
          </cell>
        </row>
        <row r="1398">
          <cell r="A1398" t="str">
            <v>1477819746</v>
          </cell>
          <cell r="C1398" t="str">
            <v>MICHELLE JAMISON</v>
          </cell>
          <cell r="G1398" t="str">
            <v>Kathryn Spaziani</v>
          </cell>
          <cell r="H1398" t="str">
            <v>(212) 305-1190</v>
          </cell>
          <cell r="J1398" t="str">
            <v>kas9171@nyp.org</v>
          </cell>
          <cell r="K1398" t="str">
            <v>Unknown</v>
          </cell>
          <cell r="L1398" t="str">
            <v>Uncategorized</v>
          </cell>
          <cell r="M1398" t="str">
            <v>No</v>
          </cell>
          <cell r="R1398" t="str">
            <v>SMITH MICHELLE</v>
          </cell>
          <cell r="S1398" t="str">
            <v>16125 NE 18TH AVE</v>
          </cell>
          <cell r="T1398" t="str">
            <v>NORTH MIAMI BEACH</v>
          </cell>
          <cell r="U1398" t="str">
            <v>FL</v>
          </cell>
          <cell r="V1398" t="str">
            <v>331624749</v>
          </cell>
          <cell r="AC1398" t="str">
            <v>M</v>
          </cell>
          <cell r="AD1398" t="str">
            <v>No</v>
          </cell>
          <cell r="AE1398" t="str">
            <v>NPI only</v>
          </cell>
          <cell r="AF1398" t="str">
            <v>nypother</v>
          </cell>
          <cell r="AG1398" t="str">
            <v>P</v>
          </cell>
        </row>
        <row r="1399">
          <cell r="A1399" t="str">
            <v>1245594761</v>
          </cell>
          <cell r="C1399" t="str">
            <v>ANOOP RAO</v>
          </cell>
          <cell r="G1399" t="str">
            <v>Kathryn Spaziani</v>
          </cell>
          <cell r="H1399" t="str">
            <v>(212) 305-1190</v>
          </cell>
          <cell r="J1399" t="str">
            <v>kas9171@nyp.org</v>
          </cell>
          <cell r="K1399" t="str">
            <v>Unknown</v>
          </cell>
          <cell r="L1399" t="str">
            <v>Uncategorized</v>
          </cell>
          <cell r="M1399" t="str">
            <v>No</v>
          </cell>
          <cell r="R1399" t="str">
            <v>RAO ANOOP DR.</v>
          </cell>
          <cell r="S1399" t="str">
            <v>3959 BROADWAY</v>
          </cell>
          <cell r="T1399" t="str">
            <v>NEW YORK</v>
          </cell>
          <cell r="U1399" t="str">
            <v>NY</v>
          </cell>
          <cell r="V1399" t="str">
            <v>100321559</v>
          </cell>
          <cell r="AC1399" t="str">
            <v>M</v>
          </cell>
          <cell r="AD1399" t="str">
            <v>No</v>
          </cell>
          <cell r="AE1399" t="str">
            <v>NPI only</v>
          </cell>
          <cell r="AF1399" t="str">
            <v>nypother</v>
          </cell>
          <cell r="AG1399" t="str">
            <v>P</v>
          </cell>
        </row>
        <row r="1400">
          <cell r="A1400" t="str">
            <v>1033452131</v>
          </cell>
          <cell r="C1400" t="str">
            <v>GAURI RAVAL</v>
          </cell>
          <cell r="G1400" t="str">
            <v>Kathryn Spaziani</v>
          </cell>
          <cell r="H1400" t="str">
            <v>(212) 305-1190</v>
          </cell>
          <cell r="J1400" t="str">
            <v>kas9171@nyp.org</v>
          </cell>
          <cell r="K1400" t="str">
            <v>Unknown</v>
          </cell>
          <cell r="L1400" t="str">
            <v>Uncategorized</v>
          </cell>
          <cell r="M1400" t="str">
            <v>No</v>
          </cell>
          <cell r="R1400" t="str">
            <v>RAVAL GAURI</v>
          </cell>
          <cell r="S1400" t="str">
            <v>3959 BROADWAY</v>
          </cell>
          <cell r="T1400" t="str">
            <v>NEW YORK</v>
          </cell>
          <cell r="U1400" t="str">
            <v>NY</v>
          </cell>
          <cell r="V1400" t="str">
            <v>100321559</v>
          </cell>
          <cell r="AC1400" t="str">
            <v>M</v>
          </cell>
          <cell r="AD1400" t="str">
            <v>No</v>
          </cell>
          <cell r="AE1400" t="str">
            <v>NPI only</v>
          </cell>
          <cell r="AF1400" t="str">
            <v>nypwestcampus</v>
          </cell>
          <cell r="AG1400" t="str">
            <v>P</v>
          </cell>
        </row>
        <row r="1401">
          <cell r="A1401" t="str">
            <v>1699018358</v>
          </cell>
          <cell r="C1401" t="str">
            <v>MARGARET RAY</v>
          </cell>
          <cell r="G1401" t="str">
            <v>Kathryn Spaziani</v>
          </cell>
          <cell r="H1401" t="str">
            <v>(212) 305-1190</v>
          </cell>
          <cell r="J1401" t="str">
            <v>kas9171@nyp.org</v>
          </cell>
          <cell r="K1401" t="str">
            <v>Unknown</v>
          </cell>
          <cell r="L1401" t="str">
            <v>Uncategorized</v>
          </cell>
          <cell r="M1401" t="str">
            <v>No</v>
          </cell>
          <cell r="R1401" t="str">
            <v>RAY MARGARET DR.</v>
          </cell>
          <cell r="S1401" t="str">
            <v>3959 BROADWAY</v>
          </cell>
          <cell r="T1401" t="str">
            <v>NEW YORK</v>
          </cell>
          <cell r="U1401" t="str">
            <v>NY</v>
          </cell>
          <cell r="V1401" t="str">
            <v>100321559</v>
          </cell>
          <cell r="AC1401" t="str">
            <v>M</v>
          </cell>
          <cell r="AD1401" t="str">
            <v>No</v>
          </cell>
          <cell r="AE1401" t="str">
            <v>NPI only</v>
          </cell>
          <cell r="AF1401" t="str">
            <v>nypwestcampus</v>
          </cell>
          <cell r="AG1401" t="str">
            <v>P</v>
          </cell>
        </row>
        <row r="1402">
          <cell r="C1402" t="str">
            <v>KRISTEN SCHRATZ</v>
          </cell>
          <cell r="G1402" t="str">
            <v>Kathryn Spaziani</v>
          </cell>
          <cell r="H1402" t="str">
            <v>(212) 305-1190</v>
          </cell>
          <cell r="J1402" t="str">
            <v>kas9171@nyp.org</v>
          </cell>
          <cell r="K1402" t="str">
            <v>Unknown</v>
          </cell>
          <cell r="L1402" t="str">
            <v>CBO</v>
          </cell>
          <cell r="M1402" t="str">
            <v>No</v>
          </cell>
          <cell r="N1402" t="str">
            <v>525 E 68th Street</v>
          </cell>
          <cell r="O1402" t="str">
            <v xml:space="preserve">New York </v>
          </cell>
          <cell r="P1402" t="str">
            <v>NY</v>
          </cell>
          <cell r="Q1402" t="str">
            <v>10021</v>
          </cell>
          <cell r="AC1402" t="str">
            <v>M</v>
          </cell>
          <cell r="AD1402" t="str">
            <v>No</v>
          </cell>
          <cell r="AE1402" t="str">
            <v>No NPI or MMIS</v>
          </cell>
          <cell r="AF1402" t="str">
            <v>nypother</v>
          </cell>
          <cell r="AG1402" t="str">
            <v>P</v>
          </cell>
        </row>
        <row r="1403">
          <cell r="A1403" t="str">
            <v>1205178787</v>
          </cell>
          <cell r="C1403" t="str">
            <v>ANDREW SILVERMAN</v>
          </cell>
          <cell r="G1403" t="str">
            <v>Kathryn Spaziani</v>
          </cell>
          <cell r="H1403" t="str">
            <v>(212) 305-1190</v>
          </cell>
          <cell r="J1403" t="str">
            <v>kas9171@nyp.org</v>
          </cell>
          <cell r="K1403" t="str">
            <v>Unknown</v>
          </cell>
          <cell r="L1403" t="str">
            <v>Uncategorized</v>
          </cell>
          <cell r="M1403" t="str">
            <v>No</v>
          </cell>
          <cell r="R1403" t="str">
            <v>SILVERMAN ANDREW</v>
          </cell>
          <cell r="S1403" t="str">
            <v>3959 BROADWAY</v>
          </cell>
          <cell r="T1403" t="str">
            <v>NEW YORK</v>
          </cell>
          <cell r="U1403" t="str">
            <v>NY</v>
          </cell>
          <cell r="V1403" t="str">
            <v>100321559</v>
          </cell>
          <cell r="AC1403" t="str">
            <v>M</v>
          </cell>
          <cell r="AD1403" t="str">
            <v>No</v>
          </cell>
          <cell r="AE1403" t="str">
            <v>NPI only</v>
          </cell>
          <cell r="AF1403" t="str">
            <v>nypwestcampus</v>
          </cell>
          <cell r="AG1403" t="str">
            <v>P</v>
          </cell>
        </row>
        <row r="1404">
          <cell r="A1404" t="str">
            <v>1588907703</v>
          </cell>
          <cell r="C1404" t="str">
            <v>KATHERINE STILL</v>
          </cell>
          <cell r="G1404" t="str">
            <v>Kathryn Spaziani</v>
          </cell>
          <cell r="H1404" t="str">
            <v>(212) 305-1190</v>
          </cell>
          <cell r="J1404" t="str">
            <v>kas9171@nyp.org</v>
          </cell>
          <cell r="K1404" t="str">
            <v>Unknown</v>
          </cell>
          <cell r="L1404" t="str">
            <v>Uncategorized</v>
          </cell>
          <cell r="M1404" t="str">
            <v>No</v>
          </cell>
          <cell r="R1404" t="str">
            <v>STILL KATHERINE</v>
          </cell>
          <cell r="S1404" t="str">
            <v>3959 BROADWAY</v>
          </cell>
          <cell r="T1404" t="str">
            <v>NEW YORK</v>
          </cell>
          <cell r="U1404" t="str">
            <v>NY</v>
          </cell>
          <cell r="V1404" t="str">
            <v>100321559</v>
          </cell>
          <cell r="AC1404" t="str">
            <v>M</v>
          </cell>
          <cell r="AD1404" t="str">
            <v>No</v>
          </cell>
          <cell r="AE1404" t="str">
            <v>NPI only</v>
          </cell>
          <cell r="AF1404" t="str">
            <v>nypwestcampus</v>
          </cell>
          <cell r="AG1404" t="str">
            <v>P</v>
          </cell>
        </row>
        <row r="1405">
          <cell r="A1405" t="str">
            <v>1942576095</v>
          </cell>
          <cell r="C1405" t="str">
            <v>REBECCA TAMEZ</v>
          </cell>
          <cell r="G1405" t="str">
            <v>Kathryn Spaziani</v>
          </cell>
          <cell r="H1405" t="str">
            <v>(212) 305-1190</v>
          </cell>
          <cell r="J1405" t="str">
            <v>kas9171@nyp.org</v>
          </cell>
          <cell r="K1405" t="str">
            <v>Unknown</v>
          </cell>
          <cell r="L1405" t="str">
            <v>Uncategorized</v>
          </cell>
          <cell r="M1405" t="str">
            <v>No</v>
          </cell>
          <cell r="R1405" t="str">
            <v>TAMEZ REBECCA DR.</v>
          </cell>
          <cell r="S1405" t="str">
            <v>300 COMMUNITY DR</v>
          </cell>
          <cell r="T1405" t="str">
            <v>MANHASSET</v>
          </cell>
          <cell r="U1405" t="str">
            <v>NY</v>
          </cell>
          <cell r="V1405" t="str">
            <v>110303816</v>
          </cell>
          <cell r="AC1405" t="str">
            <v>M</v>
          </cell>
          <cell r="AD1405" t="str">
            <v>No</v>
          </cell>
          <cell r="AE1405" t="str">
            <v>NPI only</v>
          </cell>
          <cell r="AF1405" t="str">
            <v>nypother</v>
          </cell>
          <cell r="AG1405" t="str">
            <v>P</v>
          </cell>
        </row>
        <row r="1406">
          <cell r="A1406" t="str">
            <v>1427390228</v>
          </cell>
          <cell r="C1406" t="str">
            <v>JENNIFER TAYLOR</v>
          </cell>
          <cell r="G1406" t="str">
            <v>Kathryn Spaziani</v>
          </cell>
          <cell r="H1406" t="str">
            <v>(212) 305-1190</v>
          </cell>
          <cell r="J1406" t="str">
            <v>kas9171@nyp.org</v>
          </cell>
          <cell r="K1406" t="str">
            <v>Unknown</v>
          </cell>
          <cell r="L1406" t="str">
            <v>Uncategorized</v>
          </cell>
          <cell r="M1406" t="str">
            <v>No</v>
          </cell>
          <cell r="R1406" t="str">
            <v>YOFFE JENNIFER</v>
          </cell>
          <cell r="S1406" t="str">
            <v>334 E 26TH ST, APT 17H1</v>
          </cell>
          <cell r="T1406" t="str">
            <v>NEW YORK</v>
          </cell>
          <cell r="U1406" t="str">
            <v>NY</v>
          </cell>
          <cell r="V1406" t="str">
            <v>100101915</v>
          </cell>
          <cell r="AC1406" t="str">
            <v>M</v>
          </cell>
          <cell r="AD1406" t="str">
            <v>No</v>
          </cell>
          <cell r="AE1406" t="str">
            <v>NPI only</v>
          </cell>
          <cell r="AF1406" t="str">
            <v>nypwestcampus</v>
          </cell>
          <cell r="AG1406" t="str">
            <v>P</v>
          </cell>
        </row>
        <row r="1407">
          <cell r="A1407" t="str">
            <v>1073812863</v>
          </cell>
          <cell r="B1407" t="str">
            <v>03920638</v>
          </cell>
          <cell r="C1407" t="str">
            <v>Baduashvili Amiran</v>
          </cell>
          <cell r="D1407" t="str">
            <v>E0383231</v>
          </cell>
          <cell r="E1407" t="str">
            <v>BADUASHVILI AMIRAN</v>
          </cell>
          <cell r="L1407" t="str">
            <v>Practitioner - Non-Primary Care Provider (PCP)</v>
          </cell>
          <cell r="M1407" t="str">
            <v>No</v>
          </cell>
          <cell r="R1407" t="str">
            <v>BADUASHVILI AMIRAN DR.</v>
          </cell>
          <cell r="W1407" t="str">
            <v>BADUASHVILI AMIRAN</v>
          </cell>
          <cell r="X1407" t="str">
            <v>525 E 68TH ST # 130</v>
          </cell>
          <cell r="Y1407" t="str">
            <v>NEW YORK</v>
          </cell>
          <cell r="Z1407" t="str">
            <v>NY</v>
          </cell>
          <cell r="AA1407" t="str">
            <v>10065-4870</v>
          </cell>
          <cell r="AB1407" t="str">
            <v>PHYSICIAN</v>
          </cell>
          <cell r="AC1407" t="str">
            <v>M</v>
          </cell>
          <cell r="AD1407" t="str">
            <v>No</v>
          </cell>
          <cell r="AE1407" t="str">
            <v>MMIS</v>
          </cell>
          <cell r="AF1407" t="str">
            <v>nypeastcampus</v>
          </cell>
          <cell r="AG1407" t="str">
            <v>P</v>
          </cell>
        </row>
        <row r="1408">
          <cell r="A1408" t="str">
            <v>1275660441</v>
          </cell>
          <cell r="B1408" t="str">
            <v>01811650</v>
          </cell>
          <cell r="C1408" t="str">
            <v>Perzin Karl</v>
          </cell>
          <cell r="D1408" t="str">
            <v>E0118872</v>
          </cell>
          <cell r="E1408" t="str">
            <v>PERZIN KARL H</v>
          </cell>
          <cell r="L1408" t="str">
            <v>Uncategorized</v>
          </cell>
          <cell r="M1408" t="str">
            <v>No</v>
          </cell>
          <cell r="R1408" t="str">
            <v>PERZIN KARL</v>
          </cell>
          <cell r="W1408" t="str">
            <v>PERZIN KARL H</v>
          </cell>
          <cell r="X1408" t="str">
            <v>PERZIN KARL H</v>
          </cell>
          <cell r="Y1408" t="str">
            <v>NEW YORK</v>
          </cell>
          <cell r="Z1408" t="str">
            <v>NY</v>
          </cell>
          <cell r="AA1408" t="str">
            <v>10032-3720</v>
          </cell>
          <cell r="AB1408" t="str">
            <v>PHYSICIAN</v>
          </cell>
          <cell r="AC1408" t="str">
            <v>M</v>
          </cell>
          <cell r="AD1408" t="str">
            <v>No</v>
          </cell>
          <cell r="AE1408" t="str">
            <v>MMIS</v>
          </cell>
          <cell r="AF1408" t="str">
            <v>nypwestcampus</v>
          </cell>
          <cell r="AG1408" t="str">
            <v>P</v>
          </cell>
        </row>
        <row r="1409">
          <cell r="A1409" t="str">
            <v>1437392131</v>
          </cell>
          <cell r="B1409" t="str">
            <v>03922561</v>
          </cell>
          <cell r="C1409" t="str">
            <v>Clemente Elizabeth</v>
          </cell>
          <cell r="D1409" t="str">
            <v>E0383424</v>
          </cell>
          <cell r="E1409" t="str">
            <v>CLEMENTE ELIZABETH</v>
          </cell>
          <cell r="L1409" t="str">
            <v>All Other:: Practitioner - Non-Primary Care Provider (PCP)</v>
          </cell>
          <cell r="M1409" t="str">
            <v>No</v>
          </cell>
          <cell r="R1409" t="str">
            <v>CLEMENTE ELIZABETH DR.</v>
          </cell>
          <cell r="W1409" t="str">
            <v>CLEMENTE ELIZABETH</v>
          </cell>
          <cell r="X1409" t="str">
            <v>525 E 68TH ST # 141</v>
          </cell>
          <cell r="Y1409" t="str">
            <v>NEW YORK</v>
          </cell>
          <cell r="Z1409" t="str">
            <v>NY</v>
          </cell>
          <cell r="AA1409" t="str">
            <v>10065-4885</v>
          </cell>
          <cell r="AB1409" t="str">
            <v>PHYSICIAN</v>
          </cell>
          <cell r="AC1409" t="str">
            <v>M</v>
          </cell>
          <cell r="AD1409" t="str">
            <v>No</v>
          </cell>
          <cell r="AE1409" t="str">
            <v>MMIS</v>
          </cell>
          <cell r="AF1409" t="str">
            <v>nypeastcampus</v>
          </cell>
          <cell r="AG1409" t="str">
            <v>P</v>
          </cell>
        </row>
        <row r="1410">
          <cell r="A1410" t="str">
            <v>1043224025</v>
          </cell>
          <cell r="B1410" t="str">
            <v>01367335</v>
          </cell>
          <cell r="C1410" t="str">
            <v>Stillman Joshua</v>
          </cell>
          <cell r="D1410" t="str">
            <v>E0163219</v>
          </cell>
          <cell r="E1410" t="str">
            <v>STILLMAN JOSHUA I  MD</v>
          </cell>
          <cell r="L1410" t="str">
            <v>Practitioner - Non-Primary Care Provider (PCP)</v>
          </cell>
          <cell r="M1410" t="str">
            <v>No</v>
          </cell>
          <cell r="R1410" t="str">
            <v>STILLMAN JOSHUA DR.</v>
          </cell>
          <cell r="W1410" t="str">
            <v>STILLMAN JOSHUA I  MD</v>
          </cell>
          <cell r="X1410" t="str">
            <v>128 ASHFORD AVE</v>
          </cell>
          <cell r="Y1410" t="str">
            <v>DOBBS FERRY</v>
          </cell>
          <cell r="Z1410" t="str">
            <v>NY</v>
          </cell>
          <cell r="AA1410" t="str">
            <v>10522-1924</v>
          </cell>
          <cell r="AB1410" t="str">
            <v>PHYSICIAN</v>
          </cell>
          <cell r="AC1410" t="str">
            <v>M</v>
          </cell>
          <cell r="AD1410" t="str">
            <v>No</v>
          </cell>
          <cell r="AE1410" t="str">
            <v>MMIS</v>
          </cell>
          <cell r="AF1410" t="str">
            <v>nypwestcampus</v>
          </cell>
          <cell r="AG1410" t="str">
            <v>P</v>
          </cell>
        </row>
        <row r="1411">
          <cell r="A1411" t="str">
            <v>1902066954</v>
          </cell>
          <cell r="B1411" t="str">
            <v>03501177</v>
          </cell>
          <cell r="C1411" t="str">
            <v>Suh Edward</v>
          </cell>
          <cell r="D1411" t="str">
            <v>E0339712</v>
          </cell>
          <cell r="E1411" t="str">
            <v>SUH EDWARD HYUN</v>
          </cell>
          <cell r="L1411" t="str">
            <v>All Other:: Practitioner - Non-Primary Care Provider (PCP)</v>
          </cell>
          <cell r="M1411" t="str">
            <v>No</v>
          </cell>
          <cell r="R1411" t="str">
            <v>SUH EDWARD DR.</v>
          </cell>
          <cell r="W1411" t="str">
            <v>SUH EDWARD HYUN</v>
          </cell>
          <cell r="X1411" t="str">
            <v>622 W 168TH ST</v>
          </cell>
          <cell r="Y1411" t="str">
            <v>NEW YORK</v>
          </cell>
          <cell r="Z1411" t="str">
            <v>NY</v>
          </cell>
          <cell r="AA1411" t="str">
            <v>10032-3720</v>
          </cell>
          <cell r="AB1411" t="str">
            <v>PHYSICIAN</v>
          </cell>
          <cell r="AC1411" t="str">
            <v>M</v>
          </cell>
          <cell r="AD1411" t="str">
            <v>No</v>
          </cell>
          <cell r="AE1411" t="str">
            <v>MMIS</v>
          </cell>
          <cell r="AF1411" t="str">
            <v>nypwestcampus</v>
          </cell>
          <cell r="AG1411" t="str">
            <v>P</v>
          </cell>
        </row>
        <row r="1412">
          <cell r="A1412" t="str">
            <v>1275566309</v>
          </cell>
          <cell r="B1412" t="str">
            <v>01704585</v>
          </cell>
          <cell r="C1412" t="str">
            <v>Pacheco-Fowler Victor</v>
          </cell>
          <cell r="D1412" t="str">
            <v>E0129564</v>
          </cell>
          <cell r="E1412" t="str">
            <v>PACHECO-FOWLER VICTOR MD</v>
          </cell>
          <cell r="L1412" t="str">
            <v>Practitioner - Non-Primary Care Provider (PCP)</v>
          </cell>
          <cell r="M1412" t="str">
            <v>No</v>
          </cell>
          <cell r="R1412" t="str">
            <v>PACHECO-FOWLER VICTOR</v>
          </cell>
          <cell r="W1412" t="str">
            <v>PACHECO-FOWLER VICTOR MD</v>
          </cell>
          <cell r="X1412" t="str">
            <v>1111 AMSTERDAM AVE</v>
          </cell>
          <cell r="Y1412" t="str">
            <v>NEW YORK</v>
          </cell>
          <cell r="Z1412" t="str">
            <v>NY</v>
          </cell>
          <cell r="AA1412" t="str">
            <v>10025-1716</v>
          </cell>
          <cell r="AB1412" t="str">
            <v>PHYSICIAN</v>
          </cell>
          <cell r="AC1412" t="str">
            <v>M</v>
          </cell>
          <cell r="AD1412" t="str">
            <v>No</v>
          </cell>
          <cell r="AE1412" t="str">
            <v>MMIS</v>
          </cell>
          <cell r="AG1412" t="str">
            <v>P</v>
          </cell>
        </row>
        <row r="1413">
          <cell r="A1413" t="str">
            <v>1629057070</v>
          </cell>
          <cell r="B1413" t="str">
            <v>02091436</v>
          </cell>
          <cell r="C1413" t="str">
            <v>Riley David</v>
          </cell>
          <cell r="D1413" t="str">
            <v>E0090925</v>
          </cell>
          <cell r="E1413" t="str">
            <v>RILEY DAVID CHRISTOPHER MD</v>
          </cell>
          <cell r="L1413" t="str">
            <v>Practitioner - Non-Primary Care Provider (PCP)</v>
          </cell>
          <cell r="M1413" t="str">
            <v>No</v>
          </cell>
          <cell r="R1413" t="str">
            <v>RILEY DAVID DR.</v>
          </cell>
          <cell r="W1413" t="str">
            <v>RILEY DAVID CHRISTOPHER MD</v>
          </cell>
          <cell r="X1413" t="str">
            <v>1000 10TH AVE</v>
          </cell>
          <cell r="Y1413" t="str">
            <v>NEW YORK</v>
          </cell>
          <cell r="Z1413" t="str">
            <v>NY</v>
          </cell>
          <cell r="AA1413" t="str">
            <v>10019-1147</v>
          </cell>
          <cell r="AB1413" t="str">
            <v>PHYSICIAN</v>
          </cell>
          <cell r="AC1413" t="str">
            <v>M</v>
          </cell>
          <cell r="AD1413" t="str">
            <v>No</v>
          </cell>
          <cell r="AE1413" t="str">
            <v>MMIS</v>
          </cell>
          <cell r="AF1413" t="str">
            <v>nypwestcampus</v>
          </cell>
          <cell r="AG1413" t="str">
            <v>P</v>
          </cell>
        </row>
        <row r="1414">
          <cell r="A1414" t="str">
            <v>1710238910</v>
          </cell>
          <cell r="C1414" t="str">
            <v>Sabatino Jenna</v>
          </cell>
          <cell r="G1414" t="str">
            <v>Kathryn Spaziani</v>
          </cell>
          <cell r="H1414" t="str">
            <v>(212) 305-1255</v>
          </cell>
          <cell r="J1414" t="str">
            <v>kas9171@nyp.org</v>
          </cell>
          <cell r="K1414" t="str">
            <v>Physician</v>
          </cell>
          <cell r="L1414" t="str">
            <v>Practitioner - Non-Primary Care Provider (PCP)</v>
          </cell>
          <cell r="M1414" t="str">
            <v>No</v>
          </cell>
          <cell r="R1414" t="str">
            <v>SABATINO JENNA</v>
          </cell>
          <cell r="S1414" t="str">
            <v>254 EASTON AVE</v>
          </cell>
          <cell r="T1414" t="str">
            <v>NEW BRUNSWICK</v>
          </cell>
          <cell r="U1414" t="str">
            <v>NJ</v>
          </cell>
          <cell r="V1414" t="str">
            <v>089011766</v>
          </cell>
          <cell r="AC1414" t="str">
            <v>M</v>
          </cell>
          <cell r="AD1414" t="str">
            <v>No</v>
          </cell>
          <cell r="AE1414" t="str">
            <v>NPI only</v>
          </cell>
          <cell r="AF1414" t="str">
            <v>nypwestcampus</v>
          </cell>
          <cell r="AG1414" t="str">
            <v>P</v>
          </cell>
        </row>
        <row r="1415">
          <cell r="A1415" t="str">
            <v>1346569993</v>
          </cell>
          <cell r="B1415" t="str">
            <v>03255772</v>
          </cell>
          <cell r="C1415" t="str">
            <v>CORONA, KATHRYNE G</v>
          </cell>
          <cell r="D1415" t="str">
            <v>E0310717</v>
          </cell>
          <cell r="E1415" t="str">
            <v>CORONA KATHRYNE GEORGIANA</v>
          </cell>
          <cell r="G1415" t="str">
            <v>Kathryn Spaziani</v>
          </cell>
          <cell r="H1415" t="str">
            <v>(212) 305-1190</v>
          </cell>
          <cell r="J1415" t="str">
            <v>kas9171@nyp.org</v>
          </cell>
          <cell r="L1415" t="str">
            <v>All Other:: Practitioner - Non-Primary Care Provider (PCP)</v>
          </cell>
          <cell r="M1415" t="str">
            <v>Yes</v>
          </cell>
          <cell r="R1415" t="str">
            <v>CORONA KATHRYNE</v>
          </cell>
          <cell r="W1415" t="str">
            <v>CORONA KATHRYNE GEORGIANA</v>
          </cell>
          <cell r="X1415" t="str">
            <v>21 AUDUBON AVE</v>
          </cell>
          <cell r="Y1415" t="str">
            <v>NEW YORK</v>
          </cell>
          <cell r="Z1415" t="str">
            <v>NY</v>
          </cell>
          <cell r="AA1415" t="str">
            <v>10032-0000</v>
          </cell>
          <cell r="AB1415" t="str">
            <v>PHYSICIAN</v>
          </cell>
          <cell r="AC1415" t="str">
            <v>M</v>
          </cell>
          <cell r="AD1415" t="str">
            <v>No</v>
          </cell>
          <cell r="AE1415" t="str">
            <v>MMIS</v>
          </cell>
          <cell r="AF1415" t="str">
            <v>nypwestacn</v>
          </cell>
          <cell r="AG1415" t="str">
            <v>P</v>
          </cell>
        </row>
        <row r="1416">
          <cell r="A1416" t="str">
            <v>1255573689</v>
          </cell>
          <cell r="B1416" t="str">
            <v>03223558</v>
          </cell>
          <cell r="C1416" t="str">
            <v xml:space="preserve">ABRAHAM, JIJI </v>
          </cell>
          <cell r="D1416" t="str">
            <v>E0307057</v>
          </cell>
          <cell r="E1416" t="str">
            <v>ABRAHAM JIJI</v>
          </cell>
          <cell r="G1416" t="str">
            <v>Kathryn Spaziani</v>
          </cell>
          <cell r="H1416" t="str">
            <v>(212) 305-1190</v>
          </cell>
          <cell r="J1416" t="str">
            <v>kas9171@nyp.org</v>
          </cell>
          <cell r="L1416" t="str">
            <v>Practitioner - Non-Primary Care Provider (PCP)</v>
          </cell>
          <cell r="M1416" t="str">
            <v>Yes</v>
          </cell>
          <cell r="R1416" t="str">
            <v>ABRAHAM JIJI MRS.</v>
          </cell>
          <cell r="W1416" t="str">
            <v>ABRAHAM JIJI</v>
          </cell>
          <cell r="X1416" t="str">
            <v>1150 SAINT NICHOLAS AVE</v>
          </cell>
          <cell r="Y1416" t="str">
            <v>NEW YORK</v>
          </cell>
          <cell r="Z1416" t="str">
            <v>NY</v>
          </cell>
          <cell r="AA1416" t="str">
            <v>10032-3822</v>
          </cell>
          <cell r="AB1416" t="str">
            <v>PHYSICIAN</v>
          </cell>
          <cell r="AC1416" t="str">
            <v>M</v>
          </cell>
          <cell r="AD1416" t="str">
            <v>No</v>
          </cell>
          <cell r="AE1416" t="str">
            <v>MMIS</v>
          </cell>
          <cell r="AF1416" t="str">
            <v>nypwestcampus</v>
          </cell>
          <cell r="AG1416" t="str">
            <v>P</v>
          </cell>
        </row>
        <row r="1417">
          <cell r="A1417" t="str">
            <v>1609912799</v>
          </cell>
          <cell r="C1417" t="str">
            <v>Tobias Maria</v>
          </cell>
          <cell r="G1417" t="str">
            <v>Kathryn Spaziani</v>
          </cell>
          <cell r="H1417" t="str">
            <v>(212) 305-1255</v>
          </cell>
          <cell r="J1417" t="str">
            <v>kas9171@nyp.org</v>
          </cell>
          <cell r="K1417" t="str">
            <v>Physician</v>
          </cell>
          <cell r="L1417" t="str">
            <v>Uncategorized</v>
          </cell>
          <cell r="M1417" t="str">
            <v>No</v>
          </cell>
          <cell r="R1417" t="str">
            <v>TOBIAS MARIA MS.</v>
          </cell>
          <cell r="S1417" t="str">
            <v>622 W 168TH ST</v>
          </cell>
          <cell r="T1417" t="str">
            <v>NEW YORK</v>
          </cell>
          <cell r="U1417" t="str">
            <v>NY</v>
          </cell>
          <cell r="V1417" t="str">
            <v>100323720</v>
          </cell>
          <cell r="AC1417" t="str">
            <v>M</v>
          </cell>
          <cell r="AD1417" t="str">
            <v>No</v>
          </cell>
          <cell r="AE1417" t="str">
            <v>NPI only</v>
          </cell>
          <cell r="AF1417" t="str">
            <v>nypwestcampus</v>
          </cell>
          <cell r="AG1417" t="str">
            <v>P</v>
          </cell>
        </row>
        <row r="1418">
          <cell r="A1418" t="str">
            <v>1720028947</v>
          </cell>
          <cell r="B1418" t="str">
            <v>01991464</v>
          </cell>
          <cell r="C1418" t="str">
            <v>Chadburn Amy</v>
          </cell>
          <cell r="D1418" t="str">
            <v>E0100913</v>
          </cell>
          <cell r="E1418" t="str">
            <v>HARTMAN AMY</v>
          </cell>
          <cell r="G1418" t="str">
            <v>Kathryn Spaziani</v>
          </cell>
          <cell r="H1418" t="str">
            <v>(212) 305-1234</v>
          </cell>
          <cell r="J1418" t="str">
            <v>kas9171@nyp.org</v>
          </cell>
          <cell r="L1418" t="str">
            <v>All Other:: Practitioner - Non-Primary Care Provider (PCP)</v>
          </cell>
          <cell r="M1418" t="str">
            <v>No</v>
          </cell>
          <cell r="R1418" t="str">
            <v>CHADBURN AMY DR.</v>
          </cell>
          <cell r="W1418" t="str">
            <v>HARTMAN AMY</v>
          </cell>
          <cell r="X1418" t="str">
            <v>HARTMAN AMY</v>
          </cell>
          <cell r="Y1418" t="str">
            <v>NEW YORK</v>
          </cell>
          <cell r="Z1418" t="str">
            <v>NY</v>
          </cell>
          <cell r="AA1418" t="str">
            <v>10065-4870</v>
          </cell>
          <cell r="AB1418" t="str">
            <v>PHYSICIAN</v>
          </cell>
          <cell r="AC1418" t="str">
            <v>M</v>
          </cell>
          <cell r="AD1418" t="str">
            <v>No</v>
          </cell>
          <cell r="AE1418" t="str">
            <v>MMIS</v>
          </cell>
          <cell r="AF1418" t="str">
            <v>nypeastcampus</v>
          </cell>
          <cell r="AG1418" t="str">
            <v>P</v>
          </cell>
        </row>
        <row r="1419">
          <cell r="A1419" t="str">
            <v>1699938324</v>
          </cell>
          <cell r="B1419" t="str">
            <v>03493405</v>
          </cell>
          <cell r="C1419" t="str">
            <v>D'Alfonso Timothy</v>
          </cell>
          <cell r="D1419" t="str">
            <v>E0338852</v>
          </cell>
          <cell r="E1419" t="str">
            <v>D'ALFONSO TIMOTHY</v>
          </cell>
          <cell r="G1419" t="str">
            <v>Kathryn Spaziani</v>
          </cell>
          <cell r="H1419" t="str">
            <v>(212) 305-1235</v>
          </cell>
          <cell r="J1419" t="str">
            <v>kas9171@nyp.org</v>
          </cell>
          <cell r="L1419" t="str">
            <v>All Other:: Practitioner - Non-Primary Care Provider (PCP)</v>
          </cell>
          <cell r="M1419" t="str">
            <v>No</v>
          </cell>
          <cell r="R1419" t="str">
            <v>D'ALFONSO TIMOTHY DR.</v>
          </cell>
          <cell r="W1419" t="str">
            <v>D'ALFONSO TIMOTHY</v>
          </cell>
          <cell r="X1419" t="str">
            <v>525 E 68TH ST # C302</v>
          </cell>
          <cell r="Y1419" t="str">
            <v>NEW YORK</v>
          </cell>
          <cell r="Z1419" t="str">
            <v>NY</v>
          </cell>
          <cell r="AA1419" t="str">
            <v>10065-4870</v>
          </cell>
          <cell r="AB1419" t="str">
            <v>PHYSICIAN</v>
          </cell>
          <cell r="AC1419" t="str">
            <v>M</v>
          </cell>
          <cell r="AD1419" t="str">
            <v>No</v>
          </cell>
          <cell r="AE1419" t="str">
            <v>MMIS</v>
          </cell>
          <cell r="AF1419" t="str">
            <v>nypeastcampus</v>
          </cell>
          <cell r="AG1419" t="str">
            <v>P</v>
          </cell>
        </row>
        <row r="1420">
          <cell r="A1420" t="str">
            <v>1972679173</v>
          </cell>
          <cell r="C1420" t="str">
            <v>Richmond Sonia</v>
          </cell>
          <cell r="G1420" t="str">
            <v>Kathryn Spaziani</v>
          </cell>
          <cell r="H1420" t="str">
            <v>(212) 305-1255</v>
          </cell>
          <cell r="J1420" t="str">
            <v>kas9171@nyp.org</v>
          </cell>
          <cell r="K1420" t="str">
            <v>Physician</v>
          </cell>
          <cell r="L1420" t="str">
            <v>Uncategorized</v>
          </cell>
          <cell r="M1420" t="str">
            <v>No</v>
          </cell>
          <cell r="R1420" t="str">
            <v>RICHMOND SONIA MS.</v>
          </cell>
          <cell r="S1420" t="str">
            <v>622 W 168TH ST</v>
          </cell>
          <cell r="T1420" t="str">
            <v>NEW YORK</v>
          </cell>
          <cell r="U1420" t="str">
            <v>NY</v>
          </cell>
          <cell r="V1420" t="str">
            <v>100323720</v>
          </cell>
          <cell r="AC1420" t="str">
            <v>M</v>
          </cell>
          <cell r="AD1420" t="str">
            <v>No</v>
          </cell>
          <cell r="AE1420" t="str">
            <v>NPI only</v>
          </cell>
          <cell r="AF1420" t="str">
            <v>nypwestcampus</v>
          </cell>
          <cell r="AG1420" t="str">
            <v>P</v>
          </cell>
        </row>
        <row r="1421">
          <cell r="A1421" t="str">
            <v>1730448531</v>
          </cell>
          <cell r="B1421" t="str">
            <v>03459785</v>
          </cell>
          <cell r="C1421" t="str">
            <v>Robinson Andre</v>
          </cell>
          <cell r="D1421" t="str">
            <v>E0335024</v>
          </cell>
          <cell r="E1421" t="str">
            <v>ROBINSON ANDRE M ACNP</v>
          </cell>
          <cell r="L1421" t="str">
            <v>Practitioner - Non-Primary Care Provider (PCP)</v>
          </cell>
          <cell r="M1421" t="str">
            <v>No</v>
          </cell>
          <cell r="R1421" t="str">
            <v>ROBINSON ANDRE</v>
          </cell>
          <cell r="W1421" t="str">
            <v>ROBINSON ANDRE M ACNP</v>
          </cell>
          <cell r="X1421" t="str">
            <v>622 W 168TH ST</v>
          </cell>
          <cell r="Y1421" t="str">
            <v>NEW YORK</v>
          </cell>
          <cell r="Z1421" t="str">
            <v>NY</v>
          </cell>
          <cell r="AA1421" t="str">
            <v>10032-3720</v>
          </cell>
          <cell r="AB1421" t="str">
            <v>PHYSICIAN</v>
          </cell>
          <cell r="AC1421" t="str">
            <v>M</v>
          </cell>
          <cell r="AD1421" t="str">
            <v>No</v>
          </cell>
          <cell r="AE1421" t="str">
            <v>MMIS</v>
          </cell>
          <cell r="AF1421" t="str">
            <v>nypwestcampus</v>
          </cell>
          <cell r="AG1421" t="str">
            <v>P</v>
          </cell>
        </row>
        <row r="1422">
          <cell r="A1422" t="str">
            <v>1841200227</v>
          </cell>
          <cell r="C1422" t="str">
            <v>Santiago-Reyes Erlinda</v>
          </cell>
          <cell r="G1422" t="str">
            <v>Kathryn Spaziani</v>
          </cell>
          <cell r="H1422" t="str">
            <v>(212) 305-1255</v>
          </cell>
          <cell r="J1422" t="str">
            <v>kas9171@nyp.org</v>
          </cell>
          <cell r="K1422" t="str">
            <v>Physician</v>
          </cell>
          <cell r="L1422" t="str">
            <v>Uncategorized</v>
          </cell>
          <cell r="M1422" t="str">
            <v>No</v>
          </cell>
          <cell r="R1422" t="str">
            <v>SANTIAGO ERLINDA</v>
          </cell>
          <cell r="S1422" t="str">
            <v>901 W MAIN ST</v>
          </cell>
          <cell r="T1422" t="str">
            <v>FREEHOLD</v>
          </cell>
          <cell r="U1422" t="str">
            <v>NJ</v>
          </cell>
          <cell r="V1422" t="str">
            <v>077282537</v>
          </cell>
          <cell r="AC1422" t="str">
            <v>M</v>
          </cell>
          <cell r="AD1422" t="str">
            <v>No</v>
          </cell>
          <cell r="AE1422" t="str">
            <v>NPI only</v>
          </cell>
          <cell r="AF1422" t="str">
            <v>nypwestcampus</v>
          </cell>
          <cell r="AG1422" t="str">
            <v>P</v>
          </cell>
        </row>
        <row r="1423">
          <cell r="A1423" t="str">
            <v>1609974716</v>
          </cell>
          <cell r="B1423" t="str">
            <v>03377066</v>
          </cell>
          <cell r="C1423" t="str">
            <v xml:space="preserve">NTABA, DZIWE </v>
          </cell>
          <cell r="D1423" t="str">
            <v>E0324685</v>
          </cell>
          <cell r="E1423" t="str">
            <v>NTABA DZIWE W</v>
          </cell>
          <cell r="G1423" t="str">
            <v>Kathryn Spaziani</v>
          </cell>
          <cell r="H1423" t="str">
            <v>(212) 305-1190</v>
          </cell>
          <cell r="J1423" t="str">
            <v>kas9171@nyp.org</v>
          </cell>
          <cell r="L1423" t="str">
            <v>Practitioner - Non-Primary Care Provider (PCP)</v>
          </cell>
          <cell r="M1423" t="str">
            <v>No</v>
          </cell>
          <cell r="R1423" t="str">
            <v>NTABA DZIWE</v>
          </cell>
          <cell r="W1423" t="str">
            <v>NTABA DZIWE W</v>
          </cell>
          <cell r="X1423" t="str">
            <v>622 W 168TH ST</v>
          </cell>
          <cell r="Y1423" t="str">
            <v>NEW YORK</v>
          </cell>
          <cell r="Z1423" t="str">
            <v>NY</v>
          </cell>
          <cell r="AA1423" t="str">
            <v>10032-3720</v>
          </cell>
          <cell r="AB1423" t="str">
            <v>PHYSICIAN</v>
          </cell>
          <cell r="AC1423" t="str">
            <v>M</v>
          </cell>
          <cell r="AD1423" t="str">
            <v>No</v>
          </cell>
          <cell r="AE1423" t="str">
            <v>MMIS</v>
          </cell>
          <cell r="AF1423" t="str">
            <v>nypother</v>
          </cell>
          <cell r="AG1423" t="str">
            <v>P</v>
          </cell>
        </row>
        <row r="1424">
          <cell r="A1424" t="str">
            <v>1942392592</v>
          </cell>
          <cell r="B1424" t="str">
            <v>00180745</v>
          </cell>
          <cell r="C1424" t="str">
            <v>LEWIS, LINDA D</v>
          </cell>
          <cell r="D1424" t="str">
            <v>E0277162</v>
          </cell>
          <cell r="E1424" t="str">
            <v>LEWIS LINDA D              MD</v>
          </cell>
          <cell r="G1424" t="str">
            <v>Kathryn Spaziani</v>
          </cell>
          <cell r="H1424" t="str">
            <v>(212) 305-1190</v>
          </cell>
          <cell r="J1424" t="str">
            <v>kas9171@nyp.org</v>
          </cell>
          <cell r="L1424" t="str">
            <v>Practitioner - Non-Primary Care Provider (PCP)</v>
          </cell>
          <cell r="M1424" t="str">
            <v>No</v>
          </cell>
          <cell r="R1424" t="str">
            <v>LEWIS LINDA DR.</v>
          </cell>
          <cell r="W1424" t="str">
            <v>LEWIS LINDA D              MD</v>
          </cell>
          <cell r="X1424" t="str">
            <v>SLRH INPATIENT</v>
          </cell>
          <cell r="Y1424" t="str">
            <v>NEW YORK</v>
          </cell>
          <cell r="Z1424" t="str">
            <v>NY</v>
          </cell>
          <cell r="AA1424" t="str">
            <v>10019</v>
          </cell>
          <cell r="AB1424" t="str">
            <v>PHYSICIAN</v>
          </cell>
          <cell r="AC1424" t="str">
            <v>M</v>
          </cell>
          <cell r="AD1424" t="str">
            <v>No</v>
          </cell>
          <cell r="AE1424" t="str">
            <v>MMIS</v>
          </cell>
          <cell r="AF1424" t="str">
            <v>nypwestcampus</v>
          </cell>
          <cell r="AG1424" t="str">
            <v>P</v>
          </cell>
        </row>
        <row r="1425">
          <cell r="A1425" t="str">
            <v>1154563922</v>
          </cell>
          <cell r="B1425" t="str">
            <v>03112796</v>
          </cell>
          <cell r="C1425" t="str">
            <v>Schiffman Marc</v>
          </cell>
          <cell r="D1425" t="str">
            <v>E0294584</v>
          </cell>
          <cell r="E1425" t="str">
            <v>MARC HOWARD SCHIFFMAN</v>
          </cell>
          <cell r="L1425" t="str">
            <v>All Other:: Practitioner - Non-Primary Care Provider (PCP)</v>
          </cell>
          <cell r="M1425" t="str">
            <v>No</v>
          </cell>
          <cell r="R1425" t="str">
            <v>SCHIFFMAN MARC DR.</v>
          </cell>
          <cell r="W1425" t="str">
            <v>SCHIFFMAN MARC HOWARD MD</v>
          </cell>
          <cell r="X1425" t="str">
            <v>525 E 68TH ST</v>
          </cell>
          <cell r="Y1425" t="str">
            <v>NEW YORK</v>
          </cell>
          <cell r="Z1425" t="str">
            <v>NY</v>
          </cell>
          <cell r="AA1425" t="str">
            <v>10065-4870</v>
          </cell>
          <cell r="AB1425" t="str">
            <v>PHYSICIAN</v>
          </cell>
          <cell r="AC1425" t="str">
            <v>M</v>
          </cell>
          <cell r="AD1425" t="str">
            <v>No</v>
          </cell>
          <cell r="AE1425" t="str">
            <v>MMIS</v>
          </cell>
          <cell r="AF1425" t="str">
            <v>nypeastcampus</v>
          </cell>
          <cell r="AG1425" t="str">
            <v>P</v>
          </cell>
        </row>
        <row r="1426">
          <cell r="A1426" t="str">
            <v>1629041207</v>
          </cell>
          <cell r="B1426" t="str">
            <v>02944392</v>
          </cell>
          <cell r="C1426" t="str">
            <v>Herman Sean</v>
          </cell>
          <cell r="D1426" t="str">
            <v>E0002596</v>
          </cell>
          <cell r="E1426" t="str">
            <v>HERMAN SEAN</v>
          </cell>
          <cell r="L1426" t="str">
            <v>All Other:: Practitioner - Non-Primary Care Provider (PCP)</v>
          </cell>
          <cell r="M1426" t="str">
            <v>No</v>
          </cell>
          <cell r="R1426" t="str">
            <v>HERMAN SEAN</v>
          </cell>
          <cell r="W1426" t="str">
            <v>HERMAN SEAN KIRK MD</v>
          </cell>
          <cell r="X1426" t="str">
            <v>525 E 68TH ST</v>
          </cell>
          <cell r="Y1426" t="str">
            <v>NEW YORK</v>
          </cell>
          <cell r="Z1426" t="str">
            <v>NY</v>
          </cell>
          <cell r="AA1426" t="str">
            <v>10065-4870</v>
          </cell>
          <cell r="AB1426" t="str">
            <v>PHYSICIAN</v>
          </cell>
          <cell r="AC1426" t="str">
            <v>M</v>
          </cell>
          <cell r="AD1426" t="str">
            <v>No</v>
          </cell>
          <cell r="AE1426" t="str">
            <v>MMIS</v>
          </cell>
          <cell r="AF1426" t="str">
            <v>nypeastcampus</v>
          </cell>
          <cell r="AG1426" t="str">
            <v>P</v>
          </cell>
        </row>
        <row r="1427">
          <cell r="A1427" t="str">
            <v>1710127956</v>
          </cell>
          <cell r="B1427" t="str">
            <v>03265809</v>
          </cell>
          <cell r="C1427" t="str">
            <v>Hobeika Peter</v>
          </cell>
          <cell r="D1427" t="str">
            <v>E0311860</v>
          </cell>
          <cell r="E1427" t="str">
            <v>HOBEIKA PETER</v>
          </cell>
          <cell r="L1427" t="str">
            <v>All Other:: Practitioner - Non-Primary Care Provider (PCP)</v>
          </cell>
          <cell r="M1427" t="str">
            <v>No</v>
          </cell>
          <cell r="R1427" t="str">
            <v>HOBEIKA PETER</v>
          </cell>
          <cell r="W1427" t="str">
            <v>HOBEIKA PETER</v>
          </cell>
          <cell r="X1427" t="str">
            <v>2016 BRONXDALE AVE</v>
          </cell>
          <cell r="Y1427" t="str">
            <v>BRONX</v>
          </cell>
          <cell r="Z1427" t="str">
            <v>NY</v>
          </cell>
          <cell r="AA1427" t="str">
            <v>10462-3388</v>
          </cell>
          <cell r="AB1427" t="str">
            <v>PHYSICIAN</v>
          </cell>
          <cell r="AC1427" t="str">
            <v>M</v>
          </cell>
          <cell r="AD1427" t="str">
            <v>No</v>
          </cell>
          <cell r="AE1427" t="str">
            <v>MMIS</v>
          </cell>
          <cell r="AF1427" t="str">
            <v>nypeastcampus</v>
          </cell>
          <cell r="AG1427" t="str">
            <v>P</v>
          </cell>
        </row>
        <row r="1428">
          <cell r="A1428" t="str">
            <v>1376546630</v>
          </cell>
          <cell r="B1428" t="str">
            <v>01848388</v>
          </cell>
          <cell r="C1428" t="str">
            <v>Katz Richard</v>
          </cell>
          <cell r="D1428" t="str">
            <v>E0115202</v>
          </cell>
          <cell r="E1428" t="str">
            <v>KATZ RICHARD J MD</v>
          </cell>
          <cell r="L1428" t="str">
            <v>All Other:: Practitioner - Non-Primary Care Provider (PCP)</v>
          </cell>
          <cell r="M1428" t="str">
            <v>No</v>
          </cell>
          <cell r="R1428" t="str">
            <v>KATZ RICHARD DR.</v>
          </cell>
          <cell r="W1428" t="str">
            <v>KATZ RICHARD J MD</v>
          </cell>
          <cell r="X1428" t="str">
            <v>NYH-CUMC RADIOL</v>
          </cell>
          <cell r="Y1428" t="str">
            <v>NEW YORK</v>
          </cell>
          <cell r="Z1428" t="str">
            <v>NY</v>
          </cell>
          <cell r="AA1428" t="str">
            <v>10065-4870</v>
          </cell>
          <cell r="AB1428" t="str">
            <v>PHYSICIAN</v>
          </cell>
          <cell r="AC1428" t="str">
            <v>M</v>
          </cell>
          <cell r="AD1428" t="str">
            <v>No</v>
          </cell>
          <cell r="AE1428" t="str">
            <v>MMIS</v>
          </cell>
          <cell r="AF1428" t="str">
            <v>nypeastcampus</v>
          </cell>
          <cell r="AG1428" t="str">
            <v>P</v>
          </cell>
        </row>
        <row r="1429">
          <cell r="A1429" t="str">
            <v>1942437041</v>
          </cell>
          <cell r="B1429" t="str">
            <v>03137771</v>
          </cell>
          <cell r="C1429" t="str">
            <v>Khoury Thomas</v>
          </cell>
          <cell r="D1429" t="str">
            <v>E0296790</v>
          </cell>
          <cell r="E1429" t="str">
            <v>KHOURY THOMAS PETER MD</v>
          </cell>
          <cell r="L1429" t="str">
            <v>All Other:: Practitioner - Non-Primary Care Provider (PCP)</v>
          </cell>
          <cell r="M1429" t="str">
            <v>No</v>
          </cell>
          <cell r="R1429" t="str">
            <v>KHOURY THOMAS DR.</v>
          </cell>
          <cell r="W1429" t="str">
            <v>KHOURY THOMAS PETER MD</v>
          </cell>
          <cell r="X1429" t="str">
            <v>701 N BROADWAY</v>
          </cell>
          <cell r="Y1429" t="str">
            <v>SLEEPY HOLLOW</v>
          </cell>
          <cell r="Z1429" t="str">
            <v>NY</v>
          </cell>
          <cell r="AA1429" t="str">
            <v>10591-1020</v>
          </cell>
          <cell r="AB1429" t="str">
            <v>PHYSICIAN</v>
          </cell>
          <cell r="AC1429" t="str">
            <v>M</v>
          </cell>
          <cell r="AD1429" t="str">
            <v>No</v>
          </cell>
          <cell r="AE1429" t="str">
            <v>MMIS</v>
          </cell>
          <cell r="AF1429" t="str">
            <v>nypeastcampus</v>
          </cell>
          <cell r="AG1429" t="str">
            <v>P</v>
          </cell>
        </row>
        <row r="1430">
          <cell r="A1430" t="str">
            <v>1447235056</v>
          </cell>
          <cell r="B1430" t="str">
            <v>01672908</v>
          </cell>
          <cell r="C1430" t="str">
            <v>Leong Marie</v>
          </cell>
          <cell r="D1430" t="str">
            <v>E0132727</v>
          </cell>
          <cell r="E1430" t="str">
            <v>LEONG MARIE L MD</v>
          </cell>
          <cell r="L1430" t="str">
            <v>All Other:: Practitioner - Non-Primary Care Provider (PCP)</v>
          </cell>
          <cell r="M1430" t="str">
            <v>No</v>
          </cell>
          <cell r="R1430" t="str">
            <v>LEONG MARIE</v>
          </cell>
          <cell r="W1430" t="str">
            <v>LEONG MARIE L MD</v>
          </cell>
          <cell r="X1430" t="str">
            <v>DIAG RAD ASSOC</v>
          </cell>
          <cell r="Y1430" t="str">
            <v>NEW YORK</v>
          </cell>
          <cell r="Z1430" t="str">
            <v>NY</v>
          </cell>
          <cell r="AA1430" t="str">
            <v>10011-5325</v>
          </cell>
          <cell r="AB1430" t="str">
            <v>PHYSICIAN</v>
          </cell>
          <cell r="AC1430" t="str">
            <v>M</v>
          </cell>
          <cell r="AD1430" t="str">
            <v>No</v>
          </cell>
          <cell r="AE1430" t="str">
            <v>MMIS</v>
          </cell>
          <cell r="AF1430" t="str">
            <v>nypeastcampus</v>
          </cell>
          <cell r="AG1430" t="str">
            <v>P</v>
          </cell>
        </row>
        <row r="1431">
          <cell r="A1431" t="str">
            <v>1538256615</v>
          </cell>
          <cell r="B1431" t="str">
            <v>01884037</v>
          </cell>
          <cell r="C1431" t="str">
            <v>LIN, MICHAEL T</v>
          </cell>
          <cell r="D1431" t="str">
            <v>E0111641</v>
          </cell>
          <cell r="E1431" t="str">
            <v>LIN MICHAEL TAI-JU MD</v>
          </cell>
          <cell r="G1431" t="str">
            <v>Kathryn Spaziani</v>
          </cell>
          <cell r="H1431" t="str">
            <v>(212) 305-1190</v>
          </cell>
          <cell r="J1431" t="str">
            <v>kas9171@nyp.org</v>
          </cell>
          <cell r="L1431" t="str">
            <v>Practitioner - Non-Primary Care Provider (PCP)</v>
          </cell>
          <cell r="M1431" t="str">
            <v>No</v>
          </cell>
          <cell r="R1431" t="str">
            <v>LIN MICHAEL</v>
          </cell>
          <cell r="W1431" t="str">
            <v>LIN MICHAEL TAI-JU MD</v>
          </cell>
          <cell r="Y1431" t="str">
            <v>NEW YORK</v>
          </cell>
          <cell r="Z1431" t="str">
            <v>NY</v>
          </cell>
          <cell r="AA1431" t="str">
            <v>10065-4870</v>
          </cell>
          <cell r="AB1431" t="str">
            <v>PHYSICIAN</v>
          </cell>
          <cell r="AC1431" t="str">
            <v>M</v>
          </cell>
          <cell r="AD1431" t="str">
            <v>No</v>
          </cell>
          <cell r="AE1431" t="str">
            <v>MMIS</v>
          </cell>
          <cell r="AF1431" t="str">
            <v>nypeastcampus</v>
          </cell>
          <cell r="AG1431" t="str">
            <v>P</v>
          </cell>
        </row>
        <row r="1432">
          <cell r="A1432" t="str">
            <v>1518084664</v>
          </cell>
          <cell r="B1432" t="str">
            <v>03588841</v>
          </cell>
          <cell r="C1432" t="str">
            <v>DELE-MICHAEL, ABIOLA O</v>
          </cell>
          <cell r="D1432" t="str">
            <v>E0349036</v>
          </cell>
          <cell r="E1432" t="str">
            <v>DELE-MICHAEL ABIOLA OLAYEMI</v>
          </cell>
          <cell r="G1432" t="str">
            <v>Kathryn Spaziani</v>
          </cell>
          <cell r="H1432" t="str">
            <v>(212) 305-1190</v>
          </cell>
          <cell r="J1432" t="str">
            <v>kas9171@nyp.org</v>
          </cell>
          <cell r="L1432" t="str">
            <v>All Other:: Practitioner - Non-Primary Care Provider (PCP)</v>
          </cell>
          <cell r="M1432" t="str">
            <v>No</v>
          </cell>
          <cell r="R1432" t="str">
            <v>DELE-MICHAEL ABIOLA DR.</v>
          </cell>
          <cell r="W1432" t="str">
            <v>DELE-MICHAEL ABIOLA OLAYEMI</v>
          </cell>
          <cell r="X1432" t="str">
            <v>520 E 70TH ST</v>
          </cell>
          <cell r="Y1432" t="str">
            <v>NEW YORK</v>
          </cell>
          <cell r="Z1432" t="str">
            <v>NY</v>
          </cell>
          <cell r="AA1432" t="str">
            <v>10021-9800</v>
          </cell>
          <cell r="AB1432" t="str">
            <v>PHYSICIAN</v>
          </cell>
          <cell r="AC1432" t="str">
            <v>M</v>
          </cell>
          <cell r="AD1432" t="str">
            <v>No</v>
          </cell>
          <cell r="AE1432" t="str">
            <v>MMIS</v>
          </cell>
          <cell r="AF1432" t="str">
            <v>nypother</v>
          </cell>
          <cell r="AG1432" t="str">
            <v>P</v>
          </cell>
        </row>
        <row r="1433">
          <cell r="A1433" t="str">
            <v>1518114602</v>
          </cell>
          <cell r="B1433" t="str">
            <v>03100176</v>
          </cell>
          <cell r="C1433" t="str">
            <v xml:space="preserve">NUNEZ-MERCADO, ELIZABETH </v>
          </cell>
          <cell r="D1433" t="str">
            <v>E0293051</v>
          </cell>
          <cell r="E1433" t="str">
            <v>NUNEZ-MERCADO ELIZABETH</v>
          </cell>
          <cell r="G1433" t="str">
            <v>Kathryn Spaziani</v>
          </cell>
          <cell r="H1433" t="str">
            <v>(212) 305-1190</v>
          </cell>
          <cell r="J1433" t="str">
            <v>kas9171@nyp.org</v>
          </cell>
          <cell r="L1433" t="str">
            <v>Practitioner - Non-Primary Care Provider (PCP)</v>
          </cell>
          <cell r="M1433" t="str">
            <v>No</v>
          </cell>
          <cell r="R1433" t="str">
            <v>NUNEZ-MERCADO ELIZABETH</v>
          </cell>
          <cell r="W1433" t="str">
            <v>NUNEZ-MERCADO ELIZABETH</v>
          </cell>
          <cell r="X1433" t="str">
            <v>635 W 185TH ST</v>
          </cell>
          <cell r="Y1433" t="str">
            <v>NEW YORK</v>
          </cell>
          <cell r="Z1433" t="str">
            <v>NY</v>
          </cell>
          <cell r="AA1433" t="str">
            <v>10033-3102</v>
          </cell>
          <cell r="AB1433" t="str">
            <v>CLINICAL SOCIAL WORKER (CSW)</v>
          </cell>
          <cell r="AC1433" t="str">
            <v>M</v>
          </cell>
          <cell r="AD1433" t="str">
            <v>No</v>
          </cell>
          <cell r="AE1433" t="str">
            <v>MMIS</v>
          </cell>
          <cell r="AF1433" t="str">
            <v>nypother</v>
          </cell>
          <cell r="AG1433" t="str">
            <v>P</v>
          </cell>
        </row>
        <row r="1434">
          <cell r="A1434" t="str">
            <v>1164658803</v>
          </cell>
          <cell r="B1434" t="str">
            <v>03984030</v>
          </cell>
          <cell r="C1434" t="str">
            <v>Rong Lisa</v>
          </cell>
          <cell r="D1434" t="str">
            <v>E0389770</v>
          </cell>
          <cell r="E1434" t="str">
            <v>RONG LISA Q</v>
          </cell>
          <cell r="G1434" t="str">
            <v>Kathryn Spaziani</v>
          </cell>
          <cell r="H1434" t="str">
            <v>(212) 305-1255</v>
          </cell>
          <cell r="J1434" t="str">
            <v>kas9171@nyp.org</v>
          </cell>
          <cell r="L1434" t="str">
            <v>All Other:: Practitioner - Non-Primary Care Provider (PCP)</v>
          </cell>
          <cell r="M1434" t="str">
            <v>No</v>
          </cell>
          <cell r="R1434" t="str">
            <v>RONG LISA</v>
          </cell>
          <cell r="W1434" t="str">
            <v>RONG LISA Q</v>
          </cell>
          <cell r="X1434" t="str">
            <v>525 E 68TH ST ANESTHESIOLOGY</v>
          </cell>
          <cell r="Y1434" t="str">
            <v>NEW YORK</v>
          </cell>
          <cell r="Z1434" t="str">
            <v>NY</v>
          </cell>
          <cell r="AA1434" t="str">
            <v>10065-4870</v>
          </cell>
          <cell r="AB1434" t="str">
            <v>PHYSICIAN</v>
          </cell>
          <cell r="AC1434" t="str">
            <v>M</v>
          </cell>
          <cell r="AD1434" t="str">
            <v>No</v>
          </cell>
          <cell r="AE1434" t="str">
            <v>MMIS</v>
          </cell>
          <cell r="AF1434" t="str">
            <v>nypeastcampus</v>
          </cell>
          <cell r="AG1434" t="str">
            <v>P</v>
          </cell>
        </row>
        <row r="1435">
          <cell r="A1435" t="str">
            <v>1790861672</v>
          </cell>
          <cell r="C1435" t="str">
            <v>Rosario Rosina</v>
          </cell>
          <cell r="G1435" t="str">
            <v>Kathryn Spaziani</v>
          </cell>
          <cell r="H1435" t="str">
            <v>(212) 305-1255</v>
          </cell>
          <cell r="J1435" t="str">
            <v>kas9171@nyp.org</v>
          </cell>
          <cell r="K1435" t="str">
            <v>Physician</v>
          </cell>
          <cell r="L1435" t="str">
            <v>Uncategorized</v>
          </cell>
          <cell r="M1435" t="str">
            <v>No</v>
          </cell>
          <cell r="R1435" t="str">
            <v>ROSARIO ROSINA MS.</v>
          </cell>
          <cell r="S1435" t="str">
            <v>1275 YORK AVE</v>
          </cell>
          <cell r="T1435" t="str">
            <v>NEW YORK</v>
          </cell>
          <cell r="U1435" t="str">
            <v>NY</v>
          </cell>
          <cell r="V1435" t="str">
            <v>100656007</v>
          </cell>
          <cell r="AC1435" t="str">
            <v>M</v>
          </cell>
          <cell r="AD1435" t="str">
            <v>No</v>
          </cell>
          <cell r="AE1435" t="str">
            <v>NPI only</v>
          </cell>
          <cell r="AF1435" t="str">
            <v>nypother</v>
          </cell>
          <cell r="AG1435" t="str">
            <v>P</v>
          </cell>
        </row>
        <row r="1436">
          <cell r="A1436" t="str">
            <v>1659383420</v>
          </cell>
          <cell r="B1436" t="str">
            <v>01153117</v>
          </cell>
          <cell r="C1436" t="str">
            <v>Rubin Lori</v>
          </cell>
          <cell r="D1436" t="str">
            <v>E0184573</v>
          </cell>
          <cell r="E1436" t="str">
            <v>RUBIN LORI A MD</v>
          </cell>
          <cell r="L1436" t="str">
            <v>All Other:: Practitioner - Non-Primary Care Provider (PCP)</v>
          </cell>
          <cell r="M1436" t="str">
            <v>No</v>
          </cell>
          <cell r="R1436" t="str">
            <v>RUBIN LORI DR.</v>
          </cell>
          <cell r="W1436" t="str">
            <v>RUBIN LORI A MD</v>
          </cell>
          <cell r="X1436" t="str">
            <v>525 E 68TH ST</v>
          </cell>
          <cell r="Y1436" t="str">
            <v>NEW YORK</v>
          </cell>
          <cell r="Z1436" t="str">
            <v>NY</v>
          </cell>
          <cell r="AA1436" t="str">
            <v>10065-4870</v>
          </cell>
          <cell r="AB1436" t="str">
            <v>PHYSICIAN</v>
          </cell>
          <cell r="AC1436" t="str">
            <v>M</v>
          </cell>
          <cell r="AD1436" t="str">
            <v>No</v>
          </cell>
          <cell r="AE1436" t="str">
            <v>MMIS</v>
          </cell>
          <cell r="AF1436" t="str">
            <v>nypeastcampus</v>
          </cell>
          <cell r="AG1436" t="str">
            <v>P</v>
          </cell>
        </row>
        <row r="1437">
          <cell r="A1437" t="str">
            <v>1902162951</v>
          </cell>
          <cell r="C1437" t="str">
            <v>Aronhime Shimon</v>
          </cell>
          <cell r="G1437" t="str">
            <v>Kathryn Spaziani</v>
          </cell>
          <cell r="H1437" t="str">
            <v>(212) 305-1255</v>
          </cell>
          <cell r="J1437" t="str">
            <v>kas9171@nyp.org</v>
          </cell>
          <cell r="K1437" t="str">
            <v>Physician</v>
          </cell>
          <cell r="L1437" t="str">
            <v>Uncategorized</v>
          </cell>
          <cell r="M1437" t="str">
            <v>No</v>
          </cell>
          <cell r="R1437" t="str">
            <v>ARONHIME SHIMON</v>
          </cell>
          <cell r="S1437" t="str">
            <v>630 W 168TH ST, P&amp;S BOX 28</v>
          </cell>
          <cell r="T1437" t="str">
            <v>NEW YORK</v>
          </cell>
          <cell r="U1437" t="str">
            <v>NY</v>
          </cell>
          <cell r="V1437" t="str">
            <v>100323725</v>
          </cell>
          <cell r="AC1437" t="str">
            <v>M</v>
          </cell>
          <cell r="AD1437" t="str">
            <v>No</v>
          </cell>
          <cell r="AE1437" t="str">
            <v>NPI only</v>
          </cell>
          <cell r="AF1437" t="str">
            <v>nypwestcampus</v>
          </cell>
          <cell r="AG1437" t="str">
            <v>P</v>
          </cell>
        </row>
        <row r="1438">
          <cell r="A1438" t="str">
            <v>1710285036</v>
          </cell>
          <cell r="C1438" t="str">
            <v>Eisler Lisa</v>
          </cell>
          <cell r="G1438" t="str">
            <v>Kathryn Spaziani</v>
          </cell>
          <cell r="H1438" t="str">
            <v>(212) 305-1255</v>
          </cell>
          <cell r="J1438" t="str">
            <v>kas9171@nyp.org</v>
          </cell>
          <cell r="K1438" t="str">
            <v>Physician</v>
          </cell>
          <cell r="L1438" t="str">
            <v>Uncategorized</v>
          </cell>
          <cell r="M1438" t="str">
            <v>No</v>
          </cell>
          <cell r="R1438" t="str">
            <v>EISLER LISA</v>
          </cell>
          <cell r="S1438" t="str">
            <v>622 W 168TH ST, PH 5-133</v>
          </cell>
          <cell r="T1438" t="str">
            <v>NEW YORK</v>
          </cell>
          <cell r="U1438" t="str">
            <v>NY</v>
          </cell>
          <cell r="V1438" t="str">
            <v>100323720</v>
          </cell>
          <cell r="AC1438" t="str">
            <v>M</v>
          </cell>
          <cell r="AD1438" t="str">
            <v>No</v>
          </cell>
          <cell r="AE1438" t="str">
            <v>NPI only</v>
          </cell>
          <cell r="AF1438" t="str">
            <v>nypwestcampus</v>
          </cell>
          <cell r="AG1438" t="str">
            <v>P</v>
          </cell>
        </row>
        <row r="1439">
          <cell r="A1439" t="str">
            <v>1427200195</v>
          </cell>
          <cell r="B1439" t="str">
            <v>03255667</v>
          </cell>
          <cell r="C1439" t="str">
            <v xml:space="preserve">KUO, SHENG-HAN </v>
          </cell>
          <cell r="D1439" t="str">
            <v>E0310706</v>
          </cell>
          <cell r="E1439" t="str">
            <v>KUO SHENH-HAN</v>
          </cell>
          <cell r="G1439" t="str">
            <v>Kathryn Spaziani</v>
          </cell>
          <cell r="H1439" t="str">
            <v>(212) 305-1190</v>
          </cell>
          <cell r="J1439" t="str">
            <v>kas9171@nyp.org</v>
          </cell>
          <cell r="L1439" t="str">
            <v>Practitioner - Non-Primary Care Provider (PCP)</v>
          </cell>
          <cell r="M1439" t="str">
            <v>No</v>
          </cell>
          <cell r="R1439" t="str">
            <v>KUO SHENG-HAN</v>
          </cell>
          <cell r="W1439" t="str">
            <v>KUO SHENG-HAN</v>
          </cell>
          <cell r="X1439" t="str">
            <v>622 W 168TH ST</v>
          </cell>
          <cell r="Y1439" t="str">
            <v>NEW YORK</v>
          </cell>
          <cell r="Z1439" t="str">
            <v>NY</v>
          </cell>
          <cell r="AA1439" t="str">
            <v>10032-3720</v>
          </cell>
          <cell r="AB1439" t="str">
            <v>PHYSICIAN</v>
          </cell>
          <cell r="AC1439" t="str">
            <v>M</v>
          </cell>
          <cell r="AD1439" t="str">
            <v>No</v>
          </cell>
          <cell r="AE1439" t="str">
            <v>MMIS</v>
          </cell>
          <cell r="AF1439" t="str">
            <v>nypwestcampus</v>
          </cell>
          <cell r="AG1439" t="str">
            <v>P</v>
          </cell>
        </row>
        <row r="1440">
          <cell r="A1440" t="str">
            <v>1508023953</v>
          </cell>
          <cell r="B1440" t="str">
            <v>03365919</v>
          </cell>
          <cell r="C1440" t="str">
            <v>NAVI, BABAK B</v>
          </cell>
          <cell r="D1440" t="str">
            <v>E0323278</v>
          </cell>
          <cell r="E1440" t="str">
            <v>NAVI BABAK</v>
          </cell>
          <cell r="G1440" t="str">
            <v>Kathryn Spaziani</v>
          </cell>
          <cell r="H1440" t="str">
            <v>(212) 305-1190</v>
          </cell>
          <cell r="J1440" t="str">
            <v>kas9171@nyp.org</v>
          </cell>
          <cell r="L1440" t="str">
            <v>All Other:: Practitioner - Non-Primary Care Provider (PCP)</v>
          </cell>
          <cell r="M1440" t="str">
            <v>No</v>
          </cell>
          <cell r="R1440" t="str">
            <v>NAVI BABAK DR.</v>
          </cell>
          <cell r="W1440" t="str">
            <v>NAVI BABAK MD</v>
          </cell>
          <cell r="X1440" t="str">
            <v>525 E 68TH ST</v>
          </cell>
          <cell r="Y1440" t="str">
            <v>NEW YORK</v>
          </cell>
          <cell r="Z1440" t="str">
            <v>NY</v>
          </cell>
          <cell r="AA1440" t="str">
            <v>10065-4870</v>
          </cell>
          <cell r="AB1440" t="str">
            <v>PHYSICIAN</v>
          </cell>
          <cell r="AC1440" t="str">
            <v>M</v>
          </cell>
          <cell r="AD1440" t="str">
            <v>No</v>
          </cell>
          <cell r="AE1440" t="str">
            <v>MMIS</v>
          </cell>
          <cell r="AF1440" t="str">
            <v>nypeastcampus</v>
          </cell>
          <cell r="AG1440" t="str">
            <v>P</v>
          </cell>
        </row>
        <row r="1441">
          <cell r="A1441" t="str">
            <v>1831529882</v>
          </cell>
          <cell r="C1441" t="str">
            <v>Neilson Kristi</v>
          </cell>
          <cell r="G1441" t="str">
            <v>Kathryn Spaziani</v>
          </cell>
          <cell r="H1441" t="str">
            <v>(212) 305-1255</v>
          </cell>
          <cell r="J1441" t="str">
            <v>kas9171@nyp.org</v>
          </cell>
          <cell r="K1441" t="str">
            <v>Physician</v>
          </cell>
          <cell r="L1441" t="str">
            <v>Uncategorized</v>
          </cell>
          <cell r="M1441" t="str">
            <v>No</v>
          </cell>
          <cell r="R1441" t="str">
            <v>NEILSON KRISTI MISS</v>
          </cell>
          <cell r="S1441" t="str">
            <v>800 E 28TH ST</v>
          </cell>
          <cell r="T1441" t="str">
            <v>MINNEAPOLIS</v>
          </cell>
          <cell r="U1441" t="str">
            <v>MN</v>
          </cell>
          <cell r="V1441" t="str">
            <v>554073723</v>
          </cell>
          <cell r="AC1441" t="str">
            <v>M</v>
          </cell>
          <cell r="AD1441" t="str">
            <v>No</v>
          </cell>
          <cell r="AE1441" t="str">
            <v>NPI only</v>
          </cell>
          <cell r="AF1441" t="str">
            <v>nypother</v>
          </cell>
          <cell r="AG1441" t="str">
            <v>P</v>
          </cell>
        </row>
        <row r="1442">
          <cell r="A1442" t="str">
            <v>1952718108</v>
          </cell>
          <cell r="C1442" t="str">
            <v>Nemade Monica</v>
          </cell>
          <cell r="G1442" t="str">
            <v>Kathryn Spaziani</v>
          </cell>
          <cell r="H1442" t="str">
            <v>(212) 305-1255</v>
          </cell>
          <cell r="J1442" t="str">
            <v>kas9171@nyp.org</v>
          </cell>
          <cell r="K1442" t="str">
            <v>Physician</v>
          </cell>
          <cell r="L1442" t="str">
            <v>Uncategorized</v>
          </cell>
          <cell r="M1442" t="str">
            <v>No</v>
          </cell>
          <cell r="R1442" t="str">
            <v>NEMADE MONICA</v>
          </cell>
          <cell r="S1442" t="str">
            <v>396B CARLTON AVE</v>
          </cell>
          <cell r="T1442" t="str">
            <v>PISCATAWAY</v>
          </cell>
          <cell r="U1442" t="str">
            <v>NJ</v>
          </cell>
          <cell r="V1442" t="str">
            <v>088543014</v>
          </cell>
          <cell r="AC1442" t="str">
            <v>M</v>
          </cell>
          <cell r="AD1442" t="str">
            <v>No</v>
          </cell>
          <cell r="AE1442" t="str">
            <v>NPI only</v>
          </cell>
          <cell r="AF1442" t="str">
            <v>nypeastcampus</v>
          </cell>
          <cell r="AG1442" t="str">
            <v>P</v>
          </cell>
        </row>
        <row r="1443">
          <cell r="A1443" t="str">
            <v>1871924316</v>
          </cell>
          <cell r="C1443" t="str">
            <v>Norris Ashley</v>
          </cell>
          <cell r="G1443" t="str">
            <v>Kathryn Spaziani</v>
          </cell>
          <cell r="H1443" t="str">
            <v>(212) 305-1255</v>
          </cell>
          <cell r="J1443" t="str">
            <v>kas9171@nyp.org</v>
          </cell>
          <cell r="K1443" t="str">
            <v>Physician</v>
          </cell>
          <cell r="L1443" t="str">
            <v>Uncategorized</v>
          </cell>
          <cell r="M1443" t="str">
            <v>No</v>
          </cell>
          <cell r="R1443" t="str">
            <v>NORRIS ASHLEY</v>
          </cell>
          <cell r="S1443" t="str">
            <v>530 E 70TH ST</v>
          </cell>
          <cell r="T1443" t="str">
            <v>NEW YORK</v>
          </cell>
          <cell r="U1443" t="str">
            <v>NY</v>
          </cell>
          <cell r="V1443" t="str">
            <v>100219800</v>
          </cell>
          <cell r="AC1443" t="str">
            <v>M</v>
          </cell>
          <cell r="AD1443" t="str">
            <v>No</v>
          </cell>
          <cell r="AE1443" t="str">
            <v>NPI only</v>
          </cell>
          <cell r="AF1443" t="str">
            <v>nypother</v>
          </cell>
          <cell r="AG1443" t="str">
            <v>P</v>
          </cell>
        </row>
        <row r="1444">
          <cell r="A1444" t="str">
            <v>1801161914</v>
          </cell>
          <cell r="C1444" t="str">
            <v>Qian Sascha</v>
          </cell>
          <cell r="G1444" t="str">
            <v>Kathryn Spaziani</v>
          </cell>
          <cell r="H1444" t="str">
            <v>(212) 305-1255</v>
          </cell>
          <cell r="J1444" t="str">
            <v>kas9171@nyp.org</v>
          </cell>
          <cell r="K1444" t="str">
            <v>Physician</v>
          </cell>
          <cell r="L1444" t="str">
            <v>Uncategorized</v>
          </cell>
          <cell r="M1444" t="str">
            <v>No</v>
          </cell>
          <cell r="R1444" t="str">
            <v>QIAN SASCHA DR.</v>
          </cell>
          <cell r="S1444" t="str">
            <v>630 W 168TH ST</v>
          </cell>
          <cell r="T1444" t="str">
            <v>NEW YORK</v>
          </cell>
          <cell r="U1444" t="str">
            <v>NY</v>
          </cell>
          <cell r="V1444" t="str">
            <v>100323725</v>
          </cell>
          <cell r="AC1444" t="str">
            <v>M</v>
          </cell>
          <cell r="AD1444" t="str">
            <v>No</v>
          </cell>
          <cell r="AE1444" t="str">
            <v>NPI only</v>
          </cell>
          <cell r="AF1444" t="str">
            <v>nypwestcampus</v>
          </cell>
          <cell r="AG1444" t="str">
            <v>P</v>
          </cell>
        </row>
        <row r="1445">
          <cell r="A1445" t="str">
            <v>1326304080</v>
          </cell>
          <cell r="C1445" t="str">
            <v>Robinson-Taylor Nicole</v>
          </cell>
          <cell r="G1445" t="str">
            <v>Kathryn Spaziani</v>
          </cell>
          <cell r="H1445" t="str">
            <v>(212) 305-1255</v>
          </cell>
          <cell r="J1445" t="str">
            <v>kas9171@nyp.org</v>
          </cell>
          <cell r="K1445" t="str">
            <v>Physician</v>
          </cell>
          <cell r="L1445" t="str">
            <v>Uncategorized</v>
          </cell>
          <cell r="M1445" t="str">
            <v>No</v>
          </cell>
          <cell r="R1445" t="str">
            <v>ROBINSON NICOLE DR.</v>
          </cell>
          <cell r="S1445" t="str">
            <v>630 W 168TH ST</v>
          </cell>
          <cell r="T1445" t="str">
            <v>NEW YORK</v>
          </cell>
          <cell r="U1445" t="str">
            <v>NY</v>
          </cell>
          <cell r="V1445" t="str">
            <v>100323725</v>
          </cell>
          <cell r="AC1445" t="str">
            <v>M</v>
          </cell>
          <cell r="AD1445" t="str">
            <v>No</v>
          </cell>
          <cell r="AE1445" t="str">
            <v>NPI only</v>
          </cell>
          <cell r="AF1445" t="str">
            <v>nypwestcampus</v>
          </cell>
          <cell r="AG1445" t="str">
            <v>P</v>
          </cell>
        </row>
        <row r="1446">
          <cell r="A1446" t="str">
            <v>1851734024</v>
          </cell>
          <cell r="C1446" t="str">
            <v>Rosenberg Lauren</v>
          </cell>
          <cell r="G1446" t="str">
            <v>Kathryn Spaziani</v>
          </cell>
          <cell r="H1446" t="str">
            <v>(212) 305-1255</v>
          </cell>
          <cell r="J1446" t="str">
            <v>kas9171@nyp.org</v>
          </cell>
          <cell r="K1446" t="str">
            <v>Physician</v>
          </cell>
          <cell r="L1446" t="str">
            <v>Uncategorized</v>
          </cell>
          <cell r="M1446" t="str">
            <v>No</v>
          </cell>
          <cell r="R1446" t="str">
            <v>ROSENBERG LAUREN</v>
          </cell>
          <cell r="S1446" t="str">
            <v>630 W 168TH ST</v>
          </cell>
          <cell r="T1446" t="str">
            <v>NEW YORK</v>
          </cell>
          <cell r="U1446" t="str">
            <v>NY</v>
          </cell>
          <cell r="V1446" t="str">
            <v>100323725</v>
          </cell>
          <cell r="AC1446" t="str">
            <v>M</v>
          </cell>
          <cell r="AD1446" t="str">
            <v>No</v>
          </cell>
          <cell r="AE1446" t="str">
            <v>NPI only</v>
          </cell>
          <cell r="AF1446" t="str">
            <v>nypwestcampus</v>
          </cell>
          <cell r="AG1446" t="str">
            <v>P</v>
          </cell>
        </row>
        <row r="1447">
          <cell r="A1447" t="str">
            <v>1245335850</v>
          </cell>
          <cell r="B1447" t="str">
            <v>02350383</v>
          </cell>
          <cell r="C1447" t="str">
            <v>GOWDA, DEEPTHIMAN K</v>
          </cell>
          <cell r="D1447" t="str">
            <v>E0065066</v>
          </cell>
          <cell r="E1447" t="str">
            <v>GOWDA DEEPTHIMAN</v>
          </cell>
          <cell r="G1447" t="str">
            <v>Kathryn Spaziani</v>
          </cell>
          <cell r="H1447" t="str">
            <v>(212) 305-1190</v>
          </cell>
          <cell r="J1447" t="str">
            <v>kas9171@nyp.org</v>
          </cell>
          <cell r="L1447" t="str">
            <v>All Other:: Practitioner - Primary Care Provider (PCP)</v>
          </cell>
          <cell r="M1447" t="str">
            <v>Yes</v>
          </cell>
          <cell r="R1447" t="str">
            <v>GOWDA DEEPTHIMAN DR.</v>
          </cell>
          <cell r="W1447" t="str">
            <v>GOWDA DEEPTHIMAN</v>
          </cell>
          <cell r="X1447" t="str">
            <v>HARLEM FACULTY PRAC</v>
          </cell>
          <cell r="Y1447" t="str">
            <v>NEW YORK</v>
          </cell>
          <cell r="Z1447" t="str">
            <v>NY</v>
          </cell>
          <cell r="AA1447" t="str">
            <v>10037-1802</v>
          </cell>
          <cell r="AB1447" t="str">
            <v>PHYSICIAN</v>
          </cell>
          <cell r="AC1447" t="str">
            <v>M</v>
          </cell>
          <cell r="AD1447" t="str">
            <v>No</v>
          </cell>
          <cell r="AE1447" t="str">
            <v>MMIS</v>
          </cell>
          <cell r="AF1447" t="str">
            <v>nypwestcampus</v>
          </cell>
          <cell r="AG1447" t="str">
            <v>P</v>
          </cell>
        </row>
        <row r="1448">
          <cell r="A1448" t="str">
            <v>1245430537</v>
          </cell>
          <cell r="B1448" t="str">
            <v>03316621</v>
          </cell>
          <cell r="C1448" t="str">
            <v>MELTZER, ELLEN C</v>
          </cell>
          <cell r="D1448" t="str">
            <v>E0317580</v>
          </cell>
          <cell r="E1448" t="str">
            <v>MELTZER ELLEN COWEN</v>
          </cell>
          <cell r="G1448" t="str">
            <v>Kathryn Spaziani</v>
          </cell>
          <cell r="H1448" t="str">
            <v>(212) 305-1190</v>
          </cell>
          <cell r="J1448" t="str">
            <v>kas9171@nyp.org</v>
          </cell>
          <cell r="L1448" t="str">
            <v>All Other:: Practitioner - Primary Care Provider (PCP)</v>
          </cell>
          <cell r="M1448" t="str">
            <v>No</v>
          </cell>
          <cell r="R1448" t="str">
            <v>MELTZER ELLEN DR.</v>
          </cell>
          <cell r="W1448" t="str">
            <v>MELTZER ELLEN COWEN</v>
          </cell>
          <cell r="X1448" t="str">
            <v>100 E 77TH ST</v>
          </cell>
          <cell r="Y1448" t="str">
            <v>NEW YORK</v>
          </cell>
          <cell r="Z1448" t="str">
            <v>NY</v>
          </cell>
          <cell r="AA1448" t="str">
            <v>10075-1850</v>
          </cell>
          <cell r="AB1448" t="str">
            <v>PHYSICIAN</v>
          </cell>
          <cell r="AC1448" t="str">
            <v>M</v>
          </cell>
          <cell r="AD1448" t="str">
            <v>No</v>
          </cell>
          <cell r="AE1448" t="str">
            <v>MMIS</v>
          </cell>
          <cell r="AF1448" t="str">
            <v>nypeastcampus</v>
          </cell>
          <cell r="AG1448" t="str">
            <v>P</v>
          </cell>
        </row>
        <row r="1449">
          <cell r="A1449" t="str">
            <v>1255421426</v>
          </cell>
          <cell r="B1449" t="str">
            <v>02708161</v>
          </cell>
          <cell r="C1449" t="str">
            <v>MARKS, KRISTEN M</v>
          </cell>
          <cell r="D1449" t="str">
            <v>E0029368</v>
          </cell>
          <cell r="E1449" t="str">
            <v>MARKS KRISTEN M MD</v>
          </cell>
          <cell r="G1449" t="str">
            <v>Kathryn Spaziani</v>
          </cell>
          <cell r="H1449" t="str">
            <v>(212) 305-1190</v>
          </cell>
          <cell r="J1449" t="str">
            <v>kas9171@nyp.org</v>
          </cell>
          <cell r="L1449" t="str">
            <v>All Other:: Practitioner - Primary Care Provider (PCP)</v>
          </cell>
          <cell r="M1449" t="str">
            <v>Yes</v>
          </cell>
          <cell r="R1449" t="str">
            <v>MARKS KRISTEN</v>
          </cell>
          <cell r="W1449" t="str">
            <v>MARKS KRISTEN M MD</v>
          </cell>
          <cell r="X1449" t="str">
            <v>525 E 68TH ST</v>
          </cell>
          <cell r="Y1449" t="str">
            <v>NEW YORK</v>
          </cell>
          <cell r="Z1449" t="str">
            <v>NY</v>
          </cell>
          <cell r="AA1449" t="str">
            <v>10065-4870</v>
          </cell>
          <cell r="AB1449" t="str">
            <v>PHYSICIAN</v>
          </cell>
          <cell r="AC1449" t="str">
            <v>M</v>
          </cell>
          <cell r="AD1449" t="str">
            <v>No</v>
          </cell>
          <cell r="AE1449" t="str">
            <v>MMIS</v>
          </cell>
          <cell r="AF1449" t="str">
            <v>nypeastcampus</v>
          </cell>
          <cell r="AG1449" t="str">
            <v>P</v>
          </cell>
        </row>
        <row r="1450">
          <cell r="A1450" t="str">
            <v>1932128386</v>
          </cell>
          <cell r="B1450" t="str">
            <v>02578958</v>
          </cell>
          <cell r="C1450" t="str">
            <v>VillageCare Home Care</v>
          </cell>
          <cell r="D1450" t="str">
            <v>E0042258</v>
          </cell>
          <cell r="E1450" t="str">
            <v>VILLAGE CTR FOR CARE LTHHCP</v>
          </cell>
          <cell r="G1450" t="str">
            <v>Allison Silvers, Chief Strategy Officer</v>
          </cell>
          <cell r="H1450" t="str">
            <v>(212) 337-5775</v>
          </cell>
          <cell r="J1450" t="str">
            <v>Allisons@villagecare.org</v>
          </cell>
          <cell r="L1450" t="str">
            <v>All Other</v>
          </cell>
          <cell r="M1450" t="str">
            <v>Yes</v>
          </cell>
          <cell r="R1450" t="str">
            <v>VILLAGE CENTER FOR CARE</v>
          </cell>
          <cell r="W1450" t="str">
            <v>VILLAGECARE HOME CARE</v>
          </cell>
          <cell r="X1450" t="str">
            <v>154 CHRISTOPHER ST FL 2</v>
          </cell>
          <cell r="Y1450" t="str">
            <v>NEW YORK</v>
          </cell>
          <cell r="Z1450" t="str">
            <v>NY</v>
          </cell>
          <cell r="AA1450" t="str">
            <v>10014-2840</v>
          </cell>
          <cell r="AB1450" t="str">
            <v>HOME HEALTH AGENCY</v>
          </cell>
          <cell r="AC1450" t="str">
            <v>M</v>
          </cell>
          <cell r="AD1450" t="str">
            <v>No</v>
          </cell>
          <cell r="AE1450" t="str">
            <v>MMIS</v>
          </cell>
          <cell r="AG1450" t="str">
            <v>P</v>
          </cell>
        </row>
        <row r="1451">
          <cell r="A1451" t="str">
            <v>1770740342</v>
          </cell>
          <cell r="B1451" t="str">
            <v>03507288</v>
          </cell>
          <cell r="C1451" t="str">
            <v>JOBIN, CHARLES M</v>
          </cell>
          <cell r="D1451" t="str">
            <v>E0340376</v>
          </cell>
          <cell r="E1451" t="str">
            <v>JOBIN CHARLES MITCHELL</v>
          </cell>
          <cell r="G1451" t="str">
            <v>Kathryn Spaziani</v>
          </cell>
          <cell r="H1451" t="str">
            <v>(212) 305-1190</v>
          </cell>
          <cell r="J1451" t="str">
            <v>kas9171@nyp.org</v>
          </cell>
          <cell r="L1451" t="str">
            <v>All Other:: Practitioner - Non-Primary Care Provider (PCP)</v>
          </cell>
          <cell r="M1451" t="str">
            <v>No</v>
          </cell>
          <cell r="R1451" t="str">
            <v>JOBIN CHARLES DR.</v>
          </cell>
          <cell r="W1451" t="str">
            <v>JOBIN CHARLES MITCHELL</v>
          </cell>
          <cell r="X1451" t="str">
            <v>51 W 51ST ST STE 370</v>
          </cell>
          <cell r="Y1451" t="str">
            <v>NEW YORK</v>
          </cell>
          <cell r="Z1451" t="str">
            <v>NY</v>
          </cell>
          <cell r="AA1451" t="str">
            <v>10019-6113</v>
          </cell>
          <cell r="AB1451" t="str">
            <v>PHYSICIAN</v>
          </cell>
          <cell r="AC1451" t="str">
            <v>M</v>
          </cell>
          <cell r="AD1451" t="str">
            <v>No</v>
          </cell>
          <cell r="AE1451" t="str">
            <v>MMIS</v>
          </cell>
          <cell r="AF1451" t="str">
            <v>nypwestacn</v>
          </cell>
          <cell r="AG1451" t="str">
            <v>P</v>
          </cell>
        </row>
        <row r="1452">
          <cell r="A1452" t="str">
            <v>1770741589</v>
          </cell>
          <cell r="B1452" t="str">
            <v>03375284</v>
          </cell>
          <cell r="C1452" t="str">
            <v>LAUREN, CHRISTINE T</v>
          </cell>
          <cell r="D1452" t="str">
            <v>E0324458</v>
          </cell>
          <cell r="E1452" t="str">
            <v>LAUREN CHRISTINE TRILIVAS</v>
          </cell>
          <cell r="G1452" t="str">
            <v>Kathryn Spaziani</v>
          </cell>
          <cell r="H1452" t="str">
            <v>(212) 305-1190</v>
          </cell>
          <cell r="J1452" t="str">
            <v>kas9171@nyp.org</v>
          </cell>
          <cell r="L1452" t="str">
            <v>Practitioner - Non-Primary Care Provider (PCP)</v>
          </cell>
          <cell r="M1452" t="str">
            <v>No</v>
          </cell>
          <cell r="R1452" t="str">
            <v>LAUREN CHRISTINE</v>
          </cell>
          <cell r="W1452" t="str">
            <v>LAUREN CHRISTINE TRILIVAS</v>
          </cell>
          <cell r="X1452" t="str">
            <v>3959 BROADWAY</v>
          </cell>
          <cell r="Y1452" t="str">
            <v>NEW YORK</v>
          </cell>
          <cell r="Z1452" t="str">
            <v>NY</v>
          </cell>
          <cell r="AA1452" t="str">
            <v>10032-1559</v>
          </cell>
          <cell r="AB1452" t="str">
            <v>PHYSICIAN</v>
          </cell>
          <cell r="AC1452" t="str">
            <v>M</v>
          </cell>
          <cell r="AD1452" t="str">
            <v>No</v>
          </cell>
          <cell r="AE1452" t="str">
            <v>MMIS</v>
          </cell>
          <cell r="AF1452" t="str">
            <v>nypwestcampus</v>
          </cell>
          <cell r="AG1452" t="str">
            <v>P</v>
          </cell>
        </row>
        <row r="1453">
          <cell r="A1453" t="str">
            <v>1447314356</v>
          </cell>
          <cell r="B1453" t="str">
            <v>00769219</v>
          </cell>
          <cell r="C1453" t="str">
            <v>Washington Heights Community Service / NYSPI (Inwood)</v>
          </cell>
          <cell r="D1453" t="str">
            <v>E0222795</v>
          </cell>
          <cell r="E1453" t="str">
            <v>NEW YORK                   PC</v>
          </cell>
          <cell r="G1453" t="str">
            <v>Dianna Dragatsi</v>
          </cell>
          <cell r="H1453" t="str">
            <v>(212) 942-8500</v>
          </cell>
          <cell r="J1453" t="str">
            <v>dragats@nyspi.columbia.edu</v>
          </cell>
          <cell r="L1453" t="str">
            <v>All Other:: Mental Health</v>
          </cell>
          <cell r="M1453" t="str">
            <v>No</v>
          </cell>
          <cell r="R1453" t="str">
            <v>NYS OFFICE OF MENTAL HEALTH</v>
          </cell>
          <cell r="W1453" t="str">
            <v>NEW YORK PSYCHIATRIC CENTER</v>
          </cell>
          <cell r="X1453" t="str">
            <v>722 W 168TH ST</v>
          </cell>
          <cell r="Y1453" t="str">
            <v>NEW YORK</v>
          </cell>
          <cell r="Z1453" t="str">
            <v>NY</v>
          </cell>
          <cell r="AA1453" t="str">
            <v>10032-3727</v>
          </cell>
          <cell r="AB1453" t="str">
            <v>HOSPITAL</v>
          </cell>
          <cell r="AC1453" t="str">
            <v>M</v>
          </cell>
          <cell r="AD1453" t="str">
            <v>No</v>
          </cell>
          <cell r="AE1453" t="str">
            <v>MMIS</v>
          </cell>
          <cell r="AF1453" t="str">
            <v>nyspi</v>
          </cell>
          <cell r="AG1453" t="str">
            <v>P</v>
          </cell>
        </row>
        <row r="1454">
          <cell r="A1454" t="str">
            <v>1184778029</v>
          </cell>
          <cell r="B1454" t="str">
            <v>01704594</v>
          </cell>
          <cell r="C1454" t="str">
            <v xml:space="preserve">PALMAS, WALTER </v>
          </cell>
          <cell r="D1454" t="str">
            <v>E0129563</v>
          </cell>
          <cell r="E1454" t="str">
            <v>PALMAS WALTER</v>
          </cell>
          <cell r="G1454" t="str">
            <v>Kathryn Spaziani</v>
          </cell>
          <cell r="H1454" t="str">
            <v>(212) 305-1190</v>
          </cell>
          <cell r="J1454" t="str">
            <v>kas9171@nyp.org</v>
          </cell>
          <cell r="L1454" t="str">
            <v>Practitioner - Primary Care Provider (PCP)</v>
          </cell>
          <cell r="M1454" t="str">
            <v>Yes</v>
          </cell>
          <cell r="R1454" t="str">
            <v>PALMAS WALTER DR.</v>
          </cell>
          <cell r="W1454" t="str">
            <v>PALMAS WALTER</v>
          </cell>
          <cell r="X1454" t="str">
            <v>SLRH INPATIENT</v>
          </cell>
          <cell r="Y1454" t="str">
            <v>NEW YORK</v>
          </cell>
          <cell r="Z1454" t="str">
            <v>NY</v>
          </cell>
          <cell r="AA1454" t="str">
            <v>10019</v>
          </cell>
          <cell r="AB1454" t="str">
            <v>PHYSICIAN</v>
          </cell>
          <cell r="AC1454" t="str">
            <v>M</v>
          </cell>
          <cell r="AD1454" t="str">
            <v>No</v>
          </cell>
          <cell r="AE1454" t="str">
            <v>MMIS</v>
          </cell>
          <cell r="AF1454" t="str">
            <v>nypwestcampus</v>
          </cell>
          <cell r="AG1454" t="str">
            <v>P</v>
          </cell>
        </row>
        <row r="1455">
          <cell r="A1455" t="str">
            <v>1922079623</v>
          </cell>
          <cell r="B1455" t="str">
            <v>01562981</v>
          </cell>
          <cell r="C1455" t="str">
            <v>PFEFFER, BETSY S</v>
          </cell>
          <cell r="D1455" t="str">
            <v>E0143702</v>
          </cell>
          <cell r="E1455" t="str">
            <v>PFEFFER BETSY S MD</v>
          </cell>
          <cell r="G1455" t="str">
            <v>Kathryn Spaziani</v>
          </cell>
          <cell r="H1455" t="str">
            <v>(212) 305-1190</v>
          </cell>
          <cell r="J1455" t="str">
            <v>kas9171@nyp.org</v>
          </cell>
          <cell r="L1455" t="str">
            <v>All Other:: Practitioner - Primary Care Provider (PCP)</v>
          </cell>
          <cell r="M1455" t="str">
            <v>Yes</v>
          </cell>
          <cell r="R1455" t="str">
            <v>PFEFFER BETSY DR.</v>
          </cell>
          <cell r="W1455" t="str">
            <v>PFEFFER BETSY S MD</v>
          </cell>
          <cell r="X1455" t="str">
            <v>3959 BROADWAY</v>
          </cell>
          <cell r="Y1455" t="str">
            <v>NEW YORK</v>
          </cell>
          <cell r="Z1455" t="str">
            <v>NY</v>
          </cell>
          <cell r="AA1455" t="str">
            <v>10032-1559</v>
          </cell>
          <cell r="AB1455" t="str">
            <v>PHYSICIAN</v>
          </cell>
          <cell r="AC1455" t="str">
            <v>M</v>
          </cell>
          <cell r="AD1455" t="str">
            <v>No</v>
          </cell>
          <cell r="AE1455" t="str">
            <v>MMIS</v>
          </cell>
          <cell r="AF1455" t="str">
            <v>nypwestcampus</v>
          </cell>
          <cell r="AG1455" t="str">
            <v>P</v>
          </cell>
        </row>
        <row r="1456">
          <cell r="A1456" t="str">
            <v>1174725873</v>
          </cell>
          <cell r="B1456" t="str">
            <v>03027281</v>
          </cell>
          <cell r="C1456" t="str">
            <v>MCBRIAN, DANIELLE K</v>
          </cell>
          <cell r="D1456" t="str">
            <v>E0284694</v>
          </cell>
          <cell r="E1456" t="str">
            <v>DANIELLE KENDA MCBRIAN</v>
          </cell>
          <cell r="G1456" t="str">
            <v>Kathryn Spaziani</v>
          </cell>
          <cell r="H1456" t="str">
            <v>(212) 305-1190</v>
          </cell>
          <cell r="J1456" t="str">
            <v>kas9171@nyp.org</v>
          </cell>
          <cell r="L1456" t="str">
            <v>Practitioner - Non-Primary Care Provider (PCP)</v>
          </cell>
          <cell r="M1456" t="str">
            <v>No</v>
          </cell>
          <cell r="R1456" t="str">
            <v>MCBRIAN DANIELLE DR.</v>
          </cell>
          <cell r="W1456" t="str">
            <v>MCBRIAN DANIELLE KENDA MD</v>
          </cell>
          <cell r="X1456" t="str">
            <v>710 W 168TH ST</v>
          </cell>
          <cell r="Y1456" t="str">
            <v>NEW YORK</v>
          </cell>
          <cell r="Z1456" t="str">
            <v>NY</v>
          </cell>
          <cell r="AA1456" t="str">
            <v>10032-3726</v>
          </cell>
          <cell r="AB1456" t="str">
            <v>PHYSICIAN</v>
          </cell>
          <cell r="AC1456" t="str">
            <v>M</v>
          </cell>
          <cell r="AD1456" t="str">
            <v>No</v>
          </cell>
          <cell r="AE1456" t="str">
            <v>MMIS</v>
          </cell>
          <cell r="AF1456" t="str">
            <v>nypwestcampus</v>
          </cell>
          <cell r="AG1456" t="str">
            <v>P</v>
          </cell>
        </row>
        <row r="1457">
          <cell r="A1457" t="str">
            <v>1447410246</v>
          </cell>
          <cell r="B1457" t="str">
            <v>03602586</v>
          </cell>
          <cell r="C1457" t="str">
            <v>PATEL, VISHAL A</v>
          </cell>
          <cell r="D1457" t="str">
            <v>E0350423</v>
          </cell>
          <cell r="E1457" t="str">
            <v>PATEL VISHAL</v>
          </cell>
          <cell r="G1457" t="str">
            <v>Kathryn Spaziani</v>
          </cell>
          <cell r="H1457" t="str">
            <v>(212) 305-1190</v>
          </cell>
          <cell r="J1457" t="str">
            <v>kas9171@nyp.org</v>
          </cell>
          <cell r="L1457" t="str">
            <v>Practitioner - Non-Primary Care Provider (PCP)</v>
          </cell>
          <cell r="M1457" t="str">
            <v>No</v>
          </cell>
          <cell r="R1457" t="str">
            <v>PATEL VISHAL</v>
          </cell>
          <cell r="W1457" t="str">
            <v>PATEL VISHAL</v>
          </cell>
          <cell r="X1457" t="str">
            <v>161 FORT WASHINGTON AVE FL 12</v>
          </cell>
          <cell r="Y1457" t="str">
            <v>NEW YORK</v>
          </cell>
          <cell r="Z1457" t="str">
            <v>NY</v>
          </cell>
          <cell r="AA1457" t="str">
            <v>10032-3729</v>
          </cell>
          <cell r="AB1457" t="str">
            <v>PHYSICIAN</v>
          </cell>
          <cell r="AC1457" t="str">
            <v>M</v>
          </cell>
          <cell r="AD1457" t="str">
            <v>No</v>
          </cell>
          <cell r="AE1457" t="str">
            <v>MMIS</v>
          </cell>
          <cell r="AF1457" t="str">
            <v>nypwestcampus</v>
          </cell>
          <cell r="AG1457" t="str">
            <v>P</v>
          </cell>
        </row>
        <row r="1458">
          <cell r="A1458" t="str">
            <v>1821210865</v>
          </cell>
          <cell r="B1458" t="str">
            <v>02880422</v>
          </cell>
          <cell r="C1458" t="str">
            <v xml:space="preserve">MARTINEZ, JOHANNA </v>
          </cell>
          <cell r="D1458" t="str">
            <v>E0012162</v>
          </cell>
          <cell r="E1458" t="str">
            <v>MARTINEZ JOHANNA MD</v>
          </cell>
          <cell r="G1458" t="str">
            <v>Kathryn Spaziani</v>
          </cell>
          <cell r="H1458" t="str">
            <v>(212) 305-1190</v>
          </cell>
          <cell r="J1458" t="str">
            <v>kas9171@nyp.org</v>
          </cell>
          <cell r="L1458" t="str">
            <v>All Other:: Practitioner - Primary Care Provider (PCP)</v>
          </cell>
          <cell r="M1458" t="str">
            <v>Yes</v>
          </cell>
          <cell r="R1458" t="str">
            <v>MARTINEZ JOHANNA</v>
          </cell>
          <cell r="W1458" t="str">
            <v>MARTINEZ JOHANNA MD</v>
          </cell>
          <cell r="X1458" t="str">
            <v>505 E 70TH ST</v>
          </cell>
          <cell r="Y1458" t="str">
            <v>NEW YORK</v>
          </cell>
          <cell r="Z1458" t="str">
            <v>NY</v>
          </cell>
          <cell r="AA1458" t="str">
            <v>10021-4872</v>
          </cell>
          <cell r="AB1458" t="str">
            <v>PHYSICIAN</v>
          </cell>
          <cell r="AC1458" t="str">
            <v>M</v>
          </cell>
          <cell r="AD1458" t="str">
            <v>No</v>
          </cell>
          <cell r="AE1458" t="str">
            <v>MMIS</v>
          </cell>
          <cell r="AF1458" t="str">
            <v>nypother</v>
          </cell>
          <cell r="AG1458" t="str">
            <v>P</v>
          </cell>
        </row>
        <row r="1459">
          <cell r="A1459" t="str">
            <v>1235257866</v>
          </cell>
          <cell r="B1459" t="str">
            <v>03715735</v>
          </cell>
          <cell r="C1459" t="str">
            <v xml:space="preserve">WLODARCZYK-BISAGA, KATARZYNA </v>
          </cell>
          <cell r="D1459" t="str">
            <v>E0362140</v>
          </cell>
          <cell r="E1459" t="str">
            <v>WLODARCZYK-BISAGA KATARZYNA</v>
          </cell>
          <cell r="G1459" t="str">
            <v>Kathryn Spaziani</v>
          </cell>
          <cell r="H1459" t="str">
            <v>(212) 305-1190</v>
          </cell>
          <cell r="J1459" t="str">
            <v>kas9171@nyp.org</v>
          </cell>
          <cell r="L1459" t="str">
            <v>Practitioner - Non-Primary Care Provider (PCP)</v>
          </cell>
          <cell r="M1459" t="str">
            <v>No</v>
          </cell>
          <cell r="R1459" t="str">
            <v>WLODARCZYK-BISAGA KATARZYNA DR.</v>
          </cell>
          <cell r="W1459" t="str">
            <v>WLODARCZYK-BISAGA KATARZYNA</v>
          </cell>
          <cell r="X1459" t="str">
            <v>3959 BROADWAY</v>
          </cell>
          <cell r="Y1459" t="str">
            <v>NEW YORK</v>
          </cell>
          <cell r="Z1459" t="str">
            <v>NY</v>
          </cell>
          <cell r="AA1459" t="str">
            <v>10032-1559</v>
          </cell>
          <cell r="AB1459" t="str">
            <v>PHYSICIAN</v>
          </cell>
          <cell r="AC1459" t="str">
            <v>M</v>
          </cell>
          <cell r="AD1459" t="str">
            <v>No</v>
          </cell>
          <cell r="AE1459" t="str">
            <v>MMIS</v>
          </cell>
          <cell r="AF1459" t="str">
            <v>nypwestcampus</v>
          </cell>
          <cell r="AG1459" t="str">
            <v>P</v>
          </cell>
        </row>
        <row r="1460">
          <cell r="A1460" t="str">
            <v>1407194749</v>
          </cell>
          <cell r="B1460" t="str">
            <v>03829889</v>
          </cell>
          <cell r="C1460" t="str">
            <v>SHULMAN, JULIEANNE M</v>
          </cell>
          <cell r="D1460" t="str">
            <v>E0373856</v>
          </cell>
          <cell r="E1460" t="str">
            <v>SHULMAN JULIEANNE M</v>
          </cell>
          <cell r="G1460" t="str">
            <v>Kathryn Spaziani</v>
          </cell>
          <cell r="H1460" t="str">
            <v>(212) 305-1190</v>
          </cell>
          <cell r="J1460" t="str">
            <v>kas9171@nyp.org</v>
          </cell>
          <cell r="L1460" t="str">
            <v>Practitioner - Non-Primary Care Provider (PCP)</v>
          </cell>
          <cell r="M1460" t="str">
            <v>No</v>
          </cell>
          <cell r="R1460" t="str">
            <v>SHULMAN JULIEANNE</v>
          </cell>
          <cell r="W1460" t="str">
            <v>SHULMAN JULIEANNE M</v>
          </cell>
          <cell r="X1460" t="str">
            <v>3959 BROADWAY</v>
          </cell>
          <cell r="Y1460" t="str">
            <v>NEW YORK</v>
          </cell>
          <cell r="Z1460" t="str">
            <v>NY</v>
          </cell>
          <cell r="AA1460" t="str">
            <v>10032-1559</v>
          </cell>
          <cell r="AB1460" t="str">
            <v>CLINICAL PSYCHOLOGIST</v>
          </cell>
          <cell r="AC1460" t="str">
            <v>M</v>
          </cell>
          <cell r="AD1460" t="str">
            <v>No</v>
          </cell>
          <cell r="AE1460" t="str">
            <v>MMIS</v>
          </cell>
          <cell r="AF1460" t="str">
            <v>nypwestcampus</v>
          </cell>
          <cell r="AG1460" t="str">
            <v>P</v>
          </cell>
        </row>
        <row r="1461">
          <cell r="A1461" t="str">
            <v>1013906791</v>
          </cell>
          <cell r="B1461" t="str">
            <v>01833825</v>
          </cell>
          <cell r="C1461" t="str">
            <v xml:space="preserve">Soohoo, Jane            </v>
          </cell>
          <cell r="D1461" t="str">
            <v>E0116658</v>
          </cell>
          <cell r="E1461" t="str">
            <v>SOOHOO JANE</v>
          </cell>
          <cell r="G1461" t="str">
            <v>Betty Cheng</v>
          </cell>
          <cell r="H1461" t="str">
            <v>(212) 379-6988</v>
          </cell>
          <cell r="I1461">
            <v>2604</v>
          </cell>
          <cell r="J1461" t="str">
            <v>bcheng@cbwchc.org</v>
          </cell>
          <cell r="L1461" t="str">
            <v>All Other:: Practitioner - Primary Care Provider (PCP)</v>
          </cell>
          <cell r="M1461" t="str">
            <v>Yes</v>
          </cell>
          <cell r="R1461" t="str">
            <v>SOOHOO JANE</v>
          </cell>
          <cell r="W1461" t="str">
            <v>SOOHOO JANE</v>
          </cell>
          <cell r="X1461" t="str">
            <v>125 WALKER ST FL 2</v>
          </cell>
          <cell r="Y1461" t="str">
            <v>NEW YORK</v>
          </cell>
          <cell r="Z1461" t="str">
            <v>NY</v>
          </cell>
          <cell r="AA1461" t="str">
            <v>10013-4135</v>
          </cell>
          <cell r="AB1461" t="str">
            <v>PHYSICIAN</v>
          </cell>
          <cell r="AC1461" t="str">
            <v>M</v>
          </cell>
          <cell r="AD1461" t="str">
            <v>No</v>
          </cell>
          <cell r="AE1461" t="str">
            <v>MMIS</v>
          </cell>
          <cell r="AF1461" t="str">
            <v>cbwchc</v>
          </cell>
          <cell r="AG1461" t="str">
            <v>P</v>
          </cell>
        </row>
        <row r="1462">
          <cell r="A1462" t="str">
            <v>1770573727</v>
          </cell>
          <cell r="B1462" t="str">
            <v>01833765</v>
          </cell>
          <cell r="C1462" t="str">
            <v xml:space="preserve">Wong, Mei Fung       </v>
          </cell>
          <cell r="D1462" t="str">
            <v>E0116664</v>
          </cell>
          <cell r="E1462" t="str">
            <v>WONG MEI</v>
          </cell>
          <cell r="G1462" t="str">
            <v>Betty Cheng</v>
          </cell>
          <cell r="H1462" t="str">
            <v>(212) 379-6988</v>
          </cell>
          <cell r="I1462">
            <v>2604</v>
          </cell>
          <cell r="J1462" t="str">
            <v>bcheng@cbwchc.org</v>
          </cell>
          <cell r="L1462" t="str">
            <v>All Other:: Practitioner - Primary Care Provider (PCP)</v>
          </cell>
          <cell r="M1462" t="str">
            <v>Yes</v>
          </cell>
          <cell r="R1462" t="str">
            <v>WONG MEI</v>
          </cell>
          <cell r="W1462" t="str">
            <v>WONG MEI FUNG</v>
          </cell>
          <cell r="X1462" t="str">
            <v>125 WALKER ST</v>
          </cell>
          <cell r="Y1462" t="str">
            <v>NEW YORK</v>
          </cell>
          <cell r="Z1462" t="str">
            <v>NY</v>
          </cell>
          <cell r="AA1462" t="str">
            <v>10013-4135</v>
          </cell>
          <cell r="AB1462" t="str">
            <v>PHYSICIAN</v>
          </cell>
          <cell r="AC1462" t="str">
            <v>M</v>
          </cell>
          <cell r="AD1462" t="str">
            <v>No</v>
          </cell>
          <cell r="AE1462" t="str">
            <v>MMIS</v>
          </cell>
          <cell r="AF1462" t="str">
            <v>cbwchc</v>
          </cell>
          <cell r="AG1462" t="str">
            <v>P</v>
          </cell>
        </row>
        <row r="1463">
          <cell r="A1463" t="str">
            <v>1184726457</v>
          </cell>
          <cell r="B1463" t="str">
            <v>00571077</v>
          </cell>
          <cell r="C1463" t="str">
            <v>JOSEPH WINIK</v>
          </cell>
          <cell r="D1463" t="str">
            <v>E0242566</v>
          </cell>
          <cell r="E1463" t="str">
            <v>WINIK JOSEPH S             MD</v>
          </cell>
          <cell r="G1463" t="str">
            <v>Eva Eng</v>
          </cell>
          <cell r="H1463" t="str">
            <v>(212) 752-5000</v>
          </cell>
          <cell r="J1463" t="str">
            <v>eeng@archcare.org</v>
          </cell>
          <cell r="L1463" t="str">
            <v>All Other:: Practitioner - Primary Care Provider (PCP)</v>
          </cell>
          <cell r="M1463" t="str">
            <v>No</v>
          </cell>
          <cell r="R1463" t="str">
            <v>WINIK JOSEPH DR.</v>
          </cell>
          <cell r="W1463" t="str">
            <v>WINIK JOSEPH</v>
          </cell>
          <cell r="X1463" t="str">
            <v>44 W 62ND ST</v>
          </cell>
          <cell r="Y1463" t="str">
            <v>NEW YORK</v>
          </cell>
          <cell r="Z1463" t="str">
            <v>NY</v>
          </cell>
          <cell r="AA1463" t="str">
            <v>10023-7008</v>
          </cell>
          <cell r="AB1463" t="str">
            <v>PHYSICIAN</v>
          </cell>
          <cell r="AC1463" t="str">
            <v>M</v>
          </cell>
          <cell r="AD1463" t="str">
            <v>No</v>
          </cell>
          <cell r="AE1463" t="str">
            <v>MMIS</v>
          </cell>
          <cell r="AG1463" t="str">
            <v>P</v>
          </cell>
        </row>
        <row r="1464">
          <cell r="A1464" t="str">
            <v>1558627141</v>
          </cell>
          <cell r="B1464" t="str">
            <v>03461612</v>
          </cell>
          <cell r="C1464" t="str">
            <v>HILTON, TARA C</v>
          </cell>
          <cell r="D1464" t="str">
            <v>E0335243</v>
          </cell>
          <cell r="E1464" t="str">
            <v>HILTON TARA</v>
          </cell>
          <cell r="G1464" t="str">
            <v>Kathryn Spaziani</v>
          </cell>
          <cell r="H1464" t="str">
            <v>(212) 305-1190</v>
          </cell>
          <cell r="J1464" t="str">
            <v>kas9171@nyp.org</v>
          </cell>
          <cell r="L1464" t="str">
            <v>All Other:: Practitioner - Primary Care Provider (PCP)</v>
          </cell>
          <cell r="M1464" t="str">
            <v>No</v>
          </cell>
          <cell r="R1464" t="str">
            <v>HILTON TARA MS.</v>
          </cell>
          <cell r="W1464" t="str">
            <v>HILTON TARA</v>
          </cell>
          <cell r="X1464" t="str">
            <v>622 W 168TH ST</v>
          </cell>
          <cell r="Y1464" t="str">
            <v>NEW YORK</v>
          </cell>
          <cell r="Z1464" t="str">
            <v>NY</v>
          </cell>
          <cell r="AA1464" t="str">
            <v>10032-3720</v>
          </cell>
          <cell r="AB1464" t="str">
            <v>PHYSICIAN</v>
          </cell>
          <cell r="AC1464" t="str">
            <v>M</v>
          </cell>
          <cell r="AD1464" t="str">
            <v>No</v>
          </cell>
          <cell r="AE1464" t="str">
            <v>MMIS</v>
          </cell>
          <cell r="AF1464" t="str">
            <v>nypwestacn</v>
          </cell>
          <cell r="AG1464" t="str">
            <v>P</v>
          </cell>
        </row>
        <row r="1465">
          <cell r="A1465" t="str">
            <v>1285645051</v>
          </cell>
          <cell r="B1465" t="str">
            <v>02376676</v>
          </cell>
          <cell r="C1465" t="str">
            <v>HEIGHTS PHARMACY INC</v>
          </cell>
          <cell r="D1465" t="str">
            <v>E0062446</v>
          </cell>
          <cell r="E1465" t="str">
            <v>HEIGHTS PHARMACY INC</v>
          </cell>
          <cell r="L1465" t="str">
            <v>Pharmacy</v>
          </cell>
          <cell r="M1465" t="str">
            <v>Yes</v>
          </cell>
          <cell r="R1465" t="str">
            <v>HEIGHTS PHARMACY INC</v>
          </cell>
          <cell r="W1465" t="str">
            <v>HEIGHTS PHARMACY INC</v>
          </cell>
          <cell r="X1465" t="str">
            <v>719 W 181ST ST</v>
          </cell>
          <cell r="Y1465" t="str">
            <v>NEW YORK</v>
          </cell>
          <cell r="Z1465" t="str">
            <v>NY</v>
          </cell>
          <cell r="AA1465" t="str">
            <v>10033-4731</v>
          </cell>
          <cell r="AB1465" t="str">
            <v>PHARMACY</v>
          </cell>
          <cell r="AC1465" t="str">
            <v>M</v>
          </cell>
          <cell r="AD1465" t="str">
            <v>No</v>
          </cell>
          <cell r="AE1465" t="str">
            <v>MMIS</v>
          </cell>
          <cell r="AG1465" t="str">
            <v>P</v>
          </cell>
        </row>
        <row r="1466">
          <cell r="A1466" t="str">
            <v>1326053778</v>
          </cell>
          <cell r="B1466" t="str">
            <v>01463143</v>
          </cell>
          <cell r="C1466" t="str">
            <v>Boan Drugs, Inc.</v>
          </cell>
          <cell r="D1466" t="str">
            <v>E0153669</v>
          </cell>
          <cell r="E1466" t="str">
            <v>BOAN DRUGS INC</v>
          </cell>
          <cell r="L1466" t="str">
            <v>Pharmacy</v>
          </cell>
          <cell r="M1466" t="str">
            <v>Yes</v>
          </cell>
          <cell r="R1466" t="str">
            <v>BOAN DRUGS INC</v>
          </cell>
          <cell r="W1466" t="str">
            <v>BOAN DRUGS INC</v>
          </cell>
          <cell r="X1466" t="str">
            <v>1873 AMSTERDAM AVE</v>
          </cell>
          <cell r="Y1466" t="str">
            <v>NEW YORK</v>
          </cell>
          <cell r="Z1466" t="str">
            <v>NY</v>
          </cell>
          <cell r="AA1466" t="str">
            <v>10031-1716</v>
          </cell>
          <cell r="AB1466" t="str">
            <v>PHARMACY</v>
          </cell>
          <cell r="AC1466" t="str">
            <v>M</v>
          </cell>
          <cell r="AD1466" t="str">
            <v>No</v>
          </cell>
          <cell r="AE1466" t="str">
            <v>MMIS</v>
          </cell>
          <cell r="AG1466" t="str">
            <v>P</v>
          </cell>
        </row>
        <row r="1467">
          <cell r="A1467" t="str">
            <v>1891839551</v>
          </cell>
          <cell r="B1467" t="str">
            <v>03617690</v>
          </cell>
          <cell r="C1467" t="str">
            <v>Mahtani Sarita</v>
          </cell>
          <cell r="D1467" t="str">
            <v>E0352042</v>
          </cell>
          <cell r="E1467" t="str">
            <v>MAHTANI SARITA MANU</v>
          </cell>
          <cell r="L1467" t="str">
            <v>Practitioner - Non-Primary Care Provider (PCP)</v>
          </cell>
          <cell r="M1467" t="str">
            <v>No</v>
          </cell>
          <cell r="R1467" t="str">
            <v>MAHTANI SARITA</v>
          </cell>
          <cell r="W1467" t="str">
            <v>MAHTANI SARITA MANU</v>
          </cell>
          <cell r="X1467" t="str">
            <v>525 E 68TH ST # M-522</v>
          </cell>
          <cell r="Y1467" t="str">
            <v>NEW YORK</v>
          </cell>
          <cell r="Z1467" t="str">
            <v>NY</v>
          </cell>
          <cell r="AA1467" t="str">
            <v>10065-4870</v>
          </cell>
          <cell r="AB1467" t="str">
            <v>PHYSICIAN</v>
          </cell>
          <cell r="AC1467" t="str">
            <v>M</v>
          </cell>
          <cell r="AD1467" t="str">
            <v>No</v>
          </cell>
          <cell r="AE1467" t="str">
            <v>MMIS</v>
          </cell>
          <cell r="AF1467" t="str">
            <v>nypeastcampus</v>
          </cell>
          <cell r="AG1467" t="str">
            <v>P</v>
          </cell>
        </row>
        <row r="1468">
          <cell r="A1468" t="str">
            <v>1427140805</v>
          </cell>
          <cell r="B1468" t="str">
            <v>01611045</v>
          </cell>
          <cell r="C1468" t="str">
            <v>Antonio Eduardo</v>
          </cell>
          <cell r="D1468" t="str">
            <v>E0138907</v>
          </cell>
          <cell r="E1468" t="str">
            <v>ANTONIO EDUARDO SANTIAGO RPA</v>
          </cell>
          <cell r="L1468" t="str">
            <v>All Other:: Practitioner - Non-Primary Care Provider (PCP)</v>
          </cell>
          <cell r="M1468" t="str">
            <v>No</v>
          </cell>
          <cell r="R1468" t="str">
            <v>ANTONIO EDUARDO MR.</v>
          </cell>
          <cell r="W1468" t="str">
            <v>ANTONIO EDUARDO SANTIAGO</v>
          </cell>
          <cell r="X1468" t="str">
            <v>5141 BROADWAY</v>
          </cell>
          <cell r="Y1468" t="str">
            <v>NEW YORK</v>
          </cell>
          <cell r="Z1468" t="str">
            <v>NY</v>
          </cell>
          <cell r="AA1468" t="str">
            <v>10034-1159</v>
          </cell>
          <cell r="AB1468" t="str">
            <v>PHYSICIAN</v>
          </cell>
          <cell r="AC1468" t="str">
            <v>M</v>
          </cell>
          <cell r="AD1468" t="str">
            <v>No</v>
          </cell>
          <cell r="AE1468" t="str">
            <v>MMIS</v>
          </cell>
          <cell r="AF1468" t="str">
            <v>nypwestacn</v>
          </cell>
          <cell r="AG1468" t="str">
            <v>P</v>
          </cell>
        </row>
        <row r="1469">
          <cell r="A1469" t="str">
            <v>1447539564</v>
          </cell>
          <cell r="B1469" t="str">
            <v>03389806</v>
          </cell>
          <cell r="C1469" t="str">
            <v>Anyanwu Chiedozie</v>
          </cell>
          <cell r="D1469" t="str">
            <v>E0326339</v>
          </cell>
          <cell r="E1469" t="str">
            <v>ANYANWU CHIEDOZIE</v>
          </cell>
          <cell r="L1469" t="str">
            <v>All Other:: Practitioner - Non-Primary Care Provider (PCP)</v>
          </cell>
          <cell r="M1469" t="str">
            <v>No</v>
          </cell>
          <cell r="R1469" t="str">
            <v>ANYANWU CHIEDOZIE MR.</v>
          </cell>
          <cell r="W1469" t="str">
            <v>ANYANWU CHIEDOZIE</v>
          </cell>
          <cell r="X1469" t="str">
            <v>374 STOCKHOLM ST</v>
          </cell>
          <cell r="Y1469" t="str">
            <v>BROOKLYN</v>
          </cell>
          <cell r="Z1469" t="str">
            <v>NY</v>
          </cell>
          <cell r="AA1469" t="str">
            <v>11237-4006</v>
          </cell>
          <cell r="AB1469" t="str">
            <v>PHYSICIAN</v>
          </cell>
          <cell r="AC1469" t="str">
            <v>M</v>
          </cell>
          <cell r="AD1469" t="str">
            <v>No</v>
          </cell>
          <cell r="AE1469" t="str">
            <v>MMIS</v>
          </cell>
          <cell r="AF1469" t="str">
            <v>nypwestcampus</v>
          </cell>
          <cell r="AG1469" t="str">
            <v>P</v>
          </cell>
        </row>
        <row r="1470">
          <cell r="A1470" t="str">
            <v>1154582864</v>
          </cell>
          <cell r="B1470" t="str">
            <v>03522570</v>
          </cell>
          <cell r="C1470" t="str">
            <v>Bhatt Biren</v>
          </cell>
          <cell r="D1470" t="str">
            <v>E0341988</v>
          </cell>
          <cell r="E1470" t="str">
            <v>BHATT BIREN A</v>
          </cell>
          <cell r="L1470" t="str">
            <v>Practitioner - Non-Primary Care Provider (PCP)</v>
          </cell>
          <cell r="M1470" t="str">
            <v>No</v>
          </cell>
          <cell r="R1470" t="str">
            <v>BHATT BIREN DR.</v>
          </cell>
          <cell r="W1470" t="str">
            <v>BHATT BIREN A</v>
          </cell>
          <cell r="X1470" t="str">
            <v>622 W 168TH ST PH 1-137</v>
          </cell>
          <cell r="Y1470" t="str">
            <v>NEW YORK</v>
          </cell>
          <cell r="Z1470" t="str">
            <v>NY</v>
          </cell>
          <cell r="AA1470" t="str">
            <v>10032-3720</v>
          </cell>
          <cell r="AB1470" t="str">
            <v>PHYSICIAN</v>
          </cell>
          <cell r="AC1470" t="str">
            <v>M</v>
          </cell>
          <cell r="AD1470" t="str">
            <v>No</v>
          </cell>
          <cell r="AE1470" t="str">
            <v>MMIS</v>
          </cell>
          <cell r="AF1470" t="str">
            <v>nypwestcampus</v>
          </cell>
          <cell r="AG1470" t="str">
            <v>P</v>
          </cell>
        </row>
        <row r="1471">
          <cell r="A1471" t="str">
            <v>1619250537</v>
          </cell>
          <cell r="B1471" t="str">
            <v>03589791</v>
          </cell>
          <cell r="C1471" t="str">
            <v>Gorseth, Karin, LMSW</v>
          </cell>
          <cell r="D1471" t="str">
            <v>E0349131</v>
          </cell>
          <cell r="E1471" t="str">
            <v>GORSETH KARIN</v>
          </cell>
          <cell r="G1471" t="str">
            <v>Crystal Jordan</v>
          </cell>
          <cell r="H1471" t="str">
            <v>(212) 803-2861</v>
          </cell>
          <cell r="J1471" t="str">
            <v>cjordan@harlemunited.org</v>
          </cell>
          <cell r="L1471" t="str">
            <v>Mental Health:: Practitioner - Non-Primary Care Provider (PCP)</v>
          </cell>
          <cell r="M1471" t="str">
            <v>No</v>
          </cell>
          <cell r="R1471" t="str">
            <v>GORSETH KARIN</v>
          </cell>
          <cell r="W1471" t="str">
            <v>GORSETH KARIN</v>
          </cell>
          <cell r="X1471" t="str">
            <v>123 W 124TH ST # 125</v>
          </cell>
          <cell r="Y1471" t="str">
            <v>NEW YORK</v>
          </cell>
          <cell r="Z1471" t="str">
            <v>NY</v>
          </cell>
          <cell r="AA1471" t="str">
            <v>10027-4920</v>
          </cell>
          <cell r="AB1471" t="str">
            <v>CLINICAL SOCIAL WORKER (CSW)</v>
          </cell>
          <cell r="AC1471" t="str">
            <v>M</v>
          </cell>
          <cell r="AD1471" t="str">
            <v>No</v>
          </cell>
          <cell r="AE1471" t="str">
            <v>MMIS</v>
          </cell>
          <cell r="AF1471" t="str">
            <v>harlemunited</v>
          </cell>
          <cell r="AG1471" t="str">
            <v>P</v>
          </cell>
        </row>
        <row r="1472">
          <cell r="A1472" t="str">
            <v>1003120353</v>
          </cell>
          <cell r="B1472" t="str">
            <v>03853821</v>
          </cell>
          <cell r="C1472" t="str">
            <v>Gumbs, Cahlelah L, LMSW</v>
          </cell>
          <cell r="D1472" t="str">
            <v>E0376368</v>
          </cell>
          <cell r="E1472" t="str">
            <v>GUMBS CAHLELAH</v>
          </cell>
          <cell r="G1472" t="str">
            <v>Crystal Jordan</v>
          </cell>
          <cell r="H1472" t="str">
            <v>(212) 803-2862</v>
          </cell>
          <cell r="J1472" t="str">
            <v>cjordan@harlemunited.org</v>
          </cell>
          <cell r="L1472" t="str">
            <v>Mental Health:: Practitioner - Non-Primary Care Provider (PCP)</v>
          </cell>
          <cell r="M1472" t="str">
            <v>No</v>
          </cell>
          <cell r="R1472" t="str">
            <v>GUMBS CAHLELAH</v>
          </cell>
          <cell r="W1472" t="str">
            <v>GUMBS CAHLELAH</v>
          </cell>
          <cell r="X1472" t="str">
            <v>179 EAST 116TH STREE</v>
          </cell>
          <cell r="Y1472" t="str">
            <v>NEW YORK</v>
          </cell>
          <cell r="Z1472" t="str">
            <v>NY</v>
          </cell>
          <cell r="AA1472" t="str">
            <v>10029</v>
          </cell>
          <cell r="AB1472" t="str">
            <v>CLINICAL SOCIAL WORKER (CSW)</v>
          </cell>
          <cell r="AC1472" t="str">
            <v>M</v>
          </cell>
          <cell r="AD1472" t="str">
            <v>No</v>
          </cell>
          <cell r="AE1472" t="str">
            <v>MMIS</v>
          </cell>
          <cell r="AF1472" t="str">
            <v>harlemunited</v>
          </cell>
          <cell r="AG1472" t="str">
            <v>P</v>
          </cell>
        </row>
        <row r="1473">
          <cell r="A1473" t="str">
            <v>1275773855</v>
          </cell>
          <cell r="C1473" t="str">
            <v>Malhotra Carolyn</v>
          </cell>
          <cell r="G1473" t="str">
            <v>Kathryn Spaziani</v>
          </cell>
          <cell r="H1473" t="str">
            <v>(212) 305-1255</v>
          </cell>
          <cell r="J1473" t="str">
            <v>kas9171@nyp.org</v>
          </cell>
          <cell r="K1473" t="str">
            <v>Physician</v>
          </cell>
          <cell r="L1473" t="str">
            <v>Uncategorized</v>
          </cell>
          <cell r="M1473" t="str">
            <v>No</v>
          </cell>
          <cell r="R1473" t="str">
            <v>MALHOTRA CAROLYN MRS.</v>
          </cell>
          <cell r="S1473" t="str">
            <v>101 NICOLLS RD</v>
          </cell>
          <cell r="T1473" t="str">
            <v>STONY BROOK</v>
          </cell>
          <cell r="U1473" t="str">
            <v>NY</v>
          </cell>
          <cell r="V1473" t="str">
            <v>117940001</v>
          </cell>
          <cell r="AC1473" t="str">
            <v>M</v>
          </cell>
          <cell r="AD1473" t="str">
            <v>No</v>
          </cell>
          <cell r="AE1473" t="str">
            <v>NPI only</v>
          </cell>
          <cell r="AF1473" t="str">
            <v>nypother</v>
          </cell>
          <cell r="AG1473" t="str">
            <v>P</v>
          </cell>
        </row>
        <row r="1474">
          <cell r="A1474" t="str">
            <v>1346330511</v>
          </cell>
          <cell r="B1474" t="str">
            <v>02426020</v>
          </cell>
          <cell r="C1474" t="str">
            <v>Malhotra Jaideep</v>
          </cell>
          <cell r="D1474" t="str">
            <v>E0057528</v>
          </cell>
          <cell r="E1474" t="str">
            <v>MALHOTRA JAIDEEP KIRAN MD</v>
          </cell>
          <cell r="L1474" t="str">
            <v>All Other:: Practitioner - Non-Primary Care Provider (PCP)</v>
          </cell>
          <cell r="M1474" t="str">
            <v>No</v>
          </cell>
          <cell r="R1474" t="str">
            <v>MALHOTRA JAIDEEP</v>
          </cell>
          <cell r="W1474" t="str">
            <v>MALHOTRA JAIDEEP KIRAN MD</v>
          </cell>
          <cell r="X1474" t="str">
            <v>525 E 68TH ST</v>
          </cell>
          <cell r="Y1474" t="str">
            <v>NEW YORK</v>
          </cell>
          <cell r="Z1474" t="str">
            <v>NY</v>
          </cell>
          <cell r="AA1474" t="str">
            <v>10065-4870</v>
          </cell>
          <cell r="AB1474" t="str">
            <v>PHYSICIAN</v>
          </cell>
          <cell r="AC1474" t="str">
            <v>M</v>
          </cell>
          <cell r="AD1474" t="str">
            <v>No</v>
          </cell>
          <cell r="AE1474" t="str">
            <v>MMIS</v>
          </cell>
          <cell r="AF1474" t="str">
            <v>nypeastcampus</v>
          </cell>
          <cell r="AG1474" t="str">
            <v>P</v>
          </cell>
        </row>
        <row r="1475">
          <cell r="A1475" t="str">
            <v>1912094087</v>
          </cell>
          <cell r="B1475" t="str">
            <v>00374061</v>
          </cell>
          <cell r="C1475" t="str">
            <v>Malhotra Vinod</v>
          </cell>
          <cell r="D1475" t="str">
            <v>E0261828</v>
          </cell>
          <cell r="E1475" t="str">
            <v>MALHOTRA VINOD             MD</v>
          </cell>
          <cell r="L1475" t="str">
            <v>Practitioner - Non-Primary Care Provider (PCP)</v>
          </cell>
          <cell r="M1475" t="str">
            <v>No</v>
          </cell>
          <cell r="R1475" t="str">
            <v>MALHOTRA VINOD</v>
          </cell>
          <cell r="W1475" t="str">
            <v>MALHOTRA VINOD</v>
          </cell>
          <cell r="X1475" t="str">
            <v>525 E 68TH ST</v>
          </cell>
          <cell r="Y1475" t="str">
            <v>NEW YORK</v>
          </cell>
          <cell r="Z1475" t="str">
            <v>NY</v>
          </cell>
          <cell r="AA1475" t="str">
            <v>10065-4870</v>
          </cell>
          <cell r="AB1475" t="str">
            <v>PHYSICIAN</v>
          </cell>
          <cell r="AC1475" t="str">
            <v>M</v>
          </cell>
          <cell r="AD1475" t="str">
            <v>No</v>
          </cell>
          <cell r="AE1475" t="str">
            <v>MMIS</v>
          </cell>
          <cell r="AF1475" t="str">
            <v>nypeastcampus</v>
          </cell>
          <cell r="AG1475" t="str">
            <v>P</v>
          </cell>
        </row>
        <row r="1476">
          <cell r="A1476" t="str">
            <v>1588627988</v>
          </cell>
          <cell r="B1476" t="str">
            <v>00296800</v>
          </cell>
          <cell r="C1476" t="str">
            <v>BANSAL, RAJENDRA K</v>
          </cell>
          <cell r="D1476" t="str">
            <v>E0269402</v>
          </cell>
          <cell r="E1476" t="str">
            <v>BANSAL RAJENDRA K          MD</v>
          </cell>
          <cell r="G1476" t="str">
            <v>Kathryn Spaziani</v>
          </cell>
          <cell r="H1476" t="str">
            <v>(212) 305-1190</v>
          </cell>
          <cell r="J1476" t="str">
            <v>kas9171@nyp.org</v>
          </cell>
          <cell r="L1476" t="str">
            <v>All Other:: Practitioner - Non-Primary Care Provider (PCP)</v>
          </cell>
          <cell r="M1476" t="str">
            <v>No</v>
          </cell>
          <cell r="R1476" t="str">
            <v>BANSAL RAJENDRA DR.</v>
          </cell>
          <cell r="W1476" t="str">
            <v>BANSAL RAJENDRA K          MD</v>
          </cell>
          <cell r="X1476" t="str">
            <v>105 STEVENS AVE</v>
          </cell>
          <cell r="Y1476" t="str">
            <v>MOUNT VERNON</v>
          </cell>
          <cell r="Z1476" t="str">
            <v>NY</v>
          </cell>
          <cell r="AA1476" t="str">
            <v>10550-2686</v>
          </cell>
          <cell r="AB1476" t="str">
            <v>PHYSICIAN</v>
          </cell>
          <cell r="AC1476" t="str">
            <v>M</v>
          </cell>
          <cell r="AD1476" t="str">
            <v>No</v>
          </cell>
          <cell r="AE1476" t="str">
            <v>MMIS</v>
          </cell>
          <cell r="AF1476" t="str">
            <v>nypwestacn</v>
          </cell>
          <cell r="AG1476" t="str">
            <v>P</v>
          </cell>
        </row>
        <row r="1477">
          <cell r="A1477" t="str">
            <v>1588682827</v>
          </cell>
          <cell r="B1477" t="str">
            <v>02379000</v>
          </cell>
          <cell r="C1477" t="str">
            <v>MULLIN, PAUL D</v>
          </cell>
          <cell r="D1477" t="str">
            <v>E0062214</v>
          </cell>
          <cell r="E1477" t="str">
            <v>MULLIN PAUL MD</v>
          </cell>
          <cell r="G1477" t="str">
            <v>Kathryn Spaziani</v>
          </cell>
          <cell r="H1477" t="str">
            <v>(212) 305-1190</v>
          </cell>
          <cell r="J1477" t="str">
            <v>kas9171@nyp.org</v>
          </cell>
          <cell r="L1477" t="str">
            <v>All Other:: Practitioner - Non-Primary Care Provider (PCP)</v>
          </cell>
          <cell r="M1477" t="str">
            <v>No</v>
          </cell>
          <cell r="R1477" t="str">
            <v>MULLIN PAUL</v>
          </cell>
          <cell r="W1477" t="str">
            <v>MULLIN PAUL MD</v>
          </cell>
          <cell r="X1477" t="str">
            <v>710 W 168TH ST</v>
          </cell>
          <cell r="Y1477" t="str">
            <v>NEW YORK</v>
          </cell>
          <cell r="Z1477" t="str">
            <v>NY</v>
          </cell>
          <cell r="AA1477" t="str">
            <v>10032-3726</v>
          </cell>
          <cell r="AB1477" t="str">
            <v>PHYSICIAN</v>
          </cell>
          <cell r="AC1477" t="str">
            <v>M</v>
          </cell>
          <cell r="AD1477" t="str">
            <v>No</v>
          </cell>
          <cell r="AE1477" t="str">
            <v>MMIS</v>
          </cell>
          <cell r="AF1477" t="str">
            <v>nypeastcampus</v>
          </cell>
          <cell r="AG1477" t="str">
            <v>P</v>
          </cell>
        </row>
        <row r="1478">
          <cell r="A1478" t="str">
            <v>1043335581</v>
          </cell>
          <cell r="B1478" t="str">
            <v>01810879</v>
          </cell>
          <cell r="C1478" t="str">
            <v>BIRT, ADRIANE R</v>
          </cell>
          <cell r="D1478" t="str">
            <v>E0118950</v>
          </cell>
          <cell r="E1478" t="str">
            <v>BIRT ADRIENNE R</v>
          </cell>
          <cell r="G1478" t="str">
            <v>Kathryn Spaziani</v>
          </cell>
          <cell r="H1478" t="str">
            <v>(212) 305-1190</v>
          </cell>
          <cell r="J1478" t="str">
            <v>kas9171@nyp.org</v>
          </cell>
          <cell r="L1478" t="str">
            <v>Uncategorized</v>
          </cell>
          <cell r="M1478" t="str">
            <v>No</v>
          </cell>
          <cell r="R1478" t="str">
            <v>BIRT ADRIANE DR.</v>
          </cell>
          <cell r="W1478" t="str">
            <v>BIRT ADRIENNE R</v>
          </cell>
          <cell r="X1478" t="str">
            <v>4588 BROADWAY FL 1</v>
          </cell>
          <cell r="Y1478" t="str">
            <v>NEW YORK</v>
          </cell>
          <cell r="Z1478" t="str">
            <v>NY</v>
          </cell>
          <cell r="AA1478" t="str">
            <v>10040-2101</v>
          </cell>
          <cell r="AB1478" t="str">
            <v>PHYSICIAN</v>
          </cell>
          <cell r="AC1478" t="str">
            <v>M</v>
          </cell>
          <cell r="AD1478" t="str">
            <v>No</v>
          </cell>
          <cell r="AE1478" t="str">
            <v>MMIS</v>
          </cell>
          <cell r="AF1478" t="str">
            <v>nypwestacn</v>
          </cell>
          <cell r="AG1478" t="str">
            <v>P</v>
          </cell>
        </row>
        <row r="1479">
          <cell r="A1479" t="str">
            <v>1801162870</v>
          </cell>
          <cell r="B1479" t="str">
            <v>04231985</v>
          </cell>
          <cell r="C1479" t="str">
            <v>THOMAS WALLACH</v>
          </cell>
          <cell r="D1479" t="str">
            <v>E0414657</v>
          </cell>
          <cell r="E1479" t="str">
            <v>WALLACH THOMAS EDWARD</v>
          </cell>
          <cell r="G1479" t="str">
            <v>Kathryn Spaziani</v>
          </cell>
          <cell r="H1479" t="str">
            <v>(212) 305-1190</v>
          </cell>
          <cell r="J1479" t="str">
            <v>kas9171@nyp.org</v>
          </cell>
          <cell r="L1479" t="str">
            <v>Practitioner - Non-Primary Care Provider (PCP)</v>
          </cell>
          <cell r="M1479" t="str">
            <v>No</v>
          </cell>
          <cell r="R1479" t="str">
            <v>WALLACH THOMAS DR.</v>
          </cell>
          <cell r="W1479" t="str">
            <v>WALLACH THOMAS EDWARD</v>
          </cell>
          <cell r="X1479" t="str">
            <v>150 55TH ST</v>
          </cell>
          <cell r="Y1479" t="str">
            <v>BROOKLYN</v>
          </cell>
          <cell r="Z1479" t="str">
            <v>NY</v>
          </cell>
          <cell r="AA1479" t="str">
            <v>11220-2508</v>
          </cell>
          <cell r="AB1479" t="str">
            <v>PHYSICIAN</v>
          </cell>
          <cell r="AC1479" t="str">
            <v>M</v>
          </cell>
          <cell r="AD1479" t="str">
            <v>No</v>
          </cell>
          <cell r="AE1479" t="str">
            <v>MMIS</v>
          </cell>
          <cell r="AF1479" t="str">
            <v>nypother</v>
          </cell>
          <cell r="AG1479" t="str">
            <v>P</v>
          </cell>
        </row>
        <row r="1480">
          <cell r="A1480" t="str">
            <v>1619219466</v>
          </cell>
          <cell r="C1480" t="str">
            <v>ASHISH ANKOLA</v>
          </cell>
          <cell r="G1480" t="str">
            <v>Kathryn Spaziani</v>
          </cell>
          <cell r="H1480" t="str">
            <v>(212) 305-1190</v>
          </cell>
          <cell r="J1480" t="str">
            <v>kas9171@nyp.org</v>
          </cell>
          <cell r="K1480" t="str">
            <v>Unknown</v>
          </cell>
          <cell r="L1480" t="str">
            <v>Uncategorized</v>
          </cell>
          <cell r="M1480" t="str">
            <v>No</v>
          </cell>
          <cell r="R1480" t="str">
            <v>ANKOLA ASHISH DR.</v>
          </cell>
          <cell r="S1480" t="str">
            <v>3959 BROADWAY</v>
          </cell>
          <cell r="T1480" t="str">
            <v>NEW YORK</v>
          </cell>
          <cell r="U1480" t="str">
            <v>NY</v>
          </cell>
          <cell r="V1480" t="str">
            <v>100321559</v>
          </cell>
          <cell r="AC1480" t="str">
            <v>M</v>
          </cell>
          <cell r="AD1480" t="str">
            <v>No</v>
          </cell>
          <cell r="AE1480" t="str">
            <v>NPI only</v>
          </cell>
          <cell r="AF1480" t="str">
            <v>nypwestcampus</v>
          </cell>
          <cell r="AG1480" t="str">
            <v>P</v>
          </cell>
        </row>
        <row r="1481">
          <cell r="A1481" t="str">
            <v>1831533124</v>
          </cell>
          <cell r="C1481" t="str">
            <v>ASHLEY BLANCHARD</v>
          </cell>
          <cell r="G1481" t="str">
            <v>Kathryn Spaziani</v>
          </cell>
          <cell r="H1481" t="str">
            <v>(212) 305-1190</v>
          </cell>
          <cell r="J1481" t="str">
            <v>kas9171@nyp.org</v>
          </cell>
          <cell r="K1481" t="str">
            <v>Unknown</v>
          </cell>
          <cell r="L1481" t="str">
            <v>Uncategorized</v>
          </cell>
          <cell r="M1481" t="str">
            <v>No</v>
          </cell>
          <cell r="R1481" t="str">
            <v>BLANCHARD ASHLEY DR.</v>
          </cell>
          <cell r="S1481" t="str">
            <v>3959 BROADWAY</v>
          </cell>
          <cell r="T1481" t="str">
            <v>NEW YORK</v>
          </cell>
          <cell r="U1481" t="str">
            <v>NY</v>
          </cell>
          <cell r="V1481" t="str">
            <v>100321559</v>
          </cell>
          <cell r="AC1481" t="str">
            <v>M</v>
          </cell>
          <cell r="AD1481" t="str">
            <v>No</v>
          </cell>
          <cell r="AE1481" t="str">
            <v>NPI only</v>
          </cell>
          <cell r="AF1481" t="str">
            <v>nypwestcampus</v>
          </cell>
          <cell r="AG1481" t="str">
            <v>P</v>
          </cell>
        </row>
        <row r="1482">
          <cell r="A1482" t="str">
            <v>1295170256</v>
          </cell>
          <cell r="B1482" t="str">
            <v>04377639</v>
          </cell>
          <cell r="C1482" t="str">
            <v>NISHA BROODIE</v>
          </cell>
          <cell r="D1482" t="str">
            <v>E0430191</v>
          </cell>
          <cell r="E1482" t="str">
            <v>BROODIE NISHA MONIQUE</v>
          </cell>
          <cell r="G1482" t="str">
            <v>Kathryn Spaziani</v>
          </cell>
          <cell r="H1482" t="str">
            <v>(212) 305-1190</v>
          </cell>
          <cell r="J1482" t="str">
            <v>kas9171@nyp.org</v>
          </cell>
          <cell r="L1482" t="str">
            <v>Practitioner - Non-Primary Care Provider (PCP)</v>
          </cell>
          <cell r="M1482" t="str">
            <v>No</v>
          </cell>
          <cell r="R1482" t="str">
            <v>BROODIE NISHA DR.</v>
          </cell>
          <cell r="W1482" t="str">
            <v>BROODIE NISHA MONIQUE</v>
          </cell>
          <cell r="X1482" t="str">
            <v>150 55TH ST</v>
          </cell>
          <cell r="Y1482" t="str">
            <v>BROOKLYN</v>
          </cell>
          <cell r="Z1482" t="str">
            <v>NY</v>
          </cell>
          <cell r="AA1482" t="str">
            <v>11220-2508</v>
          </cell>
          <cell r="AB1482" t="str">
            <v>PHYSICIAN</v>
          </cell>
          <cell r="AC1482" t="str">
            <v>M</v>
          </cell>
          <cell r="AD1482" t="str">
            <v>No</v>
          </cell>
          <cell r="AE1482" t="str">
            <v>MMIS</v>
          </cell>
          <cell r="AF1482" t="str">
            <v>nypwestcampus</v>
          </cell>
          <cell r="AG1482" t="str">
            <v>P</v>
          </cell>
        </row>
        <row r="1483">
          <cell r="A1483" t="str">
            <v>1396011540</v>
          </cell>
          <cell r="C1483" t="str">
            <v>WEE CHUA</v>
          </cell>
          <cell r="G1483" t="str">
            <v>Kathryn Spaziani</v>
          </cell>
          <cell r="H1483" t="str">
            <v>(212) 305-1190</v>
          </cell>
          <cell r="J1483" t="str">
            <v>kas9171@nyp.org</v>
          </cell>
          <cell r="K1483" t="str">
            <v>Unknown</v>
          </cell>
          <cell r="L1483" t="str">
            <v>Uncategorized</v>
          </cell>
          <cell r="M1483" t="str">
            <v>No</v>
          </cell>
          <cell r="R1483" t="str">
            <v>CHUA WEE JHONG DR.</v>
          </cell>
          <cell r="S1483" t="str">
            <v>622 W 168TH ST</v>
          </cell>
          <cell r="T1483" t="str">
            <v>NEW YORK</v>
          </cell>
          <cell r="U1483" t="str">
            <v>NY</v>
          </cell>
          <cell r="V1483" t="str">
            <v>100323720</v>
          </cell>
          <cell r="AC1483" t="str">
            <v>M</v>
          </cell>
          <cell r="AD1483" t="str">
            <v>No</v>
          </cell>
          <cell r="AE1483" t="str">
            <v>NPI only</v>
          </cell>
          <cell r="AF1483" t="str">
            <v>nypother</v>
          </cell>
          <cell r="AG1483" t="str">
            <v>P</v>
          </cell>
        </row>
        <row r="1484">
          <cell r="A1484" t="str">
            <v>1073879979</v>
          </cell>
          <cell r="C1484" t="str">
            <v>JENNIFER COHEN</v>
          </cell>
          <cell r="G1484" t="str">
            <v>Kathryn Spaziani</v>
          </cell>
          <cell r="H1484" t="str">
            <v>(212) 305-1190</v>
          </cell>
          <cell r="J1484" t="str">
            <v>kas9171@nyp.org</v>
          </cell>
          <cell r="K1484" t="str">
            <v>Unknown</v>
          </cell>
          <cell r="L1484" t="str">
            <v>Uncategorized</v>
          </cell>
          <cell r="M1484" t="str">
            <v>No</v>
          </cell>
          <cell r="R1484" t="str">
            <v>COHEN JENNIFER</v>
          </cell>
          <cell r="S1484" t="str">
            <v>630 W 168TH ST</v>
          </cell>
          <cell r="T1484" t="str">
            <v>NEW YORK</v>
          </cell>
          <cell r="U1484" t="str">
            <v>NY</v>
          </cell>
          <cell r="V1484" t="str">
            <v>100323725</v>
          </cell>
          <cell r="AC1484" t="str">
            <v>M</v>
          </cell>
          <cell r="AD1484" t="str">
            <v>No</v>
          </cell>
          <cell r="AE1484" t="str">
            <v>NPI only</v>
          </cell>
          <cell r="AF1484" t="str">
            <v>nypwestcampus</v>
          </cell>
          <cell r="AG1484" t="str">
            <v>P</v>
          </cell>
        </row>
        <row r="1485">
          <cell r="A1485" t="str">
            <v>1740624238</v>
          </cell>
          <cell r="B1485" t="str">
            <v>04428048</v>
          </cell>
          <cell r="C1485" t="str">
            <v>POOJA DESAI</v>
          </cell>
          <cell r="D1485" t="str">
            <v>E0435384</v>
          </cell>
          <cell r="E1485" t="str">
            <v>DESAI POOJA J</v>
          </cell>
          <cell r="G1485" t="str">
            <v>Kathryn Spaziani</v>
          </cell>
          <cell r="H1485" t="str">
            <v>(212) 305-1190</v>
          </cell>
          <cell r="J1485" t="str">
            <v>kas9171@nyp.org</v>
          </cell>
          <cell r="L1485" t="str">
            <v>Uncategorized</v>
          </cell>
          <cell r="M1485" t="str">
            <v>No</v>
          </cell>
          <cell r="R1485" t="str">
            <v>DESAI POOJA DR.</v>
          </cell>
          <cell r="W1485" t="str">
            <v>DESAI POOJA J</v>
          </cell>
          <cell r="X1485" t="str">
            <v>3959 BROADWAY</v>
          </cell>
          <cell r="Y1485" t="str">
            <v>NEW YORK</v>
          </cell>
          <cell r="Z1485" t="str">
            <v>NY</v>
          </cell>
          <cell r="AA1485" t="str">
            <v>10032-1559</v>
          </cell>
          <cell r="AB1485" t="str">
            <v>PHYSICIAN</v>
          </cell>
          <cell r="AC1485" t="str">
            <v>M</v>
          </cell>
          <cell r="AD1485" t="str">
            <v>No</v>
          </cell>
          <cell r="AE1485" t="str">
            <v>MMIS</v>
          </cell>
          <cell r="AF1485" t="str">
            <v>nypwestcampus</v>
          </cell>
          <cell r="AG1485" t="str">
            <v>P</v>
          </cell>
        </row>
        <row r="1486">
          <cell r="A1486" t="str">
            <v>1457610875</v>
          </cell>
          <cell r="C1486" t="str">
            <v>KENNETH MCKINLEY</v>
          </cell>
          <cell r="G1486" t="str">
            <v>Kathryn Spaziani</v>
          </cell>
          <cell r="H1486" t="str">
            <v>(212) 305-1190</v>
          </cell>
          <cell r="J1486" t="str">
            <v>kas9171@nyp.org</v>
          </cell>
          <cell r="K1486" t="str">
            <v>Unknown</v>
          </cell>
          <cell r="L1486" t="str">
            <v>Uncategorized</v>
          </cell>
          <cell r="M1486" t="str">
            <v>No</v>
          </cell>
          <cell r="R1486" t="str">
            <v>MCKINLEY KENNETH</v>
          </cell>
          <cell r="S1486" t="str">
            <v>625 W 169TH ST, APT 42-C</v>
          </cell>
          <cell r="T1486" t="str">
            <v>NEW YORK</v>
          </cell>
          <cell r="U1486" t="str">
            <v>NY</v>
          </cell>
          <cell r="V1486" t="str">
            <v>100322916</v>
          </cell>
          <cell r="AC1486" t="str">
            <v>M</v>
          </cell>
          <cell r="AD1486" t="str">
            <v>No</v>
          </cell>
          <cell r="AE1486" t="str">
            <v>NPI only</v>
          </cell>
          <cell r="AF1486" t="str">
            <v>nypwestcampus</v>
          </cell>
          <cell r="AG1486" t="str">
            <v>P</v>
          </cell>
        </row>
        <row r="1487">
          <cell r="A1487" t="str">
            <v>1548536527</v>
          </cell>
          <cell r="C1487" t="str">
            <v>ANDREW WEHRMAN</v>
          </cell>
          <cell r="G1487" t="str">
            <v>Kathryn Spaziani</v>
          </cell>
          <cell r="H1487" t="str">
            <v>(212) 305-1190</v>
          </cell>
          <cell r="J1487" t="str">
            <v>kas9171@nyp.org</v>
          </cell>
          <cell r="K1487" t="str">
            <v>Unknown</v>
          </cell>
          <cell r="L1487" t="str">
            <v>Uncategorized</v>
          </cell>
          <cell r="M1487" t="str">
            <v>No</v>
          </cell>
          <cell r="R1487" t="str">
            <v>WEHRMAN ANDREW</v>
          </cell>
          <cell r="S1487" t="str">
            <v>630 W 168TH ST, CHN 517</v>
          </cell>
          <cell r="T1487" t="str">
            <v>NEW YORK</v>
          </cell>
          <cell r="U1487" t="str">
            <v>NY</v>
          </cell>
          <cell r="V1487" t="str">
            <v>100323725</v>
          </cell>
          <cell r="AC1487" t="str">
            <v>M</v>
          </cell>
          <cell r="AD1487" t="str">
            <v>No</v>
          </cell>
          <cell r="AE1487" t="str">
            <v>NPI only</v>
          </cell>
          <cell r="AF1487" t="str">
            <v>nypother</v>
          </cell>
          <cell r="AG1487" t="str">
            <v>P</v>
          </cell>
        </row>
        <row r="1488">
          <cell r="A1488" t="str">
            <v>1215356241</v>
          </cell>
          <cell r="C1488" t="str">
            <v>ALEXANDER ABRAMOWICZ</v>
          </cell>
          <cell r="G1488" t="str">
            <v>Kathryn Spaziani</v>
          </cell>
          <cell r="H1488" t="str">
            <v>(212) 305-1190</v>
          </cell>
          <cell r="J1488" t="str">
            <v>kas9171@nyp.org</v>
          </cell>
          <cell r="K1488" t="str">
            <v>Unknown</v>
          </cell>
          <cell r="L1488" t="str">
            <v>Uncategorized</v>
          </cell>
          <cell r="M1488" t="str">
            <v>No</v>
          </cell>
          <cell r="R1488" t="str">
            <v>ABRAMOWICZ ALEXANDER</v>
          </cell>
          <cell r="S1488" t="str">
            <v>505 E 70TH ST, WEILL CORNELL INTERNAL MEDICINE ASSOCIATES</v>
          </cell>
          <cell r="T1488" t="str">
            <v>NEW YORK</v>
          </cell>
          <cell r="U1488" t="str">
            <v>NY</v>
          </cell>
          <cell r="V1488" t="str">
            <v>100214872</v>
          </cell>
          <cell r="AC1488" t="str">
            <v>M</v>
          </cell>
          <cell r="AD1488" t="str">
            <v>No</v>
          </cell>
          <cell r="AE1488" t="str">
            <v>NPI only</v>
          </cell>
          <cell r="AF1488" t="str">
            <v>nypeastcampus</v>
          </cell>
          <cell r="AG1488" t="str">
            <v>P</v>
          </cell>
        </row>
        <row r="1489">
          <cell r="A1489" t="str">
            <v>1710243779</v>
          </cell>
          <cell r="C1489" t="str">
            <v>SARAH ADKINS</v>
          </cell>
          <cell r="G1489" t="str">
            <v>Kathryn Spaziani</v>
          </cell>
          <cell r="H1489" t="str">
            <v>(212) 305-1190</v>
          </cell>
          <cell r="J1489" t="str">
            <v>kas9171@nyp.org</v>
          </cell>
          <cell r="K1489" t="str">
            <v>Unknown</v>
          </cell>
          <cell r="L1489" t="str">
            <v>Uncategorized</v>
          </cell>
          <cell r="M1489" t="str">
            <v>No</v>
          </cell>
          <cell r="R1489" t="str">
            <v>ADKINS SARAH DR.</v>
          </cell>
          <cell r="S1489" t="str">
            <v>505 EAST 70TH STREET, WEILL CORNELL INTERNAL MEDICINE ASSOCIATES</v>
          </cell>
          <cell r="T1489" t="str">
            <v>NEW YORK</v>
          </cell>
          <cell r="U1489" t="str">
            <v>NY</v>
          </cell>
          <cell r="V1489" t="str">
            <v>10021</v>
          </cell>
          <cell r="AC1489" t="str">
            <v>M</v>
          </cell>
          <cell r="AD1489" t="str">
            <v>No</v>
          </cell>
          <cell r="AE1489" t="str">
            <v>NPI only</v>
          </cell>
          <cell r="AF1489" t="str">
            <v>nypother</v>
          </cell>
          <cell r="AG1489" t="str">
            <v>P</v>
          </cell>
        </row>
        <row r="1490">
          <cell r="A1490" t="str">
            <v>1356768253</v>
          </cell>
          <cell r="C1490" t="str">
            <v>MICHAEL ALEXANDER</v>
          </cell>
          <cell r="G1490" t="str">
            <v>Kathryn Spaziani</v>
          </cell>
          <cell r="H1490" t="str">
            <v>(212) 305-1190</v>
          </cell>
          <cell r="J1490" t="str">
            <v>kas9171@nyp.org</v>
          </cell>
          <cell r="K1490" t="str">
            <v>Unknown</v>
          </cell>
          <cell r="L1490" t="str">
            <v>Uncategorized</v>
          </cell>
          <cell r="M1490" t="str">
            <v>No</v>
          </cell>
          <cell r="R1490" t="str">
            <v>ALEXANDER MICHAEL</v>
          </cell>
          <cell r="S1490" t="str">
            <v>505 E 70TH ST, WEILL CORNELL INTERNAL MEDICINE ASSOCIATES</v>
          </cell>
          <cell r="T1490" t="str">
            <v>NEW YORK</v>
          </cell>
          <cell r="U1490" t="str">
            <v>NY</v>
          </cell>
          <cell r="V1490" t="str">
            <v>100214872</v>
          </cell>
          <cell r="AC1490" t="str">
            <v>M</v>
          </cell>
          <cell r="AD1490" t="str">
            <v>No</v>
          </cell>
          <cell r="AE1490" t="str">
            <v>NPI only</v>
          </cell>
          <cell r="AF1490" t="str">
            <v>nypeastcampus</v>
          </cell>
          <cell r="AG1490" t="str">
            <v>P</v>
          </cell>
        </row>
        <row r="1491">
          <cell r="A1491" t="str">
            <v>1497194047</v>
          </cell>
          <cell r="C1491" t="str">
            <v>KHAWIA ALI</v>
          </cell>
          <cell r="G1491" t="str">
            <v>Kathryn Spaziani</v>
          </cell>
          <cell r="H1491" t="str">
            <v>(212) 305-1190</v>
          </cell>
          <cell r="J1491" t="str">
            <v>kas9171@nyp.org</v>
          </cell>
          <cell r="K1491" t="str">
            <v>Unknown</v>
          </cell>
          <cell r="L1491" t="str">
            <v>Uncategorized</v>
          </cell>
          <cell r="M1491" t="str">
            <v>No</v>
          </cell>
          <cell r="R1491" t="str">
            <v>ALI KHAWLA MS.</v>
          </cell>
          <cell r="S1491" t="str">
            <v>505 E 70TH ST, WEILL CORNELL INTERNAL MEDICINE ASSOCIATES</v>
          </cell>
          <cell r="T1491" t="str">
            <v>NEW YORK</v>
          </cell>
          <cell r="U1491" t="str">
            <v>NY</v>
          </cell>
          <cell r="V1491" t="str">
            <v>100214872</v>
          </cell>
          <cell r="AC1491" t="str">
            <v>M</v>
          </cell>
          <cell r="AD1491" t="str">
            <v>No</v>
          </cell>
          <cell r="AE1491" t="str">
            <v>NPI only</v>
          </cell>
          <cell r="AF1491" t="str">
            <v>nypeastcampus</v>
          </cell>
          <cell r="AG1491" t="str">
            <v>P</v>
          </cell>
        </row>
        <row r="1492">
          <cell r="A1492" t="str">
            <v>1265795140</v>
          </cell>
          <cell r="C1492" t="str">
            <v>MOHAMED AL-KAZAZ</v>
          </cell>
          <cell r="G1492" t="str">
            <v>Kathryn Spaziani</v>
          </cell>
          <cell r="H1492" t="str">
            <v>(212) 305-1190</v>
          </cell>
          <cell r="J1492" t="str">
            <v>kas9171@nyp.org</v>
          </cell>
          <cell r="K1492" t="str">
            <v>Unknown</v>
          </cell>
          <cell r="L1492" t="str">
            <v>Uncategorized</v>
          </cell>
          <cell r="M1492" t="str">
            <v>No</v>
          </cell>
          <cell r="R1492" t="str">
            <v>AL-KAZAZ MOHAMED DR.</v>
          </cell>
          <cell r="S1492" t="str">
            <v>1190 FIFTH AVENUE, GP1-CENTER, THE LAUDER FAMILY CARDIOVASCULAR AMBULATORY CENTER</v>
          </cell>
          <cell r="T1492" t="str">
            <v>NEW YORK</v>
          </cell>
          <cell r="U1492" t="str">
            <v>NY</v>
          </cell>
          <cell r="V1492" t="str">
            <v>100296574</v>
          </cell>
          <cell r="AC1492" t="str">
            <v>M</v>
          </cell>
          <cell r="AD1492" t="str">
            <v>No</v>
          </cell>
          <cell r="AE1492" t="str">
            <v>NPI only</v>
          </cell>
          <cell r="AF1492" t="str">
            <v>nypother</v>
          </cell>
          <cell r="AG1492" t="str">
            <v>P</v>
          </cell>
        </row>
        <row r="1493">
          <cell r="A1493" t="str">
            <v>1518372754</v>
          </cell>
          <cell r="C1493" t="str">
            <v>ZAID ALMARZOOQ</v>
          </cell>
          <cell r="G1493" t="str">
            <v>Kathryn Spaziani</v>
          </cell>
          <cell r="H1493" t="str">
            <v>(212) 305-1190</v>
          </cell>
          <cell r="J1493" t="str">
            <v>kas9171@nyp.org</v>
          </cell>
          <cell r="K1493" t="str">
            <v>Unknown</v>
          </cell>
          <cell r="L1493" t="str">
            <v>Uncategorized</v>
          </cell>
          <cell r="M1493" t="str">
            <v>No</v>
          </cell>
          <cell r="R1493" t="str">
            <v>ALMARZOOQ ZAID DR.</v>
          </cell>
          <cell r="S1493" t="str">
            <v>505 EAST 70 STREET, WEILL CORNELL INTERNAL MEDICINE ASSOCIATES</v>
          </cell>
          <cell r="T1493" t="str">
            <v>NEW YORK</v>
          </cell>
          <cell r="U1493" t="str">
            <v>NY</v>
          </cell>
          <cell r="V1493" t="str">
            <v>10021</v>
          </cell>
          <cell r="AC1493" t="str">
            <v>M</v>
          </cell>
          <cell r="AD1493" t="str">
            <v>No</v>
          </cell>
          <cell r="AE1493" t="str">
            <v>NPI only</v>
          </cell>
          <cell r="AF1493" t="str">
            <v>nypeastcampus</v>
          </cell>
          <cell r="AG1493" t="str">
            <v>P</v>
          </cell>
        </row>
        <row r="1494">
          <cell r="A1494" t="str">
            <v>1376885905</v>
          </cell>
          <cell r="C1494" t="str">
            <v>ANIKA ANAM</v>
          </cell>
          <cell r="G1494" t="str">
            <v>Kathryn Spaziani</v>
          </cell>
          <cell r="H1494" t="str">
            <v>(212) 305-1190</v>
          </cell>
          <cell r="J1494" t="str">
            <v>kas9171@nyp.org</v>
          </cell>
          <cell r="K1494" t="str">
            <v>Unknown</v>
          </cell>
          <cell r="L1494" t="str">
            <v>Uncategorized</v>
          </cell>
          <cell r="M1494" t="str">
            <v>No</v>
          </cell>
          <cell r="R1494" t="str">
            <v>ANAM ANIKA</v>
          </cell>
          <cell r="S1494" t="str">
            <v>505 EAST 70TH STREET, WEILL CORNELL INTERNAL MEDICINE ASSOCIATES</v>
          </cell>
          <cell r="T1494" t="str">
            <v>NEW YORK</v>
          </cell>
          <cell r="U1494" t="str">
            <v>NY</v>
          </cell>
          <cell r="V1494" t="str">
            <v>10021</v>
          </cell>
          <cell r="AC1494" t="str">
            <v>M</v>
          </cell>
          <cell r="AD1494" t="str">
            <v>No</v>
          </cell>
          <cell r="AE1494" t="str">
            <v>NPI only</v>
          </cell>
          <cell r="AF1494" t="str">
            <v>nypeastcampus</v>
          </cell>
          <cell r="AG1494" t="str">
            <v>P</v>
          </cell>
        </row>
        <row r="1495">
          <cell r="A1495" t="str">
            <v>1508284217</v>
          </cell>
          <cell r="C1495" t="str">
            <v>KAYLEY ANCY</v>
          </cell>
          <cell r="G1495" t="str">
            <v>Kathryn Spaziani</v>
          </cell>
          <cell r="H1495" t="str">
            <v>(212) 305-1190</v>
          </cell>
          <cell r="J1495" t="str">
            <v>kas9171@nyp.org</v>
          </cell>
          <cell r="K1495" t="str">
            <v>Unknown</v>
          </cell>
          <cell r="L1495" t="str">
            <v>Uncategorized</v>
          </cell>
          <cell r="M1495" t="str">
            <v>No</v>
          </cell>
          <cell r="R1495" t="str">
            <v>ANCY KAYLEY</v>
          </cell>
          <cell r="S1495" t="str">
            <v>505 E 70TH ST, WEILL CORNELL INTERNAL MEDICINE ASSOCIATES</v>
          </cell>
          <cell r="T1495" t="str">
            <v>NEW YORK</v>
          </cell>
          <cell r="U1495" t="str">
            <v>NY</v>
          </cell>
          <cell r="V1495" t="str">
            <v>100214872</v>
          </cell>
          <cell r="AC1495" t="str">
            <v>M</v>
          </cell>
          <cell r="AD1495" t="str">
            <v>No</v>
          </cell>
          <cell r="AE1495" t="str">
            <v>NPI only</v>
          </cell>
          <cell r="AF1495" t="str">
            <v>nypeastcampus</v>
          </cell>
          <cell r="AG1495" t="str">
            <v>P</v>
          </cell>
        </row>
        <row r="1496">
          <cell r="A1496" t="str">
            <v>1619210648</v>
          </cell>
          <cell r="B1496" t="str">
            <v>04508343</v>
          </cell>
          <cell r="C1496" t="str">
            <v>STACY LEE ANDERSON</v>
          </cell>
          <cell r="D1496" t="str">
            <v>E0443511</v>
          </cell>
          <cell r="E1496" t="str">
            <v>ANDERSON STACY LEE</v>
          </cell>
          <cell r="G1496" t="str">
            <v>Kathryn Spaziani</v>
          </cell>
          <cell r="H1496" t="str">
            <v>(212) 305-1190</v>
          </cell>
          <cell r="J1496" t="str">
            <v>kas9171@nyp.org</v>
          </cell>
          <cell r="L1496" t="str">
            <v>Uncategorized</v>
          </cell>
          <cell r="M1496" t="str">
            <v>No</v>
          </cell>
          <cell r="R1496" t="str">
            <v>ANDERSON STACY MRS.</v>
          </cell>
          <cell r="W1496" t="str">
            <v>ANDERSON STACY LEE</v>
          </cell>
          <cell r="AB1496" t="str">
            <v>PHYSICIAN</v>
          </cell>
          <cell r="AC1496" t="str">
            <v>M</v>
          </cell>
          <cell r="AD1496" t="str">
            <v>No</v>
          </cell>
          <cell r="AE1496" t="str">
            <v>MMIS</v>
          </cell>
          <cell r="AF1496" t="str">
            <v>nypeastcampus</v>
          </cell>
          <cell r="AG1496" t="str">
            <v>P</v>
          </cell>
        </row>
        <row r="1497">
          <cell r="A1497" t="str">
            <v>1134461338</v>
          </cell>
          <cell r="C1497" t="str">
            <v>CAROLINE ANDREW</v>
          </cell>
          <cell r="G1497" t="str">
            <v>Kathryn Spaziani</v>
          </cell>
          <cell r="H1497" t="str">
            <v>(212) 305-1190</v>
          </cell>
          <cell r="J1497" t="str">
            <v>kas9171@nyp.org</v>
          </cell>
          <cell r="K1497" t="str">
            <v>Unknown</v>
          </cell>
          <cell r="L1497" t="str">
            <v>Uncategorized</v>
          </cell>
          <cell r="M1497" t="str">
            <v>No</v>
          </cell>
          <cell r="R1497" t="str">
            <v>ANDREW CAROLINE</v>
          </cell>
          <cell r="S1497" t="str">
            <v>505 E 70TH ST, WEILL CORNELL INTERNAL MEDICINE ASSOCIATES</v>
          </cell>
          <cell r="T1497" t="str">
            <v>NEW YORK</v>
          </cell>
          <cell r="U1497" t="str">
            <v>NY</v>
          </cell>
          <cell r="V1497" t="str">
            <v>100214872</v>
          </cell>
          <cell r="AC1497" t="str">
            <v>M</v>
          </cell>
          <cell r="AD1497" t="str">
            <v>No</v>
          </cell>
          <cell r="AE1497" t="str">
            <v>NPI only</v>
          </cell>
          <cell r="AF1497" t="str">
            <v>nypeastcampus</v>
          </cell>
          <cell r="AG1497" t="str">
            <v>P</v>
          </cell>
        </row>
        <row r="1498">
          <cell r="A1498" t="str">
            <v>1295093508</v>
          </cell>
          <cell r="B1498" t="str">
            <v>04231036</v>
          </cell>
          <cell r="C1498" t="str">
            <v>MOHINI ARAS</v>
          </cell>
          <cell r="D1498" t="str">
            <v>E0415076</v>
          </cell>
          <cell r="E1498" t="str">
            <v>ARAS MOHINI</v>
          </cell>
          <cell r="G1498" t="str">
            <v>Kathryn Spaziani</v>
          </cell>
          <cell r="H1498" t="str">
            <v>(212) 305-1190</v>
          </cell>
          <cell r="J1498" t="str">
            <v>kas9171@nyp.org</v>
          </cell>
          <cell r="L1498" t="str">
            <v>Practitioner - Non-Primary Care Provider (PCP)</v>
          </cell>
          <cell r="M1498" t="str">
            <v>No</v>
          </cell>
          <cell r="R1498" t="str">
            <v>ARAS MOHINI</v>
          </cell>
          <cell r="W1498" t="str">
            <v>ARAS MOHINI</v>
          </cell>
          <cell r="X1498" t="str">
            <v>525 E 68TH 5TH FL</v>
          </cell>
          <cell r="Y1498" t="str">
            <v>NEW YORK</v>
          </cell>
          <cell r="Z1498" t="str">
            <v>NY</v>
          </cell>
          <cell r="AA1498" t="str">
            <v>10065-0000</v>
          </cell>
          <cell r="AB1498" t="str">
            <v>PHYSICIAN</v>
          </cell>
          <cell r="AC1498" t="str">
            <v>M</v>
          </cell>
          <cell r="AD1498" t="str">
            <v>No</v>
          </cell>
          <cell r="AE1498" t="str">
            <v>MMIS</v>
          </cell>
          <cell r="AF1498" t="str">
            <v>nypeastcampus</v>
          </cell>
          <cell r="AG1498" t="str">
            <v>P</v>
          </cell>
        </row>
        <row r="1499">
          <cell r="A1499" t="str">
            <v>1689940892</v>
          </cell>
          <cell r="B1499" t="str">
            <v>04210106</v>
          </cell>
          <cell r="C1499" t="str">
            <v>KERRI ARONSON</v>
          </cell>
          <cell r="D1499" t="str">
            <v>E0412987</v>
          </cell>
          <cell r="E1499" t="str">
            <v>ARONSON KERRI</v>
          </cell>
          <cell r="G1499" t="str">
            <v>Kathryn Spaziani</v>
          </cell>
          <cell r="H1499" t="str">
            <v>(212) 305-1190</v>
          </cell>
          <cell r="J1499" t="str">
            <v>kas9171@nyp.org</v>
          </cell>
          <cell r="L1499" t="str">
            <v>Practitioner - Non-Primary Care Provider (PCP)</v>
          </cell>
          <cell r="M1499" t="str">
            <v>No</v>
          </cell>
          <cell r="R1499" t="str">
            <v>ARONSON KERRI</v>
          </cell>
          <cell r="W1499" t="str">
            <v>ARONSON KERRI</v>
          </cell>
          <cell r="X1499" t="str">
            <v>525 E 68TH ST # 5</v>
          </cell>
          <cell r="Y1499" t="str">
            <v>NEW YORK</v>
          </cell>
          <cell r="Z1499" t="str">
            <v>NY</v>
          </cell>
          <cell r="AA1499" t="str">
            <v>10065-4870</v>
          </cell>
          <cell r="AB1499" t="str">
            <v>PHYSICIAN</v>
          </cell>
          <cell r="AC1499" t="str">
            <v>M</v>
          </cell>
          <cell r="AD1499" t="str">
            <v>No</v>
          </cell>
          <cell r="AE1499" t="str">
            <v>MMIS</v>
          </cell>
          <cell r="AF1499" t="str">
            <v>nypeastcampus</v>
          </cell>
          <cell r="AG1499" t="str">
            <v>P</v>
          </cell>
        </row>
        <row r="1500">
          <cell r="A1500" t="str">
            <v>1104168657</v>
          </cell>
          <cell r="C1500" t="str">
            <v>ASHLEY BEECY</v>
          </cell>
          <cell r="G1500" t="str">
            <v>Kathryn Spaziani</v>
          </cell>
          <cell r="H1500" t="str">
            <v>(212) 305-1190</v>
          </cell>
          <cell r="J1500" t="str">
            <v>kas9171@nyp.org</v>
          </cell>
          <cell r="K1500" t="str">
            <v>Unknown</v>
          </cell>
          <cell r="L1500" t="str">
            <v>Uncategorized</v>
          </cell>
          <cell r="M1500" t="str">
            <v>No</v>
          </cell>
          <cell r="R1500" t="str">
            <v>BEECY ASHLEY</v>
          </cell>
          <cell r="S1500" t="str">
            <v>505 E 70TH ST, WEILL CORNELL INTERNAL MEDICINE ASSOCIATES</v>
          </cell>
          <cell r="T1500" t="str">
            <v>NEW YORK</v>
          </cell>
          <cell r="U1500" t="str">
            <v>NY</v>
          </cell>
          <cell r="V1500" t="str">
            <v>100214872</v>
          </cell>
          <cell r="AC1500" t="str">
            <v>M</v>
          </cell>
          <cell r="AD1500" t="str">
            <v>No</v>
          </cell>
          <cell r="AE1500" t="str">
            <v>NPI only</v>
          </cell>
          <cell r="AF1500" t="str">
            <v>nypeastcampus</v>
          </cell>
          <cell r="AG1500" t="str">
            <v>P</v>
          </cell>
        </row>
        <row r="1501">
          <cell r="A1501" t="str">
            <v>1922364082</v>
          </cell>
          <cell r="C1501" t="str">
            <v>SHEILA BHARMAL</v>
          </cell>
          <cell r="G1501" t="str">
            <v>Kathryn Spaziani</v>
          </cell>
          <cell r="H1501" t="str">
            <v>(212) 305-1190</v>
          </cell>
          <cell r="J1501" t="str">
            <v>kas9171@nyp.org</v>
          </cell>
          <cell r="K1501" t="str">
            <v>Unknown</v>
          </cell>
          <cell r="L1501" t="str">
            <v>Uncategorized</v>
          </cell>
          <cell r="M1501" t="str">
            <v>No</v>
          </cell>
          <cell r="R1501" t="str">
            <v>BHARMAL SHEILA MS.</v>
          </cell>
          <cell r="S1501" t="str">
            <v>505 E 70TH ST</v>
          </cell>
          <cell r="T1501" t="str">
            <v>NEW YORK</v>
          </cell>
          <cell r="U1501" t="str">
            <v>NY</v>
          </cell>
          <cell r="V1501" t="str">
            <v>100214872</v>
          </cell>
          <cell r="AC1501" t="str">
            <v>M</v>
          </cell>
          <cell r="AD1501" t="str">
            <v>No</v>
          </cell>
          <cell r="AE1501" t="str">
            <v>NPI only</v>
          </cell>
          <cell r="AF1501" t="str">
            <v>nypother</v>
          </cell>
          <cell r="AG1501" t="str">
            <v>P</v>
          </cell>
        </row>
        <row r="1502">
          <cell r="A1502" t="str">
            <v>1750709168</v>
          </cell>
          <cell r="C1502" t="str">
            <v>HARPREET BHATIA</v>
          </cell>
          <cell r="G1502" t="str">
            <v>Kathryn Spaziani</v>
          </cell>
          <cell r="H1502" t="str">
            <v>(212) 305-1190</v>
          </cell>
          <cell r="J1502" t="str">
            <v>kas9171@nyp.org</v>
          </cell>
          <cell r="K1502" t="str">
            <v>Unknown</v>
          </cell>
          <cell r="L1502" t="str">
            <v>Uncategorized</v>
          </cell>
          <cell r="M1502" t="str">
            <v>No</v>
          </cell>
          <cell r="R1502" t="str">
            <v>BHATIA HARPREET</v>
          </cell>
          <cell r="S1502" t="str">
            <v>505 E 70TH ST</v>
          </cell>
          <cell r="T1502" t="str">
            <v>NEW YORK</v>
          </cell>
          <cell r="U1502" t="str">
            <v>NY</v>
          </cell>
          <cell r="V1502" t="str">
            <v>100214872</v>
          </cell>
          <cell r="AC1502" t="str">
            <v>M</v>
          </cell>
          <cell r="AD1502" t="str">
            <v>No</v>
          </cell>
          <cell r="AE1502" t="str">
            <v>NPI only</v>
          </cell>
          <cell r="AF1502" t="str">
            <v>nypeastcampus</v>
          </cell>
          <cell r="AG1502" t="str">
            <v>P</v>
          </cell>
        </row>
        <row r="1503">
          <cell r="A1503" t="str">
            <v>1285052423</v>
          </cell>
          <cell r="C1503" t="str">
            <v>AGATA BIELSKA</v>
          </cell>
          <cell r="G1503" t="str">
            <v>Kathryn Spaziani</v>
          </cell>
          <cell r="H1503" t="str">
            <v>(212) 305-1190</v>
          </cell>
          <cell r="J1503" t="str">
            <v>kas9171@nyp.org</v>
          </cell>
          <cell r="K1503" t="str">
            <v>Unknown</v>
          </cell>
          <cell r="L1503" t="str">
            <v>Uncategorized</v>
          </cell>
          <cell r="M1503" t="str">
            <v>No</v>
          </cell>
          <cell r="R1503" t="str">
            <v>BIELSKA AGATA</v>
          </cell>
          <cell r="S1503" t="str">
            <v>505 E 70TH ST, WEILL CORNELL INTERNAL MEDICINE ASSOCIATES</v>
          </cell>
          <cell r="T1503" t="str">
            <v>NEW YORK</v>
          </cell>
          <cell r="U1503" t="str">
            <v>NY</v>
          </cell>
          <cell r="V1503" t="str">
            <v>100214872</v>
          </cell>
          <cell r="AC1503" t="str">
            <v>M</v>
          </cell>
          <cell r="AD1503" t="str">
            <v>No</v>
          </cell>
          <cell r="AE1503" t="str">
            <v>NPI only</v>
          </cell>
          <cell r="AF1503" t="str">
            <v>nypeastcampus</v>
          </cell>
          <cell r="AG1503" t="str">
            <v>P</v>
          </cell>
        </row>
        <row r="1504">
          <cell r="A1504" t="str">
            <v>1104245885</v>
          </cell>
          <cell r="C1504" t="str">
            <v>CHRISTOPHER BROWN</v>
          </cell>
          <cell r="G1504" t="str">
            <v>Kathryn Spaziani</v>
          </cell>
          <cell r="H1504" t="str">
            <v>(212) 305-1190</v>
          </cell>
          <cell r="J1504" t="str">
            <v>kas9171@nyp.org</v>
          </cell>
          <cell r="K1504" t="str">
            <v>Unknown</v>
          </cell>
          <cell r="L1504" t="str">
            <v>Uncategorized</v>
          </cell>
          <cell r="M1504" t="str">
            <v>No</v>
          </cell>
          <cell r="R1504" t="str">
            <v>BROWN CHRISTOPHER</v>
          </cell>
          <cell r="S1504" t="str">
            <v>505 E 70TH ST</v>
          </cell>
          <cell r="T1504" t="str">
            <v>NEW YORK</v>
          </cell>
          <cell r="U1504" t="str">
            <v>NY</v>
          </cell>
          <cell r="V1504" t="str">
            <v>100214872</v>
          </cell>
          <cell r="AC1504" t="str">
            <v>M</v>
          </cell>
          <cell r="AD1504" t="str">
            <v>No</v>
          </cell>
          <cell r="AE1504" t="str">
            <v>NPI only</v>
          </cell>
          <cell r="AF1504" t="str">
            <v>nypeastcampus</v>
          </cell>
          <cell r="AG1504" t="str">
            <v>P</v>
          </cell>
        </row>
        <row r="1505">
          <cell r="A1505" t="str">
            <v>1366860199</v>
          </cell>
          <cell r="C1505" t="str">
            <v>CHRISTINA CHAI</v>
          </cell>
          <cell r="G1505" t="str">
            <v>Kathryn Spaziani</v>
          </cell>
          <cell r="H1505" t="str">
            <v>(212) 305-1190</v>
          </cell>
          <cell r="J1505" t="str">
            <v>kas9171@nyp.org</v>
          </cell>
          <cell r="K1505" t="str">
            <v>Unknown</v>
          </cell>
          <cell r="L1505" t="str">
            <v>Uncategorized</v>
          </cell>
          <cell r="M1505" t="str">
            <v>No</v>
          </cell>
          <cell r="R1505" t="str">
            <v>CHAI CHRISTINA</v>
          </cell>
          <cell r="S1505" t="str">
            <v>505 E 70TH ST</v>
          </cell>
          <cell r="T1505" t="str">
            <v>NEW YORK</v>
          </cell>
          <cell r="U1505" t="str">
            <v>NY</v>
          </cell>
          <cell r="V1505" t="str">
            <v>100214872</v>
          </cell>
          <cell r="AC1505" t="str">
            <v>M</v>
          </cell>
          <cell r="AD1505" t="str">
            <v>No</v>
          </cell>
          <cell r="AE1505" t="str">
            <v>NPI only</v>
          </cell>
          <cell r="AF1505" t="str">
            <v>nypeastcampus</v>
          </cell>
          <cell r="AG1505" t="str">
            <v>P</v>
          </cell>
        </row>
        <row r="1506">
          <cell r="A1506" t="str">
            <v>1942566997</v>
          </cell>
          <cell r="C1506" t="str">
            <v>ERICA CHU</v>
          </cell>
          <cell r="G1506" t="str">
            <v>Kathryn Spaziani</v>
          </cell>
          <cell r="H1506" t="str">
            <v>(212) 305-1190</v>
          </cell>
          <cell r="J1506" t="str">
            <v>kas9171@nyp.org</v>
          </cell>
          <cell r="K1506" t="str">
            <v>Unknown</v>
          </cell>
          <cell r="L1506" t="str">
            <v>Uncategorized</v>
          </cell>
          <cell r="M1506" t="str">
            <v>No</v>
          </cell>
          <cell r="R1506" t="str">
            <v>CHU ERICA</v>
          </cell>
          <cell r="S1506" t="str">
            <v>505 EAST 70TH STREET, WEILL CORNELL INTERNAL MEDICINE ASSOCIATES</v>
          </cell>
          <cell r="T1506" t="str">
            <v>NEW YORK</v>
          </cell>
          <cell r="U1506" t="str">
            <v>NY</v>
          </cell>
          <cell r="V1506" t="str">
            <v>100214872</v>
          </cell>
          <cell r="AC1506" t="str">
            <v>M</v>
          </cell>
          <cell r="AD1506" t="str">
            <v>No</v>
          </cell>
          <cell r="AE1506" t="str">
            <v>NPI only</v>
          </cell>
          <cell r="AF1506" t="str">
            <v>nypother</v>
          </cell>
          <cell r="AG1506" t="str">
            <v>P</v>
          </cell>
        </row>
        <row r="1507">
          <cell r="A1507" t="str">
            <v>1326482837</v>
          </cell>
          <cell r="B1507" t="str">
            <v>04499670</v>
          </cell>
          <cell r="C1507" t="str">
            <v>ELLIOT COBURN</v>
          </cell>
          <cell r="D1507" t="str">
            <v>E0442659</v>
          </cell>
          <cell r="E1507" t="str">
            <v>COBURN ELLIOTT SETH</v>
          </cell>
          <cell r="G1507" t="str">
            <v>Kathryn Spaziani</v>
          </cell>
          <cell r="H1507" t="str">
            <v>(212) 305-1190</v>
          </cell>
          <cell r="J1507" t="str">
            <v>kas9171@nyp.org</v>
          </cell>
          <cell r="L1507" t="str">
            <v>Practitioner - Non-Primary Care Provider (PCP)</v>
          </cell>
          <cell r="M1507" t="str">
            <v>No</v>
          </cell>
          <cell r="R1507" t="str">
            <v>COBURN ELLIOT</v>
          </cell>
          <cell r="W1507" t="str">
            <v>COBURN ELLIOT SETH</v>
          </cell>
          <cell r="AB1507" t="str">
            <v>PHYSICIAN</v>
          </cell>
          <cell r="AC1507" t="str">
            <v>M</v>
          </cell>
          <cell r="AD1507" t="str">
            <v>No</v>
          </cell>
          <cell r="AE1507" t="str">
            <v>MMIS</v>
          </cell>
          <cell r="AF1507" t="str">
            <v>nypeastcampus</v>
          </cell>
          <cell r="AG1507" t="str">
            <v>P</v>
          </cell>
        </row>
        <row r="1508">
          <cell r="A1508" t="str">
            <v>1417222696</v>
          </cell>
          <cell r="C1508" t="str">
            <v>SHIRLEY COHEN</v>
          </cell>
          <cell r="G1508" t="str">
            <v>Kathryn Spaziani</v>
          </cell>
          <cell r="H1508" t="str">
            <v>(212) 305-1190</v>
          </cell>
          <cell r="J1508" t="str">
            <v>kas9171@nyp.org</v>
          </cell>
          <cell r="K1508" t="str">
            <v>Unknown</v>
          </cell>
          <cell r="L1508" t="str">
            <v>Uncategorized</v>
          </cell>
          <cell r="M1508" t="str">
            <v>No</v>
          </cell>
          <cell r="R1508" t="str">
            <v>COHEN SHIRLEY</v>
          </cell>
          <cell r="S1508" t="str">
            <v>505 E 70TH ST, WEILL CORNELL INTERNAL MEDICINE ASSOCIATES</v>
          </cell>
          <cell r="T1508" t="str">
            <v>NEW YORK</v>
          </cell>
          <cell r="U1508" t="str">
            <v>NY</v>
          </cell>
          <cell r="V1508" t="str">
            <v>100214872</v>
          </cell>
          <cell r="AC1508" t="str">
            <v>M</v>
          </cell>
          <cell r="AD1508" t="str">
            <v>No</v>
          </cell>
          <cell r="AE1508" t="str">
            <v>NPI only</v>
          </cell>
          <cell r="AF1508" t="str">
            <v>nypeastcampus</v>
          </cell>
          <cell r="AG1508" t="str">
            <v>P</v>
          </cell>
        </row>
        <row r="1509">
          <cell r="A1509" t="str">
            <v>1982946778</v>
          </cell>
          <cell r="B1509" t="str">
            <v>04415234</v>
          </cell>
          <cell r="C1509" t="str">
            <v>JIGAR CONTRACTOR</v>
          </cell>
          <cell r="D1509" t="str">
            <v>E0434040</v>
          </cell>
          <cell r="E1509" t="str">
            <v>CONTRACTOR JIGAR</v>
          </cell>
          <cell r="G1509" t="str">
            <v>Kathryn Spaziani</v>
          </cell>
          <cell r="H1509" t="str">
            <v>(212) 305-1190</v>
          </cell>
          <cell r="J1509" t="str">
            <v>kas9171@nyp.org</v>
          </cell>
          <cell r="L1509" t="str">
            <v>Uncategorized</v>
          </cell>
          <cell r="M1509" t="str">
            <v>No</v>
          </cell>
          <cell r="R1509" t="str">
            <v>CONTRACTOR JIGAR</v>
          </cell>
          <cell r="W1509" t="str">
            <v>CONTRACTOR JIGAR</v>
          </cell>
          <cell r="X1509" t="str">
            <v>525 E 68TH ST STE 5</v>
          </cell>
          <cell r="Y1509" t="str">
            <v>NEW YORK</v>
          </cell>
          <cell r="Z1509" t="str">
            <v>NY</v>
          </cell>
          <cell r="AA1509" t="str">
            <v>10065-4870</v>
          </cell>
          <cell r="AB1509" t="str">
            <v>PHYSICIAN</v>
          </cell>
          <cell r="AC1509" t="str">
            <v>M</v>
          </cell>
          <cell r="AD1509" t="str">
            <v>No</v>
          </cell>
          <cell r="AE1509" t="str">
            <v>MMIS</v>
          </cell>
          <cell r="AF1509" t="str">
            <v>nypeastcampus</v>
          </cell>
          <cell r="AG1509" t="str">
            <v>P</v>
          </cell>
        </row>
        <row r="1510">
          <cell r="A1510" t="str">
            <v>1669745576</v>
          </cell>
          <cell r="C1510" t="str">
            <v>Sanchez Allen</v>
          </cell>
          <cell r="G1510" t="str">
            <v>Kathryn Spaziani</v>
          </cell>
          <cell r="H1510" t="str">
            <v>(212) 305-1255</v>
          </cell>
          <cell r="J1510" t="str">
            <v>kas9171@nyp.org</v>
          </cell>
          <cell r="K1510" t="str">
            <v>Physician</v>
          </cell>
          <cell r="L1510" t="str">
            <v>Uncategorized</v>
          </cell>
          <cell r="M1510" t="str">
            <v>No</v>
          </cell>
          <cell r="R1510" t="str">
            <v>SANCHEZ ALLEN DR.</v>
          </cell>
          <cell r="S1510" t="str">
            <v>525 E 68TH ST</v>
          </cell>
          <cell r="T1510" t="str">
            <v>NEW YORK</v>
          </cell>
          <cell r="U1510" t="str">
            <v>NY</v>
          </cell>
          <cell r="V1510" t="str">
            <v>100654870</v>
          </cell>
          <cell r="AC1510" t="str">
            <v>M</v>
          </cell>
          <cell r="AD1510" t="str">
            <v>No</v>
          </cell>
          <cell r="AE1510" t="str">
            <v>NPI only</v>
          </cell>
          <cell r="AF1510" t="str">
            <v>nypeastcampus</v>
          </cell>
          <cell r="AG1510" t="str">
            <v>P</v>
          </cell>
        </row>
        <row r="1511">
          <cell r="A1511" t="str">
            <v>1780905794</v>
          </cell>
          <cell r="B1511" t="str">
            <v>04109500</v>
          </cell>
          <cell r="C1511" t="str">
            <v>Simon Katherine</v>
          </cell>
          <cell r="D1511" t="str">
            <v>E0402647</v>
          </cell>
          <cell r="E1511" t="str">
            <v>SIMON KATHERINE</v>
          </cell>
          <cell r="G1511" t="str">
            <v>Kathryn Spaziani</v>
          </cell>
          <cell r="H1511" t="str">
            <v>(212) 305-1255</v>
          </cell>
          <cell r="J1511" t="str">
            <v>kas9171@nyp.org</v>
          </cell>
          <cell r="L1511" t="str">
            <v>All Other:: Practitioner - Non-Primary Care Provider (PCP)</v>
          </cell>
          <cell r="M1511" t="str">
            <v>No</v>
          </cell>
          <cell r="R1511" t="str">
            <v>SIMON KATHERINE DR.</v>
          </cell>
          <cell r="W1511" t="str">
            <v>SIMON KATHERINE</v>
          </cell>
          <cell r="X1511" t="str">
            <v>525 E 68TH ST</v>
          </cell>
          <cell r="Y1511" t="str">
            <v>NEW YORK</v>
          </cell>
          <cell r="Z1511" t="str">
            <v>NY</v>
          </cell>
          <cell r="AA1511" t="str">
            <v>10065-4870</v>
          </cell>
          <cell r="AB1511" t="str">
            <v>PHYSICIAN</v>
          </cell>
          <cell r="AC1511" t="str">
            <v>M</v>
          </cell>
          <cell r="AD1511" t="str">
            <v>No</v>
          </cell>
          <cell r="AE1511" t="str">
            <v>MMIS</v>
          </cell>
          <cell r="AF1511" t="str">
            <v>nypeastcampus</v>
          </cell>
          <cell r="AG1511" t="str">
            <v>P</v>
          </cell>
        </row>
        <row r="1512">
          <cell r="A1512" t="str">
            <v>1699935999</v>
          </cell>
          <cell r="B1512" t="str">
            <v>03144281</v>
          </cell>
          <cell r="C1512" t="str">
            <v>DE MIGUEL, MARIA H</v>
          </cell>
          <cell r="D1512" t="str">
            <v>E0298158</v>
          </cell>
          <cell r="E1512" t="str">
            <v>MARIA ELENA HAMM MD</v>
          </cell>
          <cell r="G1512" t="str">
            <v>Kathryn Spaziani</v>
          </cell>
          <cell r="H1512" t="str">
            <v>(212) 305-1190</v>
          </cell>
          <cell r="J1512" t="str">
            <v>kas9171@nyp.org</v>
          </cell>
          <cell r="L1512" t="str">
            <v>All Other:: Practitioner - Primary Care Provider (PCP)</v>
          </cell>
          <cell r="M1512" t="str">
            <v>Yes</v>
          </cell>
          <cell r="R1512" t="str">
            <v>DE MIGUEL MARIA DR.</v>
          </cell>
          <cell r="W1512" t="str">
            <v>DE MIGUEL MARIA HAMM</v>
          </cell>
          <cell r="X1512" t="str">
            <v>622 W 168TH ST</v>
          </cell>
          <cell r="Y1512" t="str">
            <v>NEW YORK</v>
          </cell>
          <cell r="Z1512" t="str">
            <v>NY</v>
          </cell>
          <cell r="AA1512" t="str">
            <v>10032-3720</v>
          </cell>
          <cell r="AB1512" t="str">
            <v>PHYSICIAN</v>
          </cell>
          <cell r="AC1512" t="str">
            <v>M</v>
          </cell>
          <cell r="AD1512" t="str">
            <v>No</v>
          </cell>
          <cell r="AE1512" t="str">
            <v>MMIS</v>
          </cell>
          <cell r="AF1512" t="str">
            <v>nypwestacn</v>
          </cell>
          <cell r="AG1512" t="str">
            <v>P</v>
          </cell>
        </row>
        <row r="1513">
          <cell r="A1513" t="str">
            <v>1356347090</v>
          </cell>
          <cell r="B1513" t="str">
            <v>02885183</v>
          </cell>
          <cell r="C1513" t="str">
            <v xml:space="preserve">KOSLO, ELLEN </v>
          </cell>
          <cell r="D1513" t="str">
            <v>E0011686</v>
          </cell>
          <cell r="E1513" t="str">
            <v>KOSLO ELLEN</v>
          </cell>
          <cell r="G1513" t="str">
            <v>Kathryn Spaziani</v>
          </cell>
          <cell r="H1513" t="str">
            <v>(212) 305-1190</v>
          </cell>
          <cell r="J1513" t="str">
            <v>kas9171@nyp.org</v>
          </cell>
          <cell r="L1513" t="str">
            <v>Practitioner - Non-Primary Care Provider (PCP)</v>
          </cell>
          <cell r="M1513" t="str">
            <v>No</v>
          </cell>
          <cell r="R1513" t="str">
            <v>KOSLO ELLEN DR.</v>
          </cell>
          <cell r="W1513" t="str">
            <v>KOSLO ELLEN</v>
          </cell>
          <cell r="X1513" t="str">
            <v>PEDIATRIC AUDIOLOGY</v>
          </cell>
          <cell r="Y1513" t="str">
            <v>NEW YORK</v>
          </cell>
          <cell r="Z1513" t="str">
            <v>NY</v>
          </cell>
          <cell r="AA1513" t="str">
            <v>10032</v>
          </cell>
          <cell r="AB1513" t="str">
            <v>MEDICAL APPLIANCE DEALER</v>
          </cell>
          <cell r="AC1513" t="str">
            <v>M</v>
          </cell>
          <cell r="AD1513" t="str">
            <v>No</v>
          </cell>
          <cell r="AE1513" t="str">
            <v>MMIS</v>
          </cell>
          <cell r="AF1513" t="str">
            <v>nypwestcampus</v>
          </cell>
          <cell r="AG1513" t="str">
            <v>P</v>
          </cell>
        </row>
        <row r="1514">
          <cell r="A1514" t="str">
            <v>1356357404</v>
          </cell>
          <cell r="B1514" t="str">
            <v>01577848</v>
          </cell>
          <cell r="C1514" t="str">
            <v>WEIMER, LOUIS H</v>
          </cell>
          <cell r="D1514" t="str">
            <v>E0142220</v>
          </cell>
          <cell r="E1514" t="str">
            <v>WEIMER LOUIS MD</v>
          </cell>
          <cell r="G1514" t="str">
            <v>Kathryn Spaziani</v>
          </cell>
          <cell r="H1514" t="str">
            <v>(212) 305-1190</v>
          </cell>
          <cell r="J1514" t="str">
            <v>kas9171@nyp.org</v>
          </cell>
          <cell r="L1514" t="str">
            <v>Practitioner - Non-Primary Care Provider (PCP)</v>
          </cell>
          <cell r="M1514" t="str">
            <v>No</v>
          </cell>
          <cell r="R1514" t="str">
            <v>WEIMER LOUIS DR.</v>
          </cell>
          <cell r="W1514" t="str">
            <v>WEIMER LOUIS MD</v>
          </cell>
          <cell r="X1514" t="str">
            <v>710 W 168TH ST # 193</v>
          </cell>
          <cell r="Y1514" t="str">
            <v>NEW YORK</v>
          </cell>
          <cell r="Z1514" t="str">
            <v>NY</v>
          </cell>
          <cell r="AA1514" t="str">
            <v>10032-3726</v>
          </cell>
          <cell r="AB1514" t="str">
            <v>PHYSICIAN</v>
          </cell>
          <cell r="AC1514" t="str">
            <v>M</v>
          </cell>
          <cell r="AD1514" t="str">
            <v>No</v>
          </cell>
          <cell r="AE1514" t="str">
            <v>MMIS</v>
          </cell>
          <cell r="AF1514" t="str">
            <v>nypwestcampus</v>
          </cell>
          <cell r="AG1514" t="str">
            <v>P</v>
          </cell>
        </row>
        <row r="1515">
          <cell r="A1515" t="str">
            <v>1770609851</v>
          </cell>
          <cell r="B1515" t="str">
            <v>03090508</v>
          </cell>
          <cell r="C1515" t="str">
            <v xml:space="preserve">ROSENBERG, KATHY </v>
          </cell>
          <cell r="D1515" t="str">
            <v>E0291909</v>
          </cell>
          <cell r="E1515" t="str">
            <v>ROSENBERG KATHY</v>
          </cell>
          <cell r="G1515" t="str">
            <v>Kathryn Spaziani</v>
          </cell>
          <cell r="H1515" t="str">
            <v>(212) 305-1190</v>
          </cell>
          <cell r="J1515" t="str">
            <v>kas9171@nyp.org</v>
          </cell>
          <cell r="L1515" t="str">
            <v>All Other:: Practitioner - Non-Primary Care Provider (PCP)</v>
          </cell>
          <cell r="M1515" t="str">
            <v>Yes</v>
          </cell>
          <cell r="R1515" t="str">
            <v>ROSENBERG KATHRYN</v>
          </cell>
          <cell r="W1515" t="str">
            <v>ROSENBERG KATHY</v>
          </cell>
          <cell r="X1515" t="str">
            <v>525 E 68TH ST</v>
          </cell>
          <cell r="Y1515" t="str">
            <v>NEW YORK</v>
          </cell>
          <cell r="Z1515" t="str">
            <v>NY</v>
          </cell>
          <cell r="AA1515" t="str">
            <v>10065-4870</v>
          </cell>
          <cell r="AB1515" t="str">
            <v>NURSE</v>
          </cell>
          <cell r="AC1515" t="str">
            <v>M</v>
          </cell>
          <cell r="AD1515" t="str">
            <v>No</v>
          </cell>
          <cell r="AE1515" t="str">
            <v>MMIS</v>
          </cell>
          <cell r="AF1515" t="str">
            <v>nypwestcampus</v>
          </cell>
          <cell r="AG1515" t="str">
            <v>P</v>
          </cell>
        </row>
        <row r="1516">
          <cell r="A1516" t="str">
            <v>1770653230</v>
          </cell>
          <cell r="B1516" t="str">
            <v>02134265</v>
          </cell>
          <cell r="C1516" t="str">
            <v>HONIG, LAWRENCE S</v>
          </cell>
          <cell r="D1516" t="str">
            <v>E0086644</v>
          </cell>
          <cell r="E1516" t="str">
            <v>HONIG LAWRENCE STERLING MD</v>
          </cell>
          <cell r="G1516" t="str">
            <v>Kathryn Spaziani</v>
          </cell>
          <cell r="H1516" t="str">
            <v>(212) 305-1190</v>
          </cell>
          <cell r="J1516" t="str">
            <v>kas9171@nyp.org</v>
          </cell>
          <cell r="L1516" t="str">
            <v>Practitioner - Non-Primary Care Provider (PCP)</v>
          </cell>
          <cell r="M1516" t="str">
            <v>No</v>
          </cell>
          <cell r="R1516" t="str">
            <v>HONIG LAWRENCE DR.</v>
          </cell>
          <cell r="W1516" t="str">
            <v>HONIG LAWRENCE STERLING MD</v>
          </cell>
          <cell r="X1516" t="str">
            <v>710 W 168TH ST</v>
          </cell>
          <cell r="Y1516" t="str">
            <v>NEW YORK</v>
          </cell>
          <cell r="Z1516" t="str">
            <v>NY</v>
          </cell>
          <cell r="AA1516" t="str">
            <v>10032-3726</v>
          </cell>
          <cell r="AB1516" t="str">
            <v>PHYSICIAN</v>
          </cell>
          <cell r="AC1516" t="str">
            <v>M</v>
          </cell>
          <cell r="AD1516" t="str">
            <v>No</v>
          </cell>
          <cell r="AE1516" t="str">
            <v>MMIS</v>
          </cell>
          <cell r="AF1516" t="str">
            <v>nypwestacn</v>
          </cell>
          <cell r="AG1516" t="str">
            <v>P</v>
          </cell>
        </row>
        <row r="1517">
          <cell r="A1517" t="str">
            <v>1336240175</v>
          </cell>
          <cell r="B1517" t="str">
            <v>02245572</v>
          </cell>
          <cell r="C1517" t="str">
            <v xml:space="preserve">CHOI, HYUNMI </v>
          </cell>
          <cell r="D1517" t="str">
            <v>E0075537</v>
          </cell>
          <cell r="E1517" t="str">
            <v>CHOI HYUNMI MD</v>
          </cell>
          <cell r="G1517" t="str">
            <v>Kathryn Spaziani</v>
          </cell>
          <cell r="H1517" t="str">
            <v>(212) 305-1190</v>
          </cell>
          <cell r="J1517" t="str">
            <v>kas9171@nyp.org</v>
          </cell>
          <cell r="L1517" t="str">
            <v>Practitioner - Non-Primary Care Provider (PCP)</v>
          </cell>
          <cell r="M1517" t="str">
            <v>No</v>
          </cell>
          <cell r="R1517" t="str">
            <v>CHOI HYUNMI DR.</v>
          </cell>
          <cell r="W1517" t="str">
            <v>CHOI HYUNMI MD</v>
          </cell>
          <cell r="X1517" t="str">
            <v>710 W 168TH ST</v>
          </cell>
          <cell r="Y1517" t="str">
            <v>NEW YORK</v>
          </cell>
          <cell r="Z1517" t="str">
            <v>NY</v>
          </cell>
          <cell r="AA1517" t="str">
            <v>10032-3726</v>
          </cell>
          <cell r="AB1517" t="str">
            <v>PHYSICIAN</v>
          </cell>
          <cell r="AC1517" t="str">
            <v>M</v>
          </cell>
          <cell r="AD1517" t="str">
            <v>No</v>
          </cell>
          <cell r="AE1517" t="str">
            <v>MMIS</v>
          </cell>
          <cell r="AF1517" t="str">
            <v>nypwestacn</v>
          </cell>
          <cell r="AG1517" t="str">
            <v>P</v>
          </cell>
        </row>
        <row r="1518">
          <cell r="A1518" t="str">
            <v>1336273002</v>
          </cell>
          <cell r="B1518" t="str">
            <v>03286308</v>
          </cell>
          <cell r="C1518" t="str">
            <v>SANTELLI, JOHN S</v>
          </cell>
          <cell r="D1518" t="str">
            <v>E0314165</v>
          </cell>
          <cell r="E1518" t="str">
            <v>SANTELLI JOHN</v>
          </cell>
          <cell r="G1518" t="str">
            <v>Kathryn Spaziani</v>
          </cell>
          <cell r="H1518" t="str">
            <v>(212) 305-1190</v>
          </cell>
          <cell r="J1518" t="str">
            <v>kas9171@nyp.org</v>
          </cell>
          <cell r="L1518" t="str">
            <v>Uncategorized</v>
          </cell>
          <cell r="M1518" t="str">
            <v>No</v>
          </cell>
          <cell r="R1518" t="str">
            <v>SANTELLI JOHN DR.</v>
          </cell>
          <cell r="W1518" t="str">
            <v>SANTELLI JOHN</v>
          </cell>
          <cell r="X1518" t="str">
            <v>549 AUDUBON AVE</v>
          </cell>
          <cell r="Y1518" t="str">
            <v>NEW YORK</v>
          </cell>
          <cell r="Z1518" t="str">
            <v>NY</v>
          </cell>
          <cell r="AA1518" t="str">
            <v>10040-3401</v>
          </cell>
          <cell r="AB1518" t="str">
            <v>PHYSICIAN</v>
          </cell>
          <cell r="AC1518" t="str">
            <v>M</v>
          </cell>
          <cell r="AD1518" t="str">
            <v>No</v>
          </cell>
          <cell r="AE1518" t="str">
            <v>MMIS</v>
          </cell>
          <cell r="AF1518" t="str">
            <v>nypother</v>
          </cell>
          <cell r="AG1518" t="str">
            <v>P</v>
          </cell>
        </row>
        <row r="1519">
          <cell r="A1519" t="str">
            <v>1962488254</v>
          </cell>
          <cell r="B1519" t="str">
            <v>01629143</v>
          </cell>
          <cell r="C1519" t="str">
            <v xml:space="preserve">Pong, Perry </v>
          </cell>
          <cell r="D1519" t="str">
            <v>E0137099</v>
          </cell>
          <cell r="E1519" t="str">
            <v>PONG PERRY MD</v>
          </cell>
          <cell r="G1519" t="str">
            <v>Betty Cheng</v>
          </cell>
          <cell r="H1519" t="str">
            <v>(212) 379-6988</v>
          </cell>
          <cell r="I1519">
            <v>2604</v>
          </cell>
          <cell r="J1519" t="str">
            <v>bcheng@cbwchc.org</v>
          </cell>
          <cell r="L1519" t="str">
            <v>All Other:: Practitioner - Primary Care Provider (PCP)</v>
          </cell>
          <cell r="M1519" t="str">
            <v>Yes</v>
          </cell>
          <cell r="R1519" t="str">
            <v>PONG PERRY DR.</v>
          </cell>
          <cell r="W1519" t="str">
            <v>PONG PERRY MD</v>
          </cell>
          <cell r="X1519" t="str">
            <v>1400 PELHAM PKWY S</v>
          </cell>
          <cell r="Y1519" t="str">
            <v>BRONX</v>
          </cell>
          <cell r="Z1519" t="str">
            <v>NY</v>
          </cell>
          <cell r="AA1519" t="str">
            <v>10461-1138</v>
          </cell>
          <cell r="AB1519" t="str">
            <v>PHYSICIAN</v>
          </cell>
          <cell r="AC1519" t="str">
            <v>M</v>
          </cell>
          <cell r="AD1519" t="str">
            <v>No</v>
          </cell>
          <cell r="AE1519" t="str">
            <v>MMIS</v>
          </cell>
          <cell r="AF1519" t="str">
            <v>cbwchc</v>
          </cell>
          <cell r="AG1519" t="str">
            <v>P</v>
          </cell>
        </row>
        <row r="1520">
          <cell r="A1520" t="str">
            <v>1578551560</v>
          </cell>
          <cell r="B1520" t="str">
            <v>01624271</v>
          </cell>
          <cell r="C1520" t="str">
            <v xml:space="preserve">Shen, Tsun You                                </v>
          </cell>
          <cell r="D1520" t="str">
            <v>E0137585</v>
          </cell>
          <cell r="E1520" t="str">
            <v>SHEN TSUN Y MD</v>
          </cell>
          <cell r="G1520" t="str">
            <v>Betty Cheng</v>
          </cell>
          <cell r="H1520" t="str">
            <v>(212) 379-6988</v>
          </cell>
          <cell r="I1520">
            <v>2604</v>
          </cell>
          <cell r="J1520" t="str">
            <v>bcheng@cbwchc.org</v>
          </cell>
          <cell r="L1520" t="str">
            <v>All Other:: Practitioner - Primary Care Provider (PCP)</v>
          </cell>
          <cell r="M1520" t="str">
            <v>Yes</v>
          </cell>
          <cell r="R1520" t="str">
            <v>SHEN TSUN</v>
          </cell>
          <cell r="W1520" t="str">
            <v>SHEN TSUN Y MD</v>
          </cell>
          <cell r="X1520" t="str">
            <v>268 CANAL STREET</v>
          </cell>
          <cell r="Y1520" t="str">
            <v>NEW YORK</v>
          </cell>
          <cell r="Z1520" t="str">
            <v>NY</v>
          </cell>
          <cell r="AA1520" t="str">
            <v>10013-3599</v>
          </cell>
          <cell r="AB1520" t="str">
            <v>PHYSICIAN</v>
          </cell>
          <cell r="AC1520" t="str">
            <v>M</v>
          </cell>
          <cell r="AD1520" t="str">
            <v>No</v>
          </cell>
          <cell r="AE1520" t="str">
            <v>MMIS</v>
          </cell>
          <cell r="AF1520" t="str">
            <v>cbwchc</v>
          </cell>
          <cell r="AG1520" t="str">
            <v>P</v>
          </cell>
        </row>
        <row r="1521">
          <cell r="A1521" t="str">
            <v>1356379523</v>
          </cell>
          <cell r="B1521" t="str">
            <v>00428280</v>
          </cell>
          <cell r="C1521" t="str">
            <v>Austin John</v>
          </cell>
          <cell r="D1521" t="str">
            <v>E0256443</v>
          </cell>
          <cell r="E1521" t="str">
            <v>AUSTIN JOHN H M            MD</v>
          </cell>
          <cell r="L1521" t="str">
            <v>All Other:: Practitioner - Non-Primary Care Provider (PCP)</v>
          </cell>
          <cell r="M1521" t="str">
            <v>No</v>
          </cell>
          <cell r="R1521" t="str">
            <v>AUSTIN JOHN DR.</v>
          </cell>
          <cell r="W1521" t="str">
            <v>AUSTIN JOHN H M            MD</v>
          </cell>
          <cell r="Y1521" t="str">
            <v>NEW YORK</v>
          </cell>
          <cell r="Z1521" t="str">
            <v>NY</v>
          </cell>
          <cell r="AA1521" t="str">
            <v>10032-3720</v>
          </cell>
          <cell r="AB1521" t="str">
            <v>PHYSICIAN</v>
          </cell>
          <cell r="AC1521" t="str">
            <v>M</v>
          </cell>
          <cell r="AD1521" t="str">
            <v>No</v>
          </cell>
          <cell r="AE1521" t="str">
            <v>MMIS</v>
          </cell>
          <cell r="AF1521" t="str">
            <v>nypwestcampus</v>
          </cell>
          <cell r="AG1521" t="str">
            <v>P</v>
          </cell>
        </row>
        <row r="1522">
          <cell r="A1522" t="str">
            <v>1750342101</v>
          </cell>
          <cell r="B1522" t="str">
            <v>02810713</v>
          </cell>
          <cell r="C1522" t="str">
            <v>DSouza Belinda</v>
          </cell>
          <cell r="D1522" t="str">
            <v>E0019124</v>
          </cell>
          <cell r="E1522" t="str">
            <v>DSOUZA BELINDA M MD</v>
          </cell>
          <cell r="L1522" t="str">
            <v>All Other:: Practitioner - Non-Primary Care Provider (PCP)</v>
          </cell>
          <cell r="M1522" t="str">
            <v>No</v>
          </cell>
          <cell r="R1522" t="str">
            <v>DSOUZA BELINDA</v>
          </cell>
          <cell r="W1522" t="str">
            <v>DSOUZA BELINDA M MD</v>
          </cell>
          <cell r="X1522" t="str">
            <v>622 W 168TH ST</v>
          </cell>
          <cell r="Y1522" t="str">
            <v>NEW YORK</v>
          </cell>
          <cell r="Z1522" t="str">
            <v>NY</v>
          </cell>
          <cell r="AA1522" t="str">
            <v>10032-3720</v>
          </cell>
          <cell r="AB1522" t="str">
            <v>PHYSICIAN</v>
          </cell>
          <cell r="AC1522" t="str">
            <v>M</v>
          </cell>
          <cell r="AD1522" t="str">
            <v>No</v>
          </cell>
          <cell r="AE1522" t="str">
            <v>MMIS</v>
          </cell>
          <cell r="AF1522" t="str">
            <v>nypwestcampus</v>
          </cell>
          <cell r="AG1522" t="str">
            <v>P</v>
          </cell>
        </row>
        <row r="1523">
          <cell r="A1523" t="str">
            <v>1104858844</v>
          </cell>
          <cell r="B1523" t="str">
            <v>01759282</v>
          </cell>
          <cell r="C1523" t="str">
            <v>Pearson Gregory</v>
          </cell>
          <cell r="D1523" t="str">
            <v>E0124100</v>
          </cell>
          <cell r="E1523" t="str">
            <v>PEARSON GREGORY DAVID N MD</v>
          </cell>
          <cell r="L1523" t="str">
            <v>All Other:: Practitioner - Non-Primary Care Provider (PCP)</v>
          </cell>
          <cell r="M1523" t="str">
            <v>No</v>
          </cell>
          <cell r="R1523" t="str">
            <v>PEARSON GREGORY</v>
          </cell>
          <cell r="W1523" t="str">
            <v>PEARSON GREGORY DAVID N MD</v>
          </cell>
          <cell r="Y1523" t="str">
            <v>NEW YORK</v>
          </cell>
          <cell r="Z1523" t="str">
            <v>NY</v>
          </cell>
          <cell r="AA1523" t="str">
            <v>10032-3720</v>
          </cell>
          <cell r="AB1523" t="str">
            <v>PHYSICIAN</v>
          </cell>
          <cell r="AC1523" t="str">
            <v>M</v>
          </cell>
          <cell r="AD1523" t="str">
            <v>No</v>
          </cell>
          <cell r="AE1523" t="str">
            <v>MMIS</v>
          </cell>
          <cell r="AF1523" t="str">
            <v>nypwestcampus</v>
          </cell>
          <cell r="AG1523" t="str">
            <v>P</v>
          </cell>
        </row>
        <row r="1524">
          <cell r="A1524" t="str">
            <v>1538198643</v>
          </cell>
          <cell r="B1524" t="str">
            <v>01591726</v>
          </cell>
          <cell r="C1524" t="str">
            <v>Rozenshtein Anna</v>
          </cell>
          <cell r="D1524" t="str">
            <v>E0140834</v>
          </cell>
          <cell r="E1524" t="str">
            <v>ROZENSHTEIN ANNA MD</v>
          </cell>
          <cell r="L1524" t="str">
            <v>All Other:: Practitioner - Non-Primary Care Provider (PCP)</v>
          </cell>
          <cell r="M1524" t="str">
            <v>No</v>
          </cell>
          <cell r="R1524" t="str">
            <v>ROZENSHTEIN ANNA</v>
          </cell>
          <cell r="W1524" t="str">
            <v>ROZENSHTEIN ANNA MD</v>
          </cell>
          <cell r="X1524" t="str">
            <v>PRESBYTERIAN HSP</v>
          </cell>
          <cell r="Y1524" t="str">
            <v>NEW YORK</v>
          </cell>
          <cell r="Z1524" t="str">
            <v>NY</v>
          </cell>
          <cell r="AA1524" t="str">
            <v>10032-3720</v>
          </cell>
          <cell r="AB1524" t="str">
            <v>PHYSICIAN</v>
          </cell>
          <cell r="AC1524" t="str">
            <v>M</v>
          </cell>
          <cell r="AD1524" t="str">
            <v>No</v>
          </cell>
          <cell r="AE1524" t="str">
            <v>MMIS</v>
          </cell>
          <cell r="AF1524" t="str">
            <v>nypwestcampus</v>
          </cell>
          <cell r="AG1524" t="str">
            <v>P</v>
          </cell>
        </row>
        <row r="1525">
          <cell r="A1525" t="str">
            <v>1508026881</v>
          </cell>
          <cell r="B1525" t="str">
            <v>03860313</v>
          </cell>
          <cell r="C1525" t="str">
            <v>Ayyala Rama</v>
          </cell>
          <cell r="D1525" t="str">
            <v>E0377078</v>
          </cell>
          <cell r="E1525" t="str">
            <v>AYYALA RAMA SOMAYAJULA</v>
          </cell>
          <cell r="L1525" t="str">
            <v>All Other:: Practitioner - Non-Primary Care Provider (PCP)</v>
          </cell>
          <cell r="M1525" t="str">
            <v>No</v>
          </cell>
          <cell r="R1525" t="str">
            <v>AYYALA RAMA DR.</v>
          </cell>
          <cell r="W1525" t="str">
            <v>AYYALA RAMA SOMAYAJULA</v>
          </cell>
          <cell r="X1525" t="str">
            <v>622 W 168TH ST</v>
          </cell>
          <cell r="Y1525" t="str">
            <v>NEW YORK</v>
          </cell>
          <cell r="Z1525" t="str">
            <v>NY</v>
          </cell>
          <cell r="AA1525" t="str">
            <v>10032-3720</v>
          </cell>
          <cell r="AB1525" t="str">
            <v>PHYSICIAN</v>
          </cell>
          <cell r="AC1525" t="str">
            <v>M</v>
          </cell>
          <cell r="AD1525" t="str">
            <v>No</v>
          </cell>
          <cell r="AE1525" t="str">
            <v>MMIS</v>
          </cell>
          <cell r="AF1525" t="str">
            <v>nypwestcampus</v>
          </cell>
          <cell r="AG1525" t="str">
            <v>P</v>
          </cell>
        </row>
        <row r="1526">
          <cell r="A1526" t="str">
            <v>1558604413</v>
          </cell>
          <cell r="C1526" t="str">
            <v>Mamdani Fatemah</v>
          </cell>
          <cell r="G1526" t="str">
            <v>Kathryn Spaziani</v>
          </cell>
          <cell r="H1526" t="str">
            <v>(212) 305-1255</v>
          </cell>
          <cell r="J1526" t="str">
            <v>kas9171@nyp.org</v>
          </cell>
          <cell r="K1526" t="str">
            <v>Physician</v>
          </cell>
          <cell r="L1526" t="str">
            <v>Uncategorized</v>
          </cell>
          <cell r="M1526" t="str">
            <v>No</v>
          </cell>
          <cell r="R1526" t="str">
            <v>MAMDANI FATEMAH</v>
          </cell>
          <cell r="S1526" t="str">
            <v>622 W 168TH ST</v>
          </cell>
          <cell r="T1526" t="str">
            <v>NEW YORK</v>
          </cell>
          <cell r="U1526" t="str">
            <v>NY</v>
          </cell>
          <cell r="V1526" t="str">
            <v>100323720</v>
          </cell>
          <cell r="AC1526" t="str">
            <v>M</v>
          </cell>
          <cell r="AD1526" t="str">
            <v>No</v>
          </cell>
          <cell r="AE1526" t="str">
            <v>NPI only</v>
          </cell>
          <cell r="AF1526" t="str">
            <v>nypwestcampus</v>
          </cell>
          <cell r="AG1526" t="str">
            <v>P</v>
          </cell>
        </row>
        <row r="1527">
          <cell r="A1527" t="str">
            <v>1639460132</v>
          </cell>
          <cell r="C1527" t="str">
            <v>Maniam Rajivan</v>
          </cell>
          <cell r="G1527" t="str">
            <v>Kathryn Spaziani</v>
          </cell>
          <cell r="H1527" t="str">
            <v>(212) 305-1255</v>
          </cell>
          <cell r="J1527" t="str">
            <v>kas9171@nyp.org</v>
          </cell>
          <cell r="K1527" t="str">
            <v>Physician</v>
          </cell>
          <cell r="L1527" t="str">
            <v>Uncategorized</v>
          </cell>
          <cell r="M1527" t="str">
            <v>No</v>
          </cell>
          <cell r="R1527" t="str">
            <v>MANIAM RAJIVAN DR.</v>
          </cell>
          <cell r="S1527" t="str">
            <v>75 FRANCIS ST</v>
          </cell>
          <cell r="T1527" t="str">
            <v>BOSTON</v>
          </cell>
          <cell r="U1527" t="str">
            <v>MA</v>
          </cell>
          <cell r="V1527" t="str">
            <v>021156110</v>
          </cell>
          <cell r="AC1527" t="str">
            <v>M</v>
          </cell>
          <cell r="AD1527" t="str">
            <v>No</v>
          </cell>
          <cell r="AE1527" t="str">
            <v>NPI only</v>
          </cell>
          <cell r="AF1527" t="str">
            <v>nypother</v>
          </cell>
          <cell r="AG1527" t="str">
            <v>P</v>
          </cell>
        </row>
        <row r="1528">
          <cell r="A1528" t="str">
            <v>1093814261</v>
          </cell>
          <cell r="B1528" t="str">
            <v>02983911</v>
          </cell>
          <cell r="C1528" t="str">
            <v>Dizdarevic Anis</v>
          </cell>
          <cell r="D1528" t="str">
            <v>E0006859</v>
          </cell>
          <cell r="E1528" t="str">
            <v>ANIS DIZ DAREVIC MD</v>
          </cell>
          <cell r="L1528" t="str">
            <v>All Other:: Practitioner - Non-Primary Care Provider (PCP)</v>
          </cell>
          <cell r="M1528" t="str">
            <v>No</v>
          </cell>
          <cell r="R1528" t="str">
            <v>DIZDAREVIC ANIS</v>
          </cell>
          <cell r="W1528" t="str">
            <v>DIZDAREVIC ANIS MD</v>
          </cell>
          <cell r="X1528" t="str">
            <v>622 W 168TH ST</v>
          </cell>
          <cell r="Y1528" t="str">
            <v>NEW YORK</v>
          </cell>
          <cell r="Z1528" t="str">
            <v>NY</v>
          </cell>
          <cell r="AA1528" t="str">
            <v>10032-3720</v>
          </cell>
          <cell r="AB1528" t="str">
            <v>PHYSICIAN</v>
          </cell>
          <cell r="AC1528" t="str">
            <v>M</v>
          </cell>
          <cell r="AD1528" t="str">
            <v>No</v>
          </cell>
          <cell r="AE1528" t="str">
            <v>MMIS</v>
          </cell>
          <cell r="AF1528" t="str">
            <v>nypwestcampus</v>
          </cell>
          <cell r="AG1528" t="str">
            <v>P</v>
          </cell>
        </row>
        <row r="1529">
          <cell r="A1529" t="str">
            <v>1467458174</v>
          </cell>
          <cell r="B1529" t="str">
            <v>01598383</v>
          </cell>
          <cell r="C1529" t="str">
            <v>Dilson Saul</v>
          </cell>
          <cell r="D1529" t="str">
            <v>E0140169</v>
          </cell>
          <cell r="E1529" t="str">
            <v>DILSON SAUL N DO</v>
          </cell>
          <cell r="L1529" t="str">
            <v>Practitioner - Non-Primary Care Provider (PCP)</v>
          </cell>
          <cell r="M1529" t="str">
            <v>No</v>
          </cell>
          <cell r="R1529" t="str">
            <v>DILSON SAUL</v>
          </cell>
          <cell r="W1529" t="str">
            <v>DILSON SAUL N DO</v>
          </cell>
          <cell r="X1529" t="str">
            <v>LITTLE NECK COMM</v>
          </cell>
          <cell r="Y1529" t="str">
            <v>LITTLE NECK</v>
          </cell>
          <cell r="Z1529" t="str">
            <v>NY</v>
          </cell>
          <cell r="AA1529" t="str">
            <v>11362-2244</v>
          </cell>
          <cell r="AB1529" t="str">
            <v>PHYSICIAN</v>
          </cell>
          <cell r="AC1529" t="str">
            <v>M</v>
          </cell>
          <cell r="AD1529" t="str">
            <v>No</v>
          </cell>
          <cell r="AE1529" t="str">
            <v>MMIS</v>
          </cell>
          <cell r="AG1529" t="str">
            <v>P</v>
          </cell>
        </row>
        <row r="1530">
          <cell r="A1530" t="str">
            <v>1831199504</v>
          </cell>
          <cell r="B1530" t="str">
            <v>02661085</v>
          </cell>
          <cell r="C1530" t="str">
            <v>Ee Pei-Lee</v>
          </cell>
          <cell r="D1530" t="str">
            <v>E0034061</v>
          </cell>
          <cell r="E1530" t="str">
            <v>EE PEI-LEE MD</v>
          </cell>
          <cell r="L1530" t="str">
            <v>All Other:: Practitioner - Non-Primary Care Provider (PCP)</v>
          </cell>
          <cell r="M1530" t="str">
            <v>No</v>
          </cell>
          <cell r="R1530" t="str">
            <v>EE PEI-LEE</v>
          </cell>
          <cell r="W1530" t="str">
            <v>EE PEI-LEE MD</v>
          </cell>
          <cell r="X1530" t="str">
            <v>227 E 19TH ST</v>
          </cell>
          <cell r="Y1530" t="str">
            <v>NEW YORK</v>
          </cell>
          <cell r="Z1530" t="str">
            <v>NY</v>
          </cell>
          <cell r="AA1530" t="str">
            <v>10003-2674</v>
          </cell>
          <cell r="AB1530" t="str">
            <v>PHYSICIAN</v>
          </cell>
          <cell r="AC1530" t="str">
            <v>M</v>
          </cell>
          <cell r="AD1530" t="str">
            <v>No</v>
          </cell>
          <cell r="AE1530" t="str">
            <v>MMIS</v>
          </cell>
          <cell r="AF1530" t="str">
            <v>nypeastcampus</v>
          </cell>
          <cell r="AG1530" t="str">
            <v>P</v>
          </cell>
        </row>
        <row r="1531">
          <cell r="A1531" t="str">
            <v>1619973203</v>
          </cell>
          <cell r="C1531" t="str">
            <v>Ehrlich Linda</v>
          </cell>
          <cell r="G1531" t="str">
            <v>Kathryn Spaziani</v>
          </cell>
          <cell r="H1531" t="str">
            <v>(212) 305-1255</v>
          </cell>
          <cell r="J1531" t="str">
            <v>kas9171@nyp.org</v>
          </cell>
          <cell r="K1531" t="str">
            <v>Physician</v>
          </cell>
          <cell r="L1531" t="str">
            <v>Practitioner - Non-Primary Care Provider (PCP)</v>
          </cell>
          <cell r="M1531" t="str">
            <v>No</v>
          </cell>
          <cell r="R1531" t="str">
            <v>EHRLICH LINDA</v>
          </cell>
          <cell r="S1531" t="str">
            <v>170 WILLIAM ST</v>
          </cell>
          <cell r="T1531" t="str">
            <v>NEW YORK</v>
          </cell>
          <cell r="U1531" t="str">
            <v>NY</v>
          </cell>
          <cell r="V1531" t="str">
            <v>100382612</v>
          </cell>
          <cell r="AC1531" t="str">
            <v>M</v>
          </cell>
          <cell r="AD1531" t="str">
            <v>No</v>
          </cell>
          <cell r="AE1531" t="str">
            <v>NPI only</v>
          </cell>
          <cell r="AF1531" t="str">
            <v>nypother</v>
          </cell>
          <cell r="AG1531" t="str">
            <v>P</v>
          </cell>
        </row>
        <row r="1532">
          <cell r="A1532" t="str">
            <v>1326479239</v>
          </cell>
          <cell r="C1532" t="str">
            <v>Exavier Theresa</v>
          </cell>
          <cell r="G1532" t="str">
            <v>Kathryn Spaziani</v>
          </cell>
          <cell r="H1532" t="str">
            <v>(212) 305-1255</v>
          </cell>
          <cell r="J1532" t="str">
            <v>kas9171@nyp.org</v>
          </cell>
          <cell r="K1532" t="str">
            <v>Physician</v>
          </cell>
          <cell r="L1532" t="str">
            <v>Uncategorized</v>
          </cell>
          <cell r="M1532" t="str">
            <v>No</v>
          </cell>
          <cell r="R1532" t="str">
            <v>EXAVIER THERESA</v>
          </cell>
          <cell r="S1532" t="str">
            <v>170 WILLIAM ST</v>
          </cell>
          <cell r="T1532" t="str">
            <v>NEW YORK</v>
          </cell>
          <cell r="U1532" t="str">
            <v>NY</v>
          </cell>
          <cell r="V1532" t="str">
            <v>100382612</v>
          </cell>
          <cell r="AC1532" t="str">
            <v>M</v>
          </cell>
          <cell r="AD1532" t="str">
            <v>No</v>
          </cell>
          <cell r="AE1532" t="str">
            <v>NPI only</v>
          </cell>
          <cell r="AF1532" t="str">
            <v>nypother</v>
          </cell>
          <cell r="AG1532" t="str">
            <v>P</v>
          </cell>
        </row>
        <row r="1533">
          <cell r="A1533" t="str">
            <v>1144641044</v>
          </cell>
          <cell r="C1533" t="str">
            <v>Francis Patricia</v>
          </cell>
          <cell r="G1533" t="str">
            <v>Kathryn Spaziani</v>
          </cell>
          <cell r="H1533" t="str">
            <v>(212) 305-1255</v>
          </cell>
          <cell r="J1533" t="str">
            <v>kas9171@nyp.org</v>
          </cell>
          <cell r="K1533" t="str">
            <v>Physician</v>
          </cell>
          <cell r="L1533" t="str">
            <v>Practitioner - Non-Primary Care Provider (PCP)</v>
          </cell>
          <cell r="M1533" t="str">
            <v>No</v>
          </cell>
          <cell r="R1533" t="str">
            <v>FRANCIS PATRICIA</v>
          </cell>
          <cell r="S1533" t="str">
            <v>4415 MICHAEL JAY ST</v>
          </cell>
          <cell r="T1533" t="str">
            <v>SNELLVILLE</v>
          </cell>
          <cell r="U1533" t="str">
            <v>GA</v>
          </cell>
          <cell r="V1533" t="str">
            <v>30039</v>
          </cell>
          <cell r="AC1533" t="str">
            <v>M</v>
          </cell>
          <cell r="AD1533" t="str">
            <v>No</v>
          </cell>
          <cell r="AE1533" t="str">
            <v>NPI only</v>
          </cell>
          <cell r="AF1533" t="str">
            <v>nypother</v>
          </cell>
          <cell r="AG1533" t="str">
            <v>P</v>
          </cell>
        </row>
        <row r="1534">
          <cell r="A1534" t="str">
            <v>1598101016</v>
          </cell>
          <cell r="C1534" t="str">
            <v>Gatdula James</v>
          </cell>
          <cell r="G1534" t="str">
            <v>Kathryn Spaziani</v>
          </cell>
          <cell r="H1534" t="str">
            <v>(212) 305-1255</v>
          </cell>
          <cell r="J1534" t="str">
            <v>kas9171@nyp.org</v>
          </cell>
          <cell r="K1534" t="str">
            <v>Physician</v>
          </cell>
          <cell r="L1534" t="str">
            <v>Uncategorized</v>
          </cell>
          <cell r="M1534" t="str">
            <v>No</v>
          </cell>
          <cell r="R1534" t="str">
            <v>GATDULA JAMES</v>
          </cell>
          <cell r="S1534" t="str">
            <v>475 SEAVIEW AVE</v>
          </cell>
          <cell r="T1534" t="str">
            <v>STATEN ISLAND</v>
          </cell>
          <cell r="U1534" t="str">
            <v>NY</v>
          </cell>
          <cell r="V1534" t="str">
            <v>103053436</v>
          </cell>
          <cell r="AC1534" t="str">
            <v>M</v>
          </cell>
          <cell r="AD1534" t="str">
            <v>No</v>
          </cell>
          <cell r="AE1534" t="str">
            <v>NPI only</v>
          </cell>
          <cell r="AF1534" t="str">
            <v>nypother</v>
          </cell>
          <cell r="AG1534" t="str">
            <v>P</v>
          </cell>
        </row>
        <row r="1535">
          <cell r="A1535" t="str">
            <v>1962827162</v>
          </cell>
          <cell r="C1535" t="str">
            <v>Goodman Sarah</v>
          </cell>
          <cell r="G1535" t="str">
            <v>Kathryn Spaziani</v>
          </cell>
          <cell r="H1535" t="str">
            <v>(212) 305-1255</v>
          </cell>
          <cell r="J1535" t="str">
            <v>kas9171@nyp.org</v>
          </cell>
          <cell r="K1535" t="str">
            <v>Physician</v>
          </cell>
          <cell r="L1535" t="str">
            <v>Uncategorized</v>
          </cell>
          <cell r="M1535" t="str">
            <v>No</v>
          </cell>
          <cell r="R1535" t="str">
            <v>GOODMAN SARAH</v>
          </cell>
          <cell r="S1535" t="str">
            <v>16 GUION PL</v>
          </cell>
          <cell r="T1535" t="str">
            <v>NEW ROCHELLE</v>
          </cell>
          <cell r="U1535" t="str">
            <v>NY</v>
          </cell>
          <cell r="V1535" t="str">
            <v>108015502</v>
          </cell>
          <cell r="AC1535" t="str">
            <v>M</v>
          </cell>
          <cell r="AD1535" t="str">
            <v>No</v>
          </cell>
          <cell r="AE1535" t="str">
            <v>NPI only</v>
          </cell>
          <cell r="AF1535" t="str">
            <v>nypwestcampus</v>
          </cell>
          <cell r="AG1535" t="str">
            <v>P</v>
          </cell>
        </row>
        <row r="1536">
          <cell r="A1536" t="str">
            <v>1346508827</v>
          </cell>
          <cell r="C1536" t="str">
            <v>Hao Frank</v>
          </cell>
          <cell r="G1536" t="str">
            <v>Kathryn Spaziani</v>
          </cell>
          <cell r="H1536" t="str">
            <v>(212) 305-1255</v>
          </cell>
          <cell r="J1536" t="str">
            <v>kas9171@nyp.org</v>
          </cell>
          <cell r="K1536" t="str">
            <v>Physician</v>
          </cell>
          <cell r="L1536" t="str">
            <v>Uncategorized</v>
          </cell>
          <cell r="M1536" t="str">
            <v>No</v>
          </cell>
          <cell r="R1536" t="str">
            <v>HAO FRANK</v>
          </cell>
          <cell r="S1536" t="str">
            <v>147 WORCESTER ST, APT 7</v>
          </cell>
          <cell r="T1536" t="str">
            <v>BOSTON</v>
          </cell>
          <cell r="U1536" t="str">
            <v>MA</v>
          </cell>
          <cell r="V1536" t="str">
            <v>021183451</v>
          </cell>
          <cell r="AC1536" t="str">
            <v>M</v>
          </cell>
          <cell r="AD1536" t="str">
            <v>No</v>
          </cell>
          <cell r="AE1536" t="str">
            <v>NPI only</v>
          </cell>
          <cell r="AF1536" t="str">
            <v>nypwestcampus</v>
          </cell>
          <cell r="AG1536" t="str">
            <v>P</v>
          </cell>
        </row>
        <row r="1537">
          <cell r="A1537" t="str">
            <v>1043469729</v>
          </cell>
          <cell r="C1537" t="str">
            <v>Kim Hyonah</v>
          </cell>
          <cell r="G1537" t="str">
            <v>Kathryn Spaziani</v>
          </cell>
          <cell r="H1537" t="str">
            <v>(212) 305-1255</v>
          </cell>
          <cell r="J1537" t="str">
            <v>kas9171@nyp.org</v>
          </cell>
          <cell r="K1537" t="str">
            <v>Physician</v>
          </cell>
          <cell r="L1537" t="str">
            <v>Uncategorized</v>
          </cell>
          <cell r="M1537" t="str">
            <v>No</v>
          </cell>
          <cell r="R1537" t="str">
            <v>KIM HYONAH DR.</v>
          </cell>
          <cell r="S1537" t="str">
            <v>600 HIGHLAND AVE</v>
          </cell>
          <cell r="T1537" t="str">
            <v>MADISON</v>
          </cell>
          <cell r="U1537" t="str">
            <v>WI</v>
          </cell>
          <cell r="V1537" t="str">
            <v>537920001</v>
          </cell>
          <cell r="AC1537" t="str">
            <v>M</v>
          </cell>
          <cell r="AD1537" t="str">
            <v>No</v>
          </cell>
          <cell r="AE1537" t="str">
            <v>NPI only</v>
          </cell>
          <cell r="AF1537" t="str">
            <v>nypother</v>
          </cell>
          <cell r="AG1537" t="str">
            <v>P</v>
          </cell>
        </row>
        <row r="1538">
          <cell r="A1538" t="str">
            <v>1023323573</v>
          </cell>
          <cell r="C1538" t="str">
            <v>Lanzman Bryan</v>
          </cell>
          <cell r="G1538" t="str">
            <v>Kathryn Spaziani</v>
          </cell>
          <cell r="H1538" t="str">
            <v>(212) 305-1255</v>
          </cell>
          <cell r="J1538" t="str">
            <v>kas9171@nyp.org</v>
          </cell>
          <cell r="K1538" t="str">
            <v>Physician</v>
          </cell>
          <cell r="L1538" t="str">
            <v>Uncategorized</v>
          </cell>
          <cell r="M1538" t="str">
            <v>No</v>
          </cell>
          <cell r="R1538" t="str">
            <v>LANZMAN BRYAN</v>
          </cell>
          <cell r="S1538" t="str">
            <v>698 W END AVE, #1D</v>
          </cell>
          <cell r="T1538" t="str">
            <v>NEW YORK</v>
          </cell>
          <cell r="U1538" t="str">
            <v>NY</v>
          </cell>
          <cell r="V1538" t="str">
            <v>100256825</v>
          </cell>
          <cell r="AC1538" t="str">
            <v>M</v>
          </cell>
          <cell r="AD1538" t="str">
            <v>No</v>
          </cell>
          <cell r="AE1538" t="str">
            <v>NPI only</v>
          </cell>
          <cell r="AF1538" t="str">
            <v>nypother</v>
          </cell>
          <cell r="AG1538" t="str">
            <v>P</v>
          </cell>
        </row>
        <row r="1539">
          <cell r="A1539" t="str">
            <v>1558551911</v>
          </cell>
          <cell r="C1539" t="str">
            <v>Lyall Ashima</v>
          </cell>
          <cell r="G1539" t="str">
            <v>Kathryn Spaziani</v>
          </cell>
          <cell r="H1539" t="str">
            <v>(212) 305-1255</v>
          </cell>
          <cell r="J1539" t="str">
            <v>kas9171@nyp.org</v>
          </cell>
          <cell r="K1539" t="str">
            <v>Physician</v>
          </cell>
          <cell r="L1539" t="str">
            <v>Uncategorized</v>
          </cell>
          <cell r="M1539" t="str">
            <v>No</v>
          </cell>
          <cell r="R1539" t="str">
            <v>LYALL ASHIMA</v>
          </cell>
          <cell r="S1539" t="str">
            <v>1214 31ST AVE, APT 5</v>
          </cell>
          <cell r="T1539" t="str">
            <v>ASTORIA</v>
          </cell>
          <cell r="U1539" t="str">
            <v>NY</v>
          </cell>
          <cell r="V1539" t="str">
            <v>111064833</v>
          </cell>
          <cell r="AC1539" t="str">
            <v>M</v>
          </cell>
          <cell r="AD1539" t="str">
            <v>No</v>
          </cell>
          <cell r="AE1539" t="str">
            <v>NPI only</v>
          </cell>
          <cell r="AF1539" t="str">
            <v>nypwestcampus</v>
          </cell>
          <cell r="AG1539" t="str">
            <v>P</v>
          </cell>
        </row>
        <row r="1540">
          <cell r="A1540" t="str">
            <v>1720426562</v>
          </cell>
          <cell r="C1540" t="str">
            <v>Maffie Jonathon</v>
          </cell>
          <cell r="G1540" t="str">
            <v>Kathryn Spaziani</v>
          </cell>
          <cell r="H1540" t="str">
            <v>(212) 305-1255</v>
          </cell>
          <cell r="J1540" t="str">
            <v>kas9171@nyp.org</v>
          </cell>
          <cell r="K1540" t="str">
            <v>Physician</v>
          </cell>
          <cell r="L1540" t="str">
            <v>Uncategorized</v>
          </cell>
          <cell r="M1540" t="str">
            <v>No</v>
          </cell>
          <cell r="R1540" t="str">
            <v>MAFFIE JONATHON</v>
          </cell>
          <cell r="S1540" t="str">
            <v>170 MORTON ST</v>
          </cell>
          <cell r="T1540" t="str">
            <v>JAMAICA PLAIN</v>
          </cell>
          <cell r="U1540" t="str">
            <v>MA</v>
          </cell>
          <cell r="V1540" t="str">
            <v>021303735</v>
          </cell>
          <cell r="AC1540" t="str">
            <v>M</v>
          </cell>
          <cell r="AD1540" t="str">
            <v>No</v>
          </cell>
          <cell r="AE1540" t="str">
            <v>NPI only</v>
          </cell>
          <cell r="AF1540" t="str">
            <v>nypwestcampus</v>
          </cell>
          <cell r="AG1540" t="str">
            <v>P</v>
          </cell>
        </row>
        <row r="1541">
          <cell r="A1541" t="str">
            <v>1427491083</v>
          </cell>
          <cell r="C1541" t="str">
            <v>Mema Eralda</v>
          </cell>
          <cell r="G1541" t="str">
            <v>Kathryn Spaziani</v>
          </cell>
          <cell r="H1541" t="str">
            <v>(212) 305-1255</v>
          </cell>
          <cell r="J1541" t="str">
            <v>kas9171@nyp.org</v>
          </cell>
          <cell r="K1541" t="str">
            <v>Physician</v>
          </cell>
          <cell r="L1541" t="str">
            <v>Uncategorized</v>
          </cell>
          <cell r="M1541" t="str">
            <v>No</v>
          </cell>
          <cell r="R1541" t="str">
            <v>MEMA ERALDA</v>
          </cell>
          <cell r="S1541" t="str">
            <v>5645 MAIN ST</v>
          </cell>
          <cell r="T1541" t="str">
            <v>FLUSHING</v>
          </cell>
          <cell r="U1541" t="str">
            <v>NY</v>
          </cell>
          <cell r="V1541" t="str">
            <v>113555045</v>
          </cell>
          <cell r="AC1541" t="str">
            <v>M</v>
          </cell>
          <cell r="AD1541" t="str">
            <v>No</v>
          </cell>
          <cell r="AE1541" t="str">
            <v>NPI only</v>
          </cell>
          <cell r="AF1541" t="str">
            <v>nypwestcampus</v>
          </cell>
          <cell r="AG1541" t="str">
            <v>P</v>
          </cell>
        </row>
        <row r="1542">
          <cell r="A1542" t="str">
            <v>1073855318</v>
          </cell>
          <cell r="C1542" t="str">
            <v>Patel Sejal</v>
          </cell>
          <cell r="G1542" t="str">
            <v>Kathryn Spaziani</v>
          </cell>
          <cell r="H1542" t="str">
            <v>(212) 305-1255</v>
          </cell>
          <cell r="J1542" t="str">
            <v>kas9171@nyp.org</v>
          </cell>
          <cell r="K1542" t="str">
            <v>Physician</v>
          </cell>
          <cell r="L1542" t="str">
            <v>Uncategorized</v>
          </cell>
          <cell r="M1542" t="str">
            <v>No</v>
          </cell>
          <cell r="R1542" t="str">
            <v>PATEL SEJAL</v>
          </cell>
          <cell r="S1542" t="str">
            <v>836 W WELLINGTON AVE</v>
          </cell>
          <cell r="T1542" t="str">
            <v>CHICAGO</v>
          </cell>
          <cell r="U1542" t="str">
            <v>IL</v>
          </cell>
          <cell r="V1542" t="str">
            <v>606575147</v>
          </cell>
          <cell r="AC1542" t="str">
            <v>M</v>
          </cell>
          <cell r="AD1542" t="str">
            <v>No</v>
          </cell>
          <cell r="AE1542" t="str">
            <v>NPI only</v>
          </cell>
          <cell r="AF1542" t="str">
            <v>nypwestcampus</v>
          </cell>
          <cell r="AG1542" t="str">
            <v>P</v>
          </cell>
        </row>
        <row r="1543">
          <cell r="A1543" t="str">
            <v>1245523299</v>
          </cell>
          <cell r="C1543" t="str">
            <v>Sandhu Ranjit</v>
          </cell>
          <cell r="G1543" t="str">
            <v>Kathryn Spaziani</v>
          </cell>
          <cell r="H1543" t="str">
            <v>(212) 305-1255</v>
          </cell>
          <cell r="J1543" t="str">
            <v>kas9171@nyp.org</v>
          </cell>
          <cell r="K1543" t="str">
            <v>Physician</v>
          </cell>
          <cell r="L1543" t="str">
            <v>Uncategorized</v>
          </cell>
          <cell r="M1543" t="str">
            <v>No</v>
          </cell>
          <cell r="R1543" t="str">
            <v>SANDHU RANJIT</v>
          </cell>
          <cell r="S1543" t="str">
            <v>622 W 168TH ST, PB 1-301</v>
          </cell>
          <cell r="T1543" t="str">
            <v>NEW YORK</v>
          </cell>
          <cell r="U1543" t="str">
            <v>NY</v>
          </cell>
          <cell r="V1543" t="str">
            <v>100323720</v>
          </cell>
          <cell r="AC1543" t="str">
            <v>M</v>
          </cell>
          <cell r="AD1543" t="str">
            <v>No</v>
          </cell>
          <cell r="AE1543" t="str">
            <v>NPI only</v>
          </cell>
          <cell r="AF1543" t="str">
            <v>nypwestcampus</v>
          </cell>
          <cell r="AG1543" t="str">
            <v>P</v>
          </cell>
        </row>
        <row r="1544">
          <cell r="A1544" t="str">
            <v>1790820744</v>
          </cell>
          <cell r="B1544" t="str">
            <v>03339993</v>
          </cell>
          <cell r="C1544" t="str">
            <v xml:space="preserve">PAGE-WILSON, GABRIELLE </v>
          </cell>
          <cell r="D1544" t="str">
            <v>E0320282</v>
          </cell>
          <cell r="E1544" t="str">
            <v>PAGE-WILSON GABRIELLE</v>
          </cell>
          <cell r="G1544" t="str">
            <v>Kathryn Spaziani</v>
          </cell>
          <cell r="H1544" t="str">
            <v>(212) 305-1190</v>
          </cell>
          <cell r="J1544" t="str">
            <v>kas9171@nyp.org</v>
          </cell>
          <cell r="L1544" t="str">
            <v>All Other:: Practitioner - Non-Primary Care Provider (PCP)</v>
          </cell>
          <cell r="M1544" t="str">
            <v>No</v>
          </cell>
          <cell r="R1544" t="str">
            <v>WILSON GABRIELLE DR.</v>
          </cell>
          <cell r="W1544" t="str">
            <v>WILSON GABRIELLE PAGE</v>
          </cell>
          <cell r="X1544" t="str">
            <v>622 W 168TH ST</v>
          </cell>
          <cell r="Y1544" t="str">
            <v>NEW YORK</v>
          </cell>
          <cell r="Z1544" t="str">
            <v>NY</v>
          </cell>
          <cell r="AA1544" t="str">
            <v>10032-3720</v>
          </cell>
          <cell r="AB1544" t="str">
            <v>PHYSICIAN</v>
          </cell>
          <cell r="AC1544" t="str">
            <v>M</v>
          </cell>
          <cell r="AD1544" t="str">
            <v>No</v>
          </cell>
          <cell r="AE1544" t="str">
            <v>MMIS</v>
          </cell>
          <cell r="AF1544" t="str">
            <v>nypwestcampus</v>
          </cell>
          <cell r="AG1544" t="str">
            <v>P</v>
          </cell>
        </row>
        <row r="1545">
          <cell r="A1545" t="str">
            <v>1790865012</v>
          </cell>
          <cell r="B1545" t="str">
            <v>00760334</v>
          </cell>
          <cell r="C1545" t="str">
            <v>MAGUN, ARTHUR M</v>
          </cell>
          <cell r="D1545" t="str">
            <v>E0223682</v>
          </cell>
          <cell r="E1545" t="str">
            <v>MAGUN ARTHUR M             MD</v>
          </cell>
          <cell r="G1545" t="str">
            <v>Kathryn Spaziani</v>
          </cell>
          <cell r="H1545" t="str">
            <v>(212) 305-1190</v>
          </cell>
          <cell r="J1545" t="str">
            <v>kas9171@nyp.org</v>
          </cell>
          <cell r="L1545" t="str">
            <v>Practitioner - Non-Primary Care Provider (PCP)</v>
          </cell>
          <cell r="M1545" t="str">
            <v>No</v>
          </cell>
          <cell r="R1545" t="str">
            <v>MAGUN ARTHUR DR.</v>
          </cell>
          <cell r="W1545" t="str">
            <v>MAGUN ARTHUR M             MD</v>
          </cell>
          <cell r="X1545" t="str">
            <v>630 W 168TH ST</v>
          </cell>
          <cell r="Y1545" t="str">
            <v>NEW YORK</v>
          </cell>
          <cell r="Z1545" t="str">
            <v>NY</v>
          </cell>
          <cell r="AA1545" t="str">
            <v>10032-3725</v>
          </cell>
          <cell r="AB1545" t="str">
            <v>PHYSICIAN</v>
          </cell>
          <cell r="AC1545" t="str">
            <v>M</v>
          </cell>
          <cell r="AD1545" t="str">
            <v>No</v>
          </cell>
          <cell r="AE1545" t="str">
            <v>MMIS</v>
          </cell>
          <cell r="AF1545" t="str">
            <v>nypwestcampus</v>
          </cell>
          <cell r="AG1545" t="str">
            <v>P</v>
          </cell>
        </row>
        <row r="1546">
          <cell r="A1546" t="str">
            <v>1366598740</v>
          </cell>
          <cell r="B1546" t="str">
            <v>02862040</v>
          </cell>
          <cell r="C1546" t="str">
            <v>LEE, NANCY M</v>
          </cell>
          <cell r="D1546" t="str">
            <v>E0013994</v>
          </cell>
          <cell r="E1546" t="str">
            <v>LEE NANCY</v>
          </cell>
          <cell r="G1546" t="str">
            <v>Kathryn Spaziani</v>
          </cell>
          <cell r="H1546" t="str">
            <v>(212) 305-1190</v>
          </cell>
          <cell r="J1546" t="str">
            <v>kas9171@nyp.org</v>
          </cell>
          <cell r="L1546" t="str">
            <v>Practitioner - Non-Primary Care Provider (PCP)</v>
          </cell>
          <cell r="M1546" t="str">
            <v>No</v>
          </cell>
          <cell r="R1546" t="str">
            <v>LEE NANCY MS.</v>
          </cell>
          <cell r="W1546" t="str">
            <v>LEE NANCY M</v>
          </cell>
          <cell r="X1546" t="str">
            <v>227 MADISON ST</v>
          </cell>
          <cell r="Y1546" t="str">
            <v>NEW YORK</v>
          </cell>
          <cell r="Z1546" t="str">
            <v>NY</v>
          </cell>
          <cell r="AA1546" t="str">
            <v>10002-7537</v>
          </cell>
          <cell r="AB1546" t="str">
            <v>THERAPIST</v>
          </cell>
          <cell r="AC1546" t="str">
            <v>M</v>
          </cell>
          <cell r="AD1546" t="str">
            <v>No</v>
          </cell>
          <cell r="AE1546" t="str">
            <v>MMIS</v>
          </cell>
          <cell r="AF1546" t="str">
            <v>nypother</v>
          </cell>
          <cell r="AG1546" t="str">
            <v>P</v>
          </cell>
        </row>
        <row r="1547">
          <cell r="A1547" t="str">
            <v>1366598914</v>
          </cell>
          <cell r="B1547" t="str">
            <v>03174729</v>
          </cell>
          <cell r="C1547" t="str">
            <v>GWON, KRISTA L</v>
          </cell>
          <cell r="D1547" t="str">
            <v>E0301572</v>
          </cell>
          <cell r="E1547" t="str">
            <v>BEISWENGER KRISTA</v>
          </cell>
          <cell r="G1547" t="str">
            <v>Kathryn Spaziani</v>
          </cell>
          <cell r="H1547" t="str">
            <v>(212) 305-1190</v>
          </cell>
          <cell r="J1547" t="str">
            <v>kas9171@nyp.org</v>
          </cell>
          <cell r="L1547" t="str">
            <v>Practitioner - Non-Primary Care Provider (PCP)</v>
          </cell>
          <cell r="M1547" t="str">
            <v>No</v>
          </cell>
          <cell r="R1547" t="str">
            <v>GWON KRISTA</v>
          </cell>
          <cell r="W1547" t="str">
            <v>BEISWENGER KRISTA LYNNE</v>
          </cell>
          <cell r="X1547" t="str">
            <v>3959 BROADWAY FL 6 NORTH</v>
          </cell>
          <cell r="Y1547" t="str">
            <v>NEW YORK</v>
          </cell>
          <cell r="Z1547" t="str">
            <v>NY</v>
          </cell>
          <cell r="AA1547" t="str">
            <v>10032-1559</v>
          </cell>
          <cell r="AB1547" t="str">
            <v>CLINICAL PSYCHOLOGIST</v>
          </cell>
          <cell r="AC1547" t="str">
            <v>M</v>
          </cell>
          <cell r="AD1547" t="str">
            <v>No</v>
          </cell>
          <cell r="AE1547" t="str">
            <v>MMIS</v>
          </cell>
          <cell r="AF1547" t="str">
            <v>nypwestacn</v>
          </cell>
          <cell r="AG1547" t="str">
            <v>P</v>
          </cell>
        </row>
        <row r="1548">
          <cell r="A1548" t="str">
            <v>1023213477</v>
          </cell>
          <cell r="B1548" t="str">
            <v>03039989</v>
          </cell>
          <cell r="C1548" t="str">
            <v>Poole-Di Salvo, Elizabeth A.</v>
          </cell>
          <cell r="D1548" t="str">
            <v>E0286112</v>
          </cell>
          <cell r="E1548" t="str">
            <v>POOLE-DI SALVO ELIZABETH</v>
          </cell>
          <cell r="G1548" t="str">
            <v>Kathryn Spaziani</v>
          </cell>
          <cell r="H1548" t="str">
            <v>(212) 305-1190</v>
          </cell>
          <cell r="J1548" t="str">
            <v>kas9171@nyp.org</v>
          </cell>
          <cell r="L1548" t="str">
            <v>Mental Health:: Practitioner - Non-Primary Care Provider (PCP)</v>
          </cell>
          <cell r="M1548" t="str">
            <v>No</v>
          </cell>
          <cell r="R1548" t="str">
            <v>POOLE-DI SALVO ELIZABETH DR.</v>
          </cell>
          <cell r="W1548" t="str">
            <v>POOLE-DI SALVO ELIZABETH</v>
          </cell>
          <cell r="X1548" t="str">
            <v>525 E 68TH STREET</v>
          </cell>
          <cell r="Y1548" t="str">
            <v>NEW YORK</v>
          </cell>
          <cell r="Z1548" t="str">
            <v>NY</v>
          </cell>
          <cell r="AA1548" t="str">
            <v>10065-4870</v>
          </cell>
          <cell r="AB1548" t="str">
            <v>PHYSICIAN</v>
          </cell>
          <cell r="AC1548" t="str">
            <v>M</v>
          </cell>
          <cell r="AD1548" t="str">
            <v>No</v>
          </cell>
          <cell r="AE1548" t="str">
            <v>MMIS</v>
          </cell>
          <cell r="AF1548" t="str">
            <v>nypeastcampus</v>
          </cell>
          <cell r="AG1548" t="str">
            <v>P</v>
          </cell>
        </row>
        <row r="1549">
          <cell r="A1549" t="str">
            <v>1023220498</v>
          </cell>
          <cell r="B1549" t="str">
            <v>03087390</v>
          </cell>
          <cell r="C1549" t="str">
            <v>STRATIGOS, KATHARINE A</v>
          </cell>
          <cell r="D1549" t="str">
            <v>E0291598</v>
          </cell>
          <cell r="E1549" t="str">
            <v>STRATIGOS KATHARINE ANNE</v>
          </cell>
          <cell r="G1549" t="str">
            <v>Kathryn Spaziani</v>
          </cell>
          <cell r="H1549" t="str">
            <v>(212) 305-1190</v>
          </cell>
          <cell r="J1549" t="str">
            <v>kas9171@nyp.org</v>
          </cell>
          <cell r="L1549" t="str">
            <v>Practitioner - Non-Primary Care Provider (PCP)</v>
          </cell>
          <cell r="M1549" t="str">
            <v>No</v>
          </cell>
          <cell r="R1549" t="str">
            <v>STRATIGOS KATHARINE DR.</v>
          </cell>
          <cell r="W1549" t="str">
            <v>STRATIGOS KATHARINE ANNE</v>
          </cell>
          <cell r="X1549" t="str">
            <v>3959 BROADWAY 6TH FL NORTH</v>
          </cell>
          <cell r="Y1549" t="str">
            <v>NEW YORK</v>
          </cell>
          <cell r="Z1549" t="str">
            <v>NY</v>
          </cell>
          <cell r="AA1549" t="str">
            <v>10032-0000</v>
          </cell>
          <cell r="AB1549" t="str">
            <v>PHYSICIAN</v>
          </cell>
          <cell r="AC1549" t="str">
            <v>M</v>
          </cell>
          <cell r="AD1549" t="str">
            <v>No</v>
          </cell>
          <cell r="AE1549" t="str">
            <v>MMIS</v>
          </cell>
          <cell r="AF1549" t="str">
            <v>nypwestcampus</v>
          </cell>
          <cell r="AG1549" t="str">
            <v>P</v>
          </cell>
        </row>
        <row r="1550">
          <cell r="A1550" t="str">
            <v>1548357635</v>
          </cell>
          <cell r="B1550" t="str">
            <v>01601481</v>
          </cell>
          <cell r="C1550" t="str">
            <v>SIEGLER, EUGENIA L</v>
          </cell>
          <cell r="D1550" t="str">
            <v>E0139861</v>
          </cell>
          <cell r="E1550" t="str">
            <v>SIEGLER EUGENIA L MD</v>
          </cell>
          <cell r="G1550" t="str">
            <v>Kathryn Spaziani</v>
          </cell>
          <cell r="H1550" t="str">
            <v>(212) 305-1190</v>
          </cell>
          <cell r="J1550" t="str">
            <v>kas9171@nyp.org</v>
          </cell>
          <cell r="L1550" t="str">
            <v>Practitioner - Primary Care Provider (PCP)</v>
          </cell>
          <cell r="M1550" t="str">
            <v>No</v>
          </cell>
          <cell r="R1550" t="str">
            <v>SIEGLER EUGENIA</v>
          </cell>
          <cell r="W1550" t="str">
            <v>SIEGLER EUGENIA L MD</v>
          </cell>
          <cell r="X1550" t="str">
            <v>PRACTICE PLAN MGMNT</v>
          </cell>
          <cell r="Y1550" t="str">
            <v>BROOKLYN</v>
          </cell>
          <cell r="Z1550" t="str">
            <v>NY</v>
          </cell>
          <cell r="AA1550" t="str">
            <v>11201-3012</v>
          </cell>
          <cell r="AB1550" t="str">
            <v>PHYSICIAN</v>
          </cell>
          <cell r="AC1550" t="str">
            <v>M</v>
          </cell>
          <cell r="AD1550" t="str">
            <v>No</v>
          </cell>
          <cell r="AE1550" t="str">
            <v>MMIS</v>
          </cell>
          <cell r="AF1550" t="str">
            <v>nypeastcampus</v>
          </cell>
          <cell r="AG1550" t="str">
            <v>P</v>
          </cell>
        </row>
        <row r="1551">
          <cell r="A1551" t="str">
            <v>1548380884</v>
          </cell>
          <cell r="B1551" t="str">
            <v>01438971</v>
          </cell>
          <cell r="C1551" t="str">
            <v>FLECK, ELAINE M</v>
          </cell>
          <cell r="D1551" t="str">
            <v>E0156079</v>
          </cell>
          <cell r="E1551" t="str">
            <v>FLECK ELAINE M MD</v>
          </cell>
          <cell r="G1551" t="str">
            <v>Kathryn Spaziani</v>
          </cell>
          <cell r="H1551" t="str">
            <v>(212) 305-1190</v>
          </cell>
          <cell r="J1551" t="str">
            <v>kas9171@nyp.org</v>
          </cell>
          <cell r="L1551" t="str">
            <v>Practitioner - Primary Care Provider (PCP)</v>
          </cell>
          <cell r="M1551" t="str">
            <v>Yes</v>
          </cell>
          <cell r="R1551" t="str">
            <v>FLECK ELAINE DR.</v>
          </cell>
          <cell r="W1551" t="str">
            <v>FLECK ELAINE M MD</v>
          </cell>
          <cell r="X1551" t="str">
            <v>PRESBYTERIAN HSP</v>
          </cell>
          <cell r="Y1551" t="str">
            <v>NEW YORK</v>
          </cell>
          <cell r="Z1551" t="str">
            <v>NY</v>
          </cell>
          <cell r="AA1551" t="str">
            <v>10032-3725</v>
          </cell>
          <cell r="AB1551" t="str">
            <v>PHYSICIAN</v>
          </cell>
          <cell r="AC1551" t="str">
            <v>M</v>
          </cell>
          <cell r="AD1551" t="str">
            <v>No</v>
          </cell>
          <cell r="AE1551" t="str">
            <v>MMIS</v>
          </cell>
          <cell r="AF1551" t="str">
            <v>nypwestacn</v>
          </cell>
          <cell r="AG1551" t="str">
            <v>P</v>
          </cell>
        </row>
        <row r="1552">
          <cell r="A1552" t="str">
            <v>1558414524</v>
          </cell>
          <cell r="B1552" t="str">
            <v>02914198</v>
          </cell>
          <cell r="C1552" t="str">
            <v>Kaushal, Rainu</v>
          </cell>
          <cell r="D1552" t="str">
            <v>E0008788</v>
          </cell>
          <cell r="E1552" t="str">
            <v>KAUSHAL RAINU MD</v>
          </cell>
          <cell r="G1552" t="str">
            <v>Kathryn Spaziani</v>
          </cell>
          <cell r="H1552" t="str">
            <v>(212) 305-1190</v>
          </cell>
          <cell r="J1552" t="str">
            <v>kas9171@nyp.org</v>
          </cell>
          <cell r="L1552" t="str">
            <v>Practitioner - Primary Care Provider (PCP)</v>
          </cell>
          <cell r="M1552" t="str">
            <v>No</v>
          </cell>
          <cell r="R1552" t="str">
            <v>KAUSHAL RAINU</v>
          </cell>
          <cell r="W1552" t="str">
            <v>KAUSHAL RAINU MD</v>
          </cell>
          <cell r="X1552" t="str">
            <v>525 E 68TH ST</v>
          </cell>
          <cell r="Y1552" t="str">
            <v>NEW YORK</v>
          </cell>
          <cell r="Z1552" t="str">
            <v>NY</v>
          </cell>
          <cell r="AA1552" t="str">
            <v>10065-4870</v>
          </cell>
          <cell r="AB1552" t="str">
            <v>PHYSICIAN</v>
          </cell>
          <cell r="AC1552" t="str">
            <v>M</v>
          </cell>
          <cell r="AD1552" t="str">
            <v>No</v>
          </cell>
          <cell r="AE1552" t="str">
            <v>MMIS</v>
          </cell>
          <cell r="AF1552" t="str">
            <v>nypeastcampus</v>
          </cell>
          <cell r="AG1552" t="str">
            <v>P</v>
          </cell>
        </row>
        <row r="1553">
          <cell r="A1553" t="str">
            <v>1164639142</v>
          </cell>
          <cell r="B1553" t="str">
            <v>03302590</v>
          </cell>
          <cell r="C1553" t="str">
            <v>MENDOZA, AURORA M</v>
          </cell>
          <cell r="D1553" t="str">
            <v>E0315993</v>
          </cell>
          <cell r="E1553" t="str">
            <v>MENDOZA AURORA</v>
          </cell>
          <cell r="G1553" t="str">
            <v>Kathryn Spaziani</v>
          </cell>
          <cell r="H1553" t="str">
            <v>(212) 305-1190</v>
          </cell>
          <cell r="J1553" t="str">
            <v>kas9171@nyp.org</v>
          </cell>
          <cell r="L1553" t="str">
            <v>Practitioner - Non-Primary Care Provider (PCP)</v>
          </cell>
          <cell r="M1553" t="str">
            <v>Yes</v>
          </cell>
          <cell r="R1553" t="str">
            <v>MENDOZA AURORA</v>
          </cell>
          <cell r="W1553" t="str">
            <v>MENDOZA AURORA M</v>
          </cell>
          <cell r="X1553" t="str">
            <v>515 W 182ND ST RM 101</v>
          </cell>
          <cell r="Y1553" t="str">
            <v>NEW YORK</v>
          </cell>
          <cell r="Z1553" t="str">
            <v>NY</v>
          </cell>
          <cell r="AA1553" t="str">
            <v>10033-5107</v>
          </cell>
          <cell r="AB1553" t="str">
            <v>PHYSICIAN</v>
          </cell>
          <cell r="AC1553" t="str">
            <v>M</v>
          </cell>
          <cell r="AD1553" t="str">
            <v>No</v>
          </cell>
          <cell r="AE1553" t="str">
            <v>MMIS</v>
          </cell>
          <cell r="AF1553" t="str">
            <v>nypwestcampus</v>
          </cell>
          <cell r="AG1553" t="str">
            <v>P</v>
          </cell>
        </row>
        <row r="1554">
          <cell r="A1554" t="str">
            <v>1164673349</v>
          </cell>
          <cell r="B1554" t="str">
            <v>03105548</v>
          </cell>
          <cell r="C1554" t="str">
            <v>BONANNO, CLARISSA A</v>
          </cell>
          <cell r="D1554" t="str">
            <v>E0293727</v>
          </cell>
          <cell r="E1554" t="str">
            <v>BONANNO CLARISSA A MD</v>
          </cell>
          <cell r="G1554" t="str">
            <v>Kathryn Spaziani</v>
          </cell>
          <cell r="H1554" t="str">
            <v>(212) 305-1190</v>
          </cell>
          <cell r="J1554" t="str">
            <v>kas9171@nyp.org</v>
          </cell>
          <cell r="L1554" t="str">
            <v>All Other:: Practitioner - Non-Primary Care Provider (PCP)</v>
          </cell>
          <cell r="M1554" t="str">
            <v>No</v>
          </cell>
          <cell r="R1554" t="str">
            <v>BONANNO CLARISSA</v>
          </cell>
          <cell r="W1554" t="str">
            <v>BONANNO CLARISSA A MD</v>
          </cell>
          <cell r="X1554" t="str">
            <v>622 W 168TH ST</v>
          </cell>
          <cell r="Y1554" t="str">
            <v>NEW YORK</v>
          </cell>
          <cell r="Z1554" t="str">
            <v>NY</v>
          </cell>
          <cell r="AA1554" t="str">
            <v>10032-3720</v>
          </cell>
          <cell r="AB1554" t="str">
            <v>PHYSICIAN</v>
          </cell>
          <cell r="AC1554" t="str">
            <v>M</v>
          </cell>
          <cell r="AD1554" t="str">
            <v>No</v>
          </cell>
          <cell r="AE1554" t="str">
            <v>MMIS</v>
          </cell>
          <cell r="AF1554" t="str">
            <v>nypwestacn</v>
          </cell>
          <cell r="AG1554" t="str">
            <v>P</v>
          </cell>
        </row>
        <row r="1555">
          <cell r="A1555" t="str">
            <v>1174549737</v>
          </cell>
          <cell r="B1555" t="str">
            <v>02177824</v>
          </cell>
          <cell r="C1555" t="str">
            <v>MATSEOANE-PETERSSEN, DARA N</v>
          </cell>
          <cell r="D1555" t="str">
            <v>E0082296</v>
          </cell>
          <cell r="E1555" t="str">
            <v>MATSEOANE DARA N MD</v>
          </cell>
          <cell r="G1555" t="str">
            <v>Kathryn Spaziani</v>
          </cell>
          <cell r="H1555" t="str">
            <v>(212) 305-1190</v>
          </cell>
          <cell r="J1555" t="str">
            <v>kas9171@nyp.org</v>
          </cell>
          <cell r="L1555" t="str">
            <v>All Other:: Practitioner - Non-Primary Care Provider (PCP)</v>
          </cell>
          <cell r="M1555" t="str">
            <v>Yes</v>
          </cell>
          <cell r="R1555" t="str">
            <v>MATSEOANE-PETERSSEN DARA</v>
          </cell>
          <cell r="W1555" t="str">
            <v>MATSEOANE DARA N MD</v>
          </cell>
          <cell r="X1555" t="str">
            <v>THE ALLEN PAVILION</v>
          </cell>
          <cell r="Y1555" t="str">
            <v>NEW YORK</v>
          </cell>
          <cell r="Z1555" t="str">
            <v>NY</v>
          </cell>
          <cell r="AA1555" t="str">
            <v>10034-1199</v>
          </cell>
          <cell r="AB1555" t="str">
            <v>PHYSICIAN</v>
          </cell>
          <cell r="AC1555" t="str">
            <v>M</v>
          </cell>
          <cell r="AD1555" t="str">
            <v>No</v>
          </cell>
          <cell r="AE1555" t="str">
            <v>MMIS</v>
          </cell>
          <cell r="AF1555" t="str">
            <v>nypwestcampus</v>
          </cell>
          <cell r="AG1555" t="str">
            <v>P</v>
          </cell>
        </row>
        <row r="1556">
          <cell r="A1556" t="str">
            <v>1508860461</v>
          </cell>
          <cell r="B1556" t="str">
            <v>01749366</v>
          </cell>
          <cell r="C1556" t="str">
            <v>CHENG, DANIEL H</v>
          </cell>
          <cell r="D1556" t="str">
            <v>E0125090</v>
          </cell>
          <cell r="E1556" t="str">
            <v>CHENG DANIEL H MD</v>
          </cell>
          <cell r="G1556" t="str">
            <v>Kathryn Spaziani</v>
          </cell>
          <cell r="H1556" t="str">
            <v>(212) 305-1190</v>
          </cell>
          <cell r="J1556" t="str">
            <v>kas9171@nyp.org</v>
          </cell>
          <cell r="L1556" t="str">
            <v>Practitioner - Non-Primary Care Provider (PCP)</v>
          </cell>
          <cell r="M1556" t="str">
            <v>Yes</v>
          </cell>
          <cell r="R1556" t="str">
            <v>CHENG DANIEL</v>
          </cell>
          <cell r="W1556" t="str">
            <v>CHENG DANIEL H MD</v>
          </cell>
          <cell r="X1556" t="str">
            <v>WOODHULL MED CTR</v>
          </cell>
          <cell r="Y1556" t="str">
            <v>BROOKLYN</v>
          </cell>
          <cell r="Z1556" t="str">
            <v>NY</v>
          </cell>
          <cell r="AA1556" t="str">
            <v>11206-5317</v>
          </cell>
          <cell r="AB1556" t="str">
            <v>PHYSICIAN</v>
          </cell>
          <cell r="AC1556" t="str">
            <v>M</v>
          </cell>
          <cell r="AD1556" t="str">
            <v>No</v>
          </cell>
          <cell r="AE1556" t="str">
            <v>MMIS</v>
          </cell>
          <cell r="AF1556" t="str">
            <v>nypwestacn</v>
          </cell>
          <cell r="AG1556" t="str">
            <v>P</v>
          </cell>
        </row>
        <row r="1557">
          <cell r="A1557" t="str">
            <v>1942323944</v>
          </cell>
          <cell r="B1557" t="str">
            <v>03390021</v>
          </cell>
          <cell r="C1557" t="str">
            <v>NAZIF, TAMIN M</v>
          </cell>
          <cell r="D1557" t="str">
            <v>E0326439</v>
          </cell>
          <cell r="E1557" t="str">
            <v>NAZIF TAMIM MICHAEL</v>
          </cell>
          <cell r="G1557" t="str">
            <v>Kathryn Spaziani</v>
          </cell>
          <cell r="H1557" t="str">
            <v>(212) 305-1190</v>
          </cell>
          <cell r="J1557" t="str">
            <v>kas9171@nyp.org</v>
          </cell>
          <cell r="L1557" t="str">
            <v>All Other:: Practitioner - Non-Primary Care Provider (PCP)</v>
          </cell>
          <cell r="M1557" t="str">
            <v>No</v>
          </cell>
          <cell r="R1557" t="str">
            <v>NAZIF TAMIM DR.</v>
          </cell>
          <cell r="W1557" t="str">
            <v>NAZIF TAMIM MICHAEL</v>
          </cell>
          <cell r="X1557" t="str">
            <v>622 W 168TH ST</v>
          </cell>
          <cell r="Y1557" t="str">
            <v>NEW YORK</v>
          </cell>
          <cell r="Z1557" t="str">
            <v>NY</v>
          </cell>
          <cell r="AA1557" t="str">
            <v>10032-3720</v>
          </cell>
          <cell r="AB1557" t="str">
            <v>PHYSICIAN</v>
          </cell>
          <cell r="AC1557" t="str">
            <v>M</v>
          </cell>
          <cell r="AD1557" t="str">
            <v>No</v>
          </cell>
          <cell r="AE1557" t="str">
            <v>MMIS</v>
          </cell>
          <cell r="AF1557" t="str">
            <v>nypwestcampus</v>
          </cell>
          <cell r="AG1557" t="str">
            <v>P</v>
          </cell>
        </row>
        <row r="1558">
          <cell r="A1558" t="str">
            <v>1023088952</v>
          </cell>
          <cell r="B1558" t="str">
            <v>01844908</v>
          </cell>
          <cell r="C1558" t="str">
            <v xml:space="preserve">CHARNEY, PAMELA </v>
          </cell>
          <cell r="D1558" t="str">
            <v>E0115550</v>
          </cell>
          <cell r="E1558" t="str">
            <v>CHARNEY PAMELA MD</v>
          </cell>
          <cell r="G1558" t="str">
            <v>Kathryn Spaziani</v>
          </cell>
          <cell r="H1558" t="str">
            <v>(212) 305-1190</v>
          </cell>
          <cell r="J1558" t="str">
            <v>kas9171@nyp.org</v>
          </cell>
          <cell r="L1558" t="str">
            <v>All Other:: Practitioner - Primary Care Provider (PCP)</v>
          </cell>
          <cell r="M1558" t="str">
            <v>No</v>
          </cell>
          <cell r="R1558" t="str">
            <v>CHARNEY PAMELA</v>
          </cell>
          <cell r="W1558" t="str">
            <v>CHARNEY PAMELA MD</v>
          </cell>
          <cell r="X1558" t="str">
            <v>160 N MIDLAND AVE</v>
          </cell>
          <cell r="Y1558" t="str">
            <v>NYACK</v>
          </cell>
          <cell r="Z1558" t="str">
            <v>NY</v>
          </cell>
          <cell r="AA1558" t="str">
            <v>10960-1912</v>
          </cell>
          <cell r="AB1558" t="str">
            <v>PHYSICIAN</v>
          </cell>
          <cell r="AC1558" t="str">
            <v>M</v>
          </cell>
          <cell r="AD1558" t="str">
            <v>No</v>
          </cell>
          <cell r="AE1558" t="str">
            <v>MMIS</v>
          </cell>
          <cell r="AF1558" t="str">
            <v>nypeastacn</v>
          </cell>
          <cell r="AG1558" t="str">
            <v>P</v>
          </cell>
        </row>
        <row r="1559">
          <cell r="A1559" t="str">
            <v>1063678332</v>
          </cell>
          <cell r="B1559" t="str">
            <v>03603505</v>
          </cell>
          <cell r="C1559" t="str">
            <v xml:space="preserve">COTLIAR, JEREMY </v>
          </cell>
          <cell r="D1559" t="str">
            <v>E0350515</v>
          </cell>
          <cell r="E1559" t="str">
            <v>COTLIAR JEREMY</v>
          </cell>
          <cell r="G1559" t="str">
            <v>Kathryn Spaziani</v>
          </cell>
          <cell r="H1559" t="str">
            <v>(212) 305-1190</v>
          </cell>
          <cell r="J1559" t="str">
            <v>kas9171@nyp.org</v>
          </cell>
          <cell r="L1559" t="str">
            <v>All Other:: Practitioner - Non-Primary Care Provider (PCP)</v>
          </cell>
          <cell r="M1559" t="str">
            <v>No</v>
          </cell>
          <cell r="R1559" t="str">
            <v>COTLIAR JEREMY</v>
          </cell>
          <cell r="W1559" t="str">
            <v>COTLIAR JEREMY</v>
          </cell>
          <cell r="X1559" t="str">
            <v>130 FORT WASHINGTON AVE STE 1M</v>
          </cell>
          <cell r="Y1559" t="str">
            <v>NEW YORK</v>
          </cell>
          <cell r="Z1559" t="str">
            <v>NY</v>
          </cell>
          <cell r="AA1559" t="str">
            <v>10032-4724</v>
          </cell>
          <cell r="AB1559" t="str">
            <v>PHYSICIAN</v>
          </cell>
          <cell r="AC1559" t="str">
            <v>M</v>
          </cell>
          <cell r="AD1559" t="str">
            <v>No</v>
          </cell>
          <cell r="AE1559" t="str">
            <v>MMIS</v>
          </cell>
          <cell r="AF1559" t="str">
            <v>nypwestacn</v>
          </cell>
          <cell r="AG1559" t="str">
            <v>P</v>
          </cell>
        </row>
        <row r="1560">
          <cell r="A1560" t="str">
            <v>1073536405</v>
          </cell>
          <cell r="B1560" t="str">
            <v>00433647</v>
          </cell>
          <cell r="C1560" t="str">
            <v>MAXFIELD, ROGER A</v>
          </cell>
          <cell r="D1560" t="str">
            <v>E0255908</v>
          </cell>
          <cell r="E1560" t="str">
            <v>MAXFIELD ROGER A MD</v>
          </cell>
          <cell r="G1560" t="str">
            <v>Kathryn Spaziani</v>
          </cell>
          <cell r="H1560" t="str">
            <v>(212) 305-1190</v>
          </cell>
          <cell r="J1560" t="str">
            <v>kas9171@nyp.org</v>
          </cell>
          <cell r="L1560" t="str">
            <v>All Other:: Practitioner - Non-Primary Care Provider (PCP)</v>
          </cell>
          <cell r="M1560" t="str">
            <v>No</v>
          </cell>
          <cell r="R1560" t="str">
            <v>MAXFIELD ROGER DR.</v>
          </cell>
          <cell r="W1560" t="str">
            <v>MAXFIELD ROGER A MD</v>
          </cell>
          <cell r="Y1560" t="str">
            <v>NEW YORK</v>
          </cell>
          <cell r="Z1560" t="str">
            <v>NY</v>
          </cell>
          <cell r="AA1560" t="str">
            <v>10032-3720</v>
          </cell>
          <cell r="AB1560" t="str">
            <v>PHYSICIAN</v>
          </cell>
          <cell r="AC1560" t="str">
            <v>M</v>
          </cell>
          <cell r="AD1560" t="str">
            <v>No</v>
          </cell>
          <cell r="AE1560" t="str">
            <v>MMIS</v>
          </cell>
          <cell r="AF1560" t="str">
            <v>nypwestcampus</v>
          </cell>
          <cell r="AG1560" t="str">
            <v>P</v>
          </cell>
        </row>
        <row r="1561">
          <cell r="A1561" t="str">
            <v>1073543567</v>
          </cell>
          <cell r="B1561" t="str">
            <v>00416642</v>
          </cell>
          <cell r="C1561" t="str">
            <v>SCHNEIDERMAN, PAUL I</v>
          </cell>
          <cell r="D1561" t="str">
            <v>E0257607</v>
          </cell>
          <cell r="E1561" t="str">
            <v>SCHNEIDERMAN PAUL I        MD</v>
          </cell>
          <cell r="G1561" t="str">
            <v>Kathryn Spaziani</v>
          </cell>
          <cell r="H1561" t="str">
            <v>(212) 305-1190</v>
          </cell>
          <cell r="J1561" t="str">
            <v>kas9171@nyp.org</v>
          </cell>
          <cell r="L1561" t="str">
            <v>Practitioner - Non-Primary Care Provider (PCP)</v>
          </cell>
          <cell r="M1561" t="str">
            <v>No</v>
          </cell>
          <cell r="R1561" t="str">
            <v>SCHNEIDERMAN PAUL DR.</v>
          </cell>
          <cell r="W1561" t="str">
            <v>SCHNEIDERMAN PAUL I        MD</v>
          </cell>
          <cell r="X1561" t="str">
            <v>239 BOYLE RD</v>
          </cell>
          <cell r="Y1561" t="str">
            <v>SELDEN</v>
          </cell>
          <cell r="Z1561" t="str">
            <v>NY</v>
          </cell>
          <cell r="AA1561" t="str">
            <v>11784-1955</v>
          </cell>
          <cell r="AB1561" t="str">
            <v>PHYSICIAN</v>
          </cell>
          <cell r="AC1561" t="str">
            <v>M</v>
          </cell>
          <cell r="AD1561" t="str">
            <v>No</v>
          </cell>
          <cell r="AE1561" t="str">
            <v>MMIS</v>
          </cell>
          <cell r="AF1561" t="str">
            <v>nypwestcampus</v>
          </cell>
          <cell r="AG1561" t="str">
            <v>P</v>
          </cell>
        </row>
        <row r="1562">
          <cell r="A1562" t="str">
            <v>1245201078</v>
          </cell>
          <cell r="B1562" t="str">
            <v>01115580</v>
          </cell>
          <cell r="C1562" t="str">
            <v>WEISS, MICHAEL J</v>
          </cell>
          <cell r="D1562" t="str">
            <v>E0188319</v>
          </cell>
          <cell r="E1562" t="str">
            <v>WEISS MICHAEL J MD</v>
          </cell>
          <cell r="G1562" t="str">
            <v>Kathryn Spaziani</v>
          </cell>
          <cell r="H1562" t="str">
            <v>(212) 305-1190</v>
          </cell>
          <cell r="J1562" t="str">
            <v>kas9171@nyp.org</v>
          </cell>
          <cell r="L1562" t="str">
            <v>All Other:: Practitioner - Non-Primary Care Provider (PCP)</v>
          </cell>
          <cell r="M1562" t="str">
            <v>No</v>
          </cell>
          <cell r="R1562" t="str">
            <v>WEISS MICHAEL DR.</v>
          </cell>
          <cell r="W1562" t="str">
            <v>WEISS MICHAEL J MD</v>
          </cell>
          <cell r="Y1562" t="str">
            <v>NEW YORK</v>
          </cell>
          <cell r="Z1562" t="str">
            <v>NY</v>
          </cell>
          <cell r="AA1562" t="str">
            <v>10032-3724</v>
          </cell>
          <cell r="AB1562" t="str">
            <v>PHYSICIAN</v>
          </cell>
          <cell r="AC1562" t="str">
            <v>M</v>
          </cell>
          <cell r="AD1562" t="str">
            <v>No</v>
          </cell>
          <cell r="AE1562" t="str">
            <v>MMIS</v>
          </cell>
          <cell r="AF1562" t="str">
            <v>nypwestcampus</v>
          </cell>
          <cell r="AG1562" t="str">
            <v>P</v>
          </cell>
        </row>
        <row r="1563">
          <cell r="A1563" t="str">
            <v>1295703312</v>
          </cell>
          <cell r="B1563" t="str">
            <v>00937926</v>
          </cell>
          <cell r="C1563" t="str">
            <v>WILLNER, JOSEPH H</v>
          </cell>
          <cell r="D1563" t="str">
            <v>E0205966</v>
          </cell>
          <cell r="E1563" t="str">
            <v>WILLNER JOSEPH HARRISON    MD</v>
          </cell>
          <cell r="G1563" t="str">
            <v>Kathryn Spaziani</v>
          </cell>
          <cell r="H1563" t="str">
            <v>(212) 305-1190</v>
          </cell>
          <cell r="J1563" t="str">
            <v>kas9171@nyp.org</v>
          </cell>
          <cell r="L1563" t="str">
            <v>Practitioner - Non-Primary Care Provider (PCP)</v>
          </cell>
          <cell r="M1563" t="str">
            <v>No</v>
          </cell>
          <cell r="R1563" t="str">
            <v>WILLNER JOSEPH</v>
          </cell>
          <cell r="W1563" t="str">
            <v>WILLNER JOSEPH HARRISON    MD</v>
          </cell>
          <cell r="X1563" t="str">
            <v>DRS RABIN,WILNER,FR</v>
          </cell>
          <cell r="Y1563" t="str">
            <v>ENGLEWOOD</v>
          </cell>
          <cell r="Z1563" t="str">
            <v>NJ</v>
          </cell>
          <cell r="AA1563" t="str">
            <v>07631-2533</v>
          </cell>
          <cell r="AB1563" t="str">
            <v>PHYSICIAN</v>
          </cell>
          <cell r="AC1563" t="str">
            <v>M</v>
          </cell>
          <cell r="AD1563" t="str">
            <v>No</v>
          </cell>
          <cell r="AE1563" t="str">
            <v>MMIS</v>
          </cell>
          <cell r="AF1563" t="str">
            <v>nypother</v>
          </cell>
          <cell r="AG1563" t="str">
            <v>P</v>
          </cell>
        </row>
        <row r="1564">
          <cell r="A1564" t="str">
            <v>1295707461</v>
          </cell>
          <cell r="B1564" t="str">
            <v>02337346</v>
          </cell>
          <cell r="C1564" t="str">
            <v>FOGELMAN, JOSHUA P</v>
          </cell>
          <cell r="D1564" t="str">
            <v>E0066369</v>
          </cell>
          <cell r="E1564" t="str">
            <v>FOGELMAN JOSHUA P MD</v>
          </cell>
          <cell r="G1564" t="str">
            <v>Kathryn Spaziani</v>
          </cell>
          <cell r="H1564" t="str">
            <v>(212) 305-1190</v>
          </cell>
          <cell r="J1564" t="str">
            <v>kas9171@nyp.org</v>
          </cell>
          <cell r="L1564" t="str">
            <v>All Other:: Practitioner - Non-Primary Care Provider (PCP)</v>
          </cell>
          <cell r="M1564" t="str">
            <v>No</v>
          </cell>
          <cell r="R1564" t="str">
            <v>FOGELMAN JOSHUA</v>
          </cell>
          <cell r="W1564" t="str">
            <v>FOGELMAN JOSHUA P MD</v>
          </cell>
          <cell r="X1564" t="str">
            <v>PREL PLZA STE 18</v>
          </cell>
          <cell r="Y1564" t="str">
            <v>ORANGEBURG</v>
          </cell>
          <cell r="Z1564" t="str">
            <v>NY</v>
          </cell>
          <cell r="AA1564" t="str">
            <v>10962-1723</v>
          </cell>
          <cell r="AB1564" t="str">
            <v>PHYSICIAN</v>
          </cell>
          <cell r="AC1564" t="str">
            <v>M</v>
          </cell>
          <cell r="AD1564" t="str">
            <v>No</v>
          </cell>
          <cell r="AE1564" t="str">
            <v>MMIS</v>
          </cell>
          <cell r="AF1564" t="str">
            <v>nypwestacn</v>
          </cell>
          <cell r="AG1564" t="str">
            <v>P</v>
          </cell>
        </row>
        <row r="1565">
          <cell r="A1565" t="str">
            <v>1295725257</v>
          </cell>
          <cell r="B1565" t="str">
            <v>00833972</v>
          </cell>
          <cell r="C1565" t="str">
            <v>POMERANTZ, BARRY M</v>
          </cell>
          <cell r="D1565" t="str">
            <v>E0216340</v>
          </cell>
          <cell r="E1565" t="str">
            <v>POMERANTZ BARRY MICHAEL    MD</v>
          </cell>
          <cell r="G1565" t="str">
            <v>Kathryn Spaziani</v>
          </cell>
          <cell r="H1565" t="str">
            <v>(212) 305-1190</v>
          </cell>
          <cell r="J1565" t="str">
            <v>kas9171@nyp.org</v>
          </cell>
          <cell r="L1565" t="str">
            <v>Practitioner - Non-Primary Care Provider (PCP)</v>
          </cell>
          <cell r="M1565" t="str">
            <v>No</v>
          </cell>
          <cell r="R1565" t="str">
            <v>POMERANTZ BARRY DR.</v>
          </cell>
          <cell r="W1565" t="str">
            <v>POMERANTZ BARRY MICHAEL    MD</v>
          </cell>
          <cell r="X1565" t="str">
            <v>41 W 72ND ST</v>
          </cell>
          <cell r="Y1565" t="str">
            <v>NEW YORK</v>
          </cell>
          <cell r="Z1565" t="str">
            <v>NY</v>
          </cell>
          <cell r="AA1565" t="str">
            <v>10023-3413</v>
          </cell>
          <cell r="AB1565" t="str">
            <v>PHYSICIAN</v>
          </cell>
          <cell r="AC1565" t="str">
            <v>M</v>
          </cell>
          <cell r="AD1565" t="str">
            <v>No</v>
          </cell>
          <cell r="AE1565" t="str">
            <v>MMIS</v>
          </cell>
          <cell r="AF1565" t="str">
            <v>nypwestcampus</v>
          </cell>
          <cell r="AG1565" t="str">
            <v>P</v>
          </cell>
        </row>
        <row r="1566">
          <cell r="A1566" t="str">
            <v>1295727808</v>
          </cell>
          <cell r="B1566" t="str">
            <v>01990481</v>
          </cell>
          <cell r="C1566" t="str">
            <v xml:space="preserve">WHANG, EUGENE </v>
          </cell>
          <cell r="D1566" t="str">
            <v>E0101011</v>
          </cell>
          <cell r="E1566" t="str">
            <v>WHANG EUGENE J MD</v>
          </cell>
          <cell r="G1566" t="str">
            <v>Kathryn Spaziani</v>
          </cell>
          <cell r="H1566" t="str">
            <v>(212) 305-1190</v>
          </cell>
          <cell r="J1566" t="str">
            <v>kas9171@nyp.org</v>
          </cell>
          <cell r="L1566" t="str">
            <v>All Other:: Practitioner - Non-Primary Care Provider (PCP)</v>
          </cell>
          <cell r="M1566" t="str">
            <v>No</v>
          </cell>
          <cell r="R1566" t="str">
            <v>WHANG EUGENE</v>
          </cell>
          <cell r="W1566" t="str">
            <v>WHANG EUGENE J MD</v>
          </cell>
          <cell r="X1566" t="str">
            <v>3620 E TREMONT AVE</v>
          </cell>
          <cell r="Y1566" t="str">
            <v>BRONX</v>
          </cell>
          <cell r="Z1566" t="str">
            <v>NY</v>
          </cell>
          <cell r="AA1566" t="str">
            <v>10465-2038</v>
          </cell>
          <cell r="AB1566" t="str">
            <v>PHYSICIAN</v>
          </cell>
          <cell r="AC1566" t="str">
            <v>M</v>
          </cell>
          <cell r="AD1566" t="str">
            <v>No</v>
          </cell>
          <cell r="AE1566" t="str">
            <v>MMIS</v>
          </cell>
          <cell r="AF1566" t="str">
            <v>nypwestcampus</v>
          </cell>
          <cell r="AG1566" t="str">
            <v>P</v>
          </cell>
        </row>
        <row r="1567">
          <cell r="A1567" t="str">
            <v>1760655492</v>
          </cell>
          <cell r="B1567" t="str">
            <v>03102774</v>
          </cell>
          <cell r="C1567" t="str">
            <v>YIP, NATALIE H-Y</v>
          </cell>
          <cell r="D1567" t="str">
            <v>E0293190</v>
          </cell>
          <cell r="E1567" t="str">
            <v>NATALIE HOI-YUN YIP</v>
          </cell>
          <cell r="G1567" t="str">
            <v>Kathryn Spaziani</v>
          </cell>
          <cell r="H1567" t="str">
            <v>(212) 305-1190</v>
          </cell>
          <cell r="J1567" t="str">
            <v>kas9171@nyp.org</v>
          </cell>
          <cell r="L1567" t="str">
            <v>Practitioner - Primary Care Provider (PCP)</v>
          </cell>
          <cell r="M1567" t="str">
            <v>No</v>
          </cell>
          <cell r="R1567" t="str">
            <v>YIP NATALIE DR.</v>
          </cell>
          <cell r="W1567" t="str">
            <v>YIP NATALIE HOI-YUN MD</v>
          </cell>
          <cell r="X1567" t="str">
            <v>622 W 168TH ST</v>
          </cell>
          <cell r="Y1567" t="str">
            <v>NEW YORK</v>
          </cell>
          <cell r="Z1567" t="str">
            <v>NY</v>
          </cell>
          <cell r="AA1567" t="str">
            <v>10032-3720</v>
          </cell>
          <cell r="AB1567" t="str">
            <v>PHYSICIAN</v>
          </cell>
          <cell r="AC1567" t="str">
            <v>M</v>
          </cell>
          <cell r="AD1567" t="str">
            <v>No</v>
          </cell>
          <cell r="AE1567" t="str">
            <v>MMIS</v>
          </cell>
          <cell r="AF1567" t="str">
            <v>nypwestcampus</v>
          </cell>
          <cell r="AG1567" t="str">
            <v>P</v>
          </cell>
        </row>
        <row r="1568">
          <cell r="A1568" t="str">
            <v>1639394067</v>
          </cell>
          <cell r="B1568" t="str">
            <v>03602173</v>
          </cell>
          <cell r="C1568" t="str">
            <v>TAU, GREGORY Z</v>
          </cell>
          <cell r="D1568" t="str">
            <v>E0350382</v>
          </cell>
          <cell r="E1568" t="str">
            <v>TAU GREGORY</v>
          </cell>
          <cell r="G1568" t="str">
            <v>Kathryn Spaziani</v>
          </cell>
          <cell r="H1568" t="str">
            <v>(212) 305-1190</v>
          </cell>
          <cell r="J1568" t="str">
            <v>kas9171@nyp.org</v>
          </cell>
          <cell r="L1568" t="str">
            <v>Practitioner - Non-Primary Care Provider (PCP)</v>
          </cell>
          <cell r="M1568" t="str">
            <v>No</v>
          </cell>
          <cell r="R1568" t="str">
            <v>TAU GREGORY</v>
          </cell>
          <cell r="W1568" t="str">
            <v>TAU GREGORY ZVI</v>
          </cell>
          <cell r="X1568" t="str">
            <v>3959 BROADWAY</v>
          </cell>
          <cell r="Y1568" t="str">
            <v>NEW YORK</v>
          </cell>
          <cell r="Z1568" t="str">
            <v>NY</v>
          </cell>
          <cell r="AA1568" t="str">
            <v>10032-1559</v>
          </cell>
          <cell r="AB1568" t="str">
            <v>PHYSICIAN</v>
          </cell>
          <cell r="AC1568" t="str">
            <v>M</v>
          </cell>
          <cell r="AD1568" t="str">
            <v>No</v>
          </cell>
          <cell r="AE1568" t="str">
            <v>MMIS</v>
          </cell>
          <cell r="AF1568" t="str">
            <v>nypwestcampus</v>
          </cell>
          <cell r="AG1568" t="str">
            <v>P</v>
          </cell>
        </row>
        <row r="1569">
          <cell r="A1569" t="str">
            <v>1194732917</v>
          </cell>
          <cell r="C1569" t="str">
            <v>Block, Laurie A.</v>
          </cell>
          <cell r="G1569" t="str">
            <v>Kathryn Spaziani</v>
          </cell>
          <cell r="H1569" t="str">
            <v>(212) 305-1190</v>
          </cell>
          <cell r="J1569" t="str">
            <v>kas9171@nyp.org</v>
          </cell>
          <cell r="K1569" t="str">
            <v>Physician</v>
          </cell>
          <cell r="L1569" t="str">
            <v>Uncategorized</v>
          </cell>
          <cell r="M1569" t="str">
            <v>No</v>
          </cell>
          <cell r="R1569" t="str">
            <v>BLOCK LAURIE</v>
          </cell>
          <cell r="S1569" t="str">
            <v>9894 GENESEE AVE, 3RD FLOOR-</v>
          </cell>
          <cell r="T1569" t="str">
            <v>LA JOLLA</v>
          </cell>
          <cell r="U1569" t="str">
            <v>CA</v>
          </cell>
          <cell r="V1569" t="str">
            <v>920371205</v>
          </cell>
          <cell r="AC1569" t="str">
            <v>M</v>
          </cell>
          <cell r="AD1569" t="str">
            <v>No</v>
          </cell>
          <cell r="AE1569" t="str">
            <v>NPI only</v>
          </cell>
          <cell r="AF1569" t="str">
            <v>nypother</v>
          </cell>
          <cell r="AG1569" t="str">
            <v>P</v>
          </cell>
        </row>
        <row r="1570">
          <cell r="A1570" t="str">
            <v>1962728071</v>
          </cell>
          <cell r="B1570" t="str">
            <v>03335971</v>
          </cell>
          <cell r="C1570" t="str">
            <v>Extraordinary Home Care d/b/a St. Mary's Home Care</v>
          </cell>
          <cell r="D1570" t="str">
            <v>E0319833</v>
          </cell>
          <cell r="E1570" t="str">
            <v>EXTRAORDINARY HOME CARE</v>
          </cell>
          <cell r="G1570" t="str">
            <v>Edwin F. Simpser, MD</v>
          </cell>
          <cell r="H1570" t="str">
            <v>(718) 281-8777</v>
          </cell>
          <cell r="J1570" t="str">
            <v>esimpser@stmaryskids.org</v>
          </cell>
          <cell r="L1570" t="str">
            <v>All Other</v>
          </cell>
          <cell r="M1570" t="str">
            <v>Yes</v>
          </cell>
          <cell r="R1570" t="str">
            <v>EXTRAORDINARY HOME CARE</v>
          </cell>
          <cell r="W1570" t="str">
            <v>EXTRAORDINARY HOME CARE</v>
          </cell>
          <cell r="X1570" t="str">
            <v>5 DAKOTA DR STE 200</v>
          </cell>
          <cell r="Y1570" t="str">
            <v>NEW HYDE PARK</v>
          </cell>
          <cell r="Z1570" t="str">
            <v>NY</v>
          </cell>
          <cell r="AA1570" t="str">
            <v>11042-1109</v>
          </cell>
          <cell r="AB1570" t="str">
            <v>HOME HEALTH AGENCY</v>
          </cell>
          <cell r="AC1570" t="str">
            <v>M</v>
          </cell>
          <cell r="AD1570" t="str">
            <v>No</v>
          </cell>
          <cell r="AE1570" t="str">
            <v>MMIS</v>
          </cell>
          <cell r="AG1570" t="str">
            <v>P</v>
          </cell>
        </row>
        <row r="1571">
          <cell r="A1571" t="str">
            <v>1699827345</v>
          </cell>
          <cell r="B1571" t="str">
            <v>01111302</v>
          </cell>
          <cell r="C1571" t="str">
            <v>Realization Center, Inc.</v>
          </cell>
          <cell r="D1571" t="str">
            <v>E0188745</v>
          </cell>
          <cell r="E1571" t="str">
            <v>REALIZATION CENTER INC</v>
          </cell>
          <cell r="G1571" t="str">
            <v>Dianne Schwartz</v>
          </cell>
          <cell r="H1571" t="str">
            <v>(212) 627-9600</v>
          </cell>
          <cell r="J1571" t="str">
            <v>ds@realizationcenternyc.com</v>
          </cell>
          <cell r="L1571" t="str">
            <v>All Other:: Substance Abuse</v>
          </cell>
          <cell r="M1571" t="str">
            <v>Yes</v>
          </cell>
          <cell r="R1571" t="str">
            <v>REALIZATION CENTER, INC.</v>
          </cell>
          <cell r="W1571" t="str">
            <v>REALIZATION CENTER INC</v>
          </cell>
          <cell r="X1571" t="str">
            <v>OAS DETOX</v>
          </cell>
          <cell r="Y1571" t="str">
            <v>NEW YORK</v>
          </cell>
          <cell r="Z1571" t="str">
            <v>NY</v>
          </cell>
          <cell r="AA1571" t="str">
            <v>10003-3304</v>
          </cell>
          <cell r="AB1571" t="str">
            <v>DIAGNOSTIC AND TREATMENT CENTER</v>
          </cell>
          <cell r="AC1571" t="str">
            <v>M</v>
          </cell>
          <cell r="AD1571" t="str">
            <v>No</v>
          </cell>
          <cell r="AE1571" t="str">
            <v>MMIS</v>
          </cell>
          <cell r="AG1571" t="str">
            <v>P</v>
          </cell>
        </row>
        <row r="1572">
          <cell r="A1572" t="str">
            <v>1740334978</v>
          </cell>
          <cell r="B1572" t="str">
            <v>02383860</v>
          </cell>
          <cell r="C1572" t="str">
            <v>WILKIN, TIMOTHY J</v>
          </cell>
          <cell r="D1572" t="str">
            <v>E0061734</v>
          </cell>
          <cell r="E1572" t="str">
            <v>WILKIN TIMOTHY JAMES</v>
          </cell>
          <cell r="G1572" t="str">
            <v>Kathryn Spaziani</v>
          </cell>
          <cell r="H1572" t="str">
            <v>(212) 305-1190</v>
          </cell>
          <cell r="J1572" t="str">
            <v>kas9171@nyp.org</v>
          </cell>
          <cell r="L1572" t="str">
            <v>All Other:: Practitioner - Primary Care Provider (PCP)</v>
          </cell>
          <cell r="M1572" t="str">
            <v>Yes</v>
          </cell>
          <cell r="R1572" t="str">
            <v>WILKIN TIMOTHY</v>
          </cell>
          <cell r="W1572" t="str">
            <v>WILKIN TIMOTHY JAMES</v>
          </cell>
          <cell r="X1572" t="str">
            <v>525 E 68TH ST BOX 125</v>
          </cell>
          <cell r="Y1572" t="str">
            <v>NEW YORK</v>
          </cell>
          <cell r="Z1572" t="str">
            <v>NY</v>
          </cell>
          <cell r="AA1572" t="str">
            <v>10065-4870</v>
          </cell>
          <cell r="AB1572" t="str">
            <v>PHYSICIAN</v>
          </cell>
          <cell r="AC1572" t="str">
            <v>M</v>
          </cell>
          <cell r="AD1572" t="str">
            <v>No</v>
          </cell>
          <cell r="AE1572" t="str">
            <v>MMIS</v>
          </cell>
          <cell r="AF1572" t="str">
            <v>nypeastcampus</v>
          </cell>
          <cell r="AG1572" t="str">
            <v>P</v>
          </cell>
        </row>
        <row r="1573">
          <cell r="A1573" t="str">
            <v>1417199050</v>
          </cell>
          <cell r="B1573" t="str">
            <v>03918361</v>
          </cell>
          <cell r="C1573" t="str">
            <v>HERMAN, SAMANTHA P</v>
          </cell>
          <cell r="D1573" t="str">
            <v>E0383004</v>
          </cell>
          <cell r="E1573" t="str">
            <v>HERMAN SAMANTHA</v>
          </cell>
          <cell r="G1573" t="str">
            <v>Kathryn Spaziani</v>
          </cell>
          <cell r="H1573" t="str">
            <v>(212) 305-1190</v>
          </cell>
          <cell r="J1573" t="str">
            <v>kas9171@nyp.org</v>
          </cell>
          <cell r="L1573" t="str">
            <v>Practitioner - Non-Primary Care Provider (PCP)</v>
          </cell>
          <cell r="M1573" t="str">
            <v>No</v>
          </cell>
          <cell r="R1573" t="str">
            <v>HERMAN SAMANTHA DR.</v>
          </cell>
          <cell r="W1573" t="str">
            <v>HERMAN SAMANTHA</v>
          </cell>
          <cell r="X1573" t="str">
            <v>161 FORT WASHINGTON AVE</v>
          </cell>
          <cell r="Y1573" t="str">
            <v>NEW YORK</v>
          </cell>
          <cell r="Z1573" t="str">
            <v>NY</v>
          </cell>
          <cell r="AA1573" t="str">
            <v>10032-3729</v>
          </cell>
          <cell r="AB1573" t="str">
            <v>PHYSICIAN</v>
          </cell>
          <cell r="AC1573" t="str">
            <v>M</v>
          </cell>
          <cell r="AD1573" t="str">
            <v>No</v>
          </cell>
          <cell r="AE1573" t="str">
            <v>MMIS</v>
          </cell>
          <cell r="AF1573" t="str">
            <v>nypwestacn</v>
          </cell>
          <cell r="AG1573" t="str">
            <v>P</v>
          </cell>
        </row>
        <row r="1574">
          <cell r="A1574" t="str">
            <v>1912094434</v>
          </cell>
          <cell r="B1574" t="str">
            <v>01818780</v>
          </cell>
          <cell r="C1574" t="str">
            <v>MAYER, ELIZABETH W</v>
          </cell>
          <cell r="D1574" t="str">
            <v>E0118159</v>
          </cell>
          <cell r="E1574" t="str">
            <v>MAYER ELIZABETH W</v>
          </cell>
          <cell r="G1574" t="str">
            <v>Kathryn Spaziani</v>
          </cell>
          <cell r="H1574" t="str">
            <v>(212) 305-1190</v>
          </cell>
          <cell r="J1574" t="str">
            <v>kas9171@nyp.org</v>
          </cell>
          <cell r="L1574" t="str">
            <v>All Other:: Practitioner - Non-Primary Care Provider (PCP)</v>
          </cell>
          <cell r="M1574" t="str">
            <v>No</v>
          </cell>
          <cell r="R1574" t="str">
            <v>MAYER ELIZABETH DR.</v>
          </cell>
          <cell r="W1574" t="str">
            <v>MAYER ELIZABETH W</v>
          </cell>
          <cell r="Y1574" t="str">
            <v>NEW YORK</v>
          </cell>
          <cell r="Z1574" t="str">
            <v>NY</v>
          </cell>
          <cell r="AA1574" t="str">
            <v>10032-3720</v>
          </cell>
          <cell r="AB1574" t="str">
            <v>PHYSICIAN</v>
          </cell>
          <cell r="AC1574" t="str">
            <v>M</v>
          </cell>
          <cell r="AD1574" t="str">
            <v>No</v>
          </cell>
          <cell r="AE1574" t="str">
            <v>MMIS</v>
          </cell>
          <cell r="AF1574" t="str">
            <v>nypwestcampus</v>
          </cell>
          <cell r="AG1574" t="str">
            <v>P</v>
          </cell>
        </row>
        <row r="1575">
          <cell r="A1575" t="str">
            <v>1174628473</v>
          </cell>
          <cell r="B1575" t="str">
            <v>02998621</v>
          </cell>
          <cell r="C1575" t="str">
            <v>THE NEW YORK AND PRESBYTERIAN HOSPITAL</v>
          </cell>
          <cell r="D1575" t="str">
            <v>E0274062</v>
          </cell>
          <cell r="E1575" t="str">
            <v>NY HOSPITAL</v>
          </cell>
          <cell r="G1575" t="str">
            <v>Kathryn Spaziani</v>
          </cell>
          <cell r="H1575" t="str">
            <v>(212) 305-1190</v>
          </cell>
          <cell r="J1575" t="str">
            <v>kas9171@nyp.org</v>
          </cell>
          <cell r="L1575" t="str">
            <v>All Other:: Case Management / Health Home:: Clinic:: Hospital:: Mental Health:: Pharmacy:: Substance Abuse</v>
          </cell>
          <cell r="M1575" t="str">
            <v>Yes</v>
          </cell>
          <cell r="R1575" t="str">
            <v>THE NEW YORK AND PRESBYTERIAN HOSPITAL</v>
          </cell>
          <cell r="W1575" t="str">
            <v>NY HOSPITAL</v>
          </cell>
          <cell r="X1575" t="str">
            <v>525 E 68TH ST</v>
          </cell>
          <cell r="Y1575" t="str">
            <v>NEW YORK</v>
          </cell>
          <cell r="Z1575" t="str">
            <v>NY</v>
          </cell>
          <cell r="AA1575" t="str">
            <v>10065-4870</v>
          </cell>
          <cell r="AB1575" t="str">
            <v>HOSPITAL</v>
          </cell>
          <cell r="AC1575" t="str">
            <v>M</v>
          </cell>
          <cell r="AD1575" t="str">
            <v>No</v>
          </cell>
          <cell r="AE1575" t="str">
            <v>MMIS</v>
          </cell>
          <cell r="AF1575" t="str">
            <v>nypeastcampus</v>
          </cell>
          <cell r="AG1575" t="str">
            <v>P</v>
          </cell>
        </row>
        <row r="1576">
          <cell r="A1576" t="str">
            <v>1942459300</v>
          </cell>
          <cell r="B1576" t="str">
            <v>03348083</v>
          </cell>
          <cell r="C1576" t="str">
            <v>WANG, DANIEL Y</v>
          </cell>
          <cell r="D1576" t="str">
            <v>E0321192</v>
          </cell>
          <cell r="E1576" t="str">
            <v>WANG DANIEL YU-CHUAN</v>
          </cell>
          <cell r="G1576" t="str">
            <v>Kathryn Spaziani</v>
          </cell>
          <cell r="H1576" t="str">
            <v>(212) 305-1190</v>
          </cell>
          <cell r="J1576" t="str">
            <v>kas9171@nyp.org</v>
          </cell>
          <cell r="L1576" t="str">
            <v>All Other:: Practitioner - Non-Primary Care Provider (PCP)</v>
          </cell>
          <cell r="M1576" t="str">
            <v>No</v>
          </cell>
          <cell r="R1576" t="str">
            <v>WANG DANIEL</v>
          </cell>
          <cell r="W1576" t="str">
            <v>WANG DANIEL YU-CHUAN</v>
          </cell>
          <cell r="X1576" t="str">
            <v>622 W 168TH ST</v>
          </cell>
          <cell r="Y1576" t="str">
            <v>NEW YORK</v>
          </cell>
          <cell r="Z1576" t="str">
            <v>NY</v>
          </cell>
          <cell r="AA1576" t="str">
            <v>10032-3720</v>
          </cell>
          <cell r="AB1576" t="str">
            <v>PHYSICIAN</v>
          </cell>
          <cell r="AC1576" t="str">
            <v>M</v>
          </cell>
          <cell r="AD1576" t="str">
            <v>No</v>
          </cell>
          <cell r="AE1576" t="str">
            <v>MMIS</v>
          </cell>
          <cell r="AF1576" t="str">
            <v>nypwestcampus</v>
          </cell>
          <cell r="AG1576" t="str">
            <v>P</v>
          </cell>
        </row>
        <row r="1577">
          <cell r="A1577" t="str">
            <v>1134118706</v>
          </cell>
          <cell r="B1577" t="str">
            <v>02404415</v>
          </cell>
          <cell r="C1577" t="str">
            <v xml:space="preserve">Kravitz, Helang Cho   </v>
          </cell>
          <cell r="D1577" t="str">
            <v>E0059686</v>
          </cell>
          <cell r="E1577" t="str">
            <v>KRAVITZ HELANG CHO</v>
          </cell>
          <cell r="G1577" t="str">
            <v>Betty Cheng</v>
          </cell>
          <cell r="H1577" t="str">
            <v>(212) 379-6988</v>
          </cell>
          <cell r="I1577">
            <v>2604</v>
          </cell>
          <cell r="J1577" t="str">
            <v>bcheng@cbwchc.org</v>
          </cell>
          <cell r="L1577" t="str">
            <v>All Other:: Practitioner - Primary Care Provider (PCP)</v>
          </cell>
          <cell r="M1577" t="str">
            <v>Yes</v>
          </cell>
          <cell r="R1577" t="str">
            <v>KRAVITZ HELANG</v>
          </cell>
          <cell r="W1577" t="str">
            <v>KRAVITZ HELANG CHO</v>
          </cell>
          <cell r="X1577" t="str">
            <v>268 CANAL ST</v>
          </cell>
          <cell r="Y1577" t="str">
            <v>NEW YORK</v>
          </cell>
          <cell r="Z1577" t="str">
            <v>NY</v>
          </cell>
          <cell r="AA1577" t="str">
            <v>10013-3599</v>
          </cell>
          <cell r="AB1577" t="str">
            <v>PHYSICIAN</v>
          </cell>
          <cell r="AC1577" t="str">
            <v>M</v>
          </cell>
          <cell r="AD1577" t="str">
            <v>No</v>
          </cell>
          <cell r="AE1577" t="str">
            <v>MMIS</v>
          </cell>
          <cell r="AF1577" t="str">
            <v>cbwchc</v>
          </cell>
          <cell r="AG1577" t="str">
            <v>P</v>
          </cell>
        </row>
        <row r="1578">
          <cell r="A1578" t="str">
            <v>1245223049</v>
          </cell>
          <cell r="B1578" t="str">
            <v>02607050</v>
          </cell>
          <cell r="C1578" t="str">
            <v xml:space="preserve">Lee, Catherine           </v>
          </cell>
          <cell r="D1578" t="str">
            <v>E0039452</v>
          </cell>
          <cell r="E1578" t="str">
            <v>LEE CATHERINE</v>
          </cell>
          <cell r="G1578" t="str">
            <v>Betty Cheng</v>
          </cell>
          <cell r="H1578" t="str">
            <v>(212) 379-6988</v>
          </cell>
          <cell r="I1578">
            <v>2604</v>
          </cell>
          <cell r="J1578" t="str">
            <v>bcheng@cbwchc.org</v>
          </cell>
          <cell r="L1578" t="str">
            <v>All Other:: Practitioner - Primary Care Provider (PCP)</v>
          </cell>
          <cell r="M1578" t="str">
            <v>Yes</v>
          </cell>
          <cell r="R1578" t="str">
            <v>LEE CATHERINE</v>
          </cell>
          <cell r="W1578" t="str">
            <v>LEE CATHERINE</v>
          </cell>
          <cell r="X1578" t="str">
            <v>268 CANAL ST</v>
          </cell>
          <cell r="Y1578" t="str">
            <v>NEW YORK</v>
          </cell>
          <cell r="Z1578" t="str">
            <v>NY</v>
          </cell>
          <cell r="AA1578" t="str">
            <v>10013-3599</v>
          </cell>
          <cell r="AB1578" t="str">
            <v>PHYSICIAN</v>
          </cell>
          <cell r="AC1578" t="str">
            <v>M</v>
          </cell>
          <cell r="AD1578" t="str">
            <v>No</v>
          </cell>
          <cell r="AE1578" t="str">
            <v>MMIS</v>
          </cell>
          <cell r="AF1578" t="str">
            <v>cbwchc</v>
          </cell>
          <cell r="AG1578" t="str">
            <v>P</v>
          </cell>
        </row>
        <row r="1579">
          <cell r="A1579" t="str">
            <v>1033397187</v>
          </cell>
          <cell r="B1579" t="str">
            <v>03017558</v>
          </cell>
          <cell r="C1579" t="str">
            <v xml:space="preserve">Nguyen, Y-Uyen Le </v>
          </cell>
          <cell r="D1579" t="str">
            <v>E0283718</v>
          </cell>
          <cell r="E1579" t="str">
            <v>NGUYEN Y-UYEN</v>
          </cell>
          <cell r="G1579" t="str">
            <v>Betty Cheng</v>
          </cell>
          <cell r="H1579" t="str">
            <v>(212) 379-6988</v>
          </cell>
          <cell r="I1579">
            <v>2604</v>
          </cell>
          <cell r="J1579" t="str">
            <v>bcheng@cbwchc.org</v>
          </cell>
          <cell r="L1579" t="str">
            <v>All Other:: Practitioner - Primary Care Provider (PCP)</v>
          </cell>
          <cell r="M1579" t="str">
            <v>Yes</v>
          </cell>
          <cell r="R1579" t="str">
            <v>NGUYEN Y-UYEN DR.</v>
          </cell>
          <cell r="W1579" t="str">
            <v>NGUYEN Y-UYEN LE MD</v>
          </cell>
          <cell r="X1579" t="str">
            <v>268 CANAL ST FL 3</v>
          </cell>
          <cell r="Y1579" t="str">
            <v>NEW YORK</v>
          </cell>
          <cell r="Z1579" t="str">
            <v>NY</v>
          </cell>
          <cell r="AA1579" t="str">
            <v>10013-3599</v>
          </cell>
          <cell r="AB1579" t="str">
            <v>PHYSICIAN</v>
          </cell>
          <cell r="AC1579" t="str">
            <v>M</v>
          </cell>
          <cell r="AD1579" t="str">
            <v>No</v>
          </cell>
          <cell r="AE1579" t="str">
            <v>MMIS</v>
          </cell>
          <cell r="AF1579" t="str">
            <v>cbwchc</v>
          </cell>
          <cell r="AG1579" t="str">
            <v>P</v>
          </cell>
        </row>
        <row r="1580">
          <cell r="A1580" t="str">
            <v>1831303734</v>
          </cell>
          <cell r="B1580" t="str">
            <v>03493221</v>
          </cell>
          <cell r="C1580" t="str">
            <v>Connolly Shanon</v>
          </cell>
          <cell r="D1580" t="str">
            <v>E0338834</v>
          </cell>
          <cell r="E1580" t="str">
            <v>CONNOLLY SHANON MARIE</v>
          </cell>
          <cell r="L1580" t="str">
            <v>All Other:: Practitioner - Non-Primary Care Provider (PCP)</v>
          </cell>
          <cell r="M1580" t="str">
            <v>No</v>
          </cell>
          <cell r="R1580" t="str">
            <v>CONNOLLY SHANON DR.</v>
          </cell>
          <cell r="W1580" t="str">
            <v>CONNOLLY SHANON MARIE</v>
          </cell>
          <cell r="X1580" t="str">
            <v>525 E 68TH ST BOX 585</v>
          </cell>
          <cell r="Y1580" t="str">
            <v>NEW YORK</v>
          </cell>
          <cell r="Z1580" t="str">
            <v>NY</v>
          </cell>
          <cell r="AA1580" t="str">
            <v>10065-4885</v>
          </cell>
          <cell r="AB1580" t="str">
            <v>PHYSICIAN</v>
          </cell>
          <cell r="AC1580" t="str">
            <v>M</v>
          </cell>
          <cell r="AD1580" t="str">
            <v>No</v>
          </cell>
          <cell r="AE1580" t="str">
            <v>MMIS</v>
          </cell>
          <cell r="AF1580" t="str">
            <v>nypeastcampus</v>
          </cell>
          <cell r="AG1580" t="str">
            <v>P</v>
          </cell>
        </row>
        <row r="1581">
          <cell r="A1581" t="str">
            <v>1114155934</v>
          </cell>
          <cell r="B1581" t="str">
            <v>03951246</v>
          </cell>
          <cell r="C1581" t="str">
            <v>Mak Serena</v>
          </cell>
          <cell r="D1581" t="str">
            <v>E0386398</v>
          </cell>
          <cell r="E1581" t="str">
            <v>MAK SERENA</v>
          </cell>
          <cell r="G1581" t="str">
            <v>Kathryn Spaziani</v>
          </cell>
          <cell r="H1581" t="str">
            <v>(212) 305-1255</v>
          </cell>
          <cell r="J1581" t="str">
            <v>kas9171@nyp.org</v>
          </cell>
          <cell r="L1581" t="str">
            <v>All Other:: Practitioner - Non-Primary Care Provider (PCP)</v>
          </cell>
          <cell r="M1581" t="str">
            <v>No</v>
          </cell>
          <cell r="R1581" t="str">
            <v>MAK SERENA DR.</v>
          </cell>
          <cell r="W1581" t="str">
            <v>MAK SERENA</v>
          </cell>
          <cell r="X1581" t="str">
            <v>55 PALMER AVE</v>
          </cell>
          <cell r="Y1581" t="str">
            <v>BRONXVILLE</v>
          </cell>
          <cell r="Z1581" t="str">
            <v>NY</v>
          </cell>
          <cell r="AA1581" t="str">
            <v>10708-3403</v>
          </cell>
          <cell r="AB1581" t="str">
            <v>PHYSICIAN</v>
          </cell>
          <cell r="AC1581" t="str">
            <v>M</v>
          </cell>
          <cell r="AD1581" t="str">
            <v>No</v>
          </cell>
          <cell r="AE1581" t="str">
            <v>MMIS</v>
          </cell>
          <cell r="AF1581" t="str">
            <v>nypwestcampus</v>
          </cell>
          <cell r="AG1581" t="str">
            <v>P</v>
          </cell>
        </row>
        <row r="1582">
          <cell r="A1582" t="str">
            <v>1083922728</v>
          </cell>
          <cell r="B1582" t="str">
            <v>03337542</v>
          </cell>
          <cell r="C1582" t="str">
            <v>BONNIE STARFIELD-NEWMARK</v>
          </cell>
          <cell r="D1582" t="str">
            <v>E0320012</v>
          </cell>
          <cell r="E1582" t="str">
            <v>STARFIELD-NEWMARK BONNIE</v>
          </cell>
          <cell r="G1582" t="str">
            <v>Kathryn Spaziani</v>
          </cell>
          <cell r="H1582" t="str">
            <v>(212) 305-1190</v>
          </cell>
          <cell r="J1582" t="str">
            <v>kas9171@nyp.org</v>
          </cell>
          <cell r="L1582" t="str">
            <v>Uncategorized</v>
          </cell>
          <cell r="M1582" t="str">
            <v>No</v>
          </cell>
          <cell r="R1582" t="str">
            <v>STARFIELD NEWMARK BONNIE</v>
          </cell>
          <cell r="W1582" t="str">
            <v>STARFIELD-NEWMARK BONNIE</v>
          </cell>
          <cell r="X1582" t="str">
            <v>53 W 23RD ST FL 6</v>
          </cell>
          <cell r="Y1582" t="str">
            <v>NEW YORK</v>
          </cell>
          <cell r="Z1582" t="str">
            <v>NY</v>
          </cell>
          <cell r="AA1582" t="str">
            <v>10010-4237</v>
          </cell>
          <cell r="AB1582" t="str">
            <v>CLINICAL SOCIAL WORKER (CSW)</v>
          </cell>
          <cell r="AC1582" t="str">
            <v>M</v>
          </cell>
          <cell r="AD1582" t="str">
            <v>No</v>
          </cell>
          <cell r="AE1582" t="str">
            <v>MMIS</v>
          </cell>
          <cell r="AF1582" t="str">
            <v>nypother</v>
          </cell>
          <cell r="AG1582" t="str">
            <v>P</v>
          </cell>
        </row>
        <row r="1583">
          <cell r="A1583" t="str">
            <v>1043565559</v>
          </cell>
          <cell r="B1583" t="str">
            <v>03878746</v>
          </cell>
          <cell r="C1583" t="str">
            <v>EILEEN STEWART</v>
          </cell>
          <cell r="D1583" t="str">
            <v>E0378959</v>
          </cell>
          <cell r="E1583" t="str">
            <v>STEWART EILEEN M</v>
          </cell>
          <cell r="G1583" t="str">
            <v>Kathryn Spaziani</v>
          </cell>
          <cell r="H1583" t="str">
            <v>(212) 305-1190</v>
          </cell>
          <cell r="J1583" t="str">
            <v>kas9171@nyp.org</v>
          </cell>
          <cell r="L1583" t="str">
            <v>Uncategorized</v>
          </cell>
          <cell r="M1583" t="str">
            <v>No</v>
          </cell>
          <cell r="R1583" t="str">
            <v>STEWART EILEEN MRS.</v>
          </cell>
          <cell r="W1583" t="str">
            <v>STEWART EILEEN M</v>
          </cell>
          <cell r="X1583" t="str">
            <v>575 W 181ST ST</v>
          </cell>
          <cell r="Y1583" t="str">
            <v>NEW YORK</v>
          </cell>
          <cell r="Z1583" t="str">
            <v>NY</v>
          </cell>
          <cell r="AA1583" t="str">
            <v>10033-5002</v>
          </cell>
          <cell r="AB1583" t="str">
            <v>CLINICAL SOCIAL WORKER (CSW)</v>
          </cell>
          <cell r="AC1583" t="str">
            <v>M</v>
          </cell>
          <cell r="AD1583" t="str">
            <v>No</v>
          </cell>
          <cell r="AE1583" t="str">
            <v>MMIS</v>
          </cell>
          <cell r="AF1583" t="str">
            <v>nypother</v>
          </cell>
          <cell r="AG1583" t="str">
            <v>P</v>
          </cell>
        </row>
        <row r="1584">
          <cell r="A1584" t="str">
            <v>1942340724</v>
          </cell>
          <cell r="C1584" t="str">
            <v>JILL STOLBACH</v>
          </cell>
          <cell r="G1584" t="str">
            <v>Kathryn Spaziani</v>
          </cell>
          <cell r="H1584" t="str">
            <v>(212) 305-1190</v>
          </cell>
          <cell r="J1584" t="str">
            <v>kas9171@nyp.org</v>
          </cell>
          <cell r="K1584" t="str">
            <v>Unknown</v>
          </cell>
          <cell r="L1584" t="str">
            <v>Uncategorized</v>
          </cell>
          <cell r="M1584" t="str">
            <v>No</v>
          </cell>
          <cell r="R1584" t="str">
            <v>STOLBACH JILL MS.</v>
          </cell>
          <cell r="S1584" t="str">
            <v>952 5TH AVE, SUITE 5C</v>
          </cell>
          <cell r="T1584" t="str">
            <v>NEW YORK</v>
          </cell>
          <cell r="U1584" t="str">
            <v>NY</v>
          </cell>
          <cell r="V1584" t="str">
            <v>100751740</v>
          </cell>
          <cell r="AC1584" t="str">
            <v>M</v>
          </cell>
          <cell r="AD1584" t="str">
            <v>No</v>
          </cell>
          <cell r="AE1584" t="str">
            <v>NPI only</v>
          </cell>
          <cell r="AF1584" t="str">
            <v>nypother</v>
          </cell>
          <cell r="AG1584" t="str">
            <v>P</v>
          </cell>
        </row>
        <row r="1585">
          <cell r="A1585" t="str">
            <v>1174836589</v>
          </cell>
          <cell r="B1585" t="str">
            <v>03285669</v>
          </cell>
          <cell r="C1585" t="str">
            <v>PETER SULTAN</v>
          </cell>
          <cell r="D1585" t="str">
            <v>E0314101</v>
          </cell>
          <cell r="E1585" t="str">
            <v>SULTAN V</v>
          </cell>
          <cell r="G1585" t="str">
            <v>Kathryn Spaziani</v>
          </cell>
          <cell r="H1585" t="str">
            <v>(212) 305-1190</v>
          </cell>
          <cell r="J1585" t="str">
            <v>kas9171@nyp.org</v>
          </cell>
          <cell r="L1585" t="str">
            <v>Uncategorized</v>
          </cell>
          <cell r="M1585" t="str">
            <v>No</v>
          </cell>
          <cell r="R1585" t="str">
            <v>SULTAN PETER</v>
          </cell>
          <cell r="W1585" t="str">
            <v>SULTAN PETER</v>
          </cell>
          <cell r="X1585" t="str">
            <v>BAKER 525 E 68TH ST</v>
          </cell>
          <cell r="Y1585" t="str">
            <v>NEW YORK</v>
          </cell>
          <cell r="Z1585" t="str">
            <v>NY</v>
          </cell>
          <cell r="AA1585" t="str">
            <v>10021-0000</v>
          </cell>
          <cell r="AB1585" t="str">
            <v>CLINICAL SOCIAL WORKER (CSW)</v>
          </cell>
          <cell r="AC1585" t="str">
            <v>M</v>
          </cell>
          <cell r="AD1585" t="str">
            <v>No</v>
          </cell>
          <cell r="AE1585" t="str">
            <v>MMIS</v>
          </cell>
          <cell r="AF1585" t="str">
            <v>nypother</v>
          </cell>
          <cell r="AG1585" t="str">
            <v>P</v>
          </cell>
        </row>
        <row r="1586">
          <cell r="A1586" t="str">
            <v>1053418491</v>
          </cell>
          <cell r="B1586" t="str">
            <v>02124789</v>
          </cell>
          <cell r="C1586" t="str">
            <v>VICKI SUNSHINE</v>
          </cell>
          <cell r="D1586" t="str">
            <v>E0087592</v>
          </cell>
          <cell r="E1586" t="str">
            <v>SUNSHINE VICKI</v>
          </cell>
          <cell r="G1586" t="str">
            <v>Kathryn Spaziani</v>
          </cell>
          <cell r="H1586" t="str">
            <v>(212) 305-1190</v>
          </cell>
          <cell r="J1586" t="str">
            <v>kas9171@nyp.org</v>
          </cell>
          <cell r="L1586" t="str">
            <v>Practitioner - Non-Primary Care Provider (PCP)</v>
          </cell>
          <cell r="M1586" t="str">
            <v>No</v>
          </cell>
          <cell r="R1586" t="str">
            <v>SUNSHINE VICKI MS.</v>
          </cell>
          <cell r="W1586" t="str">
            <v>SUNSHINE VICKI D.</v>
          </cell>
          <cell r="X1586" t="str">
            <v>53 W 23RD ST FL 6</v>
          </cell>
          <cell r="Y1586" t="str">
            <v>NEW YORK</v>
          </cell>
          <cell r="Z1586" t="str">
            <v>NY</v>
          </cell>
          <cell r="AA1586" t="str">
            <v>10010-4237</v>
          </cell>
          <cell r="AB1586" t="str">
            <v>CLINICAL SOCIAL WORKER (CSW)</v>
          </cell>
          <cell r="AC1586" t="str">
            <v>M</v>
          </cell>
          <cell r="AD1586" t="str">
            <v>No</v>
          </cell>
          <cell r="AE1586" t="str">
            <v>MMIS</v>
          </cell>
          <cell r="AF1586" t="str">
            <v>nypother</v>
          </cell>
          <cell r="AG1586" t="str">
            <v>P</v>
          </cell>
        </row>
        <row r="1587">
          <cell r="A1587" t="str">
            <v>1336275601</v>
          </cell>
          <cell r="B1587" t="str">
            <v>02885409</v>
          </cell>
          <cell r="C1587" t="str">
            <v xml:space="preserve">SHAPIRO, FRAN </v>
          </cell>
          <cell r="D1587" t="str">
            <v>E0011664</v>
          </cell>
          <cell r="E1587" t="str">
            <v>SHAPIRO FRAN</v>
          </cell>
          <cell r="G1587" t="str">
            <v>Kathryn Spaziani</v>
          </cell>
          <cell r="H1587" t="str">
            <v>(212) 305-1190</v>
          </cell>
          <cell r="J1587" t="str">
            <v>kas9171@nyp.org</v>
          </cell>
          <cell r="L1587" t="str">
            <v>Practitioner - Non-Primary Care Provider (PCP)</v>
          </cell>
          <cell r="M1587" t="str">
            <v>No</v>
          </cell>
          <cell r="R1587" t="str">
            <v>SHAPIRO FRAN MS.</v>
          </cell>
          <cell r="W1587" t="str">
            <v>SHAPIRO FRAN M</v>
          </cell>
          <cell r="X1587" t="str">
            <v>PEDIATRIC AUDIOLOGY</v>
          </cell>
          <cell r="Y1587" t="str">
            <v>NEW YORK</v>
          </cell>
          <cell r="Z1587" t="str">
            <v>NY</v>
          </cell>
          <cell r="AA1587" t="str">
            <v>10032</v>
          </cell>
          <cell r="AB1587" t="str">
            <v>MEDICAL APPLIANCE DEALER</v>
          </cell>
          <cell r="AC1587" t="str">
            <v>M</v>
          </cell>
          <cell r="AD1587" t="str">
            <v>No</v>
          </cell>
          <cell r="AE1587" t="str">
            <v>MMIS</v>
          </cell>
          <cell r="AF1587" t="str">
            <v>nypwestcampus</v>
          </cell>
          <cell r="AG1587" t="str">
            <v>P</v>
          </cell>
        </row>
        <row r="1588">
          <cell r="A1588" t="str">
            <v>1336275916</v>
          </cell>
          <cell r="B1588" t="str">
            <v>03013843</v>
          </cell>
          <cell r="C1588" t="str">
            <v>WALDMAN, ERIK H</v>
          </cell>
          <cell r="D1588" t="str">
            <v>E0283190</v>
          </cell>
          <cell r="E1588" t="str">
            <v>WALDMAN ERIK HOWARD MD</v>
          </cell>
          <cell r="G1588" t="str">
            <v>Kathryn Spaziani</v>
          </cell>
          <cell r="H1588" t="str">
            <v>(212) 305-1190</v>
          </cell>
          <cell r="J1588" t="str">
            <v>kas9171@nyp.org</v>
          </cell>
          <cell r="L1588" t="str">
            <v>Practitioner - Non-Primary Care Provider (PCP)</v>
          </cell>
          <cell r="M1588" t="str">
            <v>No</v>
          </cell>
          <cell r="R1588" t="str">
            <v>WALDMAN ERIK</v>
          </cell>
          <cell r="W1588" t="str">
            <v>WALDMAN ERIK HOWARD MD</v>
          </cell>
          <cell r="X1588" t="str">
            <v>622 W 168TH ST</v>
          </cell>
          <cell r="Y1588" t="str">
            <v>NEW YORK</v>
          </cell>
          <cell r="Z1588" t="str">
            <v>NY</v>
          </cell>
          <cell r="AA1588" t="str">
            <v>10032-3720</v>
          </cell>
          <cell r="AB1588" t="str">
            <v>PHYSICIAN</v>
          </cell>
          <cell r="AC1588" t="str">
            <v>M</v>
          </cell>
          <cell r="AD1588" t="str">
            <v>No</v>
          </cell>
          <cell r="AE1588" t="str">
            <v>MMIS</v>
          </cell>
          <cell r="AF1588" t="str">
            <v>nypwestcampus</v>
          </cell>
          <cell r="AG1588" t="str">
            <v>P</v>
          </cell>
        </row>
        <row r="1589">
          <cell r="A1589" t="str">
            <v>1760586457</v>
          </cell>
          <cell r="B1589" t="str">
            <v>02774298</v>
          </cell>
          <cell r="C1589" t="str">
            <v>MINGUEZ, XIOMARA M</v>
          </cell>
          <cell r="D1589" t="str">
            <v>E0022763</v>
          </cell>
          <cell r="E1589" t="str">
            <v>MINGUEZ XIOMARA MD</v>
          </cell>
          <cell r="G1589" t="str">
            <v>Kathryn Spaziani</v>
          </cell>
          <cell r="H1589" t="str">
            <v>(212) 305-1190</v>
          </cell>
          <cell r="J1589" t="str">
            <v>kas9171@nyp.org</v>
          </cell>
          <cell r="L1589" t="str">
            <v>Practitioner - Non-Primary Care Provider (PCP)</v>
          </cell>
          <cell r="M1589" t="str">
            <v>Yes</v>
          </cell>
          <cell r="R1589" t="str">
            <v>MINGUEZ XIOMARA DR.</v>
          </cell>
          <cell r="W1589" t="str">
            <v>MINGUEZ XIOMARA MD</v>
          </cell>
          <cell r="X1589" t="str">
            <v>600 W 150TH ST</v>
          </cell>
          <cell r="Y1589" t="str">
            <v>NEW YORK</v>
          </cell>
          <cell r="Z1589" t="str">
            <v>NY</v>
          </cell>
          <cell r="AA1589" t="str">
            <v>10031-2428</v>
          </cell>
          <cell r="AB1589" t="str">
            <v>PHYSICIAN</v>
          </cell>
          <cell r="AC1589" t="str">
            <v>M</v>
          </cell>
          <cell r="AD1589" t="str">
            <v>No</v>
          </cell>
          <cell r="AE1589" t="str">
            <v>MMIS</v>
          </cell>
          <cell r="AF1589" t="str">
            <v>nypwestcampus</v>
          </cell>
          <cell r="AG1589" t="str">
            <v>P</v>
          </cell>
        </row>
        <row r="1590">
          <cell r="A1590" t="str">
            <v>1588796866</v>
          </cell>
          <cell r="B1590" t="str">
            <v>02313537</v>
          </cell>
          <cell r="C1590" t="str">
            <v>DIXON, JEREMY J</v>
          </cell>
          <cell r="D1590" t="str">
            <v>E0068748</v>
          </cell>
          <cell r="E1590" t="str">
            <v>DIXON JEREMY JAMES DDS</v>
          </cell>
          <cell r="G1590" t="str">
            <v>Kathryn Spaziani</v>
          </cell>
          <cell r="H1590" t="str">
            <v>(212) 305-1190</v>
          </cell>
          <cell r="J1590" t="str">
            <v>kas9171@nyp.org</v>
          </cell>
          <cell r="L1590" t="str">
            <v>Practitioner - Non-Primary Care Provider (PCP)</v>
          </cell>
          <cell r="M1590" t="str">
            <v>No</v>
          </cell>
          <cell r="R1590" t="str">
            <v>DIXON JEREMY DR.</v>
          </cell>
          <cell r="W1590" t="str">
            <v>DIXON JEREMY JAMES DDS</v>
          </cell>
          <cell r="X1590" t="str">
            <v>27005 76TH AVE</v>
          </cell>
          <cell r="Y1590" t="str">
            <v>NEW HYDE PARK</v>
          </cell>
          <cell r="Z1590" t="str">
            <v>NY</v>
          </cell>
          <cell r="AA1590" t="str">
            <v>11040-1402</v>
          </cell>
          <cell r="AB1590" t="str">
            <v>DENTIST</v>
          </cell>
          <cell r="AC1590" t="str">
            <v>M</v>
          </cell>
          <cell r="AD1590" t="str">
            <v>No</v>
          </cell>
          <cell r="AE1590" t="str">
            <v>MMIS</v>
          </cell>
          <cell r="AF1590" t="str">
            <v>nypeastcampus</v>
          </cell>
          <cell r="AG1590" t="str">
            <v>P</v>
          </cell>
        </row>
        <row r="1591">
          <cell r="A1591" t="str">
            <v>1154632495</v>
          </cell>
          <cell r="B1591" t="str">
            <v>03276937</v>
          </cell>
          <cell r="C1591" t="str">
            <v xml:space="preserve">PERRY, MELBA </v>
          </cell>
          <cell r="D1591" t="str">
            <v>E0313100</v>
          </cell>
          <cell r="E1591" t="str">
            <v>PERRY MELBA</v>
          </cell>
          <cell r="G1591" t="str">
            <v>Kathryn Spaziani</v>
          </cell>
          <cell r="H1591" t="str">
            <v>(212) 305-1190</v>
          </cell>
          <cell r="J1591" t="str">
            <v>kas9171@nyp.org</v>
          </cell>
          <cell r="L1591" t="str">
            <v>All Other:: Practitioner - Non-Primary Care Provider (PCP)</v>
          </cell>
          <cell r="M1591" t="str">
            <v>Yes</v>
          </cell>
          <cell r="R1591" t="str">
            <v>PERRY MELBA</v>
          </cell>
          <cell r="W1591" t="str">
            <v>PERRY MELBA</v>
          </cell>
          <cell r="X1591" t="str">
            <v>21 AUDUBON AVE</v>
          </cell>
          <cell r="Y1591" t="str">
            <v>NEW YORK</v>
          </cell>
          <cell r="Z1591" t="str">
            <v>NY</v>
          </cell>
          <cell r="AA1591" t="str">
            <v>10032-0000</v>
          </cell>
          <cell r="AB1591" t="str">
            <v>PHYSICIAN</v>
          </cell>
          <cell r="AC1591" t="str">
            <v>M</v>
          </cell>
          <cell r="AD1591" t="str">
            <v>No</v>
          </cell>
          <cell r="AE1591" t="str">
            <v>MMIS</v>
          </cell>
          <cell r="AF1591" t="str">
            <v>nypwestcampus</v>
          </cell>
          <cell r="AG1591" t="str">
            <v>P</v>
          </cell>
        </row>
        <row r="1592">
          <cell r="A1592" t="str">
            <v>1770597684</v>
          </cell>
          <cell r="B1592" t="str">
            <v>01165879</v>
          </cell>
          <cell r="C1592" t="str">
            <v>HEIER, LINDA</v>
          </cell>
          <cell r="D1592" t="str">
            <v>E0183300</v>
          </cell>
          <cell r="E1592" t="str">
            <v>HEIER LINDA ANN MD</v>
          </cell>
          <cell r="G1592" t="str">
            <v>Kathryn Spaziani</v>
          </cell>
          <cell r="H1592" t="str">
            <v>(212) 305-1255</v>
          </cell>
          <cell r="J1592" t="str">
            <v>kas9171@nyp.org</v>
          </cell>
          <cell r="L1592" t="str">
            <v>All Other:: Practitioner - Non-Primary Care Provider (PCP)</v>
          </cell>
          <cell r="M1592" t="str">
            <v>No</v>
          </cell>
          <cell r="R1592" t="str">
            <v>HEIER LINDA</v>
          </cell>
          <cell r="W1592" t="str">
            <v>HEIER LINDA ANN MD</v>
          </cell>
          <cell r="X1592" t="str">
            <v>525 E 68TH ST # 585</v>
          </cell>
          <cell r="Y1592" t="str">
            <v>NEW YORK</v>
          </cell>
          <cell r="Z1592" t="str">
            <v>NY</v>
          </cell>
          <cell r="AA1592" t="str">
            <v>10065-4870</v>
          </cell>
          <cell r="AB1592" t="str">
            <v>PHYSICIAN</v>
          </cell>
          <cell r="AC1592" t="str">
            <v>M</v>
          </cell>
          <cell r="AD1592" t="str">
            <v>No</v>
          </cell>
          <cell r="AE1592" t="str">
            <v>MMIS</v>
          </cell>
          <cell r="AF1592" t="str">
            <v>nypeastcampus</v>
          </cell>
          <cell r="AG1592" t="str">
            <v>P</v>
          </cell>
        </row>
        <row r="1593">
          <cell r="A1593" t="str">
            <v>1427000710</v>
          </cell>
          <cell r="B1593" t="str">
            <v>03473787</v>
          </cell>
          <cell r="C1593" t="str">
            <v>SAMPSON, JACINDA B</v>
          </cell>
          <cell r="D1593" t="str">
            <v>E0336659</v>
          </cell>
          <cell r="E1593" t="str">
            <v>SAMPSON JACINDA</v>
          </cell>
          <cell r="G1593" t="str">
            <v>Kathryn Spaziani</v>
          </cell>
          <cell r="H1593" t="str">
            <v>(212) 305-1190</v>
          </cell>
          <cell r="J1593" t="str">
            <v>kas9171@nyp.org</v>
          </cell>
          <cell r="L1593" t="str">
            <v>Practitioner - Non-Primary Care Provider (PCP)</v>
          </cell>
          <cell r="M1593" t="str">
            <v>No</v>
          </cell>
          <cell r="R1593" t="str">
            <v>SAMPSON JACINDA</v>
          </cell>
          <cell r="W1593" t="str">
            <v>SAMPSON JACINDA</v>
          </cell>
          <cell r="X1593" t="str">
            <v>622 W 168TH ST</v>
          </cell>
          <cell r="Y1593" t="str">
            <v>NEW YORK</v>
          </cell>
          <cell r="Z1593" t="str">
            <v>NY</v>
          </cell>
          <cell r="AA1593" t="str">
            <v>10032-3720</v>
          </cell>
          <cell r="AB1593" t="str">
            <v>PHYSICIAN</v>
          </cell>
          <cell r="AC1593" t="str">
            <v>M</v>
          </cell>
          <cell r="AD1593" t="str">
            <v>No</v>
          </cell>
          <cell r="AE1593" t="str">
            <v>MMIS</v>
          </cell>
          <cell r="AF1593" t="str">
            <v>nypother</v>
          </cell>
          <cell r="AG1593" t="str">
            <v>P</v>
          </cell>
        </row>
        <row r="1594">
          <cell r="A1594" t="str">
            <v>1366608424</v>
          </cell>
          <cell r="B1594" t="str">
            <v>03093189</v>
          </cell>
          <cell r="C1594" t="str">
            <v xml:space="preserve">SOBOL, IRINA </v>
          </cell>
          <cell r="D1594" t="str">
            <v>E0292256</v>
          </cell>
          <cell r="E1594" t="str">
            <v>SOBOL IRINA MD</v>
          </cell>
          <cell r="G1594" t="str">
            <v>Kathryn Spaziani</v>
          </cell>
          <cell r="H1594" t="str">
            <v>(212) 305-1190</v>
          </cell>
          <cell r="J1594" t="str">
            <v>kas9171@nyp.org</v>
          </cell>
          <cell r="L1594" t="str">
            <v>Practitioner - Non-Primary Care Provider (PCP)</v>
          </cell>
          <cell r="M1594" t="str">
            <v>No</v>
          </cell>
          <cell r="R1594" t="str">
            <v>SOBOL IRINA</v>
          </cell>
          <cell r="W1594" t="str">
            <v>SOBOL IRINA MD</v>
          </cell>
          <cell r="X1594" t="str">
            <v>505 E 70TH ST</v>
          </cell>
          <cell r="Y1594" t="str">
            <v>NEW YORK</v>
          </cell>
          <cell r="Z1594" t="str">
            <v>NY</v>
          </cell>
          <cell r="AA1594" t="str">
            <v>10021-9800</v>
          </cell>
          <cell r="AB1594" t="str">
            <v>PHYSICIAN</v>
          </cell>
          <cell r="AC1594" t="str">
            <v>M</v>
          </cell>
          <cell r="AD1594" t="str">
            <v>No</v>
          </cell>
          <cell r="AE1594" t="str">
            <v>MMIS</v>
          </cell>
          <cell r="AF1594" t="str">
            <v>nypeastcampus</v>
          </cell>
          <cell r="AG1594" t="str">
            <v>P</v>
          </cell>
        </row>
        <row r="1595">
          <cell r="A1595" t="str">
            <v>1023091162</v>
          </cell>
          <cell r="B1595" t="str">
            <v>01891047</v>
          </cell>
          <cell r="C1595" t="str">
            <v>KRAUSE, MARGARET C</v>
          </cell>
          <cell r="D1595" t="str">
            <v>E0110940</v>
          </cell>
          <cell r="E1595" t="str">
            <v>KRAUSE MARGARET CHRISTINE MD</v>
          </cell>
          <cell r="G1595" t="str">
            <v>Kathryn Spaziani</v>
          </cell>
          <cell r="H1595" t="str">
            <v>(212) 305-1190</v>
          </cell>
          <cell r="J1595" t="str">
            <v>kas9171@nyp.org</v>
          </cell>
          <cell r="L1595" t="str">
            <v>All Other:: Practitioner - Primary Care Provider (PCP)</v>
          </cell>
          <cell r="M1595" t="str">
            <v>Yes</v>
          </cell>
          <cell r="R1595" t="str">
            <v>KRAUSE MARGARET DR.</v>
          </cell>
          <cell r="W1595" t="str">
            <v>KRAUSE MARGARET CHRISTINE MD</v>
          </cell>
          <cell r="X1595" t="str">
            <v>COLUMBIA UNIV PED</v>
          </cell>
          <cell r="Y1595" t="str">
            <v>NEW YORK</v>
          </cell>
          <cell r="Z1595" t="str">
            <v>NY</v>
          </cell>
          <cell r="AA1595" t="str">
            <v>10032-1559</v>
          </cell>
          <cell r="AB1595" t="str">
            <v>PHYSICIAN</v>
          </cell>
          <cell r="AC1595" t="str">
            <v>M</v>
          </cell>
          <cell r="AD1595" t="str">
            <v>No</v>
          </cell>
          <cell r="AE1595" t="str">
            <v>MMIS</v>
          </cell>
          <cell r="AF1595" t="str">
            <v>nypwestcampus</v>
          </cell>
          <cell r="AG1595" t="str">
            <v>P</v>
          </cell>
        </row>
        <row r="1596">
          <cell r="A1596" t="str">
            <v>1922348853</v>
          </cell>
          <cell r="C1596" t="str">
            <v>MCKITTRICK, MARTHA T</v>
          </cell>
          <cell r="G1596" t="str">
            <v>Kathryn Spaziani</v>
          </cell>
          <cell r="H1596" t="str">
            <v>(212) 305-1190</v>
          </cell>
          <cell r="J1596" t="str">
            <v>kas9171@nyp.org</v>
          </cell>
          <cell r="K1596" t="str">
            <v>Physician</v>
          </cell>
          <cell r="L1596" t="str">
            <v>Uncategorized</v>
          </cell>
          <cell r="M1596" t="str">
            <v>No</v>
          </cell>
          <cell r="R1596" t="str">
            <v>MCKITTRICK MARTHA</v>
          </cell>
          <cell r="S1596" t="str">
            <v>30 CENTRAL PARK S RM 13A</v>
          </cell>
          <cell r="T1596" t="str">
            <v>NEW YORK</v>
          </cell>
          <cell r="U1596" t="str">
            <v>NY</v>
          </cell>
          <cell r="V1596" t="str">
            <v>100191654</v>
          </cell>
          <cell r="AC1596" t="str">
            <v>M</v>
          </cell>
          <cell r="AD1596" t="str">
            <v>No</v>
          </cell>
          <cell r="AE1596" t="str">
            <v>NPI only</v>
          </cell>
          <cell r="AF1596" t="str">
            <v>nypother</v>
          </cell>
          <cell r="AG1596" t="str">
            <v>P</v>
          </cell>
        </row>
        <row r="1597">
          <cell r="A1597" t="str">
            <v>1205013646</v>
          </cell>
          <cell r="C1597" t="str">
            <v>WEILL CORNELL IMAGING AT NYP</v>
          </cell>
          <cell r="K1597" t="str">
            <v>Lab/X-Ray</v>
          </cell>
          <cell r="L1597" t="str">
            <v>Uncategorized</v>
          </cell>
          <cell r="M1597" t="str">
            <v>No</v>
          </cell>
          <cell r="R1597" t="str">
            <v>WEILL CORNELL IMAGING AT NYP</v>
          </cell>
          <cell r="S1597" t="str">
            <v>520 E 70TH ST, JO</v>
          </cell>
          <cell r="T1597" t="str">
            <v>NEW YORK</v>
          </cell>
          <cell r="U1597" t="str">
            <v>NY</v>
          </cell>
          <cell r="V1597" t="str">
            <v>100219800</v>
          </cell>
          <cell r="AC1597" t="str">
            <v>M</v>
          </cell>
          <cell r="AD1597" t="str">
            <v>No</v>
          </cell>
          <cell r="AE1597" t="str">
            <v>NPI only</v>
          </cell>
          <cell r="AG1597" t="str">
            <v>P</v>
          </cell>
        </row>
        <row r="1598">
          <cell r="A1598" t="str">
            <v>1528145075</v>
          </cell>
          <cell r="B1598" t="str">
            <v>00335502</v>
          </cell>
          <cell r="C1598" t="str">
            <v>GIARDINA, ELSA-GRACE V</v>
          </cell>
          <cell r="D1598" t="str">
            <v>E0265594</v>
          </cell>
          <cell r="E1598" t="str">
            <v>GIARDINA ELSA-GRACE V      MD</v>
          </cell>
          <cell r="G1598" t="str">
            <v>Kathryn Spaziani</v>
          </cell>
          <cell r="H1598" t="str">
            <v>(212) 305-1190</v>
          </cell>
          <cell r="J1598" t="str">
            <v>kas9171@nyp.org</v>
          </cell>
          <cell r="L1598" t="str">
            <v>All Other:: Practitioner - Non-Primary Care Provider (PCP)</v>
          </cell>
          <cell r="M1598" t="str">
            <v>Yes</v>
          </cell>
          <cell r="R1598" t="str">
            <v>GIARDINA ELSA DR.</v>
          </cell>
          <cell r="W1598" t="str">
            <v>GIARDINA ELSA-GRACE V      MD</v>
          </cell>
          <cell r="X1598" t="str">
            <v>630 W 168TH ST</v>
          </cell>
          <cell r="Y1598" t="str">
            <v>NEW YORK</v>
          </cell>
          <cell r="Z1598" t="str">
            <v>NY</v>
          </cell>
          <cell r="AA1598" t="str">
            <v>10032-3725</v>
          </cell>
          <cell r="AB1598" t="str">
            <v>PHYSICIAN</v>
          </cell>
          <cell r="AC1598" t="str">
            <v>M</v>
          </cell>
          <cell r="AD1598" t="str">
            <v>No</v>
          </cell>
          <cell r="AE1598" t="str">
            <v>MMIS</v>
          </cell>
          <cell r="AF1598" t="str">
            <v>nypwestacn</v>
          </cell>
          <cell r="AG1598" t="str">
            <v>P</v>
          </cell>
        </row>
        <row r="1599">
          <cell r="A1599" t="str">
            <v>1194978460</v>
          </cell>
          <cell r="B1599" t="str">
            <v>03068724</v>
          </cell>
          <cell r="C1599" t="str">
            <v xml:space="preserve">IRANI, DINAZ </v>
          </cell>
          <cell r="D1599" t="str">
            <v>E0289357</v>
          </cell>
          <cell r="E1599" t="str">
            <v>IRANI DINAZ</v>
          </cell>
          <cell r="G1599" t="str">
            <v>Kathryn Spaziani</v>
          </cell>
          <cell r="H1599" t="str">
            <v>(212) 305-1190</v>
          </cell>
          <cell r="J1599" t="str">
            <v>kas9171@nyp.org</v>
          </cell>
          <cell r="L1599" t="str">
            <v>All Other:: Practitioner - Primary Care Provider (PCP)</v>
          </cell>
          <cell r="M1599" t="str">
            <v>No</v>
          </cell>
          <cell r="R1599" t="str">
            <v>IRANI DINAZ DR.</v>
          </cell>
          <cell r="W1599" t="str">
            <v>IRANI DINAZ MD</v>
          </cell>
          <cell r="X1599" t="str">
            <v>622 WEST 168TH STREET</v>
          </cell>
          <cell r="Y1599" t="str">
            <v>NEW YORK</v>
          </cell>
          <cell r="Z1599" t="str">
            <v>NY</v>
          </cell>
          <cell r="AA1599" t="str">
            <v>10032-3720</v>
          </cell>
          <cell r="AB1599" t="str">
            <v>PHYSICIAN</v>
          </cell>
          <cell r="AC1599" t="str">
            <v>M</v>
          </cell>
          <cell r="AD1599" t="str">
            <v>No</v>
          </cell>
          <cell r="AE1599" t="str">
            <v>MMIS</v>
          </cell>
          <cell r="AF1599" t="str">
            <v>nypother</v>
          </cell>
          <cell r="AG1599" t="str">
            <v>P</v>
          </cell>
        </row>
        <row r="1600">
          <cell r="A1600" t="str">
            <v>1891012241</v>
          </cell>
          <cell r="B1600" t="str">
            <v>03233658</v>
          </cell>
          <cell r="C1600" t="str">
            <v>SMITH, PAULA V</v>
          </cell>
          <cell r="D1600" t="str">
            <v>E0308195</v>
          </cell>
          <cell r="E1600" t="str">
            <v>SMITH PAULA</v>
          </cell>
          <cell r="G1600" t="str">
            <v>Kathryn Spaziani</v>
          </cell>
          <cell r="H1600" t="str">
            <v>(212) 305-1190</v>
          </cell>
          <cell r="J1600" t="str">
            <v>kas9171@nyp.org</v>
          </cell>
          <cell r="L1600" t="str">
            <v>Practitioner - Non-Primary Care Provider (PCP)</v>
          </cell>
          <cell r="M1600" t="str">
            <v>No</v>
          </cell>
          <cell r="R1600" t="str">
            <v>SMITH PAULA MISS</v>
          </cell>
          <cell r="W1600" t="str">
            <v>SMITH PAULA</v>
          </cell>
          <cell r="X1600" t="str">
            <v>4588 BROADWAY</v>
          </cell>
          <cell r="Y1600" t="str">
            <v>NEW YORK</v>
          </cell>
          <cell r="Z1600" t="str">
            <v>NY</v>
          </cell>
          <cell r="AA1600" t="str">
            <v>10040-2101</v>
          </cell>
          <cell r="AB1600" t="str">
            <v>CLINICAL SOCIAL WORKER (CSW)</v>
          </cell>
          <cell r="AC1600" t="str">
            <v>M</v>
          </cell>
          <cell r="AD1600" t="str">
            <v>No</v>
          </cell>
          <cell r="AE1600" t="str">
            <v>MMIS</v>
          </cell>
          <cell r="AF1600" t="str">
            <v>nypother</v>
          </cell>
          <cell r="AG1600" t="str">
            <v>P</v>
          </cell>
        </row>
        <row r="1601">
          <cell r="A1601" t="str">
            <v>1891706149</v>
          </cell>
          <cell r="B1601" t="str">
            <v>01591799</v>
          </cell>
          <cell r="C1601" t="str">
            <v>BAZIL, CARL W</v>
          </cell>
          <cell r="D1601" t="str">
            <v>E0140827</v>
          </cell>
          <cell r="E1601" t="str">
            <v>BAZIL CARL WALTER MD</v>
          </cell>
          <cell r="G1601" t="str">
            <v>Kathryn Spaziani</v>
          </cell>
          <cell r="H1601" t="str">
            <v>(212) 305-1190</v>
          </cell>
          <cell r="J1601" t="str">
            <v>kas9171@nyp.org</v>
          </cell>
          <cell r="L1601" t="str">
            <v>All Other:: Practitioner - Non-Primary Care Provider (PCP)</v>
          </cell>
          <cell r="M1601" t="str">
            <v>No</v>
          </cell>
          <cell r="R1601" t="str">
            <v>BAZIL CARL DR.</v>
          </cell>
          <cell r="W1601" t="str">
            <v>BAZIL CARL WALTER MD</v>
          </cell>
          <cell r="X1601" t="str">
            <v>1 GUSTAVE L LEVY PL</v>
          </cell>
          <cell r="Y1601" t="str">
            <v>NEW YORK</v>
          </cell>
          <cell r="Z1601" t="str">
            <v>NY</v>
          </cell>
          <cell r="AA1601" t="str">
            <v>10029-6500</v>
          </cell>
          <cell r="AB1601" t="str">
            <v>PHYSICIAN</v>
          </cell>
          <cell r="AC1601" t="str">
            <v>M</v>
          </cell>
          <cell r="AD1601" t="str">
            <v>No</v>
          </cell>
          <cell r="AE1601" t="str">
            <v>MMIS</v>
          </cell>
          <cell r="AF1601" t="str">
            <v>nypwestacn</v>
          </cell>
          <cell r="AG1601" t="str">
            <v>P</v>
          </cell>
        </row>
        <row r="1602">
          <cell r="A1602" t="str">
            <v>1396974598</v>
          </cell>
          <cell r="B1602" t="str">
            <v>03547913</v>
          </cell>
          <cell r="C1602" t="str">
            <v>SORBELLINI, MAXIMIL</v>
          </cell>
          <cell r="D1602" t="str">
            <v>E0344669</v>
          </cell>
          <cell r="E1602" t="str">
            <v>SORBELLINI MAXIMILIANO</v>
          </cell>
          <cell r="G1602" t="str">
            <v>Kathryn Spaziani</v>
          </cell>
          <cell r="H1602" t="str">
            <v>(212) 305-1337</v>
          </cell>
          <cell r="J1602" t="str">
            <v>kas9171@nyp.org</v>
          </cell>
          <cell r="L1602" t="str">
            <v>All Other:: Practitioner - Non-Primary Care Provider (PCP)</v>
          </cell>
          <cell r="M1602" t="str">
            <v>No</v>
          </cell>
          <cell r="R1602" t="str">
            <v>SORBELLINI MAXIMILIANO DR.</v>
          </cell>
          <cell r="W1602" t="str">
            <v>SORBELLINI MAXIMILIANO</v>
          </cell>
          <cell r="X1602" t="str">
            <v>525 E 68TH ST</v>
          </cell>
          <cell r="Y1602" t="str">
            <v>NEW YORK</v>
          </cell>
          <cell r="Z1602" t="str">
            <v>NY</v>
          </cell>
          <cell r="AA1602" t="str">
            <v>10065-4870</v>
          </cell>
          <cell r="AB1602" t="str">
            <v>PHYSICIAN</v>
          </cell>
          <cell r="AC1602" t="str">
            <v>M</v>
          </cell>
          <cell r="AD1602" t="str">
            <v>No</v>
          </cell>
          <cell r="AE1602" t="str">
            <v>MMIS</v>
          </cell>
          <cell r="AF1602" t="str">
            <v>nypeastcampus</v>
          </cell>
          <cell r="AG1602" t="str">
            <v>P</v>
          </cell>
        </row>
        <row r="1603">
          <cell r="A1603" t="str">
            <v>1760800445</v>
          </cell>
          <cell r="C1603" t="str">
            <v>Atiya Christina</v>
          </cell>
          <cell r="G1603" t="str">
            <v>Kathryn Spaziani</v>
          </cell>
          <cell r="H1603" t="str">
            <v>(212) 305-1255</v>
          </cell>
          <cell r="J1603" t="str">
            <v>kas9171@nyp.org</v>
          </cell>
          <cell r="K1603" t="str">
            <v>Physician</v>
          </cell>
          <cell r="L1603" t="str">
            <v>Uncategorized</v>
          </cell>
          <cell r="M1603" t="str">
            <v>No</v>
          </cell>
          <cell r="R1603" t="str">
            <v>ATIYA CHRISTINA</v>
          </cell>
          <cell r="S1603" t="str">
            <v>622 W 168TH ST PH 5-133</v>
          </cell>
          <cell r="T1603" t="str">
            <v>NEW YORK</v>
          </cell>
          <cell r="U1603" t="str">
            <v>NY</v>
          </cell>
          <cell r="V1603" t="str">
            <v>100323720</v>
          </cell>
          <cell r="AC1603" t="str">
            <v>M</v>
          </cell>
          <cell r="AD1603" t="str">
            <v>No</v>
          </cell>
          <cell r="AE1603" t="str">
            <v>NPI only</v>
          </cell>
          <cell r="AF1603" t="str">
            <v>nypwestcampus</v>
          </cell>
          <cell r="AG1603" t="str">
            <v>P</v>
          </cell>
        </row>
        <row r="1604">
          <cell r="A1604" t="str">
            <v>1932216512</v>
          </cell>
          <cell r="B1604" t="str">
            <v>00787242</v>
          </cell>
          <cell r="C1604" t="str">
            <v>Azeez Abdul</v>
          </cell>
          <cell r="D1604" t="str">
            <v>E0221003</v>
          </cell>
          <cell r="E1604" t="str">
            <v>AZEEZ ABDUL C K            MD</v>
          </cell>
          <cell r="L1604" t="str">
            <v>All Other:: Practitioner - Primary Care Provider (PCP)</v>
          </cell>
          <cell r="M1604" t="str">
            <v>No</v>
          </cell>
          <cell r="R1604" t="str">
            <v>AZEEZ ABDUL DR.</v>
          </cell>
          <cell r="W1604" t="str">
            <v>AZEEZ ABDUL C K            MD</v>
          </cell>
          <cell r="X1604" t="str">
            <v>SUITE 308 B</v>
          </cell>
          <cell r="Y1604" t="str">
            <v>YONKERS</v>
          </cell>
          <cell r="Z1604" t="str">
            <v>NY</v>
          </cell>
          <cell r="AA1604" t="str">
            <v>10701-1309</v>
          </cell>
          <cell r="AB1604" t="str">
            <v>PHYSICIAN</v>
          </cell>
          <cell r="AC1604" t="str">
            <v>M</v>
          </cell>
          <cell r="AD1604" t="str">
            <v>No</v>
          </cell>
          <cell r="AE1604" t="str">
            <v>MMIS</v>
          </cell>
          <cell r="AF1604" t="str">
            <v>nypwestcampus</v>
          </cell>
          <cell r="AG1604" t="str">
            <v>P</v>
          </cell>
        </row>
        <row r="1605">
          <cell r="A1605" t="str">
            <v>1710244009</v>
          </cell>
          <cell r="C1605" t="str">
            <v>Wyler Daniel</v>
          </cell>
          <cell r="G1605" t="str">
            <v>Kathryn Spaziani</v>
          </cell>
          <cell r="H1605" t="str">
            <v>(212) 305-1255</v>
          </cell>
          <cell r="J1605" t="str">
            <v>kas9171@nyp.org</v>
          </cell>
          <cell r="K1605" t="str">
            <v>Physician</v>
          </cell>
          <cell r="L1605" t="str">
            <v>Uncategorized</v>
          </cell>
          <cell r="M1605" t="str">
            <v>No</v>
          </cell>
          <cell r="R1605" t="str">
            <v>WYLER DANIEL DR.</v>
          </cell>
          <cell r="S1605" t="str">
            <v>525 E 68TH ST</v>
          </cell>
          <cell r="T1605" t="str">
            <v>NEW YORK</v>
          </cell>
          <cell r="U1605" t="str">
            <v>NY</v>
          </cell>
          <cell r="V1605" t="str">
            <v>100654870</v>
          </cell>
          <cell r="AC1605" t="str">
            <v>M</v>
          </cell>
          <cell r="AD1605" t="str">
            <v>No</v>
          </cell>
          <cell r="AE1605" t="str">
            <v>NPI only</v>
          </cell>
          <cell r="AF1605" t="str">
            <v>nypeastcampus</v>
          </cell>
          <cell r="AG1605" t="str">
            <v>P</v>
          </cell>
        </row>
        <row r="1606">
          <cell r="A1606" t="str">
            <v>1154636090</v>
          </cell>
          <cell r="C1606" t="str">
            <v>Yoshii Isaac</v>
          </cell>
          <cell r="G1606" t="str">
            <v>Kathryn Spaziani</v>
          </cell>
          <cell r="H1606" t="str">
            <v>(212) 305-1255</v>
          </cell>
          <cell r="J1606" t="str">
            <v>kas9171@nyp.org</v>
          </cell>
          <cell r="K1606" t="str">
            <v>Physician</v>
          </cell>
          <cell r="L1606" t="str">
            <v>Uncategorized</v>
          </cell>
          <cell r="M1606" t="str">
            <v>No</v>
          </cell>
          <cell r="R1606" t="str">
            <v>YOSHII ISAAC</v>
          </cell>
          <cell r="S1606" t="str">
            <v>300 PASTEUR DR, ROOM H3580</v>
          </cell>
          <cell r="T1606" t="str">
            <v>STANFORD</v>
          </cell>
          <cell r="U1606" t="str">
            <v>CA</v>
          </cell>
          <cell r="V1606" t="str">
            <v>943052200</v>
          </cell>
          <cell r="AC1606" t="str">
            <v>M</v>
          </cell>
          <cell r="AD1606" t="str">
            <v>No</v>
          </cell>
          <cell r="AE1606" t="str">
            <v>NPI only</v>
          </cell>
          <cell r="AF1606" t="str">
            <v>nypother</v>
          </cell>
          <cell r="AG1606" t="str">
            <v>P</v>
          </cell>
        </row>
        <row r="1607">
          <cell r="A1607" t="str">
            <v>1073879664</v>
          </cell>
          <cell r="C1607" t="str">
            <v>Zhu Shiyin</v>
          </cell>
          <cell r="G1607" t="str">
            <v>Kathryn Spaziani</v>
          </cell>
          <cell r="H1607" t="str">
            <v>(212) 305-1255</v>
          </cell>
          <cell r="J1607" t="str">
            <v>kas9171@nyp.org</v>
          </cell>
          <cell r="K1607" t="str">
            <v>Physician</v>
          </cell>
          <cell r="L1607" t="str">
            <v>Uncategorized</v>
          </cell>
          <cell r="M1607" t="str">
            <v>No</v>
          </cell>
          <cell r="R1607" t="str">
            <v>ZHU SHIYIN</v>
          </cell>
          <cell r="S1607" t="str">
            <v>525 E 68TH ST # 124</v>
          </cell>
          <cell r="T1607" t="str">
            <v>NEW YORK</v>
          </cell>
          <cell r="U1607" t="str">
            <v>NY</v>
          </cell>
          <cell r="V1607" t="str">
            <v>100654870</v>
          </cell>
          <cell r="AC1607" t="str">
            <v>M</v>
          </cell>
          <cell r="AD1607" t="str">
            <v>No</v>
          </cell>
          <cell r="AE1607" t="str">
            <v>NPI only</v>
          </cell>
          <cell r="AF1607" t="str">
            <v>nypeastcampus</v>
          </cell>
          <cell r="AG1607" t="str">
            <v>P</v>
          </cell>
        </row>
        <row r="1608">
          <cell r="A1608" t="str">
            <v>1821356494</v>
          </cell>
          <cell r="B1608" t="str">
            <v>03484026</v>
          </cell>
          <cell r="C1608" t="str">
            <v>Katherine Wiesinger</v>
          </cell>
          <cell r="D1608" t="str">
            <v>E0337819</v>
          </cell>
          <cell r="E1608" t="str">
            <v>WIESINGER KATHERINE</v>
          </cell>
          <cell r="G1608" t="str">
            <v>Corina Sharp</v>
          </cell>
          <cell r="H1608" t="str">
            <v>(212) 545-2441</v>
          </cell>
          <cell r="J1608" t="str">
            <v>csharp@chnnyc.org</v>
          </cell>
          <cell r="L1608" t="str">
            <v>All Other:: Practitioner - Primary Care Provider (PCP)</v>
          </cell>
          <cell r="M1608" t="str">
            <v>Yes</v>
          </cell>
          <cell r="R1608" t="str">
            <v>ALEXANDER KATHERINE</v>
          </cell>
          <cell r="W1608" t="str">
            <v>ALEXANDER KATHERINE</v>
          </cell>
          <cell r="X1608" t="str">
            <v>1996 AMSTERDAM AVE</v>
          </cell>
          <cell r="Y1608" t="str">
            <v>NEW YORK</v>
          </cell>
          <cell r="Z1608" t="str">
            <v>NY</v>
          </cell>
          <cell r="AA1608" t="str">
            <v>10032-5058</v>
          </cell>
          <cell r="AB1608" t="str">
            <v>PHYSICIAN</v>
          </cell>
          <cell r="AC1608" t="str">
            <v>M</v>
          </cell>
          <cell r="AD1608" t="str">
            <v>No</v>
          </cell>
          <cell r="AE1608" t="str">
            <v>MMIS</v>
          </cell>
          <cell r="AF1608" t="str">
            <v>chn</v>
          </cell>
          <cell r="AG1608" t="str">
            <v>P</v>
          </cell>
        </row>
        <row r="1609">
          <cell r="A1609" t="str">
            <v>1952518078</v>
          </cell>
          <cell r="B1609" t="str">
            <v>01102441</v>
          </cell>
          <cell r="C1609" t="str">
            <v>Community Healthcare Network Health Home</v>
          </cell>
          <cell r="D1609" t="str">
            <v>E0189629</v>
          </cell>
          <cell r="E1609" t="str">
            <v>COMMUNITY HLTHCARE NETWORK AI</v>
          </cell>
          <cell r="G1609" t="str">
            <v>Corina Sharp</v>
          </cell>
          <cell r="H1609" t="str">
            <v>(212) 545-2441</v>
          </cell>
          <cell r="J1609" t="str">
            <v>csharp@chnnyc.org</v>
          </cell>
          <cell r="L1609" t="str">
            <v>Case Management / Health Home</v>
          </cell>
          <cell r="M1609" t="str">
            <v>Yes</v>
          </cell>
          <cell r="R1609" t="str">
            <v>COMMUNITY HEALTHCARE NETWORK, INC</v>
          </cell>
          <cell r="W1609" t="str">
            <v>COMMUNITY HLTHCARE NETWORK AI</v>
          </cell>
          <cell r="X1609" t="str">
            <v>975 WESTCHESTER AVE</v>
          </cell>
          <cell r="Y1609" t="str">
            <v>BRONX</v>
          </cell>
          <cell r="Z1609" t="str">
            <v>NY</v>
          </cell>
          <cell r="AA1609" t="str">
            <v>10459-3204</v>
          </cell>
          <cell r="AB1609" t="str">
            <v>HOME HEALTH AGENCY</v>
          </cell>
          <cell r="AC1609" t="str">
            <v>M</v>
          </cell>
          <cell r="AD1609" t="str">
            <v>No</v>
          </cell>
          <cell r="AE1609" t="str">
            <v>MMIS</v>
          </cell>
          <cell r="AF1609" t="str">
            <v>chn</v>
          </cell>
          <cell r="AG1609" t="str">
            <v>P</v>
          </cell>
        </row>
        <row r="1610">
          <cell r="A1610" t="str">
            <v>1356395446</v>
          </cell>
          <cell r="B1610" t="str">
            <v>01993948</v>
          </cell>
          <cell r="C1610" t="str">
            <v>WATERS, CHERYL H</v>
          </cell>
          <cell r="D1610" t="str">
            <v>E0100665</v>
          </cell>
          <cell r="E1610" t="str">
            <v>WATERS CHERYL H MD</v>
          </cell>
          <cell r="G1610" t="str">
            <v>Kathryn Spaziani</v>
          </cell>
          <cell r="H1610" t="str">
            <v>(212) 305-1190</v>
          </cell>
          <cell r="J1610" t="str">
            <v>kas9171@nyp.org</v>
          </cell>
          <cell r="L1610" t="str">
            <v>Practitioner - Non-Primary Care Provider (PCP)</v>
          </cell>
          <cell r="M1610" t="str">
            <v>No</v>
          </cell>
          <cell r="R1610" t="str">
            <v>WATERS CHERYL DR.</v>
          </cell>
          <cell r="W1610" t="str">
            <v>WATERS CHERYL H MD</v>
          </cell>
          <cell r="X1610" t="str">
            <v>710 W 168TH ST</v>
          </cell>
          <cell r="Y1610" t="str">
            <v>NEW YORK</v>
          </cell>
          <cell r="Z1610" t="str">
            <v>NY</v>
          </cell>
          <cell r="AA1610" t="str">
            <v>10032-3726</v>
          </cell>
          <cell r="AB1610" t="str">
            <v>PHYSICIAN</v>
          </cell>
          <cell r="AC1610" t="str">
            <v>M</v>
          </cell>
          <cell r="AD1610" t="str">
            <v>No</v>
          </cell>
          <cell r="AE1610" t="str">
            <v>MMIS</v>
          </cell>
          <cell r="AF1610" t="str">
            <v>nypwestcampus</v>
          </cell>
          <cell r="AG1610" t="str">
            <v>P</v>
          </cell>
        </row>
        <row r="1611">
          <cell r="A1611" t="str">
            <v>1053422998</v>
          </cell>
          <cell r="B1611" t="str">
            <v>02155411</v>
          </cell>
          <cell r="C1611" t="str">
            <v>TURNER, WILLIAM C</v>
          </cell>
          <cell r="D1611" t="str">
            <v>E0084534</v>
          </cell>
          <cell r="E1611" t="str">
            <v>TURNER WILLIAM C MD</v>
          </cell>
          <cell r="G1611" t="str">
            <v>Kathryn Spaziani</v>
          </cell>
          <cell r="H1611" t="str">
            <v>(212) 305-1190</v>
          </cell>
          <cell r="J1611" t="str">
            <v>kas9171@nyp.org</v>
          </cell>
          <cell r="L1611" t="str">
            <v>Practitioner - Non-Primary Care Provider (PCP)</v>
          </cell>
          <cell r="M1611" t="str">
            <v>No</v>
          </cell>
          <cell r="R1611" t="str">
            <v>TURNER WILLIAM</v>
          </cell>
          <cell r="W1611" t="str">
            <v>TURNER WILLIAM C MD</v>
          </cell>
          <cell r="X1611" t="str">
            <v>NY PRESB HSP</v>
          </cell>
          <cell r="Y1611" t="str">
            <v>NEW YORK</v>
          </cell>
          <cell r="Z1611" t="str">
            <v>NY</v>
          </cell>
          <cell r="AA1611" t="str">
            <v>10032-3720</v>
          </cell>
          <cell r="AB1611" t="str">
            <v>PHYSICIAN</v>
          </cell>
          <cell r="AC1611" t="str">
            <v>M</v>
          </cell>
          <cell r="AD1611" t="str">
            <v>No</v>
          </cell>
          <cell r="AE1611" t="str">
            <v>MMIS</v>
          </cell>
          <cell r="AF1611" t="str">
            <v>nypwestcampus</v>
          </cell>
          <cell r="AG1611" t="str">
            <v>P</v>
          </cell>
        </row>
        <row r="1612">
          <cell r="A1612" t="str">
            <v>1902059207</v>
          </cell>
          <cell r="B1612" t="str">
            <v>03236862</v>
          </cell>
          <cell r="C1612" t="str">
            <v>Dayton, Jeffrey D.</v>
          </cell>
          <cell r="D1612" t="str">
            <v>E0308509</v>
          </cell>
          <cell r="E1612" t="str">
            <v>DAYTON JEFFREY DANIEL</v>
          </cell>
          <cell r="G1612" t="str">
            <v>Kathryn Spaziani</v>
          </cell>
          <cell r="H1612" t="str">
            <v>(212) 305-1190</v>
          </cell>
          <cell r="J1612" t="str">
            <v>kas9171@nyp.org</v>
          </cell>
          <cell r="L1612" t="str">
            <v>All Other:: Practitioner - Non-Primary Care Provider (PCP)</v>
          </cell>
          <cell r="M1612" t="str">
            <v>No</v>
          </cell>
          <cell r="R1612" t="str">
            <v>DAYTON JEFFREY</v>
          </cell>
          <cell r="W1612" t="str">
            <v>DAYTON JEFFREY DANIEL</v>
          </cell>
          <cell r="X1612" t="str">
            <v>525 E 68TH STREET F666</v>
          </cell>
          <cell r="Y1612" t="str">
            <v>NEW YORK</v>
          </cell>
          <cell r="Z1612" t="str">
            <v>NY</v>
          </cell>
          <cell r="AA1612" t="str">
            <v>10021-0000</v>
          </cell>
          <cell r="AB1612" t="str">
            <v>PHYSICIAN</v>
          </cell>
          <cell r="AC1612" t="str">
            <v>M</v>
          </cell>
          <cell r="AD1612" t="str">
            <v>No</v>
          </cell>
          <cell r="AE1612" t="str">
            <v>MMIS</v>
          </cell>
          <cell r="AF1612" t="str">
            <v>nypeastcampus</v>
          </cell>
          <cell r="AG1612" t="str">
            <v>P</v>
          </cell>
        </row>
        <row r="1613">
          <cell r="A1613" t="str">
            <v>1346405255</v>
          </cell>
          <cell r="B1613" t="str">
            <v>03347477</v>
          </cell>
          <cell r="C1613" t="str">
            <v>OELSNER, ELIZABETH C</v>
          </cell>
          <cell r="D1613" t="str">
            <v>E0321124</v>
          </cell>
          <cell r="E1613" t="str">
            <v>OELSNER ELIZABETH</v>
          </cell>
          <cell r="G1613" t="str">
            <v>Kathryn Spaziani</v>
          </cell>
          <cell r="H1613" t="str">
            <v>(212) 305-1190</v>
          </cell>
          <cell r="J1613" t="str">
            <v>kas9171@nyp.org</v>
          </cell>
          <cell r="L1613" t="str">
            <v>Practitioner - Primary Care Provider (PCP)</v>
          </cell>
          <cell r="M1613" t="str">
            <v>Yes</v>
          </cell>
          <cell r="R1613" t="str">
            <v>OELSNER ELIZABETH DR.</v>
          </cell>
          <cell r="W1613" t="str">
            <v>OELSNER ELIZABETH C</v>
          </cell>
          <cell r="X1613" t="str">
            <v>622 W 168TH ST</v>
          </cell>
          <cell r="Y1613" t="str">
            <v>NEW YORK</v>
          </cell>
          <cell r="Z1613" t="str">
            <v>NY</v>
          </cell>
          <cell r="AA1613" t="str">
            <v>10032-3720</v>
          </cell>
          <cell r="AB1613" t="str">
            <v>PHYSICIAN</v>
          </cell>
          <cell r="AC1613" t="str">
            <v>M</v>
          </cell>
          <cell r="AD1613" t="str">
            <v>No</v>
          </cell>
          <cell r="AE1613" t="str">
            <v>MMIS</v>
          </cell>
          <cell r="AF1613" t="str">
            <v>nypwestcampus</v>
          </cell>
          <cell r="AG1613" t="str">
            <v>P</v>
          </cell>
        </row>
        <row r="1614">
          <cell r="A1614" t="str">
            <v>1902059074</v>
          </cell>
          <cell r="B1614" t="str">
            <v>03470037</v>
          </cell>
          <cell r="C1614" t="str">
            <v xml:space="preserve">AGARWAL, SACHIN </v>
          </cell>
          <cell r="D1614" t="str">
            <v>E0336253</v>
          </cell>
          <cell r="E1614" t="str">
            <v>AGARWAL SACHIN</v>
          </cell>
          <cell r="G1614" t="str">
            <v>Kathryn Spaziani</v>
          </cell>
          <cell r="H1614" t="str">
            <v>(212) 305-1190</v>
          </cell>
          <cell r="J1614" t="str">
            <v>kas9171@nyp.org</v>
          </cell>
          <cell r="L1614" t="str">
            <v>All Other:: Practitioner - Non-Primary Care Provider (PCP)</v>
          </cell>
          <cell r="M1614" t="str">
            <v>No</v>
          </cell>
          <cell r="R1614" t="str">
            <v>AGARWAL SACHIN DR.</v>
          </cell>
          <cell r="W1614" t="str">
            <v>AGARWAL SACHIN</v>
          </cell>
          <cell r="X1614" t="str">
            <v>622 W 168TH ST</v>
          </cell>
          <cell r="Y1614" t="str">
            <v>NEW YORK</v>
          </cell>
          <cell r="Z1614" t="str">
            <v>NY</v>
          </cell>
          <cell r="AA1614" t="str">
            <v>10032-3720</v>
          </cell>
          <cell r="AB1614" t="str">
            <v>PHYSICIAN</v>
          </cell>
          <cell r="AC1614" t="str">
            <v>M</v>
          </cell>
          <cell r="AD1614" t="str">
            <v>No</v>
          </cell>
          <cell r="AE1614" t="str">
            <v>MMIS</v>
          </cell>
          <cell r="AF1614" t="str">
            <v>nypwestacn</v>
          </cell>
          <cell r="AG1614" t="str">
            <v>P</v>
          </cell>
        </row>
        <row r="1615">
          <cell r="A1615" t="str">
            <v>1285721373</v>
          </cell>
          <cell r="B1615" t="str">
            <v>00915839</v>
          </cell>
          <cell r="C1615" t="str">
            <v>HOCHREITER, CLARE</v>
          </cell>
          <cell r="D1615" t="str">
            <v>E0208169</v>
          </cell>
          <cell r="E1615" t="str">
            <v>HOCHREITER CLARE A          MD</v>
          </cell>
          <cell r="G1615" t="str">
            <v>Kathryn Spaziani</v>
          </cell>
          <cell r="H1615" t="str">
            <v>(212) 305-1257</v>
          </cell>
          <cell r="J1615" t="str">
            <v>kas9171@nyp.org</v>
          </cell>
          <cell r="L1615" t="str">
            <v>Practitioner - Non-Primary Care Provider (PCP)</v>
          </cell>
          <cell r="M1615" t="str">
            <v>No</v>
          </cell>
          <cell r="R1615" t="str">
            <v>HOCHREITER CLARE</v>
          </cell>
          <cell r="W1615" t="str">
            <v>HOCHREITER CLARE A          MD</v>
          </cell>
          <cell r="X1615" t="str">
            <v>520 E 70TH ST</v>
          </cell>
          <cell r="Y1615" t="str">
            <v>NEW YORK</v>
          </cell>
          <cell r="Z1615" t="str">
            <v>NY</v>
          </cell>
          <cell r="AA1615" t="str">
            <v>10021-9800</v>
          </cell>
          <cell r="AB1615" t="str">
            <v>PHYSICIAN</v>
          </cell>
          <cell r="AC1615" t="str">
            <v>M</v>
          </cell>
          <cell r="AD1615" t="str">
            <v>No</v>
          </cell>
          <cell r="AE1615" t="str">
            <v>MMIS</v>
          </cell>
          <cell r="AF1615" t="str">
            <v>nypeastcampus</v>
          </cell>
          <cell r="AG1615" t="str">
            <v>P</v>
          </cell>
        </row>
        <row r="1616">
          <cell r="A1616" t="str">
            <v>1669814588</v>
          </cell>
          <cell r="C1616" t="str">
            <v>Fernandes Helen</v>
          </cell>
          <cell r="G1616" t="str">
            <v>Kathryn Spaziani</v>
          </cell>
          <cell r="H1616" t="str">
            <v>(212) 305-1236</v>
          </cell>
          <cell r="J1616" t="str">
            <v>kas9171@nyp.org</v>
          </cell>
          <cell r="K1616" t="str">
            <v>Physician</v>
          </cell>
          <cell r="L1616" t="str">
            <v>Uncategorized</v>
          </cell>
          <cell r="M1616" t="str">
            <v>No</v>
          </cell>
          <cell r="R1616" t="str">
            <v>FERNANDES HELEN</v>
          </cell>
          <cell r="S1616" t="str">
            <v>8 HUFF RD</v>
          </cell>
          <cell r="T1616" t="str">
            <v>WAYNE</v>
          </cell>
          <cell r="U1616" t="str">
            <v>NJ</v>
          </cell>
          <cell r="V1616" t="str">
            <v>074702932</v>
          </cell>
          <cell r="AC1616" t="str">
            <v>M</v>
          </cell>
          <cell r="AD1616" t="str">
            <v>No</v>
          </cell>
          <cell r="AE1616" t="str">
            <v>NPI only</v>
          </cell>
          <cell r="AF1616" t="str">
            <v>nypeastcampus</v>
          </cell>
          <cell r="AG1616" t="str">
            <v>P</v>
          </cell>
        </row>
        <row r="1617">
          <cell r="A1617" t="str">
            <v>1750575148</v>
          </cell>
          <cell r="B1617" t="str">
            <v>03784163</v>
          </cell>
          <cell r="C1617" t="str">
            <v>Giorgadze Tamara</v>
          </cell>
          <cell r="D1617" t="str">
            <v>E0369217</v>
          </cell>
          <cell r="E1617" t="str">
            <v>GIORGADZE TAMARA</v>
          </cell>
          <cell r="G1617" t="str">
            <v>Kathryn Spaziani</v>
          </cell>
          <cell r="H1617" t="str">
            <v>(212) 305-1237</v>
          </cell>
          <cell r="J1617" t="str">
            <v>kas9171@nyp.org</v>
          </cell>
          <cell r="L1617" t="str">
            <v>All Other:: Practitioner - Non-Primary Care Provider (PCP)</v>
          </cell>
          <cell r="M1617" t="str">
            <v>No</v>
          </cell>
          <cell r="R1617" t="str">
            <v>GIORGADZE TAMARA DR.</v>
          </cell>
          <cell r="W1617" t="str">
            <v>GIORGADZE TAMARA</v>
          </cell>
          <cell r="X1617" t="str">
            <v>525 E 68TH ST</v>
          </cell>
          <cell r="Y1617" t="str">
            <v>NEW YORK</v>
          </cell>
          <cell r="Z1617" t="str">
            <v>NY</v>
          </cell>
          <cell r="AA1617" t="str">
            <v>10065-4870</v>
          </cell>
          <cell r="AB1617" t="str">
            <v>PHYSICIAN</v>
          </cell>
          <cell r="AC1617" t="str">
            <v>M</v>
          </cell>
          <cell r="AD1617" t="str">
            <v>No</v>
          </cell>
          <cell r="AE1617" t="str">
            <v>MMIS</v>
          </cell>
          <cell r="AF1617" t="str">
            <v>nypeastcampus</v>
          </cell>
          <cell r="AG1617" t="str">
            <v>P</v>
          </cell>
        </row>
        <row r="1618">
          <cell r="A1618" t="str">
            <v>1174555874</v>
          </cell>
          <cell r="B1618" t="str">
            <v>01378601</v>
          </cell>
          <cell r="C1618" t="str">
            <v>LERNER, JODI</v>
          </cell>
          <cell r="D1618" t="str">
            <v>E0162098</v>
          </cell>
          <cell r="E1618" t="str">
            <v>LERNER JODI P MD</v>
          </cell>
          <cell r="G1618" t="str">
            <v>Kathryn Spaziani</v>
          </cell>
          <cell r="H1618" t="str">
            <v>(212) 305-1282</v>
          </cell>
          <cell r="J1618" t="str">
            <v>kas9171@nyp.org</v>
          </cell>
          <cell r="L1618" t="str">
            <v>All Other:: Practitioner - Non-Primary Care Provider (PCP)</v>
          </cell>
          <cell r="M1618" t="str">
            <v>No</v>
          </cell>
          <cell r="R1618" t="str">
            <v>LERNER JODI</v>
          </cell>
          <cell r="W1618" t="str">
            <v>LERNER JODI P MD</v>
          </cell>
          <cell r="X1618" t="str">
            <v>622 W 168TH ST</v>
          </cell>
          <cell r="Y1618" t="str">
            <v>NEW YORK</v>
          </cell>
          <cell r="Z1618" t="str">
            <v>NY</v>
          </cell>
          <cell r="AA1618" t="str">
            <v>10032-3720</v>
          </cell>
          <cell r="AB1618" t="str">
            <v>PHYSICIAN</v>
          </cell>
          <cell r="AC1618" t="str">
            <v>M</v>
          </cell>
          <cell r="AD1618" t="str">
            <v>No</v>
          </cell>
          <cell r="AE1618" t="str">
            <v>MMIS</v>
          </cell>
          <cell r="AF1618" t="str">
            <v>nypwestcampus</v>
          </cell>
          <cell r="AG1618" t="str">
            <v>P</v>
          </cell>
        </row>
        <row r="1619">
          <cell r="A1619" t="str">
            <v>1396870309</v>
          </cell>
          <cell r="B1619" t="str">
            <v>03346009</v>
          </cell>
          <cell r="C1619" t="str">
            <v>Monique Jenkins</v>
          </cell>
          <cell r="D1619" t="str">
            <v>E0320977</v>
          </cell>
          <cell r="E1619" t="str">
            <v>JENKINS MONIQUE</v>
          </cell>
          <cell r="G1619" t="str">
            <v>Corina Sharp</v>
          </cell>
          <cell r="H1619" t="str">
            <v>(212) 545-2441</v>
          </cell>
          <cell r="J1619" t="str">
            <v>csharp@chnnyc.org</v>
          </cell>
          <cell r="L1619" t="str">
            <v>All Other:: Practitioner - Primary Care Provider (PCP)</v>
          </cell>
          <cell r="M1619" t="str">
            <v>No</v>
          </cell>
          <cell r="R1619" t="str">
            <v>JENKINS MONIQUE</v>
          </cell>
          <cell r="W1619" t="str">
            <v>JENKINS MONIQUE</v>
          </cell>
          <cell r="X1619" t="str">
            <v>94 MANHATTAN AVE # 98</v>
          </cell>
          <cell r="Y1619" t="str">
            <v>BROOKLYN</v>
          </cell>
          <cell r="Z1619" t="str">
            <v>NY</v>
          </cell>
          <cell r="AA1619" t="str">
            <v>11206-2501</v>
          </cell>
          <cell r="AB1619" t="str">
            <v>PHYSICIAN</v>
          </cell>
          <cell r="AC1619" t="str">
            <v>M</v>
          </cell>
          <cell r="AD1619" t="str">
            <v>No</v>
          </cell>
          <cell r="AE1619" t="str">
            <v>MMIS</v>
          </cell>
          <cell r="AF1619" t="str">
            <v>chn</v>
          </cell>
          <cell r="AG1619" t="str">
            <v>P</v>
          </cell>
        </row>
        <row r="1620">
          <cell r="A1620" t="str">
            <v>1194741819</v>
          </cell>
          <cell r="B1620" t="str">
            <v>01369626</v>
          </cell>
          <cell r="C1620" t="str">
            <v>David John</v>
          </cell>
          <cell r="D1620" t="str">
            <v>E0162990</v>
          </cell>
          <cell r="E1620" t="str">
            <v>JOHN DAVID H A</v>
          </cell>
          <cell r="G1620" t="str">
            <v>Corina Sharp</v>
          </cell>
          <cell r="H1620" t="str">
            <v>(212) 545-2441</v>
          </cell>
          <cell r="J1620" t="str">
            <v>csharp@chnnyc.org</v>
          </cell>
          <cell r="L1620" t="str">
            <v>All Other:: Practitioner - Primary Care Provider (PCP)</v>
          </cell>
          <cell r="M1620" t="str">
            <v>No</v>
          </cell>
          <cell r="R1620" t="str">
            <v>JOHN DAVID DR.</v>
          </cell>
          <cell r="W1620" t="str">
            <v>JOHN DAVID H A</v>
          </cell>
          <cell r="X1620" t="str">
            <v>MARY IMMACULATE HOSP</v>
          </cell>
          <cell r="Y1620" t="str">
            <v>JAMAICA</v>
          </cell>
          <cell r="Z1620" t="str">
            <v>NY</v>
          </cell>
          <cell r="AA1620" t="str">
            <v>11432-3730</v>
          </cell>
          <cell r="AB1620" t="str">
            <v>PHYSICIAN</v>
          </cell>
          <cell r="AC1620" t="str">
            <v>M</v>
          </cell>
          <cell r="AD1620" t="str">
            <v>No</v>
          </cell>
          <cell r="AE1620" t="str">
            <v>MMIS</v>
          </cell>
          <cell r="AF1620" t="str">
            <v>chn</v>
          </cell>
          <cell r="AG1620" t="str">
            <v>P</v>
          </cell>
        </row>
        <row r="1621">
          <cell r="A1621" t="str">
            <v>1265570451</v>
          </cell>
          <cell r="B1621" t="str">
            <v>03078026</v>
          </cell>
          <cell r="C1621" t="str">
            <v>Sharon Johnson</v>
          </cell>
          <cell r="D1621" t="str">
            <v>E0290447</v>
          </cell>
          <cell r="E1621" t="str">
            <v>JOHNSON SHARON</v>
          </cell>
          <cell r="G1621" t="str">
            <v>Corina Sharp</v>
          </cell>
          <cell r="H1621" t="str">
            <v>(212) 545-2441</v>
          </cell>
          <cell r="J1621" t="str">
            <v>csharp@chnnyc.org</v>
          </cell>
          <cell r="L1621" t="str">
            <v>All Other:: Practitioner - Non-Primary Care Provider (PCP)</v>
          </cell>
          <cell r="M1621" t="str">
            <v>Yes</v>
          </cell>
          <cell r="R1621" t="str">
            <v>JOHNSON SHARON</v>
          </cell>
          <cell r="W1621" t="str">
            <v>JOHNSON SHARON DENISE</v>
          </cell>
          <cell r="X1621" t="str">
            <v>13303 JAMAICA AVE</v>
          </cell>
          <cell r="Y1621" t="str">
            <v>RICHMOND HILL</v>
          </cell>
          <cell r="Z1621" t="str">
            <v>NY</v>
          </cell>
          <cell r="AA1621" t="str">
            <v>11418-2618</v>
          </cell>
          <cell r="AB1621" t="str">
            <v>NURSE</v>
          </cell>
          <cell r="AC1621" t="str">
            <v>M</v>
          </cell>
          <cell r="AD1621" t="str">
            <v>No</v>
          </cell>
          <cell r="AE1621" t="str">
            <v>MMIS</v>
          </cell>
          <cell r="AF1621" t="str">
            <v>chn</v>
          </cell>
          <cell r="AG1621" t="str">
            <v>P</v>
          </cell>
        </row>
        <row r="1622">
          <cell r="A1622" t="str">
            <v>1750489423</v>
          </cell>
          <cell r="B1622" t="str">
            <v>00843123</v>
          </cell>
          <cell r="C1622" t="str">
            <v>Lawrence Kramer</v>
          </cell>
          <cell r="D1622" t="str">
            <v>E0215426</v>
          </cell>
          <cell r="E1622" t="str">
            <v>KRAMER LAWRENCE DAVID      MD</v>
          </cell>
          <cell r="G1622" t="str">
            <v>Corina Sharp</v>
          </cell>
          <cell r="H1622" t="str">
            <v>(212) 545-2441</v>
          </cell>
          <cell r="J1622" t="str">
            <v>csharp@chnnyc.org</v>
          </cell>
          <cell r="L1622" t="str">
            <v>All Other:: Practitioner - Non-Primary Care Provider (PCP)</v>
          </cell>
          <cell r="M1622" t="str">
            <v>Yes</v>
          </cell>
          <cell r="R1622" t="str">
            <v>KRAMER LAWRENCE DR.</v>
          </cell>
          <cell r="W1622" t="str">
            <v>KRAMER LAWRENCE DAVID      MD</v>
          </cell>
          <cell r="X1622" t="str">
            <v>CWMC</v>
          </cell>
          <cell r="Y1622" t="str">
            <v>REGO PARK</v>
          </cell>
          <cell r="Z1622" t="str">
            <v>NY</v>
          </cell>
          <cell r="AA1622" t="str">
            <v>11374-3335</v>
          </cell>
          <cell r="AB1622" t="str">
            <v>PHYSICIAN</v>
          </cell>
          <cell r="AC1622" t="str">
            <v>M</v>
          </cell>
          <cell r="AD1622" t="str">
            <v>No</v>
          </cell>
          <cell r="AE1622" t="str">
            <v>MMIS</v>
          </cell>
          <cell r="AF1622" t="str">
            <v>chn</v>
          </cell>
          <cell r="AG1622" t="str">
            <v>P</v>
          </cell>
        </row>
        <row r="1623">
          <cell r="A1623" t="str">
            <v>1538302062</v>
          </cell>
          <cell r="B1623" t="str">
            <v>03944910</v>
          </cell>
          <cell r="C1623" t="str">
            <v>Davis Nicholas</v>
          </cell>
          <cell r="D1623" t="str">
            <v>E0385694</v>
          </cell>
          <cell r="E1623" t="str">
            <v>DAVIS NICHOLAS A</v>
          </cell>
          <cell r="G1623" t="str">
            <v>Kathryn Spaziani</v>
          </cell>
          <cell r="H1623" t="str">
            <v>(212) 305-1255</v>
          </cell>
          <cell r="J1623" t="str">
            <v>kas9171@nyp.org</v>
          </cell>
          <cell r="L1623" t="str">
            <v>All Other:: Practitioner - Non-Primary Care Provider (PCP)</v>
          </cell>
          <cell r="M1623" t="str">
            <v>No</v>
          </cell>
          <cell r="R1623" t="str">
            <v>DAVIS NICHOLAS</v>
          </cell>
          <cell r="W1623" t="str">
            <v>DAVIS NICHOLAS A</v>
          </cell>
          <cell r="X1623" t="str">
            <v>622 W 168TH ST</v>
          </cell>
          <cell r="Y1623" t="str">
            <v>NEW YORK</v>
          </cell>
          <cell r="Z1623" t="str">
            <v>NY</v>
          </cell>
          <cell r="AA1623" t="str">
            <v>10032-3720</v>
          </cell>
          <cell r="AB1623" t="str">
            <v>PHYSICIAN</v>
          </cell>
          <cell r="AC1623" t="str">
            <v>M</v>
          </cell>
          <cell r="AD1623" t="str">
            <v>No</v>
          </cell>
          <cell r="AE1623" t="str">
            <v>MMIS</v>
          </cell>
          <cell r="AF1623" t="str">
            <v>nypwestcampus</v>
          </cell>
          <cell r="AG1623" t="str">
            <v>P</v>
          </cell>
        </row>
        <row r="1624">
          <cell r="A1624" t="str">
            <v>1356357685</v>
          </cell>
          <cell r="B1624" t="str">
            <v>01574652</v>
          </cell>
          <cell r="C1624" t="str">
            <v>CITYDRUG &amp; SURGICAL INC</v>
          </cell>
          <cell r="D1624" t="str">
            <v>E0142539</v>
          </cell>
          <cell r="E1624" t="str">
            <v>CITYDRUG &amp; SURGICAL INC</v>
          </cell>
          <cell r="L1624" t="str">
            <v>Pharmacy</v>
          </cell>
          <cell r="M1624" t="str">
            <v>Yes</v>
          </cell>
          <cell r="R1624" t="str">
            <v>CITYDRUG &amp; SURGICAL INC</v>
          </cell>
          <cell r="W1624" t="str">
            <v>CITYDRUG &amp; SURGICAL INC</v>
          </cell>
          <cell r="X1624" t="str">
            <v>2039 AMSTERDAM AVE</v>
          </cell>
          <cell r="Y1624" t="str">
            <v>NEW YORK</v>
          </cell>
          <cell r="Z1624" t="str">
            <v>NY</v>
          </cell>
          <cell r="AA1624" t="str">
            <v>10032-5007</v>
          </cell>
          <cell r="AB1624" t="str">
            <v>PHARMACY</v>
          </cell>
          <cell r="AC1624" t="str">
            <v>M</v>
          </cell>
          <cell r="AD1624" t="str">
            <v>No</v>
          </cell>
          <cell r="AE1624" t="str">
            <v>MMIS</v>
          </cell>
          <cell r="AG1624" t="str">
            <v>P</v>
          </cell>
        </row>
        <row r="1625">
          <cell r="A1625" t="str">
            <v>1366559551</v>
          </cell>
          <cell r="B1625" t="str">
            <v>02144498</v>
          </cell>
          <cell r="C1625" t="str">
            <v>C&amp;C DRUG INC</v>
          </cell>
          <cell r="D1625" t="str">
            <v>E0085624</v>
          </cell>
          <cell r="E1625" t="str">
            <v>C &amp; C DRUG INC</v>
          </cell>
          <cell r="L1625" t="str">
            <v>Pharmacy</v>
          </cell>
          <cell r="M1625" t="str">
            <v>Yes</v>
          </cell>
          <cell r="R1625" t="str">
            <v>C&amp;C DRUG INC</v>
          </cell>
          <cell r="W1625" t="str">
            <v>C &amp; C DRUG INC</v>
          </cell>
          <cell r="X1625" t="str">
            <v>1-7 AUDUBON AVE</v>
          </cell>
          <cell r="Y1625" t="str">
            <v>NEW YORK</v>
          </cell>
          <cell r="Z1625" t="str">
            <v>NY</v>
          </cell>
          <cell r="AA1625" t="str">
            <v>10032</v>
          </cell>
          <cell r="AB1625" t="str">
            <v>PHARMACY</v>
          </cell>
          <cell r="AC1625" t="str">
            <v>M</v>
          </cell>
          <cell r="AD1625" t="str">
            <v>No</v>
          </cell>
          <cell r="AE1625" t="str">
            <v>MMIS</v>
          </cell>
          <cell r="AG1625" t="str">
            <v>P</v>
          </cell>
        </row>
        <row r="1626">
          <cell r="A1626" t="str">
            <v>1801922679</v>
          </cell>
          <cell r="B1626" t="str">
            <v>03835903</v>
          </cell>
          <cell r="C1626" t="str">
            <v>Rao Rema</v>
          </cell>
          <cell r="D1626" t="str">
            <v>E0374519</v>
          </cell>
          <cell r="E1626" t="str">
            <v>RAO REMA</v>
          </cell>
          <cell r="G1626" t="str">
            <v>Kathryn Spaziani</v>
          </cell>
          <cell r="H1626" t="str">
            <v>(212) 305-1213</v>
          </cell>
          <cell r="J1626" t="str">
            <v>kas9171@nyp.org</v>
          </cell>
          <cell r="L1626" t="str">
            <v>All Other:: Practitioner - Non-Primary Care Provider (PCP)</v>
          </cell>
          <cell r="M1626" t="str">
            <v>No</v>
          </cell>
          <cell r="R1626" t="str">
            <v>RAO REMA</v>
          </cell>
          <cell r="W1626" t="str">
            <v>RAO REMA</v>
          </cell>
          <cell r="X1626" t="str">
            <v>525 E 68TH ST</v>
          </cell>
          <cell r="Y1626" t="str">
            <v>NEW YORK</v>
          </cell>
          <cell r="Z1626" t="str">
            <v>NY</v>
          </cell>
          <cell r="AA1626" t="str">
            <v>10065-4870</v>
          </cell>
          <cell r="AB1626" t="str">
            <v>PHYSICIAN</v>
          </cell>
          <cell r="AC1626" t="str">
            <v>M</v>
          </cell>
          <cell r="AD1626" t="str">
            <v>No</v>
          </cell>
          <cell r="AE1626" t="str">
            <v>MMIS</v>
          </cell>
          <cell r="AF1626" t="str">
            <v>nypeastcampus</v>
          </cell>
          <cell r="AG1626" t="str">
            <v>P</v>
          </cell>
        </row>
        <row r="1627">
          <cell r="A1627" t="str">
            <v>1922049139</v>
          </cell>
          <cell r="C1627" t="str">
            <v>Rennert Hanna</v>
          </cell>
          <cell r="G1627" t="str">
            <v>Kathryn Spaziani</v>
          </cell>
          <cell r="H1627" t="str">
            <v>(212) 305-1214</v>
          </cell>
          <cell r="J1627" t="str">
            <v>kas9171@nyp.org</v>
          </cell>
          <cell r="K1627" t="str">
            <v>Physician</v>
          </cell>
          <cell r="L1627" t="str">
            <v>Uncategorized</v>
          </cell>
          <cell r="M1627" t="str">
            <v>No</v>
          </cell>
          <cell r="R1627" t="str">
            <v>RENNERT HANNA PROF.</v>
          </cell>
          <cell r="S1627" t="str">
            <v>525 E 68TH ST, BOX 69</v>
          </cell>
          <cell r="T1627" t="str">
            <v>NEW YORK</v>
          </cell>
          <cell r="U1627" t="str">
            <v>NY</v>
          </cell>
          <cell r="V1627" t="str">
            <v>100654870</v>
          </cell>
          <cell r="AC1627" t="str">
            <v>M</v>
          </cell>
          <cell r="AD1627" t="str">
            <v>No</v>
          </cell>
          <cell r="AE1627" t="str">
            <v>NPI only</v>
          </cell>
          <cell r="AF1627" t="str">
            <v>nypeastcampus</v>
          </cell>
          <cell r="AG1627" t="str">
            <v>P</v>
          </cell>
        </row>
        <row r="1628">
          <cell r="A1628" t="str">
            <v>1962600064</v>
          </cell>
          <cell r="B1628" t="str">
            <v>02944530</v>
          </cell>
          <cell r="C1628" t="str">
            <v>Schuetz Audrey</v>
          </cell>
          <cell r="D1628" t="str">
            <v>E0002610</v>
          </cell>
          <cell r="E1628" t="str">
            <v>SCHUETZ AUDREY</v>
          </cell>
          <cell r="G1628" t="str">
            <v>Kathryn Spaziani</v>
          </cell>
          <cell r="H1628" t="str">
            <v>(212) 305-1215</v>
          </cell>
          <cell r="J1628" t="str">
            <v>kas9171@nyp.org</v>
          </cell>
          <cell r="L1628" t="str">
            <v>All Other:: Practitioner - Non-Primary Care Provider (PCP)</v>
          </cell>
          <cell r="M1628" t="str">
            <v>No</v>
          </cell>
          <cell r="R1628" t="str">
            <v>SCHUETZ AUDREY DR.</v>
          </cell>
          <cell r="W1628" t="str">
            <v>SCHUETZ AUDREY</v>
          </cell>
          <cell r="X1628" t="str">
            <v>525 E 68TH ST</v>
          </cell>
          <cell r="Y1628" t="str">
            <v>NEW YORK</v>
          </cell>
          <cell r="Z1628" t="str">
            <v>NY</v>
          </cell>
          <cell r="AA1628" t="str">
            <v>10065-4870</v>
          </cell>
          <cell r="AB1628" t="str">
            <v>PHYSICIAN</v>
          </cell>
          <cell r="AC1628" t="str">
            <v>M</v>
          </cell>
          <cell r="AD1628" t="str">
            <v>No</v>
          </cell>
          <cell r="AE1628" t="str">
            <v>MMIS</v>
          </cell>
          <cell r="AF1628" t="str">
            <v>nypeastcampus</v>
          </cell>
          <cell r="AG1628" t="str">
            <v>P</v>
          </cell>
        </row>
        <row r="1629">
          <cell r="A1629" t="str">
            <v>1245495894</v>
          </cell>
          <cell r="C1629" t="str">
            <v>Subramaniyam Shivakumar</v>
          </cell>
          <cell r="G1629" t="str">
            <v>Kathryn Spaziani</v>
          </cell>
          <cell r="H1629" t="str">
            <v>(212) 305-1216</v>
          </cell>
          <cell r="J1629" t="str">
            <v>kas9171@nyp.org</v>
          </cell>
          <cell r="K1629" t="str">
            <v>Physician</v>
          </cell>
          <cell r="L1629" t="str">
            <v>Uncategorized</v>
          </cell>
          <cell r="M1629" t="str">
            <v>No</v>
          </cell>
          <cell r="R1629" t="str">
            <v>SUBRAMANIYAN SHIVAKUMER</v>
          </cell>
          <cell r="S1629" t="str">
            <v>525 E 68TH ST, BOX 69</v>
          </cell>
          <cell r="T1629" t="str">
            <v>NEW YORK</v>
          </cell>
          <cell r="U1629" t="str">
            <v>NY</v>
          </cell>
          <cell r="V1629" t="str">
            <v>100654870</v>
          </cell>
          <cell r="AC1629" t="str">
            <v>M</v>
          </cell>
          <cell r="AD1629" t="str">
            <v>No</v>
          </cell>
          <cell r="AE1629" t="str">
            <v>NPI only</v>
          </cell>
          <cell r="AF1629" t="str">
            <v>nypother</v>
          </cell>
          <cell r="AG1629" t="str">
            <v>P</v>
          </cell>
        </row>
        <row r="1630">
          <cell r="A1630" t="str">
            <v>1891844700</v>
          </cell>
          <cell r="B1630" t="str">
            <v>03579559</v>
          </cell>
          <cell r="C1630" t="str">
            <v>Renjen Pooja</v>
          </cell>
          <cell r="D1630" t="str">
            <v>E0348049</v>
          </cell>
          <cell r="E1630" t="str">
            <v>RENJEN POOJA</v>
          </cell>
          <cell r="L1630" t="str">
            <v>All Other:: Practitioner - Non-Primary Care Provider (PCP)</v>
          </cell>
          <cell r="M1630" t="str">
            <v>No</v>
          </cell>
          <cell r="R1630" t="str">
            <v>RENJEN POOJA</v>
          </cell>
          <cell r="W1630" t="str">
            <v>RENJEN POOJA</v>
          </cell>
          <cell r="X1630" t="str">
            <v>525 E 68TH ST # 141</v>
          </cell>
          <cell r="Y1630" t="str">
            <v>NEW YORK</v>
          </cell>
          <cell r="Z1630" t="str">
            <v>NY</v>
          </cell>
          <cell r="AA1630" t="str">
            <v>10065-4870</v>
          </cell>
          <cell r="AB1630" t="str">
            <v>PHYSICIAN</v>
          </cell>
          <cell r="AC1630" t="str">
            <v>M</v>
          </cell>
          <cell r="AD1630" t="str">
            <v>No</v>
          </cell>
          <cell r="AE1630" t="str">
            <v>MMIS</v>
          </cell>
          <cell r="AF1630" t="str">
            <v>nypeastcampus</v>
          </cell>
          <cell r="AG1630" t="str">
            <v>P</v>
          </cell>
        </row>
        <row r="1631">
          <cell r="A1631" t="str">
            <v>1245475359</v>
          </cell>
          <cell r="B1631" t="str">
            <v>03099869</v>
          </cell>
          <cell r="C1631" t="str">
            <v xml:space="preserve">HERNANDEZ-KENIS, PATRICIA </v>
          </cell>
          <cell r="D1631" t="str">
            <v>E0293020</v>
          </cell>
          <cell r="E1631" t="str">
            <v>KENIS PATRICIA</v>
          </cell>
          <cell r="G1631" t="str">
            <v>Kathryn Spaziani</v>
          </cell>
          <cell r="H1631" t="str">
            <v>(212) 305-1190</v>
          </cell>
          <cell r="J1631" t="str">
            <v>kas9171@nyp.org</v>
          </cell>
          <cell r="L1631" t="str">
            <v>Practitioner - Non-Primary Care Provider (PCP)</v>
          </cell>
          <cell r="M1631" t="str">
            <v>No</v>
          </cell>
          <cell r="R1631" t="str">
            <v>KENIS PATRICIA</v>
          </cell>
          <cell r="W1631" t="str">
            <v>KENIS PATRICIA</v>
          </cell>
          <cell r="X1631" t="str">
            <v>4781 BROADWAY # 83</v>
          </cell>
          <cell r="Y1631" t="str">
            <v>NEW YORK</v>
          </cell>
          <cell r="Z1631" t="str">
            <v>NY</v>
          </cell>
          <cell r="AA1631" t="str">
            <v>10034-4915</v>
          </cell>
          <cell r="AB1631" t="str">
            <v>CLINICAL SOCIAL WORKER (CSW)</v>
          </cell>
          <cell r="AC1631" t="str">
            <v>M</v>
          </cell>
          <cell r="AD1631" t="str">
            <v>No</v>
          </cell>
          <cell r="AE1631" t="str">
            <v>MMIS</v>
          </cell>
          <cell r="AF1631" t="str">
            <v>nypwestacn</v>
          </cell>
          <cell r="AG1631" t="str">
            <v>P</v>
          </cell>
        </row>
        <row r="1632">
          <cell r="A1632" t="str">
            <v>1831162981</v>
          </cell>
          <cell r="B1632" t="str">
            <v>01099238</v>
          </cell>
          <cell r="C1632" t="str">
            <v xml:space="preserve">SOREN, KAREN </v>
          </cell>
          <cell r="D1632" t="str">
            <v>E0189950</v>
          </cell>
          <cell r="E1632" t="str">
            <v>SOREN KAREN MD</v>
          </cell>
          <cell r="G1632" t="str">
            <v>Kathryn Spaziani</v>
          </cell>
          <cell r="H1632" t="str">
            <v>(212) 305-1190</v>
          </cell>
          <cell r="J1632" t="str">
            <v>kas9171@nyp.org</v>
          </cell>
          <cell r="L1632" t="str">
            <v>All Other:: Practitioner - Primary Care Provider (PCP)</v>
          </cell>
          <cell r="M1632" t="str">
            <v>Yes</v>
          </cell>
          <cell r="R1632" t="str">
            <v>SOREN KAREN DR.</v>
          </cell>
          <cell r="W1632" t="str">
            <v>SOREN KAREN MD</v>
          </cell>
          <cell r="X1632" t="str">
            <v># VC-4-402</v>
          </cell>
          <cell r="Y1632" t="str">
            <v>NEW YORK</v>
          </cell>
          <cell r="Z1632" t="str">
            <v>NY</v>
          </cell>
          <cell r="AA1632" t="str">
            <v>10032-3720</v>
          </cell>
          <cell r="AB1632" t="str">
            <v>PHYSICIAN</v>
          </cell>
          <cell r="AC1632" t="str">
            <v>M</v>
          </cell>
          <cell r="AD1632" t="str">
            <v>No</v>
          </cell>
          <cell r="AE1632" t="str">
            <v>MMIS</v>
          </cell>
          <cell r="AF1632" t="str">
            <v>nypwestcampus</v>
          </cell>
          <cell r="AG1632" t="str">
            <v>P</v>
          </cell>
        </row>
        <row r="1633">
          <cell r="A1633" t="str">
            <v>1831254721</v>
          </cell>
          <cell r="B1633" t="str">
            <v>01059705</v>
          </cell>
          <cell r="C1633" t="str">
            <v>DOBKIN, JAY F</v>
          </cell>
          <cell r="D1633" t="str">
            <v>E0193897</v>
          </cell>
          <cell r="E1633" t="str">
            <v>DOBKIN JAY FRANKLIN MD</v>
          </cell>
          <cell r="G1633" t="str">
            <v>Kathryn Spaziani</v>
          </cell>
          <cell r="H1633" t="str">
            <v>(212) 305-1190</v>
          </cell>
          <cell r="J1633" t="str">
            <v>kas9171@nyp.org</v>
          </cell>
          <cell r="L1633" t="str">
            <v>All Other:: Practitioner - Primary Care Provider (PCP)</v>
          </cell>
          <cell r="M1633" t="str">
            <v>Yes</v>
          </cell>
          <cell r="R1633" t="str">
            <v>DOBKIN JAY DR.</v>
          </cell>
          <cell r="W1633" t="str">
            <v>DOBKIN JAY FRANKLIN MD</v>
          </cell>
          <cell r="Y1633" t="str">
            <v>NEW YORK</v>
          </cell>
          <cell r="Z1633" t="str">
            <v>NY</v>
          </cell>
          <cell r="AA1633" t="str">
            <v>10032-3720</v>
          </cell>
          <cell r="AB1633" t="str">
            <v>PHYSICIAN</v>
          </cell>
          <cell r="AC1633" t="str">
            <v>M</v>
          </cell>
          <cell r="AD1633" t="str">
            <v>No</v>
          </cell>
          <cell r="AE1633" t="str">
            <v>MMIS</v>
          </cell>
          <cell r="AF1633" t="str">
            <v>nypwestacn</v>
          </cell>
          <cell r="AG1633" t="str">
            <v>P</v>
          </cell>
        </row>
        <row r="1634">
          <cell r="A1634" t="str">
            <v>1679507594</v>
          </cell>
          <cell r="C1634" t="str">
            <v>COLUMBIA UNIVERSITY PATHOLOGISTS</v>
          </cell>
          <cell r="K1634" t="str">
            <v>All Other</v>
          </cell>
          <cell r="L1634" t="str">
            <v>Uncategorized</v>
          </cell>
          <cell r="M1634" t="str">
            <v>No</v>
          </cell>
          <cell r="R1634" t="str">
            <v>COLUMBIA PRESBYTERIAN PATHOLOGISTS</v>
          </cell>
          <cell r="S1634" t="str">
            <v>622 W 168TH ST, VC 14-215</v>
          </cell>
          <cell r="T1634" t="str">
            <v>NEW YORK</v>
          </cell>
          <cell r="U1634" t="str">
            <v>NY</v>
          </cell>
          <cell r="V1634" t="str">
            <v>100323720</v>
          </cell>
          <cell r="AC1634" t="str">
            <v>M</v>
          </cell>
          <cell r="AD1634" t="str">
            <v>No</v>
          </cell>
          <cell r="AE1634" t="str">
            <v>NPI only</v>
          </cell>
          <cell r="AG1634" t="str">
            <v>P</v>
          </cell>
        </row>
        <row r="1635">
          <cell r="A1635" t="str">
            <v>1497894703</v>
          </cell>
          <cell r="C1635" t="str">
            <v>NEW YORK COLUMBIA PRESBYTERIAN</v>
          </cell>
          <cell r="K1635" t="str">
            <v>All Other</v>
          </cell>
          <cell r="L1635" t="str">
            <v>Uncategorized</v>
          </cell>
          <cell r="M1635" t="str">
            <v>No</v>
          </cell>
          <cell r="R1635" t="str">
            <v>NEW YORK COLUMBIA PRESBYTERIAN</v>
          </cell>
          <cell r="S1635" t="str">
            <v>161 FORT WASHINGTON AVE, 629</v>
          </cell>
          <cell r="T1635" t="str">
            <v>NEW YORK</v>
          </cell>
          <cell r="U1635" t="str">
            <v>NY</v>
          </cell>
          <cell r="V1635" t="str">
            <v>100323729</v>
          </cell>
          <cell r="AC1635" t="str">
            <v>M</v>
          </cell>
          <cell r="AD1635" t="str">
            <v>No</v>
          </cell>
          <cell r="AE1635" t="str">
            <v>NPI only</v>
          </cell>
          <cell r="AG1635" t="str">
            <v>P</v>
          </cell>
        </row>
        <row r="1636">
          <cell r="A1636" t="str">
            <v>1306069315</v>
          </cell>
          <cell r="B1636" t="str">
            <v>02916925</v>
          </cell>
          <cell r="C1636" t="str">
            <v>THE TRUSTEES OF COLUMBIA IN THE CITY OF NY DIGESTIVE AND LIVER DISE</v>
          </cell>
          <cell r="D1636" t="str">
            <v>E0008522</v>
          </cell>
          <cell r="E1636" t="str">
            <v>THE TRUSTEES OF COLUMBIA IN THE</v>
          </cell>
          <cell r="L1636" t="str">
            <v>All Other</v>
          </cell>
          <cell r="M1636" t="str">
            <v>No</v>
          </cell>
          <cell r="R1636" t="str">
            <v>THE TRUSTEES OF COLUMBIA IN THE CITY OF NY DIGESTIVE AND LIVER DISE</v>
          </cell>
          <cell r="W1636" t="str">
            <v>THE TRUSTEES OF COLUMBIA IN THE</v>
          </cell>
          <cell r="X1636" t="str">
            <v>161 FORT WASHINGTON AVE</v>
          </cell>
          <cell r="Y1636" t="str">
            <v>NEW YORK</v>
          </cell>
          <cell r="Z1636" t="str">
            <v>NY</v>
          </cell>
          <cell r="AA1636" t="str">
            <v>10032-3729</v>
          </cell>
          <cell r="AB1636" t="str">
            <v>PHYSICIANS GROUP</v>
          </cell>
          <cell r="AC1636" t="str">
            <v>M</v>
          </cell>
          <cell r="AD1636" t="str">
            <v>No</v>
          </cell>
          <cell r="AE1636" t="str">
            <v>MMIS</v>
          </cell>
          <cell r="AG1636" t="str">
            <v>P</v>
          </cell>
        </row>
        <row r="1637">
          <cell r="A1637" t="str">
            <v>1205886447</v>
          </cell>
          <cell r="B1637" t="str">
            <v>02953813</v>
          </cell>
          <cell r="C1637" t="str">
            <v xml:space="preserve">FATIMI, TANYA </v>
          </cell>
          <cell r="D1637" t="str">
            <v>E0003594</v>
          </cell>
          <cell r="E1637" t="str">
            <v>FATIMI TANYA</v>
          </cell>
          <cell r="G1637" t="str">
            <v>Kathryn Spaziani</v>
          </cell>
          <cell r="H1637" t="str">
            <v>(212) 305-1190</v>
          </cell>
          <cell r="J1637" t="str">
            <v>kas9171@nyp.org</v>
          </cell>
          <cell r="L1637" t="str">
            <v>Practitioner - Non-Primary Care Provider (PCP)</v>
          </cell>
          <cell r="M1637" t="str">
            <v>No</v>
          </cell>
          <cell r="R1637" t="str">
            <v>FATIMI TANYA</v>
          </cell>
          <cell r="W1637" t="str">
            <v>FATIMI TANYA AZRA</v>
          </cell>
          <cell r="X1637" t="str">
            <v>3160 21ST ST</v>
          </cell>
          <cell r="Y1637" t="str">
            <v>ASTORIA</v>
          </cell>
          <cell r="Z1637" t="str">
            <v>NY</v>
          </cell>
          <cell r="AA1637" t="str">
            <v>11106-4520</v>
          </cell>
          <cell r="AB1637" t="str">
            <v>PHYSICIAN</v>
          </cell>
          <cell r="AC1637" t="str">
            <v>M</v>
          </cell>
          <cell r="AD1637" t="str">
            <v>No</v>
          </cell>
          <cell r="AE1637" t="str">
            <v>MMIS</v>
          </cell>
          <cell r="AF1637" t="str">
            <v>nypeastacn</v>
          </cell>
          <cell r="AG1637" t="str">
            <v>P</v>
          </cell>
        </row>
        <row r="1638">
          <cell r="A1638" t="str">
            <v>1083041131</v>
          </cell>
          <cell r="B1638" t="str">
            <v>03757595</v>
          </cell>
          <cell r="C1638" t="str">
            <v>LOUIS, PRIYA P</v>
          </cell>
          <cell r="D1638" t="str">
            <v>E0366440</v>
          </cell>
          <cell r="E1638" t="str">
            <v>LOUIS PRIYA PAILY</v>
          </cell>
          <cell r="G1638" t="str">
            <v>Kathryn Spaziani</v>
          </cell>
          <cell r="H1638" t="str">
            <v>(212) 305-1190</v>
          </cell>
          <cell r="J1638" t="str">
            <v>kas9171@nyp.org</v>
          </cell>
          <cell r="L1638" t="str">
            <v>Practitioner - Non-Primary Care Provider (PCP)</v>
          </cell>
          <cell r="M1638" t="str">
            <v>No</v>
          </cell>
          <cell r="R1638" t="str">
            <v>LOUIS PRIYA MRS.</v>
          </cell>
          <cell r="W1638" t="str">
            <v>LOUIS PRIYA PAILY</v>
          </cell>
          <cell r="X1638" t="str">
            <v>VANDERBILT CLINIC 622 WEST 168TH STREET</v>
          </cell>
          <cell r="Y1638" t="str">
            <v>NEW YORK</v>
          </cell>
          <cell r="Z1638" t="str">
            <v>NY</v>
          </cell>
          <cell r="AA1638" t="str">
            <v>10032-0000</v>
          </cell>
          <cell r="AB1638" t="str">
            <v>PHYSICIAN</v>
          </cell>
          <cell r="AC1638" t="str">
            <v>M</v>
          </cell>
          <cell r="AD1638" t="str">
            <v>No</v>
          </cell>
          <cell r="AE1638" t="str">
            <v>MMIS</v>
          </cell>
          <cell r="AF1638" t="str">
            <v>nypwestcampus</v>
          </cell>
          <cell r="AG1638" t="str">
            <v>P</v>
          </cell>
        </row>
        <row r="1639">
          <cell r="A1639" t="str">
            <v>1851534671</v>
          </cell>
          <cell r="B1639" t="str">
            <v>03441756</v>
          </cell>
          <cell r="C1639" t="str">
            <v>DUFFY, MARY</v>
          </cell>
          <cell r="D1639" t="str">
            <v>E0332867</v>
          </cell>
          <cell r="E1639" t="str">
            <v>DUFFY MARY ELIZABETH</v>
          </cell>
          <cell r="G1639" t="str">
            <v>Kathryn Spaziani</v>
          </cell>
          <cell r="H1639" t="str">
            <v>(212) 305-1227</v>
          </cell>
          <cell r="J1639" t="str">
            <v>kas9171@nyp.org</v>
          </cell>
          <cell r="L1639" t="str">
            <v>Practitioner - Non-Primary Care Provider (PCP)</v>
          </cell>
          <cell r="M1639" t="str">
            <v>No</v>
          </cell>
          <cell r="R1639" t="str">
            <v>DUFFY MARY MS.</v>
          </cell>
          <cell r="W1639" t="str">
            <v>DUFFY MARY ELIZABETH</v>
          </cell>
          <cell r="X1639" t="str">
            <v>622 W 168TH ST</v>
          </cell>
          <cell r="Y1639" t="str">
            <v>NEW YORK</v>
          </cell>
          <cell r="Z1639" t="str">
            <v>NY</v>
          </cell>
          <cell r="AA1639" t="str">
            <v>10032-3720</v>
          </cell>
          <cell r="AB1639" t="str">
            <v>PHYSICIAN</v>
          </cell>
          <cell r="AC1639" t="str">
            <v>M</v>
          </cell>
          <cell r="AD1639" t="str">
            <v>No</v>
          </cell>
          <cell r="AE1639" t="str">
            <v>MMIS</v>
          </cell>
          <cell r="AF1639" t="str">
            <v>nypwestcampus</v>
          </cell>
          <cell r="AG1639" t="str">
            <v>P</v>
          </cell>
        </row>
        <row r="1640">
          <cell r="A1640" t="str">
            <v>1154436855</v>
          </cell>
          <cell r="B1640" t="str">
            <v>01757051</v>
          </cell>
          <cell r="C1640" t="str">
            <v>COLUMBIA UNIVERSITY HEALTH CARE</v>
          </cell>
          <cell r="D1640" t="str">
            <v>E0124323</v>
          </cell>
          <cell r="E1640" t="str">
            <v>COLUMBIA UNIV HLTH CARE</v>
          </cell>
          <cell r="L1640" t="str">
            <v>All Other:: Clinic</v>
          </cell>
          <cell r="M1640" t="str">
            <v>Yes</v>
          </cell>
          <cell r="R1640" t="str">
            <v>COLUMBIA UNIVERSITY HEALTH CARE</v>
          </cell>
          <cell r="W1640" t="str">
            <v>COLUMBIA UNIV HLTH CARE</v>
          </cell>
          <cell r="X1640" t="str">
            <v>630 W 168TH ST</v>
          </cell>
          <cell r="Y1640" t="str">
            <v>NEW YORK</v>
          </cell>
          <cell r="Z1640" t="str">
            <v>NY</v>
          </cell>
          <cell r="AA1640" t="str">
            <v>10032-3725</v>
          </cell>
          <cell r="AB1640" t="str">
            <v>DIAGNOSTIC AND TREATMENT CENTER</v>
          </cell>
          <cell r="AC1640" t="str">
            <v>M</v>
          </cell>
          <cell r="AD1640" t="str">
            <v>No</v>
          </cell>
          <cell r="AE1640" t="str">
            <v>MMIS</v>
          </cell>
          <cell r="AG1640" t="str">
            <v>P</v>
          </cell>
        </row>
        <row r="1641">
          <cell r="A1641" t="str">
            <v>1275863763</v>
          </cell>
          <cell r="B1641" t="str">
            <v>03302605</v>
          </cell>
          <cell r="C1641" t="str">
            <v>ALONSO, ELENA M</v>
          </cell>
          <cell r="D1641" t="str">
            <v>E0315994</v>
          </cell>
          <cell r="E1641" t="str">
            <v>ALONSO ELENA</v>
          </cell>
          <cell r="G1641" t="str">
            <v>Kathryn Spaziani</v>
          </cell>
          <cell r="H1641" t="str">
            <v>(212) 305-1190</v>
          </cell>
          <cell r="J1641" t="str">
            <v>kas9171@nyp.org</v>
          </cell>
          <cell r="L1641" t="str">
            <v>Practitioner - Non-Primary Care Provider (PCP)</v>
          </cell>
          <cell r="M1641" t="str">
            <v>No</v>
          </cell>
          <cell r="R1641" t="str">
            <v>ALONSO ELENA</v>
          </cell>
          <cell r="W1641" t="str">
            <v>ALONSO ELENA M</v>
          </cell>
          <cell r="X1641" t="str">
            <v>622 WEST 168TH STREE</v>
          </cell>
          <cell r="Y1641" t="str">
            <v>NEW YORK</v>
          </cell>
          <cell r="Z1641" t="str">
            <v>NY</v>
          </cell>
          <cell r="AA1641" t="str">
            <v>10032-3720</v>
          </cell>
          <cell r="AB1641" t="str">
            <v>CLINICAL SOCIAL WORKER (CSW)</v>
          </cell>
          <cell r="AC1641" t="str">
            <v>M</v>
          </cell>
          <cell r="AD1641" t="str">
            <v>No</v>
          </cell>
          <cell r="AE1641" t="str">
            <v>MMIS</v>
          </cell>
          <cell r="AF1641" t="str">
            <v>nypwestacn</v>
          </cell>
          <cell r="AG1641" t="str">
            <v>P</v>
          </cell>
        </row>
        <row r="1642">
          <cell r="A1642" t="str">
            <v>1194959528</v>
          </cell>
          <cell r="C1642" t="str">
            <v>LYNN TOMILOWICZ</v>
          </cell>
          <cell r="G1642" t="str">
            <v>Kathryn Spaziani</v>
          </cell>
          <cell r="H1642" t="str">
            <v>(212) 305-1190</v>
          </cell>
          <cell r="J1642" t="str">
            <v>kas9171@nyp.org</v>
          </cell>
          <cell r="K1642" t="str">
            <v>Unknown</v>
          </cell>
          <cell r="L1642" t="str">
            <v>Practitioner - Non-Primary Care Provider (PCP)</v>
          </cell>
          <cell r="M1642" t="str">
            <v>No</v>
          </cell>
          <cell r="R1642" t="str">
            <v>TOMILOWICZ LYNN MS.</v>
          </cell>
          <cell r="S1642" t="str">
            <v>7 BALINT DR, APT. #221</v>
          </cell>
          <cell r="T1642" t="str">
            <v>YONKERS</v>
          </cell>
          <cell r="U1642" t="str">
            <v>NY</v>
          </cell>
          <cell r="V1642" t="str">
            <v>107103941</v>
          </cell>
          <cell r="AC1642" t="str">
            <v>M</v>
          </cell>
          <cell r="AD1642" t="str">
            <v>No</v>
          </cell>
          <cell r="AE1642" t="str">
            <v>NPI only</v>
          </cell>
          <cell r="AF1642" t="str">
            <v>nypother</v>
          </cell>
          <cell r="AG1642" t="str">
            <v>P</v>
          </cell>
        </row>
        <row r="1643">
          <cell r="A1643" t="str">
            <v>1326350836</v>
          </cell>
          <cell r="C1643" t="str">
            <v>JAIMIE UVA</v>
          </cell>
          <cell r="G1643" t="str">
            <v>Kathryn Spaziani</v>
          </cell>
          <cell r="H1643" t="str">
            <v>(212) 305-1190</v>
          </cell>
          <cell r="J1643" t="str">
            <v>kas9171@nyp.org</v>
          </cell>
          <cell r="K1643" t="str">
            <v>Unknown</v>
          </cell>
          <cell r="L1643" t="str">
            <v>Practitioner - Non-Primary Care Provider (PCP)</v>
          </cell>
          <cell r="M1643" t="str">
            <v>No</v>
          </cell>
          <cell r="R1643" t="str">
            <v>UVA JAIMIE</v>
          </cell>
          <cell r="S1643" t="str">
            <v>53 W 23RD ST FL 6</v>
          </cell>
          <cell r="T1643" t="str">
            <v>NEW YORK</v>
          </cell>
          <cell r="U1643" t="str">
            <v>NY</v>
          </cell>
          <cell r="V1643" t="str">
            <v>100104237</v>
          </cell>
          <cell r="AC1643" t="str">
            <v>M</v>
          </cell>
          <cell r="AD1643" t="str">
            <v>No</v>
          </cell>
          <cell r="AE1643" t="str">
            <v>NPI only</v>
          </cell>
          <cell r="AF1643" t="str">
            <v>nypother</v>
          </cell>
          <cell r="AG1643" t="str">
            <v>P</v>
          </cell>
        </row>
        <row r="1644">
          <cell r="A1644" t="str">
            <v>1083859284</v>
          </cell>
          <cell r="B1644" t="str">
            <v>03100254</v>
          </cell>
          <cell r="C1644" t="str">
            <v>YVONNE VALLE</v>
          </cell>
          <cell r="D1644" t="str">
            <v>E0293059</v>
          </cell>
          <cell r="E1644" t="str">
            <v>VALLE YVONNE</v>
          </cell>
          <cell r="G1644" t="str">
            <v>Kathryn Spaziani</v>
          </cell>
          <cell r="H1644" t="str">
            <v>(212) 305-1190</v>
          </cell>
          <cell r="J1644" t="str">
            <v>kas9171@nyp.org</v>
          </cell>
          <cell r="L1644" t="str">
            <v>Practitioner - Non-Primary Care Provider (PCP)</v>
          </cell>
          <cell r="M1644" t="str">
            <v>No</v>
          </cell>
          <cell r="R1644" t="str">
            <v>VALLE YVONNE MS.</v>
          </cell>
          <cell r="W1644" t="str">
            <v>VALLE YVONNE</v>
          </cell>
          <cell r="X1644" t="str">
            <v>575 W 181ST ST</v>
          </cell>
          <cell r="Y1644" t="str">
            <v>NEW YORK</v>
          </cell>
          <cell r="Z1644" t="str">
            <v>NY</v>
          </cell>
          <cell r="AA1644" t="str">
            <v>10033-5002</v>
          </cell>
          <cell r="AB1644" t="str">
            <v>CLINICAL SOCIAL WORKER (CSW)</v>
          </cell>
          <cell r="AC1644" t="str">
            <v>M</v>
          </cell>
          <cell r="AD1644" t="str">
            <v>No</v>
          </cell>
          <cell r="AE1644" t="str">
            <v>MMIS</v>
          </cell>
          <cell r="AF1644" t="str">
            <v>nypother</v>
          </cell>
          <cell r="AG1644" t="str">
            <v>P</v>
          </cell>
        </row>
        <row r="1645">
          <cell r="A1645" t="str">
            <v>1659512432</v>
          </cell>
          <cell r="B1645" t="str">
            <v>03099850</v>
          </cell>
          <cell r="C1645" t="str">
            <v>SANDRA VALLE</v>
          </cell>
          <cell r="D1645" t="str">
            <v>E0293019</v>
          </cell>
          <cell r="E1645" t="str">
            <v>VALLE SANDRA</v>
          </cell>
          <cell r="G1645" t="str">
            <v>Kathryn Spaziani</v>
          </cell>
          <cell r="H1645" t="str">
            <v>(212) 305-1190</v>
          </cell>
          <cell r="J1645" t="str">
            <v>kas9171@nyp.org</v>
          </cell>
          <cell r="L1645" t="str">
            <v>Practitioner - Non-Primary Care Provider (PCP)</v>
          </cell>
          <cell r="M1645" t="str">
            <v>No</v>
          </cell>
          <cell r="R1645" t="str">
            <v>VALLE SANDRA MS.</v>
          </cell>
          <cell r="W1645" t="str">
            <v>VALLE SANDRA</v>
          </cell>
          <cell r="X1645" t="str">
            <v>622 W 168TH ST FL 2</v>
          </cell>
          <cell r="Y1645" t="str">
            <v>NEW YORK</v>
          </cell>
          <cell r="Z1645" t="str">
            <v>NY</v>
          </cell>
          <cell r="AA1645" t="str">
            <v>10032-3720</v>
          </cell>
          <cell r="AB1645" t="str">
            <v>CLINICAL SOCIAL WORKER (CSW)</v>
          </cell>
          <cell r="AC1645" t="str">
            <v>M</v>
          </cell>
          <cell r="AD1645" t="str">
            <v>No</v>
          </cell>
          <cell r="AE1645" t="str">
            <v>MMIS</v>
          </cell>
          <cell r="AF1645" t="str">
            <v>nypother</v>
          </cell>
          <cell r="AG1645" t="str">
            <v>P</v>
          </cell>
        </row>
        <row r="1646">
          <cell r="A1646" t="str">
            <v>1740414655</v>
          </cell>
          <cell r="B1646" t="str">
            <v>04502618</v>
          </cell>
          <cell r="C1646" t="str">
            <v>NADIUSKA VAZQUEZ</v>
          </cell>
          <cell r="D1646" t="str">
            <v>E0442953</v>
          </cell>
          <cell r="E1646" t="str">
            <v>VASQUEZ NADIUSKA</v>
          </cell>
          <cell r="G1646" t="str">
            <v>Kathryn Spaziani</v>
          </cell>
          <cell r="H1646" t="str">
            <v>(212) 305-1190</v>
          </cell>
          <cell r="J1646" t="str">
            <v>kas9171@nyp.org</v>
          </cell>
          <cell r="L1646" t="str">
            <v>Practitioner - Non-Primary Care Provider (PCP)</v>
          </cell>
          <cell r="M1646" t="str">
            <v>No</v>
          </cell>
          <cell r="R1646" t="str">
            <v>VASQUEZ NADIUSKA MRS.</v>
          </cell>
          <cell r="W1646" t="str">
            <v>VASQUEZ NADIUSKA</v>
          </cell>
          <cell r="AB1646" t="str">
            <v>CLINICAL SOCIAL WORKER (CSW)</v>
          </cell>
          <cell r="AC1646" t="str">
            <v>M</v>
          </cell>
          <cell r="AD1646" t="str">
            <v>No</v>
          </cell>
          <cell r="AE1646" t="str">
            <v>MMIS</v>
          </cell>
          <cell r="AF1646" t="str">
            <v>nypother</v>
          </cell>
          <cell r="AG1646" t="str">
            <v>P</v>
          </cell>
        </row>
        <row r="1647">
          <cell r="A1647" t="str">
            <v>1447384946</v>
          </cell>
          <cell r="B1647" t="str">
            <v>03100305</v>
          </cell>
          <cell r="C1647" t="str">
            <v>JOHN VERZI</v>
          </cell>
          <cell r="D1647" t="str">
            <v>E0293064</v>
          </cell>
          <cell r="E1647" t="str">
            <v>VERZI JOHN E</v>
          </cell>
          <cell r="G1647" t="str">
            <v>Kathryn Spaziani</v>
          </cell>
          <cell r="H1647" t="str">
            <v>(212) 305-1190</v>
          </cell>
          <cell r="J1647" t="str">
            <v>kas9171@nyp.org</v>
          </cell>
          <cell r="L1647" t="str">
            <v>Practitioner - Non-Primary Care Provider (PCP)</v>
          </cell>
          <cell r="M1647" t="str">
            <v>No</v>
          </cell>
          <cell r="R1647" t="str">
            <v>VERZI JOHN MR.</v>
          </cell>
          <cell r="W1647" t="str">
            <v>VERZI JOHN E</v>
          </cell>
          <cell r="X1647" t="str">
            <v>525 E 68TH ST</v>
          </cell>
          <cell r="Y1647" t="str">
            <v>NEW YORK</v>
          </cell>
          <cell r="Z1647" t="str">
            <v>NY</v>
          </cell>
          <cell r="AA1647" t="str">
            <v>10065-4870</v>
          </cell>
          <cell r="AB1647" t="str">
            <v>PHYSICIAN</v>
          </cell>
          <cell r="AC1647" t="str">
            <v>M</v>
          </cell>
          <cell r="AD1647" t="str">
            <v>No</v>
          </cell>
          <cell r="AE1647" t="str">
            <v>MMIS</v>
          </cell>
          <cell r="AF1647" t="str">
            <v>nypeastcampus</v>
          </cell>
          <cell r="AG1647" t="str">
            <v>P</v>
          </cell>
        </row>
        <row r="1648">
          <cell r="A1648" t="str">
            <v>1558608794</v>
          </cell>
          <cell r="B1648" t="str">
            <v>03535971</v>
          </cell>
          <cell r="C1648" t="str">
            <v>JASON VILLARREAL</v>
          </cell>
          <cell r="D1648" t="str">
            <v>E0343429</v>
          </cell>
          <cell r="E1648" t="str">
            <v>VILLARREAL JASON</v>
          </cell>
          <cell r="G1648" t="str">
            <v>Kathryn Spaziani</v>
          </cell>
          <cell r="H1648" t="str">
            <v>(212) 305-1190</v>
          </cell>
          <cell r="J1648" t="str">
            <v>kas9171@nyp.org</v>
          </cell>
          <cell r="L1648" t="str">
            <v>All Other:: Practitioner - Primary Care Provider (PCP)</v>
          </cell>
          <cell r="M1648" t="str">
            <v>No</v>
          </cell>
          <cell r="R1648" t="str">
            <v>VILLARREAL JASON</v>
          </cell>
          <cell r="W1648" t="str">
            <v>VILLARREAL JASON</v>
          </cell>
          <cell r="X1648" t="str">
            <v>279 E 3RD ST</v>
          </cell>
          <cell r="Y1648" t="str">
            <v>NEW YORK</v>
          </cell>
          <cell r="Z1648" t="str">
            <v>NY</v>
          </cell>
          <cell r="AA1648" t="str">
            <v>10009-7813</v>
          </cell>
          <cell r="AB1648" t="str">
            <v>PHYSICIAN</v>
          </cell>
          <cell r="AC1648" t="str">
            <v>M</v>
          </cell>
          <cell r="AD1648" t="str">
            <v>No</v>
          </cell>
          <cell r="AE1648" t="str">
            <v>MMIS</v>
          </cell>
          <cell r="AF1648" t="str">
            <v>nypwestcampus</v>
          </cell>
          <cell r="AG1648" t="str">
            <v>P</v>
          </cell>
        </row>
        <row r="1649">
          <cell r="A1649" t="str">
            <v>1295097756</v>
          </cell>
          <cell r="C1649" t="str">
            <v>HOLLY WARFEL</v>
          </cell>
          <cell r="G1649" t="str">
            <v>Kathryn Spaziani</v>
          </cell>
          <cell r="H1649" t="str">
            <v>(212) 305-1190</v>
          </cell>
          <cell r="J1649" t="str">
            <v>kas9171@nyp.org</v>
          </cell>
          <cell r="K1649" t="str">
            <v>Unknown</v>
          </cell>
          <cell r="L1649" t="str">
            <v>Uncategorized</v>
          </cell>
          <cell r="M1649" t="str">
            <v>No</v>
          </cell>
          <cell r="R1649" t="str">
            <v>LORUSSO HOLLY</v>
          </cell>
          <cell r="S1649" t="str">
            <v>525 E 68TH ST</v>
          </cell>
          <cell r="T1649" t="str">
            <v>NEW YORK</v>
          </cell>
          <cell r="U1649" t="str">
            <v>NY</v>
          </cell>
          <cell r="V1649" t="str">
            <v>100654870</v>
          </cell>
          <cell r="AC1649" t="str">
            <v>M</v>
          </cell>
          <cell r="AD1649" t="str">
            <v>No</v>
          </cell>
          <cell r="AE1649" t="str">
            <v>NPI only</v>
          </cell>
          <cell r="AF1649" t="str">
            <v>nypother</v>
          </cell>
          <cell r="AG1649" t="str">
            <v>P</v>
          </cell>
        </row>
        <row r="1650">
          <cell r="C1650" t="str">
            <v>CARYS WAYNE</v>
          </cell>
          <cell r="G1650" t="str">
            <v>Kathryn Spaziani</v>
          </cell>
          <cell r="H1650" t="str">
            <v>(212) 305-1190</v>
          </cell>
          <cell r="J1650" t="str">
            <v>kas9171@nyp.org</v>
          </cell>
          <cell r="K1650" t="str">
            <v>Unknown</v>
          </cell>
          <cell r="L1650" t="str">
            <v>CBO</v>
          </cell>
          <cell r="M1650" t="str">
            <v>No</v>
          </cell>
          <cell r="N1650" t="str">
            <v>525 E 68th Street</v>
          </cell>
          <cell r="O1650" t="str">
            <v xml:space="preserve">New York </v>
          </cell>
          <cell r="P1650" t="str">
            <v>NY</v>
          </cell>
          <cell r="Q1650" t="str">
            <v>10021</v>
          </cell>
          <cell r="AC1650" t="str">
            <v>M</v>
          </cell>
          <cell r="AD1650" t="str">
            <v>No</v>
          </cell>
          <cell r="AE1650" t="str">
            <v>No NPI or MMIS</v>
          </cell>
          <cell r="AF1650" t="str">
            <v>nypother</v>
          </cell>
          <cell r="AG1650" t="str">
            <v>P</v>
          </cell>
        </row>
        <row r="1651">
          <cell r="A1651" t="str">
            <v>1124093729</v>
          </cell>
          <cell r="B1651" t="str">
            <v>00820388</v>
          </cell>
          <cell r="C1651" t="str">
            <v>ALAN WEITZ</v>
          </cell>
          <cell r="D1651" t="str">
            <v>E0217695</v>
          </cell>
          <cell r="E1651" t="str">
            <v>WEITZ ALAN MARSHALL DPM</v>
          </cell>
          <cell r="G1651" t="str">
            <v>Kathryn Spaziani</v>
          </cell>
          <cell r="H1651" t="str">
            <v>(212) 305-1190</v>
          </cell>
          <cell r="J1651" t="str">
            <v>kas9171@nyp.org</v>
          </cell>
          <cell r="L1651" t="str">
            <v>Practitioner - Non-Primary Care Provider (PCP)</v>
          </cell>
          <cell r="M1651" t="str">
            <v>No</v>
          </cell>
          <cell r="R1651" t="str">
            <v>WEITZ ALAN DR.</v>
          </cell>
          <cell r="W1651" t="str">
            <v>WEITZ ALAN MARSHALL DPM</v>
          </cell>
          <cell r="X1651" t="str">
            <v>64 NAGLE AVE</v>
          </cell>
          <cell r="Y1651" t="str">
            <v>NEW YORK</v>
          </cell>
          <cell r="Z1651" t="str">
            <v>NY</v>
          </cell>
          <cell r="AA1651" t="str">
            <v>10040-1406</v>
          </cell>
          <cell r="AB1651" t="str">
            <v>PODIATRIST</v>
          </cell>
          <cell r="AC1651" t="str">
            <v>M</v>
          </cell>
          <cell r="AD1651" t="str">
            <v>No</v>
          </cell>
          <cell r="AE1651" t="str">
            <v>MMIS</v>
          </cell>
          <cell r="AF1651" t="str">
            <v>nypwestcampus</v>
          </cell>
          <cell r="AG1651" t="str">
            <v>P</v>
          </cell>
        </row>
        <row r="1652">
          <cell r="A1652" t="str">
            <v>1811293954</v>
          </cell>
          <cell r="C1652" t="str">
            <v>JUDITH WILLIAMS</v>
          </cell>
          <cell r="G1652" t="str">
            <v>Kathryn Spaziani</v>
          </cell>
          <cell r="H1652" t="str">
            <v>(212) 305-1190</v>
          </cell>
          <cell r="J1652" t="str">
            <v>kas9171@nyp.org</v>
          </cell>
          <cell r="K1652" t="str">
            <v>Unknown</v>
          </cell>
          <cell r="L1652" t="str">
            <v>Uncategorized</v>
          </cell>
          <cell r="M1652" t="str">
            <v>No</v>
          </cell>
          <cell r="R1652" t="str">
            <v>WILLIAMS JUDITH MS.</v>
          </cell>
          <cell r="S1652" t="str">
            <v>241 CENTRAL PARK W APT 1C</v>
          </cell>
          <cell r="T1652" t="str">
            <v>NEW YORK</v>
          </cell>
          <cell r="U1652" t="str">
            <v>NY</v>
          </cell>
          <cell r="V1652" t="str">
            <v>100244544</v>
          </cell>
          <cell r="AC1652" t="str">
            <v>M</v>
          </cell>
          <cell r="AD1652" t="str">
            <v>No</v>
          </cell>
          <cell r="AE1652" t="str">
            <v>NPI only</v>
          </cell>
          <cell r="AF1652" t="str">
            <v>nypother</v>
          </cell>
          <cell r="AG1652" t="str">
            <v>P</v>
          </cell>
        </row>
        <row r="1653">
          <cell r="A1653" t="str">
            <v>1417123548</v>
          </cell>
          <cell r="B1653" t="str">
            <v>03223425</v>
          </cell>
          <cell r="C1653" t="str">
            <v>NICOLE WILLIAMSON</v>
          </cell>
          <cell r="D1653" t="str">
            <v>E0307044</v>
          </cell>
          <cell r="E1653" t="str">
            <v>WILLIAMSON NICOLE</v>
          </cell>
          <cell r="G1653" t="str">
            <v>Kathryn Spaziani</v>
          </cell>
          <cell r="H1653" t="str">
            <v>(212) 305-1190</v>
          </cell>
          <cell r="J1653" t="str">
            <v>kas9171@nyp.org</v>
          </cell>
          <cell r="L1653" t="str">
            <v>All Other:: Practitioner - Non-Primary Care Provider (PCP)</v>
          </cell>
          <cell r="M1653" t="str">
            <v>Yes</v>
          </cell>
          <cell r="R1653" t="str">
            <v>WILLIAMSON NICOLE</v>
          </cell>
          <cell r="W1653" t="str">
            <v>WILLIAMSON NICOLE</v>
          </cell>
          <cell r="X1653" t="str">
            <v>4781 BROADWAY # 83</v>
          </cell>
          <cell r="Y1653" t="str">
            <v>NEW YORK</v>
          </cell>
          <cell r="Z1653" t="str">
            <v>NY</v>
          </cell>
          <cell r="AA1653" t="str">
            <v>10034-4915</v>
          </cell>
          <cell r="AB1653" t="str">
            <v>NURSE</v>
          </cell>
          <cell r="AC1653" t="str">
            <v>M</v>
          </cell>
          <cell r="AD1653" t="str">
            <v>No</v>
          </cell>
          <cell r="AE1653" t="str">
            <v>MMIS</v>
          </cell>
          <cell r="AF1653" t="str">
            <v>nypwestcampus</v>
          </cell>
          <cell r="AG1653" t="str">
            <v>P</v>
          </cell>
        </row>
        <row r="1654">
          <cell r="A1654" t="str">
            <v>1174725790</v>
          </cell>
          <cell r="B1654" t="str">
            <v>01711908</v>
          </cell>
          <cell r="C1654" t="str">
            <v>LINDA WOJTOWCIZ</v>
          </cell>
          <cell r="D1654" t="str">
            <v>E0128832</v>
          </cell>
          <cell r="E1654" t="str">
            <v>WOJTOWICZ LINDA</v>
          </cell>
          <cell r="G1654" t="str">
            <v>Kathryn Spaziani</v>
          </cell>
          <cell r="H1654" t="str">
            <v>(212) 305-1190</v>
          </cell>
          <cell r="J1654" t="str">
            <v>kas9171@nyp.org</v>
          </cell>
          <cell r="L1654" t="str">
            <v>Practitioner - Primary Care Provider (PCP)</v>
          </cell>
          <cell r="M1654" t="str">
            <v>No</v>
          </cell>
          <cell r="R1654" t="str">
            <v>WOJTOWICZ LINDA MS.</v>
          </cell>
          <cell r="W1654" t="str">
            <v>WOJTOWICZ LINDA</v>
          </cell>
          <cell r="X1654" t="str">
            <v>WOJTOWICZ LINDA</v>
          </cell>
          <cell r="Y1654" t="str">
            <v>NEW YORK</v>
          </cell>
          <cell r="Z1654" t="str">
            <v>NY</v>
          </cell>
          <cell r="AA1654" t="str">
            <v>10021-4872</v>
          </cell>
          <cell r="AB1654" t="str">
            <v>PHYSICIAN</v>
          </cell>
          <cell r="AC1654" t="str">
            <v>M</v>
          </cell>
          <cell r="AD1654" t="str">
            <v>No</v>
          </cell>
          <cell r="AE1654" t="str">
            <v>MMIS</v>
          </cell>
          <cell r="AF1654" t="str">
            <v>nypother</v>
          </cell>
          <cell r="AG1654" t="str">
            <v>P</v>
          </cell>
        </row>
        <row r="1655">
          <cell r="A1655" t="str">
            <v>1952556185</v>
          </cell>
          <cell r="B1655" t="str">
            <v>03100194</v>
          </cell>
          <cell r="C1655" t="str">
            <v>ALYSSA WYNN</v>
          </cell>
          <cell r="D1655" t="str">
            <v>E0293053</v>
          </cell>
          <cell r="E1655" t="str">
            <v>MASTROIANNI ALYSSA</v>
          </cell>
          <cell r="G1655" t="str">
            <v>Kathryn Spaziani</v>
          </cell>
          <cell r="H1655" t="str">
            <v>(212) 305-1190</v>
          </cell>
          <cell r="J1655" t="str">
            <v>kas9171@nyp.org</v>
          </cell>
          <cell r="L1655" t="str">
            <v>Practitioner - Non-Primary Care Provider (PCP)</v>
          </cell>
          <cell r="M1655" t="str">
            <v>No</v>
          </cell>
          <cell r="R1655" t="str">
            <v>WYNN ALYSSA MS.</v>
          </cell>
          <cell r="W1655" t="str">
            <v>MASTROIANNI ALYSSA</v>
          </cell>
          <cell r="X1655" t="str">
            <v>5030 BROADWAY STE 201</v>
          </cell>
          <cell r="Y1655" t="str">
            <v>NEW YORK</v>
          </cell>
          <cell r="Z1655" t="str">
            <v>NY</v>
          </cell>
          <cell r="AA1655" t="str">
            <v>10034-1615</v>
          </cell>
          <cell r="AB1655" t="str">
            <v>CLINICAL SOCIAL WORKER (CSW)</v>
          </cell>
          <cell r="AC1655" t="str">
            <v>M</v>
          </cell>
          <cell r="AD1655" t="str">
            <v>No</v>
          </cell>
          <cell r="AE1655" t="str">
            <v>MMIS</v>
          </cell>
          <cell r="AF1655" t="str">
            <v>nypother</v>
          </cell>
          <cell r="AG1655" t="str">
            <v>P</v>
          </cell>
        </row>
        <row r="1656">
          <cell r="A1656" t="str">
            <v>1235360561</v>
          </cell>
          <cell r="B1656" t="str">
            <v>03212782</v>
          </cell>
          <cell r="C1656" t="str">
            <v>JOSEPH ZAGAME</v>
          </cell>
          <cell r="D1656" t="str">
            <v>E0305869</v>
          </cell>
          <cell r="E1656" t="str">
            <v>ZAGAME JOSEPH</v>
          </cell>
          <cell r="G1656" t="str">
            <v>Kathryn Spaziani</v>
          </cell>
          <cell r="H1656" t="str">
            <v>(212) 305-1190</v>
          </cell>
          <cell r="J1656" t="str">
            <v>kas9171@nyp.org</v>
          </cell>
          <cell r="L1656" t="str">
            <v>Mental Health:: Practitioner - Non-Primary Care Provider (PCP)</v>
          </cell>
          <cell r="M1656" t="str">
            <v>No</v>
          </cell>
          <cell r="R1656" t="str">
            <v>ZAGAME JOSEPH MR.</v>
          </cell>
          <cell r="W1656" t="str">
            <v>ZAGAME JOSEPH</v>
          </cell>
          <cell r="X1656" t="str">
            <v>120 W 57TH ST</v>
          </cell>
          <cell r="Y1656" t="str">
            <v>NEW YORK</v>
          </cell>
          <cell r="Z1656" t="str">
            <v>NY</v>
          </cell>
          <cell r="AA1656" t="str">
            <v>10019-3320</v>
          </cell>
          <cell r="AB1656" t="str">
            <v>CLINICAL SOCIAL WORKER (CSW)</v>
          </cell>
          <cell r="AC1656" t="str">
            <v>M</v>
          </cell>
          <cell r="AD1656" t="str">
            <v>No</v>
          </cell>
          <cell r="AE1656" t="str">
            <v>MMIS</v>
          </cell>
          <cell r="AF1656" t="str">
            <v>nypother</v>
          </cell>
          <cell r="AG1656" t="str">
            <v>P</v>
          </cell>
        </row>
        <row r="1657">
          <cell r="A1657" t="str">
            <v>1235558917</v>
          </cell>
          <cell r="C1657" t="str">
            <v>DAVID BECK</v>
          </cell>
          <cell r="G1657" t="str">
            <v>Kathryn Spaziani</v>
          </cell>
          <cell r="H1657" t="str">
            <v>(212) 305-1190</v>
          </cell>
          <cell r="J1657" t="str">
            <v>kas9171@nyp.org</v>
          </cell>
          <cell r="K1657" t="str">
            <v>Unknown</v>
          </cell>
          <cell r="L1657" t="str">
            <v>Uncategorized</v>
          </cell>
          <cell r="M1657" t="str">
            <v>No</v>
          </cell>
          <cell r="R1657" t="str">
            <v>BECK DAVID DR.</v>
          </cell>
          <cell r="S1657" t="str">
            <v>630 W 168TH ST, PH 8 EAST ROOM 105</v>
          </cell>
          <cell r="T1657" t="str">
            <v>NEW YORK</v>
          </cell>
          <cell r="U1657" t="str">
            <v>NY</v>
          </cell>
          <cell r="V1657" t="str">
            <v>100323725</v>
          </cell>
          <cell r="AC1657" t="str">
            <v>M</v>
          </cell>
          <cell r="AD1657" t="str">
            <v>No</v>
          </cell>
          <cell r="AE1657" t="str">
            <v>NPI only</v>
          </cell>
          <cell r="AF1657" t="str">
            <v>nypwestcampus</v>
          </cell>
          <cell r="AG1657" t="str">
            <v>P</v>
          </cell>
        </row>
        <row r="1658">
          <cell r="A1658" t="str">
            <v>1982023230</v>
          </cell>
          <cell r="C1658" t="str">
            <v>STEFFEN HAIDER</v>
          </cell>
          <cell r="G1658" t="str">
            <v>Kathryn Spaziani</v>
          </cell>
          <cell r="H1658" t="str">
            <v>(212) 305-1190</v>
          </cell>
          <cell r="J1658" t="str">
            <v>kas9171@nyp.org</v>
          </cell>
          <cell r="K1658" t="str">
            <v>Unknown</v>
          </cell>
          <cell r="L1658" t="str">
            <v>Uncategorized</v>
          </cell>
          <cell r="M1658" t="str">
            <v>No</v>
          </cell>
          <cell r="R1658" t="str">
            <v>HAIDER STEFFEN</v>
          </cell>
          <cell r="S1658" t="str">
            <v>722 W 168TH ST</v>
          </cell>
          <cell r="T1658" t="str">
            <v>NEW YORK</v>
          </cell>
          <cell r="U1658" t="str">
            <v>NY</v>
          </cell>
          <cell r="V1658" t="str">
            <v>100323727</v>
          </cell>
          <cell r="AC1658" t="str">
            <v>M</v>
          </cell>
          <cell r="AD1658" t="str">
            <v>No</v>
          </cell>
          <cell r="AE1658" t="str">
            <v>NPI only</v>
          </cell>
          <cell r="AF1658" t="str">
            <v>nypother</v>
          </cell>
          <cell r="AG1658" t="str">
            <v>P</v>
          </cell>
        </row>
        <row r="1659">
          <cell r="A1659" t="str">
            <v>1497012272</v>
          </cell>
          <cell r="C1659" t="str">
            <v>Sadeghi Neda</v>
          </cell>
          <cell r="G1659" t="str">
            <v>Kathryn Spaziani</v>
          </cell>
          <cell r="H1659" t="str">
            <v>(212) 305-1255</v>
          </cell>
          <cell r="J1659" t="str">
            <v>kas9171@nyp.org</v>
          </cell>
          <cell r="K1659" t="str">
            <v>Physician</v>
          </cell>
          <cell r="L1659" t="str">
            <v>Uncategorized</v>
          </cell>
          <cell r="M1659" t="str">
            <v>No</v>
          </cell>
          <cell r="R1659" t="str">
            <v>SADEGHI NEDA MS.</v>
          </cell>
          <cell r="S1659" t="str">
            <v>12016 DAHOON DR</v>
          </cell>
          <cell r="T1659" t="str">
            <v>OKLAHOMA CITY</v>
          </cell>
          <cell r="U1659" t="str">
            <v>OK</v>
          </cell>
          <cell r="V1659" t="str">
            <v>731208131</v>
          </cell>
          <cell r="AC1659" t="str">
            <v>M</v>
          </cell>
          <cell r="AD1659" t="str">
            <v>No</v>
          </cell>
          <cell r="AE1659" t="str">
            <v>NPI only</v>
          </cell>
          <cell r="AF1659" t="str">
            <v>nypother</v>
          </cell>
          <cell r="AG1659" t="str">
            <v>P</v>
          </cell>
        </row>
        <row r="1660">
          <cell r="A1660" t="str">
            <v>1992095103</v>
          </cell>
          <cell r="B1660" t="str">
            <v>04630755</v>
          </cell>
          <cell r="C1660" t="str">
            <v>Schaff Jacob</v>
          </cell>
          <cell r="D1660" t="str">
            <v>E0456056</v>
          </cell>
          <cell r="E1660" t="str">
            <v>SCHAFF JACOB ELLIOTT</v>
          </cell>
          <cell r="G1660" t="str">
            <v>Kathryn Spaziani</v>
          </cell>
          <cell r="H1660" t="str">
            <v>(212) 305-1255</v>
          </cell>
          <cell r="J1660" t="str">
            <v>kas9171@nyp.org</v>
          </cell>
          <cell r="L1660" t="str">
            <v>Uncategorized</v>
          </cell>
          <cell r="M1660" t="str">
            <v>No</v>
          </cell>
          <cell r="R1660" t="str">
            <v>SCHAFF JACOB</v>
          </cell>
          <cell r="W1660" t="str">
            <v>SCHAFF JACOB ELLIOTT</v>
          </cell>
          <cell r="AB1660" t="str">
            <v>PHYSICIAN</v>
          </cell>
          <cell r="AC1660" t="str">
            <v>M</v>
          </cell>
          <cell r="AD1660" t="str">
            <v>No</v>
          </cell>
          <cell r="AE1660" t="str">
            <v>MMIS</v>
          </cell>
          <cell r="AF1660" t="str">
            <v>nypwestcampus</v>
          </cell>
          <cell r="AG1660" t="str">
            <v>P</v>
          </cell>
        </row>
        <row r="1661">
          <cell r="A1661" t="str">
            <v>1679816946</v>
          </cell>
          <cell r="C1661" t="str">
            <v>Shaikh Safa</v>
          </cell>
          <cell r="G1661" t="str">
            <v>Kathryn Spaziani</v>
          </cell>
          <cell r="H1661" t="str">
            <v>(212) 305-1255</v>
          </cell>
          <cell r="J1661" t="str">
            <v>kas9171@nyp.org</v>
          </cell>
          <cell r="K1661" t="str">
            <v>Physician</v>
          </cell>
          <cell r="L1661" t="str">
            <v>Uncategorized</v>
          </cell>
          <cell r="M1661" t="str">
            <v>No</v>
          </cell>
          <cell r="R1661" t="str">
            <v>SHAIKH SAFA MS.</v>
          </cell>
          <cell r="S1661" t="str">
            <v>622 W 168TH ST, PH5-133 STEM</v>
          </cell>
          <cell r="T1661" t="str">
            <v>NEW YORK</v>
          </cell>
          <cell r="U1661" t="str">
            <v>NY</v>
          </cell>
          <cell r="V1661" t="str">
            <v>100323720</v>
          </cell>
          <cell r="AC1661" t="str">
            <v>M</v>
          </cell>
          <cell r="AD1661" t="str">
            <v>No</v>
          </cell>
          <cell r="AE1661" t="str">
            <v>NPI only</v>
          </cell>
          <cell r="AF1661" t="str">
            <v>nypwestcampus</v>
          </cell>
          <cell r="AG1661" t="str">
            <v>P</v>
          </cell>
        </row>
        <row r="1662">
          <cell r="A1662" t="str">
            <v>1013102565</v>
          </cell>
          <cell r="B1662" t="str">
            <v>02993539</v>
          </cell>
          <cell r="C1662" t="str">
            <v>ASSOCIATION TO BENEFIT CHILDREN</v>
          </cell>
          <cell r="D1662" t="str">
            <v>E0009848</v>
          </cell>
          <cell r="E1662" t="str">
            <v>ASSOCIATION TO BENEFIT CHILD</v>
          </cell>
          <cell r="L1662" t="str">
            <v>Mental Health</v>
          </cell>
          <cell r="M1662" t="str">
            <v>Yes</v>
          </cell>
          <cell r="R1662" t="str">
            <v>ASSOCIATION TO BENEFIT CHILDREN</v>
          </cell>
          <cell r="W1662" t="str">
            <v>ASSOC TO BENEFIT CHILDREN</v>
          </cell>
          <cell r="X1662" t="str">
            <v>1841 PARK AVE # C/92041201</v>
          </cell>
          <cell r="Y1662" t="str">
            <v>NEW YORK</v>
          </cell>
          <cell r="Z1662" t="str">
            <v>NY</v>
          </cell>
          <cell r="AA1662" t="str">
            <v>10035-1316</v>
          </cell>
          <cell r="AB1662" t="str">
            <v>MULTI-TYPE</v>
          </cell>
          <cell r="AC1662" t="str">
            <v>M</v>
          </cell>
          <cell r="AD1662" t="str">
            <v>No</v>
          </cell>
          <cell r="AE1662" t="str">
            <v>MMIS</v>
          </cell>
          <cell r="AG1662" t="str">
            <v>P</v>
          </cell>
        </row>
        <row r="1663">
          <cell r="A1663" t="str">
            <v>1144245747</v>
          </cell>
          <cell r="B1663" t="str">
            <v>00609554</v>
          </cell>
          <cell r="C1663" t="str">
            <v>LANE, JOSEPH M</v>
          </cell>
          <cell r="D1663" t="str">
            <v>E0238726</v>
          </cell>
          <cell r="E1663" t="str">
            <v>LANE JOSEPH M</v>
          </cell>
          <cell r="G1663" t="str">
            <v>Kathryn Spaziani</v>
          </cell>
          <cell r="H1663" t="str">
            <v>(212) 305-1190</v>
          </cell>
          <cell r="J1663" t="str">
            <v>kas9171@nyp.org</v>
          </cell>
          <cell r="L1663" t="str">
            <v>All Other:: Practitioner - Non-Primary Care Provider (PCP)</v>
          </cell>
          <cell r="M1663" t="str">
            <v>No</v>
          </cell>
          <cell r="R1663" t="str">
            <v>LANE JOSEPH</v>
          </cell>
          <cell r="W1663" t="str">
            <v>LANE JOSEPH M</v>
          </cell>
          <cell r="X1663" t="str">
            <v>535 E 70TH ST</v>
          </cell>
          <cell r="Y1663" t="str">
            <v>NEW YORK</v>
          </cell>
          <cell r="Z1663" t="str">
            <v>NY</v>
          </cell>
          <cell r="AA1663" t="str">
            <v>10021-4823</v>
          </cell>
          <cell r="AB1663" t="str">
            <v>PHYSICIAN</v>
          </cell>
          <cell r="AC1663" t="str">
            <v>M</v>
          </cell>
          <cell r="AD1663" t="str">
            <v>No</v>
          </cell>
          <cell r="AE1663" t="str">
            <v>MMIS</v>
          </cell>
          <cell r="AF1663" t="str">
            <v>nypeastcampus</v>
          </cell>
          <cell r="AG1663" t="str">
            <v>P</v>
          </cell>
        </row>
        <row r="1664">
          <cell r="A1664" t="str">
            <v>1144248964</v>
          </cell>
          <cell r="B1664" t="str">
            <v>00209238</v>
          </cell>
          <cell r="C1664" t="str">
            <v>JOKL-KAUFFMAN, DAN H</v>
          </cell>
          <cell r="D1664" t="str">
            <v>E0275769</v>
          </cell>
          <cell r="E1664" t="str">
            <v>JOKL DAN HIRSCH-KAUFFMANN</v>
          </cell>
          <cell r="G1664" t="str">
            <v>Kathryn Spaziani</v>
          </cell>
          <cell r="H1664" t="str">
            <v>(212) 305-1190</v>
          </cell>
          <cell r="J1664" t="str">
            <v>kas9171@nyp.org</v>
          </cell>
          <cell r="L1664" t="str">
            <v>Practitioner - Non-Primary Care Provider (PCP)</v>
          </cell>
          <cell r="M1664" t="str">
            <v>No</v>
          </cell>
          <cell r="R1664" t="str">
            <v>JOKL DAN DR.</v>
          </cell>
          <cell r="W1664" t="str">
            <v>JOKL DAN HIRSCH-KAUFFMANN</v>
          </cell>
          <cell r="X1664" t="str">
            <v>1 STONE PL</v>
          </cell>
          <cell r="Y1664" t="str">
            <v>BRONXVILLE</v>
          </cell>
          <cell r="Z1664" t="str">
            <v>NY</v>
          </cell>
          <cell r="AA1664" t="str">
            <v>10708-3426</v>
          </cell>
          <cell r="AB1664" t="str">
            <v>PHYSICIAN</v>
          </cell>
          <cell r="AC1664" t="str">
            <v>M</v>
          </cell>
          <cell r="AD1664" t="str">
            <v>No</v>
          </cell>
          <cell r="AE1664" t="str">
            <v>MMIS</v>
          </cell>
          <cell r="AF1664" t="str">
            <v>nypwestacn</v>
          </cell>
          <cell r="AG1664" t="str">
            <v>P</v>
          </cell>
        </row>
        <row r="1665">
          <cell r="A1665" t="str">
            <v>1144249541</v>
          </cell>
          <cell r="B1665" t="str">
            <v>02086175</v>
          </cell>
          <cell r="C1665" t="str">
            <v>SCHER, DAVID M</v>
          </cell>
          <cell r="D1665" t="str">
            <v>E0091451</v>
          </cell>
          <cell r="E1665" t="str">
            <v>SCHER DAVID MARX MD</v>
          </cell>
          <cell r="G1665" t="str">
            <v>Kathryn Spaziani</v>
          </cell>
          <cell r="H1665" t="str">
            <v>(212) 305-1190</v>
          </cell>
          <cell r="J1665" t="str">
            <v>kas9171@nyp.org</v>
          </cell>
          <cell r="L1665" t="str">
            <v>All Other:: Practitioner - Non-Primary Care Provider (PCP)</v>
          </cell>
          <cell r="M1665" t="str">
            <v>No</v>
          </cell>
          <cell r="R1665" t="str">
            <v>SCHER DAVID</v>
          </cell>
          <cell r="W1665" t="str">
            <v>SCHER DAVID MARX</v>
          </cell>
          <cell r="X1665" t="str">
            <v>535 E 70TH ST</v>
          </cell>
          <cell r="Y1665" t="str">
            <v>NEW YORK</v>
          </cell>
          <cell r="Z1665" t="str">
            <v>NY</v>
          </cell>
          <cell r="AA1665" t="str">
            <v>10021-4823</v>
          </cell>
          <cell r="AB1665" t="str">
            <v>PHYSICIAN</v>
          </cell>
          <cell r="AC1665" t="str">
            <v>M</v>
          </cell>
          <cell r="AD1665" t="str">
            <v>No</v>
          </cell>
          <cell r="AE1665" t="str">
            <v>MMIS</v>
          </cell>
          <cell r="AF1665" t="str">
            <v>nypeastcampus</v>
          </cell>
          <cell r="AG1665" t="str">
            <v>P</v>
          </cell>
        </row>
        <row r="1666">
          <cell r="A1666" t="str">
            <v>1740307073</v>
          </cell>
          <cell r="B1666" t="str">
            <v>02938434</v>
          </cell>
          <cell r="C1666" t="str">
            <v xml:space="preserve">ABRISHAMI, MICHAEL </v>
          </cell>
          <cell r="D1666" t="str">
            <v>E0001934</v>
          </cell>
          <cell r="E1666" t="str">
            <v>ABRISHAMI MICHAEL</v>
          </cell>
          <cell r="G1666" t="str">
            <v>Kathryn Spaziani</v>
          </cell>
          <cell r="H1666" t="str">
            <v>(212) 305-1190</v>
          </cell>
          <cell r="J1666" t="str">
            <v>kas9171@nyp.org</v>
          </cell>
          <cell r="L1666" t="str">
            <v>Practitioner - Non-Primary Care Provider (PCP)</v>
          </cell>
          <cell r="M1666" t="str">
            <v>Yes</v>
          </cell>
          <cell r="R1666" t="str">
            <v>ABRISHAMI MICHAEL</v>
          </cell>
          <cell r="W1666" t="str">
            <v>ABRISHAMI MICHAEL</v>
          </cell>
          <cell r="X1666" t="str">
            <v>161 FORT WASHINGTON AVE</v>
          </cell>
          <cell r="Y1666" t="str">
            <v>NEW YORK</v>
          </cell>
          <cell r="Z1666" t="str">
            <v>NY</v>
          </cell>
          <cell r="AA1666" t="str">
            <v>10032-3729</v>
          </cell>
          <cell r="AB1666" t="str">
            <v>PHYSICIAN</v>
          </cell>
          <cell r="AC1666" t="str">
            <v>M</v>
          </cell>
          <cell r="AD1666" t="str">
            <v>No</v>
          </cell>
          <cell r="AE1666" t="str">
            <v>MMIS</v>
          </cell>
          <cell r="AF1666" t="str">
            <v>nypother</v>
          </cell>
          <cell r="AG1666" t="str">
            <v>P</v>
          </cell>
        </row>
        <row r="1667">
          <cell r="A1667" t="str">
            <v>1518968676</v>
          </cell>
          <cell r="B1667" t="str">
            <v>02828086</v>
          </cell>
          <cell r="C1667" t="str">
            <v>MASO, MARTHA J</v>
          </cell>
          <cell r="D1667" t="str">
            <v>E0017387</v>
          </cell>
          <cell r="E1667" t="str">
            <v>MASO MARTHA</v>
          </cell>
          <cell r="G1667" t="str">
            <v>Kathryn Spaziani</v>
          </cell>
          <cell r="H1667" t="str">
            <v>(212) 305-1190</v>
          </cell>
          <cell r="J1667" t="str">
            <v>kas9171@nyp.org</v>
          </cell>
          <cell r="L1667" t="str">
            <v>Practitioner - Non-Primary Care Provider (PCP)</v>
          </cell>
          <cell r="M1667" t="str">
            <v>No</v>
          </cell>
          <cell r="R1667" t="str">
            <v>MASO MARTHA DR.</v>
          </cell>
          <cell r="W1667" t="str">
            <v>MASO MARTHA</v>
          </cell>
          <cell r="X1667" t="str">
            <v>161 FORT WASHINGTON AVE</v>
          </cell>
          <cell r="Y1667" t="str">
            <v>NEW YORK</v>
          </cell>
          <cell r="Z1667" t="str">
            <v>NY</v>
          </cell>
          <cell r="AA1667" t="str">
            <v>10032-3729</v>
          </cell>
          <cell r="AB1667" t="str">
            <v>PHYSICIAN</v>
          </cell>
          <cell r="AC1667" t="str">
            <v>M</v>
          </cell>
          <cell r="AD1667" t="str">
            <v>No</v>
          </cell>
          <cell r="AE1667" t="str">
            <v>MMIS</v>
          </cell>
          <cell r="AF1667" t="str">
            <v>nypwestcampus</v>
          </cell>
          <cell r="AG1667" t="str">
            <v>P</v>
          </cell>
        </row>
        <row r="1668">
          <cell r="A1668" t="str">
            <v>1518987643</v>
          </cell>
          <cell r="B1668" t="str">
            <v>00647576</v>
          </cell>
          <cell r="C1668" t="str">
            <v>EGGERS, HOWARD M</v>
          </cell>
          <cell r="D1668" t="str">
            <v>E0234931</v>
          </cell>
          <cell r="E1668" t="str">
            <v>EGGERS HOWARD M            MD</v>
          </cell>
          <cell r="G1668" t="str">
            <v>Kathryn Spaziani</v>
          </cell>
          <cell r="H1668" t="str">
            <v>(212) 305-1190</v>
          </cell>
          <cell r="J1668" t="str">
            <v>kas9171@nyp.org</v>
          </cell>
          <cell r="L1668" t="str">
            <v>Practitioner - Non-Primary Care Provider (PCP)</v>
          </cell>
          <cell r="M1668" t="str">
            <v>No</v>
          </cell>
          <cell r="R1668" t="str">
            <v>EGGERS HOWARD</v>
          </cell>
          <cell r="W1668" t="str">
            <v>EGGERS HOWARD M            MD</v>
          </cell>
          <cell r="X1668" t="str">
            <v>635 W 165TH ST</v>
          </cell>
          <cell r="Y1668" t="str">
            <v>NEW YORK</v>
          </cell>
          <cell r="Z1668" t="str">
            <v>NY</v>
          </cell>
          <cell r="AA1668" t="str">
            <v>10032-3724</v>
          </cell>
          <cell r="AB1668" t="str">
            <v>PHYSICIAN</v>
          </cell>
          <cell r="AC1668" t="str">
            <v>M</v>
          </cell>
          <cell r="AD1668" t="str">
            <v>No</v>
          </cell>
          <cell r="AE1668" t="str">
            <v>MMIS</v>
          </cell>
          <cell r="AF1668" t="str">
            <v>nypother</v>
          </cell>
          <cell r="AG1668" t="str">
            <v>P</v>
          </cell>
        </row>
        <row r="1669">
          <cell r="A1669" t="str">
            <v>1528029139</v>
          </cell>
          <cell r="B1669" t="str">
            <v>02754176</v>
          </cell>
          <cell r="C1669" t="str">
            <v>MARIS, PETER J.G.</v>
          </cell>
          <cell r="D1669" t="str">
            <v>E0024774</v>
          </cell>
          <cell r="E1669" t="str">
            <v>MARIS JR PETER J G MD</v>
          </cell>
          <cell r="G1669" t="str">
            <v>Kathryn Spaziani</v>
          </cell>
          <cell r="H1669" t="str">
            <v>(212) 305-1190</v>
          </cell>
          <cell r="J1669" t="str">
            <v>kas9171@nyp.org</v>
          </cell>
          <cell r="L1669" t="str">
            <v>All Other:: Practitioner - Non-Primary Care Provider (PCP)</v>
          </cell>
          <cell r="M1669" t="str">
            <v>No</v>
          </cell>
          <cell r="R1669" t="str">
            <v>MARIS PETER DR.</v>
          </cell>
          <cell r="W1669" t="str">
            <v>MARIS PETER J G JR MD</v>
          </cell>
          <cell r="X1669" t="str">
            <v>230 HILTON AVE</v>
          </cell>
          <cell r="Y1669" t="str">
            <v>HEMPSTEAD</v>
          </cell>
          <cell r="Z1669" t="str">
            <v>NY</v>
          </cell>
          <cell r="AA1669" t="str">
            <v>11550-8116</v>
          </cell>
          <cell r="AB1669" t="str">
            <v>PHYSICIAN</v>
          </cell>
          <cell r="AC1669" t="str">
            <v>M</v>
          </cell>
          <cell r="AD1669" t="str">
            <v>No</v>
          </cell>
          <cell r="AE1669" t="str">
            <v>MMIS</v>
          </cell>
          <cell r="AF1669" t="str">
            <v>nypwestcampus</v>
          </cell>
          <cell r="AG1669" t="str">
            <v>P</v>
          </cell>
        </row>
        <row r="1670">
          <cell r="A1670" t="str">
            <v>1841433893</v>
          </cell>
          <cell r="B1670" t="str">
            <v>03108032</v>
          </cell>
          <cell r="C1670" t="str">
            <v>HOLLOWAY, RAYMOND A</v>
          </cell>
          <cell r="D1670" t="str">
            <v>E0293996</v>
          </cell>
          <cell r="E1670" t="str">
            <v>HOLLOWAY RAYMOND</v>
          </cell>
          <cell r="G1670" t="str">
            <v>Kathryn Spaziani</v>
          </cell>
          <cell r="H1670" t="str">
            <v>(212) 305-1190</v>
          </cell>
          <cell r="J1670" t="str">
            <v>kas9171@nyp.org</v>
          </cell>
          <cell r="L1670" t="str">
            <v>Practitioner - Non-Primary Care Provider (PCP)</v>
          </cell>
          <cell r="M1670" t="str">
            <v>No</v>
          </cell>
          <cell r="R1670" t="str">
            <v>HOLLOWAY RAYMOND MR.</v>
          </cell>
          <cell r="W1670" t="str">
            <v>HOLLOWAY RAYMOND</v>
          </cell>
          <cell r="X1670" t="str">
            <v>TOWER 503 E 70 ST 1F</v>
          </cell>
          <cell r="Y1670" t="str">
            <v>NEW YORK</v>
          </cell>
          <cell r="Z1670" t="str">
            <v>NY</v>
          </cell>
          <cell r="AA1670" t="str">
            <v>10021</v>
          </cell>
          <cell r="AB1670" t="str">
            <v>CLINICAL SOCIAL WORKER (CSW)</v>
          </cell>
          <cell r="AC1670" t="str">
            <v>M</v>
          </cell>
          <cell r="AD1670" t="str">
            <v>No</v>
          </cell>
          <cell r="AE1670" t="str">
            <v>MMIS</v>
          </cell>
          <cell r="AF1670" t="str">
            <v>nypeastacn</v>
          </cell>
          <cell r="AG1670" t="str">
            <v>P</v>
          </cell>
        </row>
        <row r="1671">
          <cell r="A1671" t="str">
            <v>1316279847</v>
          </cell>
          <cell r="B1671" t="str">
            <v>03217705</v>
          </cell>
          <cell r="C1671" t="str">
            <v>Children's Rehabiliation Center</v>
          </cell>
          <cell r="D1671" t="str">
            <v>E0306416</v>
          </cell>
          <cell r="E1671" t="str">
            <v>CHILDRENS REHABILITATION CENTER</v>
          </cell>
          <cell r="G1671" t="str">
            <v>Patricia Tursi</v>
          </cell>
          <cell r="H1671" t="str">
            <v>(914) 294-6301</v>
          </cell>
          <cell r="J1671" t="str">
            <v>ptursi@setonpediatric.org</v>
          </cell>
          <cell r="L1671" t="str">
            <v>Clinic</v>
          </cell>
          <cell r="M1671" t="str">
            <v>Yes</v>
          </cell>
          <cell r="R1671" t="str">
            <v>CHILDREN'S REHABILITATION CENTER, INC.</v>
          </cell>
          <cell r="W1671" t="str">
            <v>CHILDRENS REHABILITATION CENTER</v>
          </cell>
          <cell r="X1671" t="str">
            <v>317 NORTH ST</v>
          </cell>
          <cell r="Y1671" t="str">
            <v>WHITE PLAINS</v>
          </cell>
          <cell r="Z1671" t="str">
            <v>NY</v>
          </cell>
          <cell r="AA1671" t="str">
            <v>10605-2209</v>
          </cell>
          <cell r="AB1671" t="str">
            <v>DIAGNOSTIC AND TREATMENT CENTER</v>
          </cell>
          <cell r="AC1671" t="str">
            <v>M</v>
          </cell>
          <cell r="AD1671" t="str">
            <v>No</v>
          </cell>
          <cell r="AE1671" t="str">
            <v>MMIS</v>
          </cell>
          <cell r="AG1671" t="str">
            <v>P</v>
          </cell>
        </row>
        <row r="1672">
          <cell r="A1672" t="str">
            <v>1093731069</v>
          </cell>
          <cell r="B1672" t="str">
            <v>01638375</v>
          </cell>
          <cell r="C1672" t="str">
            <v>ST.CHRISTOPHER'S INN</v>
          </cell>
          <cell r="D1672" t="str">
            <v>E0136176</v>
          </cell>
          <cell r="E1672" t="str">
            <v>ST CHRISTOPHERS INN INC</v>
          </cell>
          <cell r="L1672" t="str">
            <v>All Other:: Clinic:: Substance Abuse</v>
          </cell>
          <cell r="M1672" t="str">
            <v>Yes</v>
          </cell>
          <cell r="R1672" t="str">
            <v>ST.CHRISTOPHER'S INN</v>
          </cell>
          <cell r="W1672" t="str">
            <v>ST CHRISTOPHERS INN INC</v>
          </cell>
          <cell r="X1672" t="str">
            <v>RT 9 GRAYMOOR PO BOX 150</v>
          </cell>
          <cell r="Y1672" t="str">
            <v>GARRISON</v>
          </cell>
          <cell r="Z1672" t="str">
            <v>NY</v>
          </cell>
          <cell r="AA1672" t="str">
            <v>10524-0150</v>
          </cell>
          <cell r="AB1672" t="str">
            <v>DIAGNOSTIC AND TREATMENT CENTER</v>
          </cell>
          <cell r="AC1672" t="str">
            <v>M</v>
          </cell>
          <cell r="AD1672" t="str">
            <v>No</v>
          </cell>
          <cell r="AE1672" t="str">
            <v>MMIS</v>
          </cell>
          <cell r="AG1672" t="str">
            <v>P</v>
          </cell>
        </row>
        <row r="1673">
          <cell r="A1673" t="str">
            <v>1902069297</v>
          </cell>
          <cell r="B1673" t="str">
            <v>03100130</v>
          </cell>
          <cell r="C1673" t="str">
            <v>KEATING, CLAIRE L</v>
          </cell>
          <cell r="D1673" t="str">
            <v>E0293047</v>
          </cell>
          <cell r="E1673" t="str">
            <v>KEATING CLAIR</v>
          </cell>
          <cell r="G1673" t="str">
            <v>Kathryn Spaziani</v>
          </cell>
          <cell r="H1673" t="str">
            <v>(212) 305-1190</v>
          </cell>
          <cell r="J1673" t="str">
            <v>kas9171@nyp.org</v>
          </cell>
          <cell r="L1673" t="str">
            <v>All Other:: Practitioner - Primary Care Provider (PCP)</v>
          </cell>
          <cell r="M1673" t="str">
            <v>No</v>
          </cell>
          <cell r="R1673" t="str">
            <v>KEATING CLAIRE</v>
          </cell>
          <cell r="W1673" t="str">
            <v>KEATING CLAIRE  MD</v>
          </cell>
          <cell r="X1673" t="str">
            <v>622 W 168TH ST</v>
          </cell>
          <cell r="Y1673" t="str">
            <v>NEW YORK</v>
          </cell>
          <cell r="Z1673" t="str">
            <v>NY</v>
          </cell>
          <cell r="AA1673" t="str">
            <v>10032-3720</v>
          </cell>
          <cell r="AB1673" t="str">
            <v>PHYSICIAN</v>
          </cell>
          <cell r="AC1673" t="str">
            <v>M</v>
          </cell>
          <cell r="AD1673" t="str">
            <v>No</v>
          </cell>
          <cell r="AE1673" t="str">
            <v>MMIS</v>
          </cell>
          <cell r="AF1673" t="str">
            <v>nypwestacn</v>
          </cell>
          <cell r="AG1673" t="str">
            <v>P</v>
          </cell>
        </row>
        <row r="1674">
          <cell r="A1674" t="str">
            <v>1336353259</v>
          </cell>
          <cell r="B1674" t="str">
            <v>02881616</v>
          </cell>
          <cell r="C1674" t="str">
            <v>OUCHIDA, KARIN E</v>
          </cell>
          <cell r="D1674" t="str">
            <v>E0012043</v>
          </cell>
          <cell r="E1674" t="str">
            <v>OUCHIDA KARIN-ELIZABETH MICHELLE MD</v>
          </cell>
          <cell r="G1674" t="str">
            <v>Kathryn Spaziani</v>
          </cell>
          <cell r="H1674" t="str">
            <v>(212) 305-1190</v>
          </cell>
          <cell r="J1674" t="str">
            <v>kas9171@nyp.org</v>
          </cell>
          <cell r="L1674" t="str">
            <v>Practitioner - Non-Primary Care Provider (PCP)</v>
          </cell>
          <cell r="M1674" t="str">
            <v>No</v>
          </cell>
          <cell r="R1674" t="str">
            <v>OUCHIDA KARIN-ELIZABETH DR.</v>
          </cell>
          <cell r="W1674" t="str">
            <v>OUCHIDA KARIN-ELIZABETH MICHELLE MD</v>
          </cell>
          <cell r="X1674" t="str">
            <v>111 E 210TH ST</v>
          </cell>
          <cell r="Y1674" t="str">
            <v>BRONX</v>
          </cell>
          <cell r="Z1674" t="str">
            <v>NY</v>
          </cell>
          <cell r="AA1674" t="str">
            <v>10467-2401</v>
          </cell>
          <cell r="AB1674" t="str">
            <v>PHYSICIAN</v>
          </cell>
          <cell r="AC1674" t="str">
            <v>M</v>
          </cell>
          <cell r="AD1674" t="str">
            <v>No</v>
          </cell>
          <cell r="AE1674" t="str">
            <v>MMIS</v>
          </cell>
          <cell r="AF1674" t="str">
            <v>nypeastcampus</v>
          </cell>
          <cell r="AG1674" t="str">
            <v>P</v>
          </cell>
        </row>
        <row r="1675">
          <cell r="A1675" t="str">
            <v>1477692556</v>
          </cell>
          <cell r="B1675" t="str">
            <v>02863041</v>
          </cell>
          <cell r="C1675" t="str">
            <v>Mansukhani Mahesh</v>
          </cell>
          <cell r="D1675" t="str">
            <v>E0013894</v>
          </cell>
          <cell r="E1675" t="str">
            <v>MANSUKHANI MAHESH</v>
          </cell>
          <cell r="L1675" t="str">
            <v>All Other:: Practitioner - Non-Primary Care Provider (PCP)</v>
          </cell>
          <cell r="M1675" t="str">
            <v>No</v>
          </cell>
          <cell r="R1675" t="str">
            <v>MANSUKHANI MAHESH DR.</v>
          </cell>
          <cell r="W1675" t="str">
            <v>MANSUKHANI MAHESH</v>
          </cell>
          <cell r="X1675" t="str">
            <v>630 W 168TH ST STE P</v>
          </cell>
          <cell r="Y1675" t="str">
            <v>NEW YORK</v>
          </cell>
          <cell r="Z1675" t="str">
            <v>NY</v>
          </cell>
          <cell r="AA1675" t="str">
            <v>10032-3725</v>
          </cell>
          <cell r="AB1675" t="str">
            <v>PHYSICIAN</v>
          </cell>
          <cell r="AC1675" t="str">
            <v>M</v>
          </cell>
          <cell r="AD1675" t="str">
            <v>No</v>
          </cell>
          <cell r="AE1675" t="str">
            <v>MMIS</v>
          </cell>
          <cell r="AF1675" t="str">
            <v>nypwestcampus</v>
          </cell>
          <cell r="AG1675" t="str">
            <v>P</v>
          </cell>
        </row>
        <row r="1676">
          <cell r="A1676" t="str">
            <v>1417287608</v>
          </cell>
          <cell r="B1676" t="str">
            <v>03285985</v>
          </cell>
          <cell r="C1676" t="str">
            <v>Hod Eldad</v>
          </cell>
          <cell r="D1676" t="str">
            <v>E0314133</v>
          </cell>
          <cell r="E1676" t="str">
            <v>HOD ELDAD</v>
          </cell>
          <cell r="L1676" t="str">
            <v>All Other:: Practitioner - Non-Primary Care Provider (PCP)</v>
          </cell>
          <cell r="M1676" t="str">
            <v>No</v>
          </cell>
          <cell r="R1676" t="str">
            <v>HOD ELDAD</v>
          </cell>
          <cell r="W1676" t="str">
            <v>HOD ELDAD</v>
          </cell>
          <cell r="X1676" t="str">
            <v>622 WEST 168TH STREE</v>
          </cell>
          <cell r="Y1676" t="str">
            <v>NEW YORK</v>
          </cell>
          <cell r="Z1676" t="str">
            <v>NY</v>
          </cell>
          <cell r="AA1676" t="str">
            <v>10032</v>
          </cell>
          <cell r="AB1676" t="str">
            <v>PHYSICIAN</v>
          </cell>
          <cell r="AC1676" t="str">
            <v>M</v>
          </cell>
          <cell r="AD1676" t="str">
            <v>No</v>
          </cell>
          <cell r="AE1676" t="str">
            <v>MMIS</v>
          </cell>
          <cell r="AF1676" t="str">
            <v>nypwestcampus</v>
          </cell>
          <cell r="AG1676" t="str">
            <v>P</v>
          </cell>
        </row>
        <row r="1677">
          <cell r="A1677" t="str">
            <v>1346223716</v>
          </cell>
          <cell r="B1677" t="str">
            <v>02912774</v>
          </cell>
          <cell r="C1677" t="str">
            <v>Kratz Alexander</v>
          </cell>
          <cell r="D1677" t="str">
            <v>E0008930</v>
          </cell>
          <cell r="E1677" t="str">
            <v>KRATZ ALEXANDER</v>
          </cell>
          <cell r="L1677" t="str">
            <v>Uncategorized</v>
          </cell>
          <cell r="M1677" t="str">
            <v>No</v>
          </cell>
          <cell r="R1677" t="str">
            <v>KRATZ ALEXANDER DR.</v>
          </cell>
          <cell r="W1677" t="str">
            <v>KRATZ ALEXANDER</v>
          </cell>
          <cell r="X1677" t="str">
            <v>622 W 168TH ST</v>
          </cell>
          <cell r="Y1677" t="str">
            <v>NEW YORK</v>
          </cell>
          <cell r="Z1677" t="str">
            <v>NY</v>
          </cell>
          <cell r="AA1677" t="str">
            <v>10032-3720</v>
          </cell>
          <cell r="AB1677" t="str">
            <v>PHYSICIAN</v>
          </cell>
          <cell r="AC1677" t="str">
            <v>M</v>
          </cell>
          <cell r="AD1677" t="str">
            <v>No</v>
          </cell>
          <cell r="AE1677" t="str">
            <v>MMIS</v>
          </cell>
          <cell r="AF1677" t="str">
            <v>nypwestcampus</v>
          </cell>
          <cell r="AG1677" t="str">
            <v>P</v>
          </cell>
        </row>
        <row r="1678">
          <cell r="A1678" t="str">
            <v>1871592394</v>
          </cell>
          <cell r="B1678" t="str">
            <v>02111315</v>
          </cell>
          <cell r="C1678" t="str">
            <v>Silverberg Lynn</v>
          </cell>
          <cell r="D1678" t="str">
            <v>E0088937</v>
          </cell>
          <cell r="E1678" t="str">
            <v>SILVERBERG LYNN R</v>
          </cell>
          <cell r="L1678" t="str">
            <v>Practitioner - Non-Primary Care Provider (PCP)</v>
          </cell>
          <cell r="M1678" t="str">
            <v>No</v>
          </cell>
          <cell r="R1678" t="str">
            <v>SILVERBERG LYNN MRS.</v>
          </cell>
          <cell r="W1678" t="str">
            <v>SILVERBERG LYNN R</v>
          </cell>
          <cell r="X1678" t="str">
            <v>NY PRESBYTERIAN</v>
          </cell>
          <cell r="Y1678" t="str">
            <v>NEW YORK</v>
          </cell>
          <cell r="Z1678" t="str">
            <v>NY</v>
          </cell>
          <cell r="AA1678" t="str">
            <v>10032-3720</v>
          </cell>
          <cell r="AB1678" t="str">
            <v>PHYSICIAN</v>
          </cell>
          <cell r="AC1678" t="str">
            <v>M</v>
          </cell>
          <cell r="AD1678" t="str">
            <v>No</v>
          </cell>
          <cell r="AE1678" t="str">
            <v>MMIS</v>
          </cell>
          <cell r="AF1678" t="str">
            <v>nypwestcampus</v>
          </cell>
          <cell r="AG1678" t="str">
            <v>P</v>
          </cell>
        </row>
        <row r="1679">
          <cell r="A1679" t="str">
            <v>1841274172</v>
          </cell>
          <cell r="B1679" t="str">
            <v>01707473</v>
          </cell>
          <cell r="C1679" t="str">
            <v>Sorrel-Mosk Gail</v>
          </cell>
          <cell r="D1679" t="str">
            <v>E0129275</v>
          </cell>
          <cell r="E1679" t="str">
            <v>SORREL-MOSK GAIL P MD</v>
          </cell>
          <cell r="L1679" t="str">
            <v>All Other:: Practitioner - Non-Primary Care Provider (PCP)</v>
          </cell>
          <cell r="M1679" t="str">
            <v>No</v>
          </cell>
          <cell r="R1679" t="str">
            <v>SORREL-MOSK GAIL DR.</v>
          </cell>
          <cell r="W1679" t="str">
            <v>SORREL-MOSK GAIL P MD</v>
          </cell>
          <cell r="X1679" t="str">
            <v>55 PALMER AVE</v>
          </cell>
          <cell r="Y1679" t="str">
            <v>BRONXVILLE</v>
          </cell>
          <cell r="Z1679" t="str">
            <v>NY</v>
          </cell>
          <cell r="AA1679" t="str">
            <v>10708-3403</v>
          </cell>
          <cell r="AB1679" t="str">
            <v>PHYSICIAN</v>
          </cell>
          <cell r="AC1679" t="str">
            <v>M</v>
          </cell>
          <cell r="AD1679" t="str">
            <v>No</v>
          </cell>
          <cell r="AE1679" t="str">
            <v>MMIS</v>
          </cell>
          <cell r="AF1679" t="str">
            <v>nypwestcampus</v>
          </cell>
          <cell r="AG1679" t="str">
            <v>P</v>
          </cell>
        </row>
        <row r="1680">
          <cell r="A1680" t="str">
            <v>1790717130</v>
          </cell>
          <cell r="B1680" t="str">
            <v>01934183</v>
          </cell>
          <cell r="C1680" t="str">
            <v>Pickering Sean</v>
          </cell>
          <cell r="D1680" t="str">
            <v>E0106633</v>
          </cell>
          <cell r="E1680" t="str">
            <v>PICKERING SEAN P MD</v>
          </cell>
          <cell r="L1680" t="str">
            <v>Practitioner - Non-Primary Care Provider (PCP)</v>
          </cell>
          <cell r="M1680" t="str">
            <v>No</v>
          </cell>
          <cell r="R1680" t="str">
            <v>PICKERING SEAN</v>
          </cell>
          <cell r="W1680" t="str">
            <v>PICKERING SEAN PIERRE MD</v>
          </cell>
          <cell r="X1680" t="str">
            <v>1400 PELHAM PKWY S</v>
          </cell>
          <cell r="Y1680" t="str">
            <v>BRONX</v>
          </cell>
          <cell r="Z1680" t="str">
            <v>NY</v>
          </cell>
          <cell r="AA1680" t="str">
            <v>10461-1119</v>
          </cell>
          <cell r="AB1680" t="str">
            <v>PHYSICIAN</v>
          </cell>
          <cell r="AC1680" t="str">
            <v>M</v>
          </cell>
          <cell r="AD1680" t="str">
            <v>No</v>
          </cell>
          <cell r="AE1680" t="str">
            <v>MMIS</v>
          </cell>
          <cell r="AF1680" t="str">
            <v>nypeastcampus</v>
          </cell>
          <cell r="AG1680" t="str">
            <v>P</v>
          </cell>
        </row>
        <row r="1681">
          <cell r="A1681" t="str">
            <v>1316230550</v>
          </cell>
          <cell r="C1681" t="str">
            <v>Hansberry Shawn</v>
          </cell>
          <cell r="G1681" t="str">
            <v>Kathryn Spaziani</v>
          </cell>
          <cell r="H1681" t="str">
            <v>(212) 305-1255</v>
          </cell>
          <cell r="J1681" t="str">
            <v>kas9171@nyp.org</v>
          </cell>
          <cell r="K1681" t="str">
            <v>Physician</v>
          </cell>
          <cell r="L1681" t="str">
            <v>Uncategorized</v>
          </cell>
          <cell r="M1681" t="str">
            <v>No</v>
          </cell>
          <cell r="R1681" t="str">
            <v>HANSBERRY SHAWN DR.</v>
          </cell>
          <cell r="S1681" t="str">
            <v>2301 ERWIN ROAD</v>
          </cell>
          <cell r="T1681" t="str">
            <v>DURHAM</v>
          </cell>
          <cell r="U1681" t="str">
            <v>NC</v>
          </cell>
          <cell r="V1681" t="str">
            <v>27710</v>
          </cell>
          <cell r="AC1681" t="str">
            <v>M</v>
          </cell>
          <cell r="AD1681" t="str">
            <v>No</v>
          </cell>
          <cell r="AE1681" t="str">
            <v>NPI only</v>
          </cell>
          <cell r="AF1681" t="str">
            <v>nypother</v>
          </cell>
          <cell r="AG1681" t="str">
            <v>P</v>
          </cell>
        </row>
        <row r="1682">
          <cell r="A1682" t="str">
            <v>1497892624</v>
          </cell>
          <cell r="B1682" t="str">
            <v>02590178</v>
          </cell>
          <cell r="C1682" t="str">
            <v>SINGH, HARJOT K</v>
          </cell>
          <cell r="D1682" t="str">
            <v>E0041138</v>
          </cell>
          <cell r="E1682" t="str">
            <v>SINGH HARJOT KAUR MD</v>
          </cell>
          <cell r="G1682" t="str">
            <v>Kathryn Spaziani</v>
          </cell>
          <cell r="H1682" t="str">
            <v>(212) 305-1190</v>
          </cell>
          <cell r="J1682" t="str">
            <v>kas9171@nyp.org</v>
          </cell>
          <cell r="L1682" t="str">
            <v>All Other:: Practitioner - Primary Care Provider (PCP)</v>
          </cell>
          <cell r="M1682" t="str">
            <v>Yes</v>
          </cell>
          <cell r="R1682" t="str">
            <v>SINGH HARJOT DR.</v>
          </cell>
          <cell r="W1682" t="str">
            <v>SINGH HARJOT KAUR MD</v>
          </cell>
          <cell r="X1682" t="str">
            <v>601 ELMWOOD AVE</v>
          </cell>
          <cell r="Y1682" t="str">
            <v>ROCHESTER</v>
          </cell>
          <cell r="Z1682" t="str">
            <v>NY</v>
          </cell>
          <cell r="AA1682" t="str">
            <v>14642-0001</v>
          </cell>
          <cell r="AB1682" t="str">
            <v>PHYSICIAN</v>
          </cell>
          <cell r="AC1682" t="str">
            <v>M</v>
          </cell>
          <cell r="AD1682" t="str">
            <v>No</v>
          </cell>
          <cell r="AE1682" t="str">
            <v>MMIS</v>
          </cell>
          <cell r="AF1682" t="str">
            <v>nypeastcampus</v>
          </cell>
          <cell r="AG1682" t="str">
            <v>P</v>
          </cell>
        </row>
        <row r="1683">
          <cell r="A1683" t="str">
            <v>1417982869</v>
          </cell>
          <cell r="B1683" t="str">
            <v>01936227</v>
          </cell>
          <cell r="C1683" t="str">
            <v>Simon Jeremy</v>
          </cell>
          <cell r="D1683" t="str">
            <v>E0106430</v>
          </cell>
          <cell r="E1683" t="str">
            <v>ROSENBAUM SIMON JEREMY MD</v>
          </cell>
          <cell r="L1683" t="str">
            <v>Practitioner - Non-Primary Care Provider (PCP)</v>
          </cell>
          <cell r="M1683" t="str">
            <v>No</v>
          </cell>
          <cell r="R1683" t="str">
            <v>ROSENBAUM SIMON JEREMY</v>
          </cell>
          <cell r="W1683" t="str">
            <v>ROSENBAUM SIMON JEREMY MD</v>
          </cell>
          <cell r="X1683" t="str">
            <v>ASSOC IN EMERG SVCS</v>
          </cell>
          <cell r="Y1683" t="str">
            <v>NEW YORK</v>
          </cell>
          <cell r="Z1683" t="str">
            <v>NY</v>
          </cell>
          <cell r="AA1683" t="str">
            <v>10032-3720</v>
          </cell>
          <cell r="AB1683" t="str">
            <v>PHYSICIAN</v>
          </cell>
          <cell r="AC1683" t="str">
            <v>M</v>
          </cell>
          <cell r="AD1683" t="str">
            <v>No</v>
          </cell>
          <cell r="AE1683" t="str">
            <v>MMIS</v>
          </cell>
          <cell r="AF1683" t="str">
            <v>nypwestcampus</v>
          </cell>
          <cell r="AG1683" t="str">
            <v>P</v>
          </cell>
        </row>
        <row r="1684">
          <cell r="A1684" t="str">
            <v>1811942709</v>
          </cell>
          <cell r="B1684" t="str">
            <v>01883196</v>
          </cell>
          <cell r="C1684" t="str">
            <v>Canals-Ferrat Pedro</v>
          </cell>
          <cell r="D1684" t="str">
            <v>E0111725</v>
          </cell>
          <cell r="E1684" t="str">
            <v>CANALS-FERRAT PEDRO MD</v>
          </cell>
          <cell r="L1684" t="str">
            <v>All Other:: Practitioner - Non-Primary Care Provider (PCP)</v>
          </cell>
          <cell r="M1684" t="str">
            <v>No</v>
          </cell>
          <cell r="R1684" t="str">
            <v>CANALS-FERRAT PEDRO</v>
          </cell>
          <cell r="W1684" t="str">
            <v>CANALS-FERRAT PEDRO MD</v>
          </cell>
          <cell r="X1684" t="str">
            <v>170 WILLIAM ST</v>
          </cell>
          <cell r="Y1684" t="str">
            <v>NEW YORK</v>
          </cell>
          <cell r="Z1684" t="str">
            <v>NY</v>
          </cell>
          <cell r="AA1684" t="str">
            <v>10038-2612</v>
          </cell>
          <cell r="AB1684" t="str">
            <v>PHYSICIAN</v>
          </cell>
          <cell r="AC1684" t="str">
            <v>M</v>
          </cell>
          <cell r="AD1684" t="str">
            <v>No</v>
          </cell>
          <cell r="AE1684" t="str">
            <v>MMIS</v>
          </cell>
          <cell r="AG1684" t="str">
            <v>P</v>
          </cell>
        </row>
        <row r="1685">
          <cell r="A1685" t="str">
            <v>1285892042</v>
          </cell>
          <cell r="B1685" t="str">
            <v>03235976</v>
          </cell>
          <cell r="C1685" t="str">
            <v>Chin Jeffrey</v>
          </cell>
          <cell r="D1685" t="str">
            <v>E0308419</v>
          </cell>
          <cell r="E1685" t="str">
            <v>CHIN JEFFREY YEE-SOON MD</v>
          </cell>
          <cell r="L1685" t="str">
            <v>All Other:: Practitioner - Non-Primary Care Provider (PCP)</v>
          </cell>
          <cell r="M1685" t="str">
            <v>No</v>
          </cell>
          <cell r="R1685" t="str">
            <v>CHIN JEFFREY DR.</v>
          </cell>
          <cell r="W1685" t="str">
            <v>CHIN JEFFREY YEE-SOON MD</v>
          </cell>
          <cell r="X1685" t="str">
            <v>170 WILLIAM ST</v>
          </cell>
          <cell r="Y1685" t="str">
            <v>NEW YORK</v>
          </cell>
          <cell r="Z1685" t="str">
            <v>NY</v>
          </cell>
          <cell r="AA1685" t="str">
            <v>10038-2612</v>
          </cell>
          <cell r="AB1685" t="str">
            <v>PHYSICIAN</v>
          </cell>
          <cell r="AC1685" t="str">
            <v>M</v>
          </cell>
          <cell r="AD1685" t="str">
            <v>No</v>
          </cell>
          <cell r="AE1685" t="str">
            <v>MMIS</v>
          </cell>
          <cell r="AF1685" t="str">
            <v>nypeastcampus</v>
          </cell>
          <cell r="AG1685" t="str">
            <v>P</v>
          </cell>
        </row>
        <row r="1686">
          <cell r="A1686" t="str">
            <v>1811993496</v>
          </cell>
          <cell r="C1686" t="str">
            <v>Chisolm Douglas</v>
          </cell>
          <cell r="G1686" t="str">
            <v>Kathryn Spaziani</v>
          </cell>
          <cell r="H1686" t="str">
            <v>(212) 305-1255</v>
          </cell>
          <cell r="J1686" t="str">
            <v>kas9171@nyp.org</v>
          </cell>
          <cell r="K1686" t="str">
            <v>Physician</v>
          </cell>
          <cell r="L1686" t="str">
            <v>Practitioner - Non-Primary Care Provider (PCP)</v>
          </cell>
          <cell r="M1686" t="str">
            <v>No</v>
          </cell>
          <cell r="R1686" t="str">
            <v>CHISOLM DOUGLAS</v>
          </cell>
          <cell r="S1686" t="str">
            <v>170 WILLIAM ST</v>
          </cell>
          <cell r="T1686" t="str">
            <v>NEW YORK</v>
          </cell>
          <cell r="U1686" t="str">
            <v>NY</v>
          </cell>
          <cell r="V1686" t="str">
            <v>100382612</v>
          </cell>
          <cell r="AC1686" t="str">
            <v>M</v>
          </cell>
          <cell r="AD1686" t="str">
            <v>No</v>
          </cell>
          <cell r="AE1686" t="str">
            <v>NPI only</v>
          </cell>
          <cell r="AF1686" t="str">
            <v>nypeastcampus</v>
          </cell>
          <cell r="AG1686" t="str">
            <v>P</v>
          </cell>
        </row>
        <row r="1687">
          <cell r="A1687" t="str">
            <v>1417251927</v>
          </cell>
          <cell r="C1687" t="str">
            <v>Choi Sandra</v>
          </cell>
          <cell r="G1687" t="str">
            <v>Kathryn Spaziani</v>
          </cell>
          <cell r="H1687" t="str">
            <v>(212) 305-1255</v>
          </cell>
          <cell r="J1687" t="str">
            <v>kas9171@nyp.org</v>
          </cell>
          <cell r="K1687" t="str">
            <v>Physician</v>
          </cell>
          <cell r="L1687" t="str">
            <v>Uncategorized</v>
          </cell>
          <cell r="M1687" t="str">
            <v>No</v>
          </cell>
          <cell r="R1687" t="str">
            <v>CHOI SANDRA</v>
          </cell>
          <cell r="S1687" t="str">
            <v>170 WILLIAM ST, DEPARTMENT OF ANESTHESIA</v>
          </cell>
          <cell r="T1687" t="str">
            <v>NEW YORK</v>
          </cell>
          <cell r="U1687" t="str">
            <v>NY</v>
          </cell>
          <cell r="V1687" t="str">
            <v>100382612</v>
          </cell>
          <cell r="AC1687" t="str">
            <v>M</v>
          </cell>
          <cell r="AD1687" t="str">
            <v>No</v>
          </cell>
          <cell r="AE1687" t="str">
            <v>NPI only</v>
          </cell>
          <cell r="AF1687" t="str">
            <v>nypother</v>
          </cell>
          <cell r="AG1687" t="str">
            <v>P</v>
          </cell>
        </row>
        <row r="1688">
          <cell r="A1688" t="str">
            <v>1841585296</v>
          </cell>
          <cell r="C1688" t="str">
            <v>Crowell Kathleen</v>
          </cell>
          <cell r="G1688" t="str">
            <v>Kathryn Spaziani</v>
          </cell>
          <cell r="H1688" t="str">
            <v>(212) 305-1255</v>
          </cell>
          <cell r="J1688" t="str">
            <v>kas9171@nyp.org</v>
          </cell>
          <cell r="K1688" t="str">
            <v>Physician</v>
          </cell>
          <cell r="L1688" t="str">
            <v>Practitioner - Non-Primary Care Provider (PCP)</v>
          </cell>
          <cell r="M1688" t="str">
            <v>No</v>
          </cell>
          <cell r="R1688" t="str">
            <v>CROWELL KATHLEEN</v>
          </cell>
          <cell r="S1688" t="str">
            <v>1650 GRAND CONCOURSE, DEPT OF ANESTHESIA</v>
          </cell>
          <cell r="T1688" t="str">
            <v>BRONX</v>
          </cell>
          <cell r="U1688" t="str">
            <v>NY</v>
          </cell>
          <cell r="V1688" t="str">
            <v>104577606</v>
          </cell>
          <cell r="AC1688" t="str">
            <v>M</v>
          </cell>
          <cell r="AD1688" t="str">
            <v>No</v>
          </cell>
          <cell r="AE1688" t="str">
            <v>NPI only</v>
          </cell>
          <cell r="AF1688" t="str">
            <v>nypeastcampus</v>
          </cell>
          <cell r="AG1688" t="str">
            <v>P</v>
          </cell>
        </row>
        <row r="1689">
          <cell r="A1689" t="str">
            <v>1629395660</v>
          </cell>
          <cell r="B1689" t="str">
            <v>03589508</v>
          </cell>
          <cell r="C1689" t="str">
            <v>Palanivel Vikram</v>
          </cell>
          <cell r="D1689" t="str">
            <v>E0349102</v>
          </cell>
          <cell r="E1689" t="str">
            <v>PALANIVEL VIKRAM</v>
          </cell>
          <cell r="L1689" t="str">
            <v>Practitioner - Non-Primary Care Provider (PCP)</v>
          </cell>
          <cell r="M1689" t="str">
            <v>No</v>
          </cell>
          <cell r="R1689" t="str">
            <v>PALANIVEL VIKRAM</v>
          </cell>
          <cell r="W1689" t="str">
            <v>PALANIVEL VIKRAM RATHNAM</v>
          </cell>
          <cell r="X1689" t="str">
            <v>525 E 68TH ST</v>
          </cell>
          <cell r="Y1689" t="str">
            <v>NEW YORK</v>
          </cell>
          <cell r="Z1689" t="str">
            <v>NY</v>
          </cell>
          <cell r="AA1689" t="str">
            <v>10065-4870</v>
          </cell>
          <cell r="AB1689" t="str">
            <v>PHYSICIAN</v>
          </cell>
          <cell r="AC1689" t="str">
            <v>M</v>
          </cell>
          <cell r="AD1689" t="str">
            <v>No</v>
          </cell>
          <cell r="AE1689" t="str">
            <v>MMIS</v>
          </cell>
          <cell r="AG1689" t="str">
            <v>P</v>
          </cell>
        </row>
        <row r="1690">
          <cell r="A1690" t="str">
            <v>1811094451</v>
          </cell>
          <cell r="B1690" t="str">
            <v>00386109</v>
          </cell>
          <cell r="C1690" t="str">
            <v>WILLIAMS, DANIEL T</v>
          </cell>
          <cell r="D1690" t="str">
            <v>E0260625</v>
          </cell>
          <cell r="E1690" t="str">
            <v>WILLIAMS DANIEL T          MD</v>
          </cell>
          <cell r="G1690" t="str">
            <v>Kathryn Spaziani</v>
          </cell>
          <cell r="H1690" t="str">
            <v>(212) 305-1190</v>
          </cell>
          <cell r="J1690" t="str">
            <v>kas9171@nyp.org</v>
          </cell>
          <cell r="L1690" t="str">
            <v>Practitioner - Primary Care Provider (PCP)</v>
          </cell>
          <cell r="M1690" t="str">
            <v>No</v>
          </cell>
          <cell r="R1690" t="str">
            <v>WILLIAMS DANIEL DR.</v>
          </cell>
          <cell r="W1690" t="str">
            <v>WILLIAMS DANIEL T          MD</v>
          </cell>
          <cell r="X1690" t="str">
            <v>161 FORT WASHINGTON AVE</v>
          </cell>
          <cell r="Y1690" t="str">
            <v>NEW YORK</v>
          </cell>
          <cell r="Z1690" t="str">
            <v>NY</v>
          </cell>
          <cell r="AA1690" t="str">
            <v>10032-3729</v>
          </cell>
          <cell r="AB1690" t="str">
            <v>PHYSICIAN</v>
          </cell>
          <cell r="AC1690" t="str">
            <v>M</v>
          </cell>
          <cell r="AD1690" t="str">
            <v>No</v>
          </cell>
          <cell r="AE1690" t="str">
            <v>MMIS</v>
          </cell>
          <cell r="AF1690" t="str">
            <v>nypwestcampus</v>
          </cell>
          <cell r="AG1690" t="str">
            <v>P</v>
          </cell>
        </row>
        <row r="1691">
          <cell r="A1691" t="str">
            <v>1356761001</v>
          </cell>
          <cell r="C1691" t="str">
            <v>Lombardi-Karl Laura</v>
          </cell>
          <cell r="G1691" t="str">
            <v>Kathryn Spaziani</v>
          </cell>
          <cell r="H1691" t="str">
            <v>(212) 305-1255</v>
          </cell>
          <cell r="J1691" t="str">
            <v>kas9171@nyp.org</v>
          </cell>
          <cell r="K1691" t="str">
            <v>Physician</v>
          </cell>
          <cell r="L1691" t="str">
            <v>Uncategorized</v>
          </cell>
          <cell r="M1691" t="str">
            <v>No</v>
          </cell>
          <cell r="R1691" t="str">
            <v>LOMBARDI LAURA</v>
          </cell>
          <cell r="S1691" t="str">
            <v>622 W 168TH ST PH 5-133</v>
          </cell>
          <cell r="T1691" t="str">
            <v>NEW YORK</v>
          </cell>
          <cell r="U1691" t="str">
            <v>NY</v>
          </cell>
          <cell r="V1691" t="str">
            <v>100323720</v>
          </cell>
          <cell r="AC1691" t="str">
            <v>M</v>
          </cell>
          <cell r="AD1691" t="str">
            <v>No</v>
          </cell>
          <cell r="AE1691" t="str">
            <v>NPI only</v>
          </cell>
          <cell r="AF1691" t="str">
            <v>nypwestcampus</v>
          </cell>
          <cell r="AG1691" t="str">
            <v>P</v>
          </cell>
        </row>
        <row r="1692">
          <cell r="A1692" t="str">
            <v>1154367175</v>
          </cell>
          <cell r="B1692" t="str">
            <v>02424615</v>
          </cell>
          <cell r="C1692" t="str">
            <v>Ko Riva</v>
          </cell>
          <cell r="D1692" t="str">
            <v>E0057669</v>
          </cell>
          <cell r="E1692" t="str">
            <v>AKERMAN RIVA R MD</v>
          </cell>
          <cell r="L1692" t="str">
            <v>All Other:: Practitioner - Non-Primary Care Provider (PCP)</v>
          </cell>
          <cell r="M1692" t="str">
            <v>No</v>
          </cell>
          <cell r="R1692" t="str">
            <v>KO RIVA DR.</v>
          </cell>
          <cell r="W1692" t="str">
            <v>KO RIVA RACHEL  MD</v>
          </cell>
          <cell r="X1692" t="str">
            <v>NY PRESBYTERIAN HOSP</v>
          </cell>
          <cell r="Y1692" t="str">
            <v>NEW YORK</v>
          </cell>
          <cell r="Z1692" t="str">
            <v>NY</v>
          </cell>
          <cell r="AA1692" t="str">
            <v>10032-3720</v>
          </cell>
          <cell r="AB1692" t="str">
            <v>PHYSICIAN</v>
          </cell>
          <cell r="AC1692" t="str">
            <v>M</v>
          </cell>
          <cell r="AD1692" t="str">
            <v>No</v>
          </cell>
          <cell r="AE1692" t="str">
            <v>MMIS</v>
          </cell>
          <cell r="AF1692" t="str">
            <v>nypwestcampus</v>
          </cell>
          <cell r="AG1692" t="str">
            <v>P</v>
          </cell>
        </row>
        <row r="1693">
          <cell r="A1693" t="str">
            <v>1659424414</v>
          </cell>
          <cell r="B1693" t="str">
            <v>02590090</v>
          </cell>
          <cell r="C1693" t="str">
            <v>Kubacki Tatiana</v>
          </cell>
          <cell r="D1693" t="str">
            <v>E0041146</v>
          </cell>
          <cell r="E1693" t="str">
            <v>KUBACKI TATIANA MD</v>
          </cell>
          <cell r="L1693" t="str">
            <v>All Other:: Practitioner - Non-Primary Care Provider (PCP)</v>
          </cell>
          <cell r="M1693" t="str">
            <v>No</v>
          </cell>
          <cell r="R1693" t="str">
            <v>KUBACKI TATIANA DR.</v>
          </cell>
          <cell r="W1693" t="str">
            <v>KUBACKI TATIANA MD</v>
          </cell>
          <cell r="X1693" t="str">
            <v>NY PRESBY HSP</v>
          </cell>
          <cell r="Y1693" t="str">
            <v>NEW YORK</v>
          </cell>
          <cell r="Z1693" t="str">
            <v>NY</v>
          </cell>
          <cell r="AA1693" t="str">
            <v>10032-3720</v>
          </cell>
          <cell r="AB1693" t="str">
            <v>PHYSICIAN</v>
          </cell>
          <cell r="AC1693" t="str">
            <v>M</v>
          </cell>
          <cell r="AD1693" t="str">
            <v>No</v>
          </cell>
          <cell r="AE1693" t="str">
            <v>MMIS</v>
          </cell>
          <cell r="AF1693" t="str">
            <v>nypwestcampus</v>
          </cell>
          <cell r="AG1693" t="str">
            <v>P</v>
          </cell>
        </row>
        <row r="1694">
          <cell r="A1694" t="str">
            <v>1487812319</v>
          </cell>
          <cell r="B1694" t="str">
            <v>03853981</v>
          </cell>
          <cell r="C1694" t="str">
            <v xml:space="preserve">JAN, HELEN </v>
          </cell>
          <cell r="D1694" t="str">
            <v>E0376384</v>
          </cell>
          <cell r="E1694" t="str">
            <v>JAN HELEN</v>
          </cell>
          <cell r="G1694" t="str">
            <v>Kathryn Spaziani</v>
          </cell>
          <cell r="H1694" t="str">
            <v>(212) 305-1190</v>
          </cell>
          <cell r="J1694" t="str">
            <v>kas9171@nyp.org</v>
          </cell>
          <cell r="L1694" t="str">
            <v>Practitioner - Primary Care Provider (PCP)</v>
          </cell>
          <cell r="M1694" t="str">
            <v>No</v>
          </cell>
          <cell r="R1694" t="str">
            <v>JAN HELEN</v>
          </cell>
          <cell r="W1694" t="str">
            <v>JAN HELEN</v>
          </cell>
          <cell r="X1694" t="str">
            <v>622 W 168TH ST</v>
          </cell>
          <cell r="Y1694" t="str">
            <v>NEW YORK</v>
          </cell>
          <cell r="Z1694" t="str">
            <v>NY</v>
          </cell>
          <cell r="AA1694" t="str">
            <v>10032-3720</v>
          </cell>
          <cell r="AB1694" t="str">
            <v>PHYSICIAN</v>
          </cell>
          <cell r="AC1694" t="str">
            <v>M</v>
          </cell>
          <cell r="AD1694" t="str">
            <v>No</v>
          </cell>
          <cell r="AE1694" t="str">
            <v>MMIS</v>
          </cell>
          <cell r="AF1694" t="str">
            <v>nypwestacn</v>
          </cell>
          <cell r="AG1694" t="str">
            <v>P</v>
          </cell>
        </row>
        <row r="1695">
          <cell r="A1695" t="str">
            <v>1063485050</v>
          </cell>
          <cell r="B1695" t="str">
            <v>02189600</v>
          </cell>
          <cell r="C1695" t="str">
            <v>GESKIN, LARISA J</v>
          </cell>
          <cell r="D1695" t="str">
            <v>E0081120</v>
          </cell>
          <cell r="E1695" t="str">
            <v>GESKIN LARISA MD</v>
          </cell>
          <cell r="G1695" t="str">
            <v>Kathryn Spaziani</v>
          </cell>
          <cell r="H1695" t="str">
            <v>(212) 305-1190</v>
          </cell>
          <cell r="J1695" t="str">
            <v>kas9171@nyp.org</v>
          </cell>
          <cell r="L1695" t="str">
            <v>Practitioner - Non-Primary Care Provider (PCP)</v>
          </cell>
          <cell r="M1695" t="str">
            <v>No</v>
          </cell>
          <cell r="R1695" t="str">
            <v>GESKIN LARISA DR.</v>
          </cell>
          <cell r="W1695" t="str">
            <v>GESKIN LARISA</v>
          </cell>
          <cell r="X1695" t="str">
            <v>3601 5TH AVE</v>
          </cell>
          <cell r="Y1695" t="str">
            <v>PITTSBURGH</v>
          </cell>
          <cell r="Z1695" t="str">
            <v>PA</v>
          </cell>
          <cell r="AA1695" t="str">
            <v>15213-3403</v>
          </cell>
          <cell r="AB1695" t="str">
            <v>PHYSICIAN</v>
          </cell>
          <cell r="AC1695" t="str">
            <v>M</v>
          </cell>
          <cell r="AD1695" t="str">
            <v>No</v>
          </cell>
          <cell r="AE1695" t="str">
            <v>MMIS</v>
          </cell>
          <cell r="AF1695" t="str">
            <v>nypwestacn</v>
          </cell>
          <cell r="AG1695" t="str">
            <v>P</v>
          </cell>
        </row>
        <row r="1696">
          <cell r="A1696" t="str">
            <v>1205911385</v>
          </cell>
          <cell r="B1696" t="str">
            <v>02008620</v>
          </cell>
          <cell r="C1696" t="str">
            <v>BASNER, ROBERT C</v>
          </cell>
          <cell r="D1696" t="str">
            <v>E0099199</v>
          </cell>
          <cell r="E1696" t="str">
            <v>BASNER ROBERT CHARLES MD</v>
          </cell>
          <cell r="G1696" t="str">
            <v>Kathryn Spaziani</v>
          </cell>
          <cell r="H1696" t="str">
            <v>(212) 305-1190</v>
          </cell>
          <cell r="J1696" t="str">
            <v>kas9171@nyp.org</v>
          </cell>
          <cell r="L1696" t="str">
            <v>All Other:: Practitioner - Non-Primary Care Provider (PCP)</v>
          </cell>
          <cell r="M1696" t="str">
            <v>No</v>
          </cell>
          <cell r="R1696" t="str">
            <v>BASNER ROBERT DR.</v>
          </cell>
          <cell r="W1696" t="str">
            <v>BASNER ROBERT CHARLES MD</v>
          </cell>
          <cell r="Y1696" t="str">
            <v>NEW YORK</v>
          </cell>
          <cell r="Z1696" t="str">
            <v>NY</v>
          </cell>
          <cell r="AA1696" t="str">
            <v>10032-3720</v>
          </cell>
          <cell r="AB1696" t="str">
            <v>PHYSICIAN</v>
          </cell>
          <cell r="AC1696" t="str">
            <v>M</v>
          </cell>
          <cell r="AD1696" t="str">
            <v>No</v>
          </cell>
          <cell r="AE1696" t="str">
            <v>MMIS</v>
          </cell>
          <cell r="AF1696" t="str">
            <v>nypwestacn</v>
          </cell>
          <cell r="AG1696" t="str">
            <v>P</v>
          </cell>
        </row>
        <row r="1697">
          <cell r="A1697" t="str">
            <v>1205919131</v>
          </cell>
          <cell r="B1697" t="str">
            <v>01811738</v>
          </cell>
          <cell r="C1697" t="str">
            <v>RUIZ, PETER R</v>
          </cell>
          <cell r="D1697" t="str">
            <v>E0118864</v>
          </cell>
          <cell r="E1697" t="str">
            <v>RUIZ PETER R</v>
          </cell>
          <cell r="G1697" t="str">
            <v>Kathryn Spaziani</v>
          </cell>
          <cell r="H1697" t="str">
            <v>(212) 305-1190</v>
          </cell>
          <cell r="J1697" t="str">
            <v>kas9171@nyp.org</v>
          </cell>
          <cell r="L1697" t="str">
            <v>Mental Health:: Practitioner - Non-Primary Care Provider (PCP)</v>
          </cell>
          <cell r="M1697" t="str">
            <v>Yes</v>
          </cell>
          <cell r="W1697" t="str">
            <v>RUIZ PETER R</v>
          </cell>
          <cell r="X1697" t="str">
            <v>30 DONGAN PL APT 1K</v>
          </cell>
          <cell r="Y1697" t="str">
            <v>NEW YORK</v>
          </cell>
          <cell r="Z1697" t="str">
            <v>NY</v>
          </cell>
          <cell r="AA1697" t="str">
            <v>10040-1560</v>
          </cell>
          <cell r="AB1697" t="str">
            <v>PHYSICIAN</v>
          </cell>
          <cell r="AC1697" t="str">
            <v>M</v>
          </cell>
          <cell r="AD1697" t="str">
            <v>No</v>
          </cell>
          <cell r="AE1697" t="str">
            <v>MMIS</v>
          </cell>
          <cell r="AF1697" t="str">
            <v>nypwestcampus</v>
          </cell>
          <cell r="AG1697" t="str">
            <v>P</v>
          </cell>
        </row>
        <row r="1698">
          <cell r="A1698" t="str">
            <v>1801074315</v>
          </cell>
          <cell r="B1698" t="str">
            <v>04034451</v>
          </cell>
          <cell r="C1698" t="str">
            <v>TRUSTEES OF COLUMBIA UNIVERSITY</v>
          </cell>
          <cell r="D1698" t="str">
            <v>E0393146</v>
          </cell>
          <cell r="E1698" t="str">
            <v>TRUSTEES OF COLUMBIA UNIVERSITY IN</v>
          </cell>
          <cell r="L1698" t="str">
            <v>All Other</v>
          </cell>
          <cell r="M1698" t="str">
            <v>No</v>
          </cell>
          <cell r="R1698" t="str">
            <v>TRUSTEES OF COLUMBIA UNIVERSITY IN THE DEPARTMENT OF OTOLARYNGOLOGY</v>
          </cell>
          <cell r="W1698" t="str">
            <v>TRUSTEES OF COLUMBIA UNIVERSITY IN</v>
          </cell>
          <cell r="X1698" t="str">
            <v>180 FORT WASHINGTON AVE FL 7</v>
          </cell>
          <cell r="Y1698" t="str">
            <v>NEW YORK</v>
          </cell>
          <cell r="Z1698" t="str">
            <v>NY</v>
          </cell>
          <cell r="AA1698" t="str">
            <v>10032-3722</v>
          </cell>
          <cell r="AB1698" t="str">
            <v>PHYSICIANS GROUP</v>
          </cell>
          <cell r="AC1698" t="str">
            <v>M</v>
          </cell>
          <cell r="AD1698" t="str">
            <v>No</v>
          </cell>
          <cell r="AE1698" t="str">
            <v>MMIS</v>
          </cell>
          <cell r="AG1698" t="str">
            <v>P</v>
          </cell>
        </row>
        <row r="1699">
          <cell r="A1699" t="str">
            <v>1891712972</v>
          </cell>
          <cell r="B1699" t="str">
            <v>02517724</v>
          </cell>
          <cell r="C1699" t="str">
            <v>TRUSTEES OF COLUMBIA UNIVERSITY</v>
          </cell>
          <cell r="D1699" t="str">
            <v>E0048369</v>
          </cell>
          <cell r="E1699" t="str">
            <v>TRUSTEES OF COLUMBIA UNIV</v>
          </cell>
          <cell r="L1699" t="str">
            <v>All Other</v>
          </cell>
          <cell r="M1699" t="str">
            <v>No</v>
          </cell>
          <cell r="R1699" t="str">
            <v>TRUSTEES OF COLUMBIA UNIVERSITY</v>
          </cell>
          <cell r="W1699" t="str">
            <v>TRUSTEES OF COLUMBIA UNIV</v>
          </cell>
          <cell r="X1699" t="str">
            <v>506 MALCOLM X BLVD</v>
          </cell>
          <cell r="Y1699" t="str">
            <v>NEW YORK</v>
          </cell>
          <cell r="Z1699" t="str">
            <v>NY</v>
          </cell>
          <cell r="AA1699" t="str">
            <v>10037-1802</v>
          </cell>
          <cell r="AB1699" t="str">
            <v>MULTI-TYPE GROUP</v>
          </cell>
          <cell r="AC1699" t="str">
            <v>M</v>
          </cell>
          <cell r="AD1699" t="str">
            <v>No</v>
          </cell>
          <cell r="AE1699" t="str">
            <v>MMIS</v>
          </cell>
          <cell r="AG1699" t="str">
            <v>P</v>
          </cell>
        </row>
        <row r="1700">
          <cell r="A1700" t="str">
            <v>1770741951</v>
          </cell>
          <cell r="B1700" t="str">
            <v>03142243</v>
          </cell>
          <cell r="C1700" t="str">
            <v>SIROTA, DANA R</v>
          </cell>
          <cell r="D1700" t="str">
            <v>E0297888</v>
          </cell>
          <cell r="E1700" t="str">
            <v>SIROTA DANA REINE</v>
          </cell>
          <cell r="G1700" t="str">
            <v>Kathryn Spaziani</v>
          </cell>
          <cell r="H1700" t="str">
            <v>(212) 305-1190</v>
          </cell>
          <cell r="J1700" t="str">
            <v>kas9171@nyp.org</v>
          </cell>
          <cell r="L1700" t="str">
            <v>All Other:: Practitioner - Primary Care Provider (PCP)</v>
          </cell>
          <cell r="M1700" t="str">
            <v>Yes</v>
          </cell>
          <cell r="R1700" t="str">
            <v>SIROTA DANA DR.</v>
          </cell>
          <cell r="W1700" t="str">
            <v>SIROTA DANA REINE</v>
          </cell>
          <cell r="X1700" t="str">
            <v>3959 BROADWAY</v>
          </cell>
          <cell r="Y1700" t="str">
            <v>NEW YORK</v>
          </cell>
          <cell r="Z1700" t="str">
            <v>NY</v>
          </cell>
          <cell r="AA1700" t="str">
            <v>10032-1559</v>
          </cell>
          <cell r="AB1700" t="str">
            <v>PHYSICIAN</v>
          </cell>
          <cell r="AC1700" t="str">
            <v>M</v>
          </cell>
          <cell r="AD1700" t="str">
            <v>No</v>
          </cell>
          <cell r="AE1700" t="str">
            <v>MMIS</v>
          </cell>
          <cell r="AF1700" t="str">
            <v>nypwestcampus</v>
          </cell>
          <cell r="AG1700" t="str">
            <v>P</v>
          </cell>
        </row>
        <row r="1701">
          <cell r="A1701" t="str">
            <v>1972812709</v>
          </cell>
          <cell r="C1701" t="str">
            <v>Stephen Brand, PhD</v>
          </cell>
          <cell r="G1701" t="str">
            <v>Dianna Dragatsi</v>
          </cell>
          <cell r="H1701" t="str">
            <v>(212) 942-8505</v>
          </cell>
          <cell r="J1701" t="str">
            <v>Dragats@nyspi.columbia.edu</v>
          </cell>
          <cell r="K1701" t="str">
            <v>Other Practitioners</v>
          </cell>
          <cell r="L1701" t="str">
            <v>Uncategorized</v>
          </cell>
          <cell r="M1701" t="str">
            <v>No</v>
          </cell>
          <cell r="R1701" t="str">
            <v>BRAND STEPHEN DR.</v>
          </cell>
          <cell r="S1701" t="str">
            <v>26 SHERMAN AVE</v>
          </cell>
          <cell r="T1701" t="str">
            <v>NEW YORK</v>
          </cell>
          <cell r="U1701" t="str">
            <v>NY</v>
          </cell>
          <cell r="V1701" t="str">
            <v>100401602</v>
          </cell>
          <cell r="AC1701" t="str">
            <v>M</v>
          </cell>
          <cell r="AD1701" t="str">
            <v>No</v>
          </cell>
          <cell r="AE1701" t="str">
            <v>NPI only</v>
          </cell>
          <cell r="AF1701" t="str">
            <v>nyspi</v>
          </cell>
          <cell r="AG1701" t="str">
            <v>P</v>
          </cell>
        </row>
        <row r="1702">
          <cell r="A1702" t="str">
            <v>1306154554</v>
          </cell>
          <cell r="B1702" t="str">
            <v>03712943</v>
          </cell>
          <cell r="C1702" t="str">
            <v>Barbara Brown, RN</v>
          </cell>
          <cell r="D1702" t="str">
            <v>E0361770</v>
          </cell>
          <cell r="E1702" t="str">
            <v>BROWN BARBARA R</v>
          </cell>
          <cell r="G1702" t="str">
            <v>Dianna Dragatsi</v>
          </cell>
          <cell r="H1702" t="str">
            <v>(212) 942-8506</v>
          </cell>
          <cell r="J1702" t="str">
            <v>Dragats@nyspi.columbia.edu</v>
          </cell>
          <cell r="L1702" t="str">
            <v>Uncategorized</v>
          </cell>
          <cell r="M1702" t="str">
            <v>No</v>
          </cell>
          <cell r="R1702" t="str">
            <v>BROWN BARBARA MISS</v>
          </cell>
          <cell r="W1702" t="str">
            <v>BROWN BARBARA R</v>
          </cell>
          <cell r="X1702" t="str">
            <v>26 SHERMAN AVE</v>
          </cell>
          <cell r="Y1702" t="str">
            <v>NEW YORK</v>
          </cell>
          <cell r="Z1702" t="str">
            <v>NY</v>
          </cell>
          <cell r="AA1702" t="str">
            <v>10040-1602</v>
          </cell>
          <cell r="AB1702" t="str">
            <v>NURSE</v>
          </cell>
          <cell r="AC1702" t="str">
            <v>M</v>
          </cell>
          <cell r="AD1702" t="str">
            <v>No</v>
          </cell>
          <cell r="AE1702" t="str">
            <v>MMIS</v>
          </cell>
          <cell r="AF1702" t="str">
            <v>nyspi</v>
          </cell>
          <cell r="AG1702" t="str">
            <v>P</v>
          </cell>
        </row>
        <row r="1703">
          <cell r="A1703" t="str">
            <v>1285609263</v>
          </cell>
          <cell r="C1703" t="str">
            <v>SALTZMAN, STEVEN P</v>
          </cell>
          <cell r="G1703" t="str">
            <v>Kathryn Spaziani</v>
          </cell>
          <cell r="H1703" t="str">
            <v>(212) 305-1190</v>
          </cell>
          <cell r="J1703" t="str">
            <v>kas9171@nyp.org</v>
          </cell>
          <cell r="K1703" t="str">
            <v>Physician</v>
          </cell>
          <cell r="L1703" t="str">
            <v>Practitioner - Non-Primary Care Provider (PCP)</v>
          </cell>
          <cell r="M1703" t="str">
            <v>No</v>
          </cell>
          <cell r="R1703" t="str">
            <v>SALTZMAN STEVEN DR.</v>
          </cell>
          <cell r="S1703" t="str">
            <v>2323 AVENUE R</v>
          </cell>
          <cell r="T1703" t="str">
            <v>BROOKLYN</v>
          </cell>
          <cell r="U1703" t="str">
            <v>NY</v>
          </cell>
          <cell r="V1703" t="str">
            <v>112292427</v>
          </cell>
          <cell r="AC1703" t="str">
            <v>M</v>
          </cell>
          <cell r="AD1703" t="str">
            <v>No</v>
          </cell>
          <cell r="AE1703" t="str">
            <v>NPI only</v>
          </cell>
          <cell r="AF1703" t="str">
            <v>nypeastcampus</v>
          </cell>
          <cell r="AG1703" t="str">
            <v>P</v>
          </cell>
        </row>
        <row r="1704">
          <cell r="A1704" t="str">
            <v>1144428012</v>
          </cell>
          <cell r="B1704" t="str">
            <v>03116694</v>
          </cell>
          <cell r="C1704" t="str">
            <v>Laura Polania, MD</v>
          </cell>
          <cell r="D1704" t="str">
            <v>E0295027</v>
          </cell>
          <cell r="E1704" t="str">
            <v>POLANIA LAURA MARIA</v>
          </cell>
          <cell r="G1704" t="str">
            <v>Dianna Dragatsi</v>
          </cell>
          <cell r="H1704" t="str">
            <v>(212) 942-8527</v>
          </cell>
          <cell r="J1704" t="str">
            <v>Dragats@nyspi.columbia.edu</v>
          </cell>
          <cell r="L1704" t="str">
            <v>Mental Health:: Practitioner - Non-Primary Care Provider (PCP)</v>
          </cell>
          <cell r="M1704" t="str">
            <v>No</v>
          </cell>
          <cell r="R1704" t="str">
            <v>POLANIA LAURA DR.</v>
          </cell>
          <cell r="W1704" t="str">
            <v>POLANIA LAURA MARIA</v>
          </cell>
          <cell r="X1704" t="str">
            <v>513 W 166TH ST FL 4</v>
          </cell>
          <cell r="Y1704" t="str">
            <v>NEW YORK</v>
          </cell>
          <cell r="Z1704" t="str">
            <v>NY</v>
          </cell>
          <cell r="AA1704" t="str">
            <v>10032-4207</v>
          </cell>
          <cell r="AB1704" t="str">
            <v>PHYSICIAN</v>
          </cell>
          <cell r="AC1704" t="str">
            <v>M</v>
          </cell>
          <cell r="AD1704" t="str">
            <v>No</v>
          </cell>
          <cell r="AE1704" t="str">
            <v>MMIS</v>
          </cell>
          <cell r="AF1704" t="str">
            <v>nyspi</v>
          </cell>
          <cell r="AG1704" t="str">
            <v>P</v>
          </cell>
        </row>
        <row r="1705">
          <cell r="A1705" t="str">
            <v>1295871879</v>
          </cell>
          <cell r="B1705" t="str">
            <v>02801903</v>
          </cell>
          <cell r="C1705" t="str">
            <v xml:space="preserve">GRUNSTEIN, ELI </v>
          </cell>
          <cell r="D1705" t="str">
            <v>E0020004</v>
          </cell>
          <cell r="E1705" t="str">
            <v>GRUNSTEIN ELI MD</v>
          </cell>
          <cell r="G1705" t="str">
            <v>Kathryn Spaziani</v>
          </cell>
          <cell r="H1705" t="str">
            <v>(212) 305-1190</v>
          </cell>
          <cell r="J1705" t="str">
            <v>kas9171@nyp.org</v>
          </cell>
          <cell r="L1705" t="str">
            <v>Practitioner - Non-Primary Care Provider (PCP)</v>
          </cell>
          <cell r="M1705" t="str">
            <v>No</v>
          </cell>
          <cell r="R1705" t="str">
            <v>GRUNSTEIN ELI</v>
          </cell>
          <cell r="W1705" t="str">
            <v>GRUNSTEIN ELI MD</v>
          </cell>
          <cell r="X1705" t="str">
            <v>3959 BROADWAY</v>
          </cell>
          <cell r="Y1705" t="str">
            <v>NEW YORK</v>
          </cell>
          <cell r="Z1705" t="str">
            <v>NY</v>
          </cell>
          <cell r="AA1705" t="str">
            <v>10032-1559</v>
          </cell>
          <cell r="AB1705" t="str">
            <v>PHYSICIAN</v>
          </cell>
          <cell r="AC1705" t="str">
            <v>M</v>
          </cell>
          <cell r="AD1705" t="str">
            <v>No</v>
          </cell>
          <cell r="AE1705" t="str">
            <v>MMIS</v>
          </cell>
          <cell r="AF1705" t="str">
            <v>nypwestacn</v>
          </cell>
          <cell r="AG1705" t="str">
            <v>P</v>
          </cell>
        </row>
        <row r="1706">
          <cell r="A1706" t="str">
            <v>1487678603</v>
          </cell>
          <cell r="B1706" t="str">
            <v>02386336</v>
          </cell>
          <cell r="C1706" t="str">
            <v>Mennitt Kevin</v>
          </cell>
          <cell r="D1706" t="str">
            <v>E0061489</v>
          </cell>
          <cell r="E1706" t="str">
            <v>MENNITT KEVIN</v>
          </cell>
          <cell r="L1706" t="str">
            <v>All Other:: Practitioner - Non-Primary Care Provider (PCP)</v>
          </cell>
          <cell r="M1706" t="str">
            <v>No</v>
          </cell>
          <cell r="R1706" t="str">
            <v>MENNITT KEVIN DR.</v>
          </cell>
          <cell r="W1706" t="str">
            <v>MENNITT KEVIN</v>
          </cell>
          <cell r="X1706" t="str">
            <v>COLM PRESB RAD</v>
          </cell>
          <cell r="Y1706" t="str">
            <v>NEW YORK</v>
          </cell>
          <cell r="Z1706" t="str">
            <v>NY</v>
          </cell>
          <cell r="AA1706" t="str">
            <v>10032-3720</v>
          </cell>
          <cell r="AB1706" t="str">
            <v>PHYSICIAN</v>
          </cell>
          <cell r="AC1706" t="str">
            <v>M</v>
          </cell>
          <cell r="AD1706" t="str">
            <v>No</v>
          </cell>
          <cell r="AE1706" t="str">
            <v>MMIS</v>
          </cell>
          <cell r="AF1706" t="str">
            <v>nypeastcampus</v>
          </cell>
          <cell r="AG1706" t="str">
            <v>P</v>
          </cell>
        </row>
        <row r="1707">
          <cell r="A1707" t="str">
            <v>1790943777</v>
          </cell>
          <cell r="B1707" t="str">
            <v>03401250</v>
          </cell>
          <cell r="C1707" t="str">
            <v>TRAUB, REBECCA E</v>
          </cell>
          <cell r="D1707" t="str">
            <v>E0327990</v>
          </cell>
          <cell r="E1707" t="str">
            <v>TRAUB REBECCA</v>
          </cell>
          <cell r="G1707" t="str">
            <v>Kathryn Spaziani</v>
          </cell>
          <cell r="H1707" t="str">
            <v>(212) 305-1190</v>
          </cell>
          <cell r="J1707" t="str">
            <v>kas9171@nyp.org</v>
          </cell>
          <cell r="L1707" t="str">
            <v>Practitioner - Non-Primary Care Provider (PCP)</v>
          </cell>
          <cell r="M1707" t="str">
            <v>No</v>
          </cell>
          <cell r="R1707" t="str">
            <v>TRAUB REBECCA DR.</v>
          </cell>
          <cell r="W1707" t="str">
            <v>TRAUB REBECCA</v>
          </cell>
          <cell r="X1707" t="str">
            <v>622 W 168TH ST</v>
          </cell>
          <cell r="Y1707" t="str">
            <v>NEW YORK</v>
          </cell>
          <cell r="Z1707" t="str">
            <v>NY</v>
          </cell>
          <cell r="AA1707" t="str">
            <v>10032-3720</v>
          </cell>
          <cell r="AB1707" t="str">
            <v>PHYSICIAN</v>
          </cell>
          <cell r="AC1707" t="str">
            <v>M</v>
          </cell>
          <cell r="AD1707" t="str">
            <v>No</v>
          </cell>
          <cell r="AE1707" t="str">
            <v>MMIS</v>
          </cell>
          <cell r="AF1707" t="str">
            <v>nypwestcampus</v>
          </cell>
          <cell r="AG1707" t="str">
            <v>P</v>
          </cell>
        </row>
        <row r="1708">
          <cell r="A1708" t="str">
            <v>1518054600</v>
          </cell>
          <cell r="B1708" t="str">
            <v>01745211</v>
          </cell>
          <cell r="C1708" t="str">
            <v>Bostwick, Susan B</v>
          </cell>
          <cell r="D1708" t="str">
            <v>E0125505</v>
          </cell>
          <cell r="E1708" t="str">
            <v>BOSTWICK SUSAN B MD</v>
          </cell>
          <cell r="G1708" t="str">
            <v>Kathryn Spaziani</v>
          </cell>
          <cell r="H1708" t="str">
            <v>(212) 305-1190</v>
          </cell>
          <cell r="J1708" t="str">
            <v>kas9171@nyp.org</v>
          </cell>
          <cell r="L1708" t="str">
            <v>All Other:: Practitioner - Primary Care Provider (PCP)</v>
          </cell>
          <cell r="M1708" t="str">
            <v>Yes</v>
          </cell>
          <cell r="R1708" t="str">
            <v>BOSTWICK SUSAN</v>
          </cell>
          <cell r="W1708" t="str">
            <v>BOSTWICK SUSAN B MD</v>
          </cell>
          <cell r="X1708" t="str">
            <v>525 E 68TH ST</v>
          </cell>
          <cell r="Y1708" t="str">
            <v>NEW YORK</v>
          </cell>
          <cell r="Z1708" t="str">
            <v>NY</v>
          </cell>
          <cell r="AA1708" t="str">
            <v>10065-4870</v>
          </cell>
          <cell r="AB1708" t="str">
            <v>PHYSICIAN</v>
          </cell>
          <cell r="AC1708" t="str">
            <v>M</v>
          </cell>
          <cell r="AD1708" t="str">
            <v>No</v>
          </cell>
          <cell r="AE1708" t="str">
            <v>MMIS</v>
          </cell>
          <cell r="AF1708" t="str">
            <v>nypeastacn</v>
          </cell>
          <cell r="AG1708" t="str">
            <v>P</v>
          </cell>
        </row>
        <row r="1709">
          <cell r="A1709" t="str">
            <v>1518054618</v>
          </cell>
          <cell r="B1709" t="str">
            <v>01655696</v>
          </cell>
          <cell r="C1709" t="str">
            <v xml:space="preserve">CARRILLO, JUAN EMILIO </v>
          </cell>
          <cell r="D1709" t="str">
            <v>E0134446</v>
          </cell>
          <cell r="E1709" t="str">
            <v>CARRILLO JUAN EMILIO MD</v>
          </cell>
          <cell r="G1709" t="str">
            <v>Kathryn Spaziani</v>
          </cell>
          <cell r="H1709" t="str">
            <v>(212) 305-1190</v>
          </cell>
          <cell r="J1709" t="str">
            <v>kas9171@nyp.org</v>
          </cell>
          <cell r="L1709" t="str">
            <v>All Other:: Practitioner - Primary Care Provider (PCP)</v>
          </cell>
          <cell r="M1709" t="str">
            <v>Yes</v>
          </cell>
          <cell r="R1709" t="str">
            <v>CARRILLO JUAN</v>
          </cell>
          <cell r="W1709" t="str">
            <v>CARRILLO JUAN EMILIO MD</v>
          </cell>
          <cell r="X1709" t="str">
            <v>212 E 69TH ST</v>
          </cell>
          <cell r="Y1709" t="str">
            <v>NEW YORK</v>
          </cell>
          <cell r="Z1709" t="str">
            <v>NY</v>
          </cell>
          <cell r="AA1709" t="str">
            <v>10021-5705</v>
          </cell>
          <cell r="AB1709" t="str">
            <v>PHYSICIAN</v>
          </cell>
          <cell r="AC1709" t="str">
            <v>M</v>
          </cell>
          <cell r="AD1709" t="str">
            <v>No</v>
          </cell>
          <cell r="AE1709" t="str">
            <v>MMIS</v>
          </cell>
          <cell r="AF1709" t="str">
            <v>nypeastacn</v>
          </cell>
          <cell r="AG1709" t="str">
            <v>P</v>
          </cell>
        </row>
        <row r="1710">
          <cell r="A1710" t="str">
            <v>1518284959</v>
          </cell>
          <cell r="B1710" t="str">
            <v>03650566</v>
          </cell>
          <cell r="C1710" t="str">
            <v>FARRAND, ERICA D</v>
          </cell>
          <cell r="D1710" t="str">
            <v>E0355527</v>
          </cell>
          <cell r="E1710" t="str">
            <v>FARRAND ERICA</v>
          </cell>
          <cell r="G1710" t="str">
            <v>Kathryn Spaziani</v>
          </cell>
          <cell r="H1710" t="str">
            <v>(212) 305-1190</v>
          </cell>
          <cell r="J1710" t="str">
            <v>kas9171@nyp.org</v>
          </cell>
          <cell r="L1710" t="str">
            <v>Practitioner - Primary Care Provider (PCP)</v>
          </cell>
          <cell r="M1710" t="str">
            <v>No</v>
          </cell>
          <cell r="R1710" t="str">
            <v>FARRAND ERICA DR.</v>
          </cell>
          <cell r="W1710" t="str">
            <v>FARRAND ERICA</v>
          </cell>
          <cell r="X1710" t="str">
            <v>575 WEST 181ST STREE</v>
          </cell>
          <cell r="Y1710" t="str">
            <v>NEW YORK</v>
          </cell>
          <cell r="Z1710" t="str">
            <v>NY</v>
          </cell>
          <cell r="AA1710" t="str">
            <v>10033</v>
          </cell>
          <cell r="AB1710" t="str">
            <v>PHYSICIAN</v>
          </cell>
          <cell r="AC1710" t="str">
            <v>M</v>
          </cell>
          <cell r="AD1710" t="str">
            <v>No</v>
          </cell>
          <cell r="AE1710" t="str">
            <v>MMIS</v>
          </cell>
          <cell r="AF1710" t="str">
            <v>nypother</v>
          </cell>
          <cell r="AG1710" t="str">
            <v>P</v>
          </cell>
        </row>
        <row r="1711">
          <cell r="A1711" t="str">
            <v>1508824517</v>
          </cell>
          <cell r="B1711" t="str">
            <v>02132176</v>
          </cell>
          <cell r="C1711" t="str">
            <v>LOGIO, LIA S</v>
          </cell>
          <cell r="D1711" t="str">
            <v>E0086853</v>
          </cell>
          <cell r="E1711" t="str">
            <v>LOGIO LIA SUZANNE</v>
          </cell>
          <cell r="G1711" t="str">
            <v>Kathryn Spaziani</v>
          </cell>
          <cell r="H1711" t="str">
            <v>(212) 305-1190</v>
          </cell>
          <cell r="J1711" t="str">
            <v>kas9171@nyp.org</v>
          </cell>
          <cell r="L1711" t="str">
            <v>All Other:: Practitioner - Primary Care Provider (PCP)</v>
          </cell>
          <cell r="M1711" t="str">
            <v>No</v>
          </cell>
          <cell r="R1711" t="str">
            <v>LOGIO LIA DR.</v>
          </cell>
          <cell r="W1711" t="str">
            <v>LOGIO LIA SUZANNE</v>
          </cell>
          <cell r="X1711" t="str">
            <v>505 E 70TH ST</v>
          </cell>
          <cell r="Y1711" t="str">
            <v>NEW YORK</v>
          </cell>
          <cell r="Z1711" t="str">
            <v>NY</v>
          </cell>
          <cell r="AA1711" t="str">
            <v>10021-4872</v>
          </cell>
          <cell r="AB1711" t="str">
            <v>PHYSICIAN</v>
          </cell>
          <cell r="AC1711" t="str">
            <v>M</v>
          </cell>
          <cell r="AD1711" t="str">
            <v>No</v>
          </cell>
          <cell r="AE1711" t="str">
            <v>MMIS</v>
          </cell>
          <cell r="AF1711" t="str">
            <v>nypeastcampus</v>
          </cell>
          <cell r="AG1711" t="str">
            <v>P</v>
          </cell>
        </row>
        <row r="1712">
          <cell r="A1712" t="str">
            <v>1467549535</v>
          </cell>
          <cell r="B1712" t="str">
            <v>01360489</v>
          </cell>
          <cell r="C1712" t="str">
            <v>MARKOWITZ, STEVEN M</v>
          </cell>
          <cell r="D1712" t="str">
            <v>E0163902</v>
          </cell>
          <cell r="E1712" t="str">
            <v>MARKOWITZ STEVEN M  MD</v>
          </cell>
          <cell r="G1712" t="str">
            <v>Kathryn Spaziani</v>
          </cell>
          <cell r="H1712" t="str">
            <v>(212) 305-1190</v>
          </cell>
          <cell r="J1712" t="str">
            <v>kas9171@nyp.org</v>
          </cell>
          <cell r="L1712" t="str">
            <v>All Other:: Practitioner - Non-Primary Care Provider (PCP)</v>
          </cell>
          <cell r="M1712" t="str">
            <v>No</v>
          </cell>
          <cell r="R1712" t="str">
            <v>MARKOWITZ STEVEN</v>
          </cell>
          <cell r="W1712" t="str">
            <v>MARKOWITZ STEVEN MATTHEW</v>
          </cell>
          <cell r="X1712" t="str">
            <v>CARDIOLOGY ASSOC ST4</v>
          </cell>
          <cell r="Y1712" t="str">
            <v>NEW YORK</v>
          </cell>
          <cell r="Z1712" t="str">
            <v>NY</v>
          </cell>
          <cell r="AA1712" t="str">
            <v>10021-9800</v>
          </cell>
          <cell r="AB1712" t="str">
            <v>PHYSICIAN</v>
          </cell>
          <cell r="AC1712" t="str">
            <v>M</v>
          </cell>
          <cell r="AD1712" t="str">
            <v>No</v>
          </cell>
          <cell r="AE1712" t="str">
            <v>MMIS</v>
          </cell>
          <cell r="AF1712" t="str">
            <v>nypeastcampus</v>
          </cell>
          <cell r="AG1712" t="str">
            <v>P</v>
          </cell>
        </row>
        <row r="1713">
          <cell r="A1713" t="str">
            <v>1316960560</v>
          </cell>
          <cell r="B1713" t="str">
            <v>01824964</v>
          </cell>
          <cell r="C1713" t="str">
            <v xml:space="preserve">KIM, HEAKYUNG </v>
          </cell>
          <cell r="D1713" t="str">
            <v>E0117542</v>
          </cell>
          <cell r="E1713" t="str">
            <v>KIM HEAHYUNG MD</v>
          </cell>
          <cell r="G1713" t="str">
            <v>Kathryn Spaziani</v>
          </cell>
          <cell r="H1713" t="str">
            <v>(212) 305-1190</v>
          </cell>
          <cell r="J1713" t="str">
            <v>kas9171@nyp.org</v>
          </cell>
          <cell r="L1713" t="str">
            <v>All Other:: Practitioner - Non-Primary Care Provider (PCP)</v>
          </cell>
          <cell r="M1713" t="str">
            <v>No</v>
          </cell>
          <cell r="R1713" t="str">
            <v>KIM HEAKYUNG</v>
          </cell>
          <cell r="W1713" t="str">
            <v>KIM HEAHYUNG</v>
          </cell>
          <cell r="X1713" t="str">
            <v>180 FORT WASHINGTON AVE STE 199</v>
          </cell>
          <cell r="Y1713" t="str">
            <v>NEW YORK</v>
          </cell>
          <cell r="Z1713" t="str">
            <v>NY</v>
          </cell>
          <cell r="AA1713" t="str">
            <v>10032-3722</v>
          </cell>
          <cell r="AB1713" t="str">
            <v>PHYSICIAN</v>
          </cell>
          <cell r="AC1713" t="str">
            <v>M</v>
          </cell>
          <cell r="AD1713" t="str">
            <v>No</v>
          </cell>
          <cell r="AE1713" t="str">
            <v>MMIS</v>
          </cell>
          <cell r="AF1713" t="str">
            <v>nypwestacn</v>
          </cell>
          <cell r="AG1713" t="str">
            <v>P</v>
          </cell>
        </row>
        <row r="1714">
          <cell r="A1714" t="str">
            <v>1184732497</v>
          </cell>
          <cell r="C1714" t="str">
            <v>COLUMBIA RADIOLOGY AT LAWRENCE</v>
          </cell>
          <cell r="K1714" t="str">
            <v>All Other</v>
          </cell>
          <cell r="L1714" t="str">
            <v>Uncategorized</v>
          </cell>
          <cell r="M1714" t="str">
            <v>No</v>
          </cell>
          <cell r="R1714" t="str">
            <v>COLUMBIA RADIOLOGY AT LAWRENCE</v>
          </cell>
          <cell r="S1714" t="str">
            <v>55 PALMER AVE</v>
          </cell>
          <cell r="T1714" t="str">
            <v>BRONXVILLE</v>
          </cell>
          <cell r="U1714" t="str">
            <v>NY</v>
          </cell>
          <cell r="V1714" t="str">
            <v>107083403</v>
          </cell>
          <cell r="AC1714" t="str">
            <v>M</v>
          </cell>
          <cell r="AD1714" t="str">
            <v>No</v>
          </cell>
          <cell r="AE1714" t="str">
            <v>NPI only</v>
          </cell>
          <cell r="AG1714" t="str">
            <v>P</v>
          </cell>
        </row>
        <row r="1715">
          <cell r="A1715" t="str">
            <v>1881950145</v>
          </cell>
          <cell r="C1715" t="str">
            <v>Soun Jennifer</v>
          </cell>
          <cell r="G1715" t="str">
            <v>Kathryn Spaziani</v>
          </cell>
          <cell r="H1715" t="str">
            <v>(212) 305-1255</v>
          </cell>
          <cell r="J1715" t="str">
            <v>kas9171@nyp.org</v>
          </cell>
          <cell r="K1715" t="str">
            <v>Physician</v>
          </cell>
          <cell r="L1715" t="str">
            <v>Uncategorized</v>
          </cell>
          <cell r="M1715" t="str">
            <v>No</v>
          </cell>
          <cell r="R1715" t="str">
            <v>SOUN JENNIFER DR.</v>
          </cell>
          <cell r="S1715" t="str">
            <v>180 FORT WASHINGTON AVE, 3RD FLOOR</v>
          </cell>
          <cell r="T1715" t="str">
            <v>NEW YORK</v>
          </cell>
          <cell r="U1715" t="str">
            <v>NY</v>
          </cell>
          <cell r="V1715" t="str">
            <v>100323722</v>
          </cell>
          <cell r="AC1715" t="str">
            <v>M</v>
          </cell>
          <cell r="AD1715" t="str">
            <v>No</v>
          </cell>
          <cell r="AE1715" t="str">
            <v>NPI only</v>
          </cell>
          <cell r="AF1715" t="str">
            <v>nypwestcampus</v>
          </cell>
          <cell r="AG1715" t="str">
            <v>P</v>
          </cell>
        </row>
        <row r="1716">
          <cell r="A1716" t="str">
            <v>1891051611</v>
          </cell>
          <cell r="C1716" t="str">
            <v>St. Amour Edgar</v>
          </cell>
          <cell r="G1716" t="str">
            <v>Kathryn Spaziani</v>
          </cell>
          <cell r="H1716" t="str">
            <v>(212) 305-1255</v>
          </cell>
          <cell r="J1716" t="str">
            <v>kas9171@nyp.org</v>
          </cell>
          <cell r="K1716" t="str">
            <v>Physician</v>
          </cell>
          <cell r="L1716" t="str">
            <v>Uncategorized</v>
          </cell>
          <cell r="M1716" t="str">
            <v>No</v>
          </cell>
          <cell r="R1716" t="str">
            <v>ST. AMOUR EDGAR</v>
          </cell>
          <cell r="S1716" t="str">
            <v>622 W 168TH ST, PH-1 RADIOLOGY</v>
          </cell>
          <cell r="T1716" t="str">
            <v>NEW YORK</v>
          </cell>
          <cell r="U1716" t="str">
            <v>NY</v>
          </cell>
          <cell r="V1716" t="str">
            <v>100323720</v>
          </cell>
          <cell r="AC1716" t="str">
            <v>M</v>
          </cell>
          <cell r="AD1716" t="str">
            <v>No</v>
          </cell>
          <cell r="AE1716" t="str">
            <v>NPI only</v>
          </cell>
          <cell r="AF1716" t="str">
            <v>nypwestcampus</v>
          </cell>
          <cell r="AG1716" t="str">
            <v>P</v>
          </cell>
        </row>
        <row r="1717">
          <cell r="A1717" t="str">
            <v>1093788416</v>
          </cell>
          <cell r="B1717" t="str">
            <v>00151042</v>
          </cell>
          <cell r="C1717" t="str">
            <v>DE MENTO, FRANK J</v>
          </cell>
          <cell r="D1717" t="str">
            <v>E0278528</v>
          </cell>
          <cell r="E1717" t="str">
            <v>DE MENTO FRANK J           MD</v>
          </cell>
          <cell r="G1717" t="str">
            <v>Kathryn Spaziani</v>
          </cell>
          <cell r="H1717" t="str">
            <v>(212) 305-1190</v>
          </cell>
          <cell r="J1717" t="str">
            <v>kas9171@nyp.org</v>
          </cell>
          <cell r="L1717" t="str">
            <v>All Other:: Practitioner - Non-Primary Care Provider (PCP)</v>
          </cell>
          <cell r="M1717" t="str">
            <v>No</v>
          </cell>
          <cell r="R1717" t="str">
            <v>DEMENTO FRANK</v>
          </cell>
          <cell r="W1717" t="str">
            <v>DE MENTO FRANK J           MD</v>
          </cell>
          <cell r="Y1717" t="str">
            <v>GARDEN CITY</v>
          </cell>
          <cell r="Z1717" t="str">
            <v>NY</v>
          </cell>
          <cell r="AA1717" t="str">
            <v>11530-5806</v>
          </cell>
          <cell r="AB1717" t="str">
            <v>PHYSICIAN</v>
          </cell>
          <cell r="AC1717" t="str">
            <v>M</v>
          </cell>
          <cell r="AD1717" t="str">
            <v>No</v>
          </cell>
          <cell r="AE1717" t="str">
            <v>MMIS</v>
          </cell>
          <cell r="AF1717" t="str">
            <v>nypwestacn</v>
          </cell>
          <cell r="AG1717" t="str">
            <v>P</v>
          </cell>
        </row>
        <row r="1718">
          <cell r="C1718" t="str">
            <v>Citymeals on Wheels</v>
          </cell>
          <cell r="G1718" t="str">
            <v>Rachel Sherrow</v>
          </cell>
          <cell r="H1718" t="str">
            <v>(212) 687-1234</v>
          </cell>
          <cell r="J1718" t="str">
            <v>rachel@citymeals.org</v>
          </cell>
          <cell r="K1718" t="str">
            <v>Community Advocacy and Support</v>
          </cell>
          <cell r="L1718" t="str">
            <v>CBO</v>
          </cell>
          <cell r="M1718" t="str">
            <v>No</v>
          </cell>
          <cell r="N1718" t="str">
            <v>355 Lexington Ave</v>
          </cell>
          <cell r="O1718" t="str">
            <v>New York</v>
          </cell>
          <cell r="P1718" t="str">
            <v>NY</v>
          </cell>
          <cell r="Q1718" t="str">
            <v>10017</v>
          </cell>
          <cell r="AC1718" t="str">
            <v>M</v>
          </cell>
          <cell r="AD1718" t="str">
            <v>No</v>
          </cell>
          <cell r="AE1718" t="str">
            <v>No NPI or MMIS</v>
          </cell>
          <cell r="AG1718" t="str">
            <v>P</v>
          </cell>
        </row>
        <row r="1719">
          <cell r="A1719" t="str">
            <v>1245677228</v>
          </cell>
          <cell r="C1719" t="str">
            <v>Kirschenbaum Shoshana</v>
          </cell>
          <cell r="G1719" t="str">
            <v>Kathryn Spaziani</v>
          </cell>
          <cell r="H1719" t="str">
            <v>(212) 305-1255</v>
          </cell>
          <cell r="J1719" t="str">
            <v>kas9171@nyp.org</v>
          </cell>
          <cell r="K1719" t="str">
            <v>Physician</v>
          </cell>
          <cell r="L1719" t="str">
            <v>Uncategorized</v>
          </cell>
          <cell r="M1719" t="str">
            <v>No</v>
          </cell>
          <cell r="AC1719" t="str">
            <v>M</v>
          </cell>
          <cell r="AD1719" t="str">
            <v>No</v>
          </cell>
          <cell r="AE1719" t="str">
            <v>NPI only</v>
          </cell>
          <cell r="AF1719" t="str">
            <v>nypother</v>
          </cell>
          <cell r="AG1719" t="str">
            <v>P</v>
          </cell>
        </row>
        <row r="1720">
          <cell r="A1720" t="str">
            <v>1982737003</v>
          </cell>
          <cell r="B1720" t="str">
            <v>02086042</v>
          </cell>
          <cell r="C1720" t="str">
            <v>Kiselev Michael</v>
          </cell>
          <cell r="D1720" t="str">
            <v>E0091464</v>
          </cell>
          <cell r="E1720" t="str">
            <v>KISELEV MICHAEL MD</v>
          </cell>
          <cell r="L1720" t="str">
            <v>Practitioner - Non-Primary Care Provider (PCP)</v>
          </cell>
          <cell r="M1720" t="str">
            <v>No</v>
          </cell>
          <cell r="R1720" t="str">
            <v>KISELEV MICHAEL</v>
          </cell>
          <cell r="W1720" t="str">
            <v>KISELEV MICHAEL</v>
          </cell>
          <cell r="X1720" t="str">
            <v>525 E 68TH ST</v>
          </cell>
          <cell r="Y1720" t="str">
            <v>NEW YORK</v>
          </cell>
          <cell r="Z1720" t="str">
            <v>NY</v>
          </cell>
          <cell r="AA1720" t="str">
            <v>10065-4870</v>
          </cell>
          <cell r="AB1720" t="str">
            <v>PHYSICIAN</v>
          </cell>
          <cell r="AC1720" t="str">
            <v>M</v>
          </cell>
          <cell r="AD1720" t="str">
            <v>No</v>
          </cell>
          <cell r="AE1720" t="str">
            <v>MMIS</v>
          </cell>
          <cell r="AF1720" t="str">
            <v>nypeastcampus</v>
          </cell>
          <cell r="AG1720" t="str">
            <v>P</v>
          </cell>
        </row>
        <row r="1721">
          <cell r="A1721" t="str">
            <v>1174815591</v>
          </cell>
          <cell r="B1721" t="str">
            <v>04622588</v>
          </cell>
          <cell r="C1721" t="str">
            <v>Feldman Daniel</v>
          </cell>
          <cell r="D1721" t="str">
            <v>E0455073</v>
          </cell>
          <cell r="E1721" t="str">
            <v>FELDMAN DANIEL</v>
          </cell>
          <cell r="G1721" t="str">
            <v>Kathryn Spaziani</v>
          </cell>
          <cell r="H1721" t="str">
            <v>(212) 305-1255</v>
          </cell>
          <cell r="J1721" t="str">
            <v>kas9171@nyp.org</v>
          </cell>
          <cell r="L1721" t="str">
            <v>Uncategorized</v>
          </cell>
          <cell r="M1721" t="str">
            <v>No</v>
          </cell>
          <cell r="R1721" t="str">
            <v>FELDMAN DANIEL</v>
          </cell>
          <cell r="W1721" t="str">
            <v>FELDMAN DANIEL</v>
          </cell>
          <cell r="AB1721" t="str">
            <v>PHYSICIAN</v>
          </cell>
          <cell r="AC1721" t="str">
            <v>M</v>
          </cell>
          <cell r="AD1721" t="str">
            <v>No</v>
          </cell>
          <cell r="AE1721" t="str">
            <v>MMIS</v>
          </cell>
          <cell r="AF1721" t="str">
            <v>nypother</v>
          </cell>
          <cell r="AG1721" t="str">
            <v>P</v>
          </cell>
        </row>
        <row r="1722">
          <cell r="A1722" t="str">
            <v>1710305693</v>
          </cell>
          <cell r="C1722" t="str">
            <v>Fisher Andrew</v>
          </cell>
          <cell r="G1722" t="str">
            <v>Kathryn Spaziani</v>
          </cell>
          <cell r="H1722" t="str">
            <v>(212) 305-1255</v>
          </cell>
          <cell r="J1722" t="str">
            <v>kas9171@nyp.org</v>
          </cell>
          <cell r="K1722" t="str">
            <v>Physician</v>
          </cell>
          <cell r="L1722" t="str">
            <v>Uncategorized</v>
          </cell>
          <cell r="M1722" t="str">
            <v>No</v>
          </cell>
          <cell r="R1722" t="str">
            <v>FISHER ANDREW DR.</v>
          </cell>
          <cell r="S1722" t="str">
            <v>525 E 68TH ST # 124</v>
          </cell>
          <cell r="T1722" t="str">
            <v>NEW YORK</v>
          </cell>
          <cell r="U1722" t="str">
            <v>NY</v>
          </cell>
          <cell r="V1722" t="str">
            <v>100654870</v>
          </cell>
          <cell r="AC1722" t="str">
            <v>M</v>
          </cell>
          <cell r="AD1722" t="str">
            <v>No</v>
          </cell>
          <cell r="AE1722" t="str">
            <v>NPI only</v>
          </cell>
          <cell r="AF1722" t="str">
            <v>nypeastcampus</v>
          </cell>
          <cell r="AG1722" t="str">
            <v>P</v>
          </cell>
        </row>
        <row r="1723">
          <cell r="A1723" t="str">
            <v>1750593091</v>
          </cell>
          <cell r="B1723" t="str">
            <v>03191086</v>
          </cell>
          <cell r="C1723" t="str">
            <v>HENRY, ERICA D</v>
          </cell>
          <cell r="D1723" t="str">
            <v>E0303433</v>
          </cell>
          <cell r="E1723" t="str">
            <v>HENRY ERICA DENISE</v>
          </cell>
          <cell r="G1723" t="str">
            <v>Kathryn Spaziani</v>
          </cell>
          <cell r="H1723" t="str">
            <v>(212) 305-1190</v>
          </cell>
          <cell r="J1723" t="str">
            <v>kas9171@nyp.org</v>
          </cell>
          <cell r="L1723" t="str">
            <v>Practitioner - Non-Primary Care Provider (PCP)</v>
          </cell>
          <cell r="M1723" t="str">
            <v>Yes</v>
          </cell>
          <cell r="R1723" t="str">
            <v>HENRY ERICA MS.</v>
          </cell>
          <cell r="W1723" t="str">
            <v>HENRY ERICA DENISE</v>
          </cell>
          <cell r="X1723" t="str">
            <v>99 TERRACE VIEW AVE</v>
          </cell>
          <cell r="Y1723" t="str">
            <v>BRONX</v>
          </cell>
          <cell r="Z1723" t="str">
            <v>NY</v>
          </cell>
          <cell r="AA1723" t="str">
            <v>10463-5079</v>
          </cell>
          <cell r="AB1723" t="str">
            <v>PHYSICIAN</v>
          </cell>
          <cell r="AC1723" t="str">
            <v>M</v>
          </cell>
          <cell r="AD1723" t="str">
            <v>No</v>
          </cell>
          <cell r="AE1723" t="str">
            <v>MMIS</v>
          </cell>
          <cell r="AF1723" t="str">
            <v>nypwestacn</v>
          </cell>
          <cell r="AG1723" t="str">
            <v>P</v>
          </cell>
        </row>
        <row r="1724">
          <cell r="A1724" t="str">
            <v>1134422330</v>
          </cell>
          <cell r="C1724" t="str">
            <v>WEILL MEDICAL COLLEGE OF CORNELL</v>
          </cell>
          <cell r="K1724" t="str">
            <v>All Other</v>
          </cell>
          <cell r="L1724" t="str">
            <v>Uncategorized</v>
          </cell>
          <cell r="M1724" t="str">
            <v>No</v>
          </cell>
          <cell r="R1724" t="str">
            <v>WEILL MEDICAL COLLEGE OF CORNELL</v>
          </cell>
          <cell r="S1724" t="str">
            <v>525 E 68TH ST, BOX 585</v>
          </cell>
          <cell r="T1724" t="str">
            <v>NEW YORK</v>
          </cell>
          <cell r="U1724" t="str">
            <v>NY</v>
          </cell>
          <cell r="V1724" t="str">
            <v>100654870</v>
          </cell>
          <cell r="AC1724" t="str">
            <v>M</v>
          </cell>
          <cell r="AD1724" t="str">
            <v>No</v>
          </cell>
          <cell r="AE1724" t="str">
            <v>NPI only</v>
          </cell>
          <cell r="AG1724" t="str">
            <v>P</v>
          </cell>
        </row>
        <row r="1725">
          <cell r="A1725" t="str">
            <v>1205882586</v>
          </cell>
          <cell r="B1725" t="str">
            <v>02424019</v>
          </cell>
          <cell r="C1725" t="str">
            <v>WEILL MEDICAL COLLEGE OF CORNELL</v>
          </cell>
          <cell r="D1725" t="str">
            <v>E0057729</v>
          </cell>
          <cell r="E1725" t="str">
            <v>CORNELL UNIVERSITY MED CLGE</v>
          </cell>
          <cell r="L1725" t="str">
            <v>All Other</v>
          </cell>
          <cell r="M1725" t="str">
            <v>No</v>
          </cell>
          <cell r="R1725" t="str">
            <v>WEILL MEDICAL COLLEGE OF CORNELL</v>
          </cell>
          <cell r="W1725" t="str">
            <v>WEILL MEDICAL COLLEGE OF CORNELL</v>
          </cell>
          <cell r="X1725" t="str">
            <v>525 E 68TH ST</v>
          </cell>
          <cell r="Y1725" t="str">
            <v>NEW YORK</v>
          </cell>
          <cell r="Z1725" t="str">
            <v>NY</v>
          </cell>
          <cell r="AA1725" t="str">
            <v>10065-4870</v>
          </cell>
          <cell r="AB1725" t="str">
            <v>PHYSICIANS GROUP</v>
          </cell>
          <cell r="AC1725" t="str">
            <v>M</v>
          </cell>
          <cell r="AD1725" t="str">
            <v>No</v>
          </cell>
          <cell r="AE1725" t="str">
            <v>MMIS</v>
          </cell>
          <cell r="AG1725" t="str">
            <v>P</v>
          </cell>
        </row>
        <row r="1726">
          <cell r="A1726" t="str">
            <v>1275677395</v>
          </cell>
          <cell r="B1726" t="str">
            <v>01456688</v>
          </cell>
          <cell r="C1726" t="str">
            <v>WEILL MEDICAL COLLEGE OF CORNELL</v>
          </cell>
          <cell r="D1726" t="str">
            <v>E0154314</v>
          </cell>
          <cell r="E1726" t="str">
            <v>CORNELL UNIVERSITY MEDICAL CO</v>
          </cell>
          <cell r="L1726" t="str">
            <v>All Other</v>
          </cell>
          <cell r="M1726" t="str">
            <v>No</v>
          </cell>
          <cell r="R1726" t="str">
            <v>WEILL MEDICAL COLLEGE OF CORNELL</v>
          </cell>
          <cell r="W1726" t="str">
            <v>WEILL MEDICAL COLLEGE OF CORNELL</v>
          </cell>
          <cell r="X1726" t="str">
            <v># STARR-455</v>
          </cell>
          <cell r="Y1726" t="str">
            <v>NEW YORK</v>
          </cell>
          <cell r="Z1726" t="str">
            <v>NY</v>
          </cell>
          <cell r="AA1726" t="str">
            <v>10021-4872</v>
          </cell>
          <cell r="AB1726" t="str">
            <v>PHYSICIANS GROUP</v>
          </cell>
          <cell r="AC1726" t="str">
            <v>M</v>
          </cell>
          <cell r="AD1726" t="str">
            <v>No</v>
          </cell>
          <cell r="AE1726" t="str">
            <v>MMIS</v>
          </cell>
          <cell r="AG1726" t="str">
            <v>P</v>
          </cell>
        </row>
        <row r="1727">
          <cell r="A1727" t="str">
            <v>1285742122</v>
          </cell>
          <cell r="C1727" t="str">
            <v>WEILL MEDICAL COLLEGE OF CORNELL</v>
          </cell>
          <cell r="K1727" t="str">
            <v>All Other</v>
          </cell>
          <cell r="L1727" t="str">
            <v>Uncategorized</v>
          </cell>
          <cell r="M1727" t="str">
            <v>No</v>
          </cell>
          <cell r="R1727" t="str">
            <v>WEILL MEDICAL COLLEGE OF CORNELL</v>
          </cell>
          <cell r="S1727" t="str">
            <v>525 E 68TH ST, ST. 505</v>
          </cell>
          <cell r="T1727" t="str">
            <v>NEW YORK</v>
          </cell>
          <cell r="U1727" t="str">
            <v>NY</v>
          </cell>
          <cell r="V1727" t="str">
            <v>100214870</v>
          </cell>
          <cell r="AC1727" t="str">
            <v>M</v>
          </cell>
          <cell r="AD1727" t="str">
            <v>No</v>
          </cell>
          <cell r="AE1727" t="str">
            <v>NPI only</v>
          </cell>
          <cell r="AG1727" t="str">
            <v>P</v>
          </cell>
        </row>
        <row r="1728">
          <cell r="A1728" t="str">
            <v>1306959671</v>
          </cell>
          <cell r="B1728" t="str">
            <v>03128214</v>
          </cell>
          <cell r="C1728" t="str">
            <v>WEILL MEDICAL COLLEGE OF CORNELL</v>
          </cell>
          <cell r="D1728" t="str">
            <v>E0296361</v>
          </cell>
          <cell r="E1728" t="str">
            <v>WEILL MED COLLEGE OF CORNELL UNIV</v>
          </cell>
          <cell r="L1728" t="str">
            <v>All Other</v>
          </cell>
          <cell r="M1728" t="str">
            <v>No</v>
          </cell>
          <cell r="R1728" t="str">
            <v>WEILL MEDICAL COLLEGE OF CORNELL</v>
          </cell>
          <cell r="W1728" t="str">
            <v>WEILL MEDICAL COLLEGE OF CORNELL</v>
          </cell>
          <cell r="X1728" t="str">
            <v>525 E 68TH ST</v>
          </cell>
          <cell r="Y1728" t="str">
            <v>NEW YORK</v>
          </cell>
          <cell r="Z1728" t="str">
            <v>NY</v>
          </cell>
          <cell r="AA1728" t="str">
            <v>10065-4870</v>
          </cell>
          <cell r="AB1728" t="str">
            <v>PHYSICIANS GROUP</v>
          </cell>
          <cell r="AC1728" t="str">
            <v>M</v>
          </cell>
          <cell r="AD1728" t="str">
            <v>No</v>
          </cell>
          <cell r="AE1728" t="str">
            <v>MMIS</v>
          </cell>
          <cell r="AG1728" t="str">
            <v>P</v>
          </cell>
        </row>
        <row r="1729">
          <cell r="A1729" t="str">
            <v>1053635144</v>
          </cell>
          <cell r="B1729" t="str">
            <v>03919977</v>
          </cell>
          <cell r="C1729" t="str">
            <v>Lee Ka-Eun</v>
          </cell>
          <cell r="D1729" t="str">
            <v>E0383165</v>
          </cell>
          <cell r="E1729" t="str">
            <v>LEE KA-EUN</v>
          </cell>
          <cell r="L1729" t="str">
            <v>All Other:: Practitioner - Non-Primary Care Provider (PCP)</v>
          </cell>
          <cell r="M1729" t="str">
            <v>No</v>
          </cell>
          <cell r="R1729" t="str">
            <v>LEE KA-EUN</v>
          </cell>
          <cell r="W1729" t="str">
            <v>LEE KA-EUN MELISSA</v>
          </cell>
          <cell r="X1729" t="str">
            <v>622 W 168TH ST</v>
          </cell>
          <cell r="Y1729" t="str">
            <v>NEW YORK</v>
          </cell>
          <cell r="Z1729" t="str">
            <v>NY</v>
          </cell>
          <cell r="AA1729" t="str">
            <v>10032-3720</v>
          </cell>
          <cell r="AB1729" t="str">
            <v>PHYSICIAN</v>
          </cell>
          <cell r="AC1729" t="str">
            <v>M</v>
          </cell>
          <cell r="AD1729" t="str">
            <v>No</v>
          </cell>
          <cell r="AE1729" t="str">
            <v>MMIS</v>
          </cell>
          <cell r="AF1729" t="str">
            <v>nypwestcampus</v>
          </cell>
          <cell r="AG1729" t="str">
            <v>P</v>
          </cell>
        </row>
        <row r="1730">
          <cell r="A1730" t="str">
            <v>1669401584</v>
          </cell>
          <cell r="B1730" t="str">
            <v>01205554</v>
          </cell>
          <cell r="C1730" t="str">
            <v>Stancato-Pasik Agata</v>
          </cell>
          <cell r="D1730" t="str">
            <v>E0179335</v>
          </cell>
          <cell r="E1730" t="str">
            <v>STANCATO-PASIK AGATA  MD</v>
          </cell>
          <cell r="L1730" t="str">
            <v>All Other:: Practitioner - Non-Primary Care Provider (PCP)</v>
          </cell>
          <cell r="M1730" t="str">
            <v>No</v>
          </cell>
          <cell r="R1730" t="str">
            <v>STANCATO-PASIK AGATA</v>
          </cell>
          <cell r="W1730" t="str">
            <v>STANCATO-PASIK AGATA  MD</v>
          </cell>
          <cell r="X1730" t="str">
            <v>1176 FIFTH AVE</v>
          </cell>
          <cell r="Y1730" t="str">
            <v>NEW YORK</v>
          </cell>
          <cell r="Z1730" t="str">
            <v>NY</v>
          </cell>
          <cell r="AA1730" t="str">
            <v>10087-0001</v>
          </cell>
          <cell r="AB1730" t="str">
            <v>PHYSICIAN</v>
          </cell>
          <cell r="AC1730" t="str">
            <v>M</v>
          </cell>
          <cell r="AD1730" t="str">
            <v>No</v>
          </cell>
          <cell r="AE1730" t="str">
            <v>MMIS</v>
          </cell>
          <cell r="AF1730" t="str">
            <v>nypwestcampus</v>
          </cell>
          <cell r="AG1730" t="str">
            <v>P</v>
          </cell>
        </row>
        <row r="1731">
          <cell r="A1731" t="str">
            <v>1124136338</v>
          </cell>
          <cell r="B1731" t="str">
            <v>02208359</v>
          </cell>
          <cell r="C1731" t="str">
            <v>Gobin Yves</v>
          </cell>
          <cell r="D1731" t="str">
            <v>E0079250</v>
          </cell>
          <cell r="E1731" t="str">
            <v>GOBIN YVES PIERRE MD</v>
          </cell>
          <cell r="L1731" t="str">
            <v>All Other:: Practitioner - Non-Primary Care Provider (PCP)</v>
          </cell>
          <cell r="M1731" t="str">
            <v>No</v>
          </cell>
          <cell r="R1731" t="str">
            <v>GOBIN YVES</v>
          </cell>
          <cell r="W1731" t="str">
            <v>GOBIN YVES PIERRE MD</v>
          </cell>
          <cell r="X1731" t="str">
            <v>NYH-CUMC RADIOLOGY G</v>
          </cell>
          <cell r="Y1731" t="str">
            <v>NEW YORK</v>
          </cell>
          <cell r="Z1731" t="str">
            <v>NY</v>
          </cell>
          <cell r="AA1731" t="str">
            <v>10065-4870</v>
          </cell>
          <cell r="AB1731" t="str">
            <v>PHYSICIAN</v>
          </cell>
          <cell r="AC1731" t="str">
            <v>M</v>
          </cell>
          <cell r="AD1731" t="str">
            <v>No</v>
          </cell>
          <cell r="AE1731" t="str">
            <v>MMIS</v>
          </cell>
          <cell r="AF1731" t="str">
            <v>nypwestcampus</v>
          </cell>
          <cell r="AG1731" t="str">
            <v>P</v>
          </cell>
        </row>
        <row r="1732">
          <cell r="A1732" t="str">
            <v>1033119458</v>
          </cell>
          <cell r="B1732" t="str">
            <v>02190036</v>
          </cell>
          <cell r="C1732" t="str">
            <v>Meyers Philip</v>
          </cell>
          <cell r="D1732" t="str">
            <v>E0081077</v>
          </cell>
          <cell r="E1732" t="str">
            <v>MEYERS PHILIP M MD</v>
          </cell>
          <cell r="L1732" t="str">
            <v>All Other:: Practitioner - Non-Primary Care Provider (PCP)</v>
          </cell>
          <cell r="M1732" t="str">
            <v>No</v>
          </cell>
          <cell r="R1732" t="str">
            <v>MEYERS PHILIP</v>
          </cell>
          <cell r="W1732" t="str">
            <v>MEYERS PHILIP M MD</v>
          </cell>
          <cell r="X1732" t="str">
            <v>NY PRESBYTERIAN HOSP</v>
          </cell>
          <cell r="Y1732" t="str">
            <v>NEW YORK</v>
          </cell>
          <cell r="Z1732" t="str">
            <v>NY</v>
          </cell>
          <cell r="AA1732" t="str">
            <v>10032-3720</v>
          </cell>
          <cell r="AB1732" t="str">
            <v>PHYSICIAN</v>
          </cell>
          <cell r="AC1732" t="str">
            <v>M</v>
          </cell>
          <cell r="AD1732" t="str">
            <v>No</v>
          </cell>
          <cell r="AE1732" t="str">
            <v>MMIS</v>
          </cell>
          <cell r="AF1732" t="str">
            <v>nypwestcampus</v>
          </cell>
          <cell r="AG1732" t="str">
            <v>P</v>
          </cell>
        </row>
        <row r="1733">
          <cell r="A1733" t="str">
            <v>1881859395</v>
          </cell>
          <cell r="B1733" t="str">
            <v>03652348</v>
          </cell>
          <cell r="C1733" t="str">
            <v>Chheang Sophie</v>
          </cell>
          <cell r="D1733" t="str">
            <v>E0355705</v>
          </cell>
          <cell r="E1733" t="str">
            <v>CHHEANG SOPHIE</v>
          </cell>
          <cell r="L1733" t="str">
            <v>All Other:: Practitioner - Non-Primary Care Provider (PCP)</v>
          </cell>
          <cell r="M1733" t="str">
            <v>No</v>
          </cell>
          <cell r="R1733" t="str">
            <v>CHHEANG SOPHIE</v>
          </cell>
          <cell r="W1733" t="str">
            <v>CHHEANG SOPHIE</v>
          </cell>
          <cell r="X1733" t="str">
            <v>622 W 168TH ST</v>
          </cell>
          <cell r="Y1733" t="str">
            <v>NEW YORK</v>
          </cell>
          <cell r="Z1733" t="str">
            <v>NY</v>
          </cell>
          <cell r="AA1733" t="str">
            <v>10032-3720</v>
          </cell>
          <cell r="AB1733" t="str">
            <v>PHYSICIAN</v>
          </cell>
          <cell r="AC1733" t="str">
            <v>M</v>
          </cell>
          <cell r="AD1733" t="str">
            <v>No</v>
          </cell>
          <cell r="AE1733" t="str">
            <v>MMIS</v>
          </cell>
          <cell r="AF1733" t="str">
            <v>nypwestcampus</v>
          </cell>
          <cell r="AG1733" t="str">
            <v>P</v>
          </cell>
        </row>
        <row r="1734">
          <cell r="A1734" t="str">
            <v>1417223975</v>
          </cell>
          <cell r="C1734" t="str">
            <v>Bassik Noy</v>
          </cell>
          <cell r="G1734" t="str">
            <v>Kathryn Spaziani</v>
          </cell>
          <cell r="H1734" t="str">
            <v>(212) 305-1255</v>
          </cell>
          <cell r="J1734" t="str">
            <v>kas9171@nyp.org</v>
          </cell>
          <cell r="K1734" t="str">
            <v>Physician</v>
          </cell>
          <cell r="L1734" t="str">
            <v>Uncategorized</v>
          </cell>
          <cell r="M1734" t="str">
            <v>No</v>
          </cell>
          <cell r="R1734" t="str">
            <v>BASSIK NOY</v>
          </cell>
          <cell r="S1734" t="str">
            <v>525 E 68TH ST, BOX 141 ATTENTION: RADIOLOGY RESIDENCY</v>
          </cell>
          <cell r="T1734" t="str">
            <v>NEW YORK</v>
          </cell>
          <cell r="U1734" t="str">
            <v>NY</v>
          </cell>
          <cell r="V1734" t="str">
            <v>100654870</v>
          </cell>
          <cell r="AC1734" t="str">
            <v>M</v>
          </cell>
          <cell r="AD1734" t="str">
            <v>No</v>
          </cell>
          <cell r="AE1734" t="str">
            <v>NPI only</v>
          </cell>
          <cell r="AF1734" t="str">
            <v>nypeastcampus</v>
          </cell>
          <cell r="AG1734" t="str">
            <v>P</v>
          </cell>
        </row>
        <row r="1735">
          <cell r="A1735" t="str">
            <v>1265876445</v>
          </cell>
          <cell r="C1735" t="str">
            <v>Bratt Alexander</v>
          </cell>
          <cell r="G1735" t="str">
            <v>Kathryn Spaziani</v>
          </cell>
          <cell r="H1735" t="str">
            <v>(212) 305-1255</v>
          </cell>
          <cell r="J1735" t="str">
            <v>kas9171@nyp.org</v>
          </cell>
          <cell r="K1735" t="str">
            <v>Physician</v>
          </cell>
          <cell r="L1735" t="str">
            <v>Uncategorized</v>
          </cell>
          <cell r="M1735" t="str">
            <v>No</v>
          </cell>
          <cell r="R1735" t="str">
            <v>BRATT ALEXANDER MR.</v>
          </cell>
          <cell r="S1735" t="str">
            <v>525 E 68TH ST</v>
          </cell>
          <cell r="T1735" t="str">
            <v>NEW YORK</v>
          </cell>
          <cell r="U1735" t="str">
            <v>NY</v>
          </cell>
          <cell r="V1735" t="str">
            <v>100654870</v>
          </cell>
          <cell r="AC1735" t="str">
            <v>M</v>
          </cell>
          <cell r="AD1735" t="str">
            <v>No</v>
          </cell>
          <cell r="AE1735" t="str">
            <v>NPI only</v>
          </cell>
          <cell r="AF1735" t="str">
            <v>nypeastcampus</v>
          </cell>
          <cell r="AG1735" t="str">
            <v>P</v>
          </cell>
        </row>
        <row r="1736">
          <cell r="A1736" t="str">
            <v>1851659205</v>
          </cell>
          <cell r="C1736" t="str">
            <v>Pandey Nisheeth</v>
          </cell>
          <cell r="G1736" t="str">
            <v>Kathryn Spaziani</v>
          </cell>
          <cell r="H1736" t="str">
            <v>(212) 305-1255</v>
          </cell>
          <cell r="J1736" t="str">
            <v>kas9171@nyp.org</v>
          </cell>
          <cell r="K1736" t="str">
            <v>Physician</v>
          </cell>
          <cell r="L1736" t="str">
            <v>Uncategorized</v>
          </cell>
          <cell r="M1736" t="str">
            <v>No</v>
          </cell>
          <cell r="R1736" t="str">
            <v>PANDEY NISHEETH MR.</v>
          </cell>
          <cell r="S1736" t="str">
            <v>622 W 168TH ST, PH5-133 STEM</v>
          </cell>
          <cell r="T1736" t="str">
            <v>NEW YORK</v>
          </cell>
          <cell r="U1736" t="str">
            <v>NY</v>
          </cell>
          <cell r="V1736" t="str">
            <v>100323720</v>
          </cell>
          <cell r="AC1736" t="str">
            <v>M</v>
          </cell>
          <cell r="AD1736" t="str">
            <v>No</v>
          </cell>
          <cell r="AE1736" t="str">
            <v>NPI only</v>
          </cell>
          <cell r="AF1736" t="str">
            <v>nypwestcampus</v>
          </cell>
          <cell r="AG1736" t="str">
            <v>P</v>
          </cell>
        </row>
        <row r="1737">
          <cell r="A1737" t="str">
            <v>1043297195</v>
          </cell>
          <cell r="B1737" t="str">
            <v>03398881</v>
          </cell>
          <cell r="C1737" t="str">
            <v>WYNN, RALPH</v>
          </cell>
          <cell r="D1737" t="str">
            <v>E0327713</v>
          </cell>
          <cell r="E1737" t="str">
            <v>WYNN RALPH T</v>
          </cell>
          <cell r="G1737" t="str">
            <v>Kathryn Spaziani</v>
          </cell>
          <cell r="H1737" t="str">
            <v>(212) 305-1359</v>
          </cell>
          <cell r="J1737" t="str">
            <v>kas9171@nyp.org</v>
          </cell>
          <cell r="L1737" t="str">
            <v>All Other:: Practitioner - Non-Primary Care Provider (PCP)</v>
          </cell>
          <cell r="M1737" t="str">
            <v>No</v>
          </cell>
          <cell r="R1737" t="str">
            <v>WYNN RALPH</v>
          </cell>
          <cell r="W1737" t="str">
            <v>WYNN RALPH T</v>
          </cell>
          <cell r="X1737" t="str">
            <v>622 W 168TH ST</v>
          </cell>
          <cell r="Y1737" t="str">
            <v>NEW YORK</v>
          </cell>
          <cell r="Z1737" t="str">
            <v>NY</v>
          </cell>
          <cell r="AA1737" t="str">
            <v>10032-3720</v>
          </cell>
          <cell r="AB1737" t="str">
            <v>PHYSICIAN</v>
          </cell>
          <cell r="AC1737" t="str">
            <v>M</v>
          </cell>
          <cell r="AD1737" t="str">
            <v>No</v>
          </cell>
          <cell r="AE1737" t="str">
            <v>MMIS</v>
          </cell>
          <cell r="AF1737" t="str">
            <v>nypwestcampus</v>
          </cell>
          <cell r="AG1737" t="str">
            <v>P</v>
          </cell>
        </row>
        <row r="1738">
          <cell r="A1738" t="str">
            <v>1790792638</v>
          </cell>
          <cell r="C1738" t="str">
            <v>CORNELL UNIVERSITY MEDICAL COLLEGE</v>
          </cell>
          <cell r="K1738" t="str">
            <v>All Other</v>
          </cell>
          <cell r="L1738" t="str">
            <v>Uncategorized</v>
          </cell>
          <cell r="M1738" t="str">
            <v>No</v>
          </cell>
          <cell r="R1738" t="str">
            <v>CORNELL UNIVERSITY MEDICAL COLLEGE</v>
          </cell>
          <cell r="S1738" t="str">
            <v>525 E 68TH ST, SUITE M014</v>
          </cell>
          <cell r="T1738" t="str">
            <v>NEW YORK</v>
          </cell>
          <cell r="U1738" t="str">
            <v>NY</v>
          </cell>
          <cell r="V1738" t="str">
            <v>100214870</v>
          </cell>
          <cell r="AC1738" t="str">
            <v>M</v>
          </cell>
          <cell r="AD1738" t="str">
            <v>No</v>
          </cell>
          <cell r="AE1738" t="str">
            <v>NPI only</v>
          </cell>
          <cell r="AG1738" t="str">
            <v>P</v>
          </cell>
        </row>
        <row r="1739">
          <cell r="A1739" t="str">
            <v>1932116886</v>
          </cell>
          <cell r="C1739" t="str">
            <v>CORNELL UNIVERSITY MEDICAL COLLEGE</v>
          </cell>
          <cell r="K1739" t="str">
            <v>All Other</v>
          </cell>
          <cell r="L1739" t="str">
            <v>Uncategorized</v>
          </cell>
          <cell r="M1739" t="str">
            <v>No</v>
          </cell>
          <cell r="R1739" t="str">
            <v>CORNELL UNIVERSITY MEDICAL COLLEGE</v>
          </cell>
          <cell r="S1739" t="str">
            <v>525 E 68TH ST, SUITE M014</v>
          </cell>
          <cell r="T1739" t="str">
            <v>NEW YORK</v>
          </cell>
          <cell r="U1739" t="str">
            <v>NY</v>
          </cell>
          <cell r="V1739" t="str">
            <v>100214870</v>
          </cell>
          <cell r="AC1739" t="str">
            <v>M</v>
          </cell>
          <cell r="AD1739" t="str">
            <v>No</v>
          </cell>
          <cell r="AE1739" t="str">
            <v>NPI only</v>
          </cell>
          <cell r="AG1739" t="str">
            <v>P</v>
          </cell>
        </row>
        <row r="1740">
          <cell r="A1740" t="str">
            <v>1235246232</v>
          </cell>
          <cell r="C1740" t="str">
            <v>WEILL MEDICAL COLLEGE OF CORNELL UNIVERSITY</v>
          </cell>
          <cell r="K1740" t="str">
            <v>All Other</v>
          </cell>
          <cell r="L1740" t="str">
            <v>Uncategorized</v>
          </cell>
          <cell r="M1740" t="str">
            <v>No</v>
          </cell>
          <cell r="R1740" t="str">
            <v>WEILL MEDICAL COLLEGE OF CORNELL UNIVERSITY</v>
          </cell>
          <cell r="S1740" t="str">
            <v>525 E 68TH ST, F838A S.PELTON</v>
          </cell>
          <cell r="T1740" t="str">
            <v>NEW YORK</v>
          </cell>
          <cell r="U1740" t="str">
            <v>NY</v>
          </cell>
          <cell r="V1740" t="str">
            <v>100214870</v>
          </cell>
          <cell r="AC1740" t="str">
            <v>M</v>
          </cell>
          <cell r="AD1740" t="str">
            <v>No</v>
          </cell>
          <cell r="AE1740" t="str">
            <v>NPI only</v>
          </cell>
          <cell r="AG1740" t="str">
            <v>P</v>
          </cell>
        </row>
        <row r="1741">
          <cell r="A1741" t="str">
            <v>1235481110</v>
          </cell>
          <cell r="B1741" t="str">
            <v>03520261</v>
          </cell>
          <cell r="C1741" t="str">
            <v>CAMPBELL, MELANIE</v>
          </cell>
          <cell r="D1741" t="str">
            <v>E0341732</v>
          </cell>
          <cell r="E1741" t="str">
            <v>CAMPBELL MELANIE ELIZABETH</v>
          </cell>
          <cell r="G1741" t="str">
            <v>Kathryn Spaziani</v>
          </cell>
          <cell r="H1741" t="str">
            <v>(212) 305-1206</v>
          </cell>
          <cell r="J1741" t="str">
            <v>kas9171@nyp.org</v>
          </cell>
          <cell r="L1741" t="str">
            <v>All Other:: Practitioner - Non-Primary Care Provider (PCP)</v>
          </cell>
          <cell r="M1741" t="str">
            <v>No</v>
          </cell>
          <cell r="R1741" t="str">
            <v>CAMPBELL MELANIE</v>
          </cell>
          <cell r="W1741" t="str">
            <v>CAMPBELL MELANIE ELIZABETH</v>
          </cell>
          <cell r="X1741" t="str">
            <v>161 FORT WASHINGTON AVE FL 2</v>
          </cell>
          <cell r="Y1741" t="str">
            <v>NEW YORK</v>
          </cell>
          <cell r="Z1741" t="str">
            <v>NY</v>
          </cell>
          <cell r="AA1741" t="str">
            <v>10032-3729</v>
          </cell>
          <cell r="AB1741" t="str">
            <v>PHYSICIAN</v>
          </cell>
          <cell r="AC1741" t="str">
            <v>M</v>
          </cell>
          <cell r="AD1741" t="str">
            <v>No</v>
          </cell>
          <cell r="AE1741" t="str">
            <v>MMIS</v>
          </cell>
          <cell r="AF1741" t="str">
            <v>nypwestcampus</v>
          </cell>
          <cell r="AG1741" t="str">
            <v>P</v>
          </cell>
        </row>
        <row r="1742">
          <cell r="A1742" t="str">
            <v>1689688319</v>
          </cell>
          <cell r="B1742" t="str">
            <v>01251523</v>
          </cell>
          <cell r="C1742" t="str">
            <v>Khilnani Neil</v>
          </cell>
          <cell r="D1742" t="str">
            <v>E0174753</v>
          </cell>
          <cell r="E1742" t="str">
            <v>KHILNANI NEIL M MD</v>
          </cell>
          <cell r="L1742" t="str">
            <v>All Other:: Practitioner - Non-Primary Care Provider (PCP)</v>
          </cell>
          <cell r="M1742" t="str">
            <v>No</v>
          </cell>
          <cell r="R1742" t="str">
            <v>KHILNANI NEIL</v>
          </cell>
          <cell r="W1742" t="str">
            <v>KHILNANI NEIL M MD</v>
          </cell>
          <cell r="Y1742" t="str">
            <v>NEW YORK</v>
          </cell>
          <cell r="Z1742" t="str">
            <v>NY</v>
          </cell>
          <cell r="AA1742" t="str">
            <v>10032-3720</v>
          </cell>
          <cell r="AB1742" t="str">
            <v>PHYSICIAN</v>
          </cell>
          <cell r="AC1742" t="str">
            <v>M</v>
          </cell>
          <cell r="AD1742" t="str">
            <v>No</v>
          </cell>
          <cell r="AE1742" t="str">
            <v>MMIS</v>
          </cell>
          <cell r="AF1742" t="str">
            <v>nypeastcampus</v>
          </cell>
          <cell r="AG1742" t="str">
            <v>P</v>
          </cell>
        </row>
        <row r="1743">
          <cell r="A1743" t="str">
            <v>1801037213</v>
          </cell>
          <cell r="B1743" t="str">
            <v>03589535</v>
          </cell>
          <cell r="C1743" t="str">
            <v>Li David</v>
          </cell>
          <cell r="D1743" t="str">
            <v>E0349105</v>
          </cell>
          <cell r="E1743" t="str">
            <v>LI DAVID</v>
          </cell>
          <cell r="L1743" t="str">
            <v>All Other:: Practitioner - Non-Primary Care Provider (PCP)</v>
          </cell>
          <cell r="M1743" t="str">
            <v>No</v>
          </cell>
          <cell r="R1743" t="str">
            <v>LI DAVID DR.</v>
          </cell>
          <cell r="W1743" t="str">
            <v>LI DAVID</v>
          </cell>
          <cell r="X1743" t="str">
            <v>525 E 68TH ST</v>
          </cell>
          <cell r="Y1743" t="str">
            <v>NEW YORK</v>
          </cell>
          <cell r="Z1743" t="str">
            <v>NY</v>
          </cell>
          <cell r="AA1743" t="str">
            <v>10065-4870</v>
          </cell>
          <cell r="AB1743" t="str">
            <v>PHYSICIAN</v>
          </cell>
          <cell r="AC1743" t="str">
            <v>M</v>
          </cell>
          <cell r="AD1743" t="str">
            <v>No</v>
          </cell>
          <cell r="AE1743" t="str">
            <v>MMIS</v>
          </cell>
          <cell r="AF1743" t="str">
            <v>nypeastcampus</v>
          </cell>
          <cell r="AG1743" t="str">
            <v>P</v>
          </cell>
        </row>
        <row r="1744">
          <cell r="A1744" t="str">
            <v>1295995108</v>
          </cell>
          <cell r="B1744" t="str">
            <v>03919495</v>
          </cell>
          <cell r="C1744" t="str">
            <v>Mehta Alpesh</v>
          </cell>
          <cell r="D1744" t="str">
            <v>E0383117</v>
          </cell>
          <cell r="E1744" t="str">
            <v>MEHTA ALPESH</v>
          </cell>
          <cell r="L1744" t="str">
            <v>All Other:: Practitioner - Non-Primary Care Provider (PCP)</v>
          </cell>
          <cell r="M1744" t="str">
            <v>No</v>
          </cell>
          <cell r="R1744" t="str">
            <v>MEHTA ALPESH</v>
          </cell>
          <cell r="W1744" t="str">
            <v>MEHTA ALPESH ASHWIN</v>
          </cell>
          <cell r="X1744" t="str">
            <v>622 W 168TH ST</v>
          </cell>
          <cell r="Y1744" t="str">
            <v>NEW YORK</v>
          </cell>
          <cell r="Z1744" t="str">
            <v>NY</v>
          </cell>
          <cell r="AA1744" t="str">
            <v>10032-3720</v>
          </cell>
          <cell r="AB1744" t="str">
            <v>PHYSICIAN</v>
          </cell>
          <cell r="AC1744" t="str">
            <v>M</v>
          </cell>
          <cell r="AD1744" t="str">
            <v>No</v>
          </cell>
          <cell r="AE1744" t="str">
            <v>MMIS</v>
          </cell>
          <cell r="AF1744" t="str">
            <v>nypwestcampus</v>
          </cell>
          <cell r="AG1744" t="str">
            <v>P</v>
          </cell>
        </row>
        <row r="1745">
          <cell r="A1745" t="str">
            <v>1649209560</v>
          </cell>
          <cell r="B1745" t="str">
            <v>00959480</v>
          </cell>
          <cell r="C1745" t="str">
            <v>Staron Ronald</v>
          </cell>
          <cell r="D1745" t="str">
            <v>E0203815</v>
          </cell>
          <cell r="E1745" t="str">
            <v>STARON RONALD B            MD</v>
          </cell>
          <cell r="L1745" t="str">
            <v>All Other:: Practitioner - Non-Primary Care Provider (PCP)</v>
          </cell>
          <cell r="M1745" t="str">
            <v>No</v>
          </cell>
          <cell r="R1745" t="str">
            <v>STARON RONALD</v>
          </cell>
          <cell r="W1745" t="str">
            <v>STARON RONALD B            MD</v>
          </cell>
          <cell r="Y1745" t="str">
            <v>NEW YORK</v>
          </cell>
          <cell r="Z1745" t="str">
            <v>NY</v>
          </cell>
          <cell r="AA1745" t="str">
            <v>10032-3720</v>
          </cell>
          <cell r="AB1745" t="str">
            <v>PHYSICIAN</v>
          </cell>
          <cell r="AC1745" t="str">
            <v>M</v>
          </cell>
          <cell r="AD1745" t="str">
            <v>No</v>
          </cell>
          <cell r="AE1745" t="str">
            <v>MMIS</v>
          </cell>
          <cell r="AF1745" t="str">
            <v>nypwestcampus</v>
          </cell>
          <cell r="AG1745" t="str">
            <v>P</v>
          </cell>
        </row>
        <row r="1746">
          <cell r="A1746" t="str">
            <v>1083647267</v>
          </cell>
          <cell r="B1746" t="str">
            <v>01899852</v>
          </cell>
          <cell r="C1746" t="str">
            <v>Hodges J</v>
          </cell>
          <cell r="D1746" t="str">
            <v>E0110062</v>
          </cell>
          <cell r="E1746" t="str">
            <v>HODGES JOANNE K MD</v>
          </cell>
          <cell r="L1746" t="str">
            <v>Practitioner - Non-Primary Care Provider (PCP)</v>
          </cell>
          <cell r="M1746" t="str">
            <v>No</v>
          </cell>
          <cell r="R1746" t="str">
            <v>HODGES JOANNE</v>
          </cell>
          <cell r="W1746" t="str">
            <v>HODGES JOANNE K MD</v>
          </cell>
          <cell r="X1746" t="str">
            <v>ASSOC IN EMERG SVCS</v>
          </cell>
          <cell r="Y1746" t="str">
            <v>NEW YORK</v>
          </cell>
          <cell r="Z1746" t="str">
            <v>NY</v>
          </cell>
          <cell r="AA1746" t="str">
            <v>10032-3720</v>
          </cell>
          <cell r="AB1746" t="str">
            <v>PHYSICIAN</v>
          </cell>
          <cell r="AC1746" t="str">
            <v>M</v>
          </cell>
          <cell r="AD1746" t="str">
            <v>No</v>
          </cell>
          <cell r="AE1746" t="str">
            <v>MMIS</v>
          </cell>
          <cell r="AF1746" t="str">
            <v>nypwestcampus</v>
          </cell>
          <cell r="AG1746" t="str">
            <v>P</v>
          </cell>
        </row>
        <row r="1747">
          <cell r="A1747" t="str">
            <v>1659379626</v>
          </cell>
          <cell r="B1747" t="str">
            <v>01599866</v>
          </cell>
          <cell r="C1747" t="str">
            <v>Abdo Farid</v>
          </cell>
          <cell r="D1747" t="str">
            <v>E0140023</v>
          </cell>
          <cell r="E1747" t="str">
            <v>ABDO FARID FAWZI MD</v>
          </cell>
          <cell r="L1747" t="str">
            <v>All Other:: Practitioner - Non-Primary Care Provider (PCP)</v>
          </cell>
          <cell r="M1747" t="str">
            <v>Yes</v>
          </cell>
          <cell r="R1747" t="str">
            <v>ABDO FARID</v>
          </cell>
          <cell r="W1747" t="str">
            <v>ABDO FARID FAWZI MD</v>
          </cell>
          <cell r="Y1747" t="str">
            <v>BRONX</v>
          </cell>
          <cell r="Z1747" t="str">
            <v>NY</v>
          </cell>
          <cell r="AA1747" t="str">
            <v>10451-5589</v>
          </cell>
          <cell r="AB1747" t="str">
            <v>PHYSICIAN</v>
          </cell>
          <cell r="AC1747" t="str">
            <v>M</v>
          </cell>
          <cell r="AD1747" t="str">
            <v>No</v>
          </cell>
          <cell r="AE1747" t="str">
            <v>MMIS</v>
          </cell>
          <cell r="AF1747" t="str">
            <v>nypeastcampus</v>
          </cell>
          <cell r="AG1747" t="str">
            <v>P</v>
          </cell>
        </row>
        <row r="1748">
          <cell r="A1748" t="str">
            <v>1023375813</v>
          </cell>
          <cell r="C1748" t="str">
            <v>Li Jinglan</v>
          </cell>
          <cell r="G1748" t="str">
            <v>Kathryn Spaziani</v>
          </cell>
          <cell r="H1748" t="str">
            <v>(212) 305-1255</v>
          </cell>
          <cell r="J1748" t="str">
            <v>kas9171@nyp.org</v>
          </cell>
          <cell r="K1748" t="str">
            <v>Physician</v>
          </cell>
          <cell r="L1748" t="str">
            <v>Uncategorized</v>
          </cell>
          <cell r="M1748" t="str">
            <v>No</v>
          </cell>
          <cell r="R1748" t="str">
            <v>LI JINGLAN</v>
          </cell>
          <cell r="S1748" t="str">
            <v>69 GOLD ST APT 4D</v>
          </cell>
          <cell r="T1748" t="str">
            <v>NEW YORK</v>
          </cell>
          <cell r="U1748" t="str">
            <v>NY</v>
          </cell>
          <cell r="V1748" t="str">
            <v>100381882</v>
          </cell>
          <cell r="AC1748" t="str">
            <v>M</v>
          </cell>
          <cell r="AD1748" t="str">
            <v>No</v>
          </cell>
          <cell r="AE1748" t="str">
            <v>NPI only</v>
          </cell>
          <cell r="AF1748" t="str">
            <v>nypeastcampus</v>
          </cell>
          <cell r="AG1748" t="str">
            <v>P</v>
          </cell>
        </row>
        <row r="1749">
          <cell r="A1749" t="str">
            <v>1649300039</v>
          </cell>
          <cell r="B1749" t="str">
            <v>02301480</v>
          </cell>
          <cell r="C1749" t="str">
            <v>Ahmad Aziz</v>
          </cell>
          <cell r="D1749" t="str">
            <v>E0069953</v>
          </cell>
          <cell r="E1749" t="str">
            <v>AHMAD AZIZ MD</v>
          </cell>
          <cell r="L1749" t="str">
            <v>All Other:: Practitioner - Non-Primary Care Provider (PCP)</v>
          </cell>
          <cell r="M1749" t="str">
            <v>No</v>
          </cell>
          <cell r="R1749" t="str">
            <v>AHMAD AZIZ</v>
          </cell>
          <cell r="W1749" t="str">
            <v>AHMAD AZIZ MD</v>
          </cell>
          <cell r="X1749" t="str">
            <v>RM 152</v>
          </cell>
          <cell r="Y1749" t="str">
            <v>BROOKLYN</v>
          </cell>
          <cell r="Z1749" t="str">
            <v>NY</v>
          </cell>
          <cell r="AA1749" t="str">
            <v>11235-7745</v>
          </cell>
          <cell r="AB1749" t="str">
            <v>PHYSICIAN</v>
          </cell>
          <cell r="AC1749" t="str">
            <v>M</v>
          </cell>
          <cell r="AD1749" t="str">
            <v>No</v>
          </cell>
          <cell r="AE1749" t="str">
            <v>MMIS</v>
          </cell>
          <cell r="AF1749" t="str">
            <v>nypwestcampus</v>
          </cell>
          <cell r="AG1749" t="str">
            <v>P</v>
          </cell>
        </row>
        <row r="1750">
          <cell r="A1750" t="str">
            <v>1568602167</v>
          </cell>
          <cell r="B1750" t="str">
            <v>03099218</v>
          </cell>
          <cell r="C1750" t="str">
            <v>Goss Cheryl</v>
          </cell>
          <cell r="D1750" t="str">
            <v>E0292955</v>
          </cell>
          <cell r="E1750" t="str">
            <v>GOSS CHERYL</v>
          </cell>
          <cell r="G1750" t="str">
            <v>Kathryn Spaziani</v>
          </cell>
          <cell r="H1750" t="str">
            <v>(212) 305-1238</v>
          </cell>
          <cell r="J1750" t="str">
            <v>kas9171@nyp.org</v>
          </cell>
          <cell r="L1750" t="str">
            <v>All Other:: Practitioner - Non-Primary Care Provider (PCP)</v>
          </cell>
          <cell r="M1750" t="str">
            <v>No</v>
          </cell>
          <cell r="R1750" t="str">
            <v>GOSS CHERYL DR.</v>
          </cell>
          <cell r="W1750" t="str">
            <v>GOSS CHERYL ANNE</v>
          </cell>
          <cell r="X1750" t="str">
            <v>1275 YORK AVE</v>
          </cell>
          <cell r="Y1750" t="str">
            <v>NEW YORK</v>
          </cell>
          <cell r="Z1750" t="str">
            <v>NY</v>
          </cell>
          <cell r="AA1750" t="str">
            <v>10065-6007</v>
          </cell>
          <cell r="AB1750" t="str">
            <v>PHYSICIAN</v>
          </cell>
          <cell r="AC1750" t="str">
            <v>M</v>
          </cell>
          <cell r="AD1750" t="str">
            <v>No</v>
          </cell>
          <cell r="AE1750" t="str">
            <v>MMIS</v>
          </cell>
          <cell r="AF1750" t="str">
            <v>nypeastcampus</v>
          </cell>
          <cell r="AG1750" t="str">
            <v>P</v>
          </cell>
        </row>
        <row r="1751">
          <cell r="A1751" t="str">
            <v>1285050443</v>
          </cell>
          <cell r="C1751" t="str">
            <v>Hayden Joshua</v>
          </cell>
          <cell r="G1751" t="str">
            <v>Kathryn Spaziani</v>
          </cell>
          <cell r="H1751" t="str">
            <v>(212) 305-1239</v>
          </cell>
          <cell r="J1751" t="str">
            <v>kas9171@nyp.org</v>
          </cell>
          <cell r="K1751" t="str">
            <v>Physician</v>
          </cell>
          <cell r="L1751" t="str">
            <v>Uncategorized</v>
          </cell>
          <cell r="M1751" t="str">
            <v>No</v>
          </cell>
          <cell r="R1751" t="str">
            <v>HAYDEN JOSHUA</v>
          </cell>
          <cell r="S1751" t="str">
            <v>1959 NE PACIFIC ST, NW120</v>
          </cell>
          <cell r="T1751" t="str">
            <v>SEATTLE</v>
          </cell>
          <cell r="U1751" t="str">
            <v>WA</v>
          </cell>
          <cell r="V1751" t="str">
            <v>981950001</v>
          </cell>
          <cell r="AC1751" t="str">
            <v>M</v>
          </cell>
          <cell r="AD1751" t="str">
            <v>No</v>
          </cell>
          <cell r="AE1751" t="str">
            <v>NPI only</v>
          </cell>
          <cell r="AF1751" t="str">
            <v>nypeastcampus</v>
          </cell>
          <cell r="AG1751" t="str">
            <v>P</v>
          </cell>
        </row>
        <row r="1752">
          <cell r="A1752" t="str">
            <v>1275549461</v>
          </cell>
          <cell r="C1752" t="str">
            <v>Graboff Dave</v>
          </cell>
          <cell r="G1752" t="str">
            <v>Kathryn Spaziani</v>
          </cell>
          <cell r="H1752" t="str">
            <v>(212) 305-1255</v>
          </cell>
          <cell r="J1752" t="str">
            <v>kas9171@nyp.org</v>
          </cell>
          <cell r="K1752" t="str">
            <v>Physician</v>
          </cell>
          <cell r="L1752" t="str">
            <v>Uncategorized</v>
          </cell>
          <cell r="M1752" t="str">
            <v>No</v>
          </cell>
          <cell r="R1752" t="str">
            <v>GRABOFF DAVID</v>
          </cell>
          <cell r="S1752" t="str">
            <v>1423 CHAPEL ST</v>
          </cell>
          <cell r="T1752" t="str">
            <v>NEW HAVEN</v>
          </cell>
          <cell r="U1752" t="str">
            <v>CT</v>
          </cell>
          <cell r="V1752" t="str">
            <v>06511</v>
          </cell>
          <cell r="AC1752" t="str">
            <v>M</v>
          </cell>
          <cell r="AD1752" t="str">
            <v>No</v>
          </cell>
          <cell r="AE1752" t="str">
            <v>NPI only</v>
          </cell>
          <cell r="AF1752" t="str">
            <v>nypeastcampus</v>
          </cell>
          <cell r="AG1752" t="str">
            <v>P</v>
          </cell>
        </row>
        <row r="1753">
          <cell r="A1753" t="str">
            <v>1740249184</v>
          </cell>
          <cell r="C1753" t="str">
            <v>Greco Michael</v>
          </cell>
          <cell r="G1753" t="str">
            <v>Kathryn Spaziani</v>
          </cell>
          <cell r="H1753" t="str">
            <v>(212) 305-1255</v>
          </cell>
          <cell r="J1753" t="str">
            <v>kas9171@nyp.org</v>
          </cell>
          <cell r="K1753" t="str">
            <v>Physician</v>
          </cell>
          <cell r="L1753" t="str">
            <v>Practitioner - Non-Primary Care Provider (PCP)</v>
          </cell>
          <cell r="M1753" t="str">
            <v>No</v>
          </cell>
          <cell r="R1753" t="str">
            <v>GRECO MICHAEL</v>
          </cell>
          <cell r="S1753" t="str">
            <v>1 GUSTAVE L LEVY PL, ANESTHESIOLOGY - BOX 1010</v>
          </cell>
          <cell r="T1753" t="str">
            <v>NEW YORK</v>
          </cell>
          <cell r="U1753" t="str">
            <v>NY</v>
          </cell>
          <cell r="V1753" t="str">
            <v>100296574</v>
          </cell>
          <cell r="AC1753" t="str">
            <v>M</v>
          </cell>
          <cell r="AD1753" t="str">
            <v>No</v>
          </cell>
          <cell r="AE1753" t="str">
            <v>NPI only</v>
          </cell>
          <cell r="AF1753" t="str">
            <v>nypeastcampus</v>
          </cell>
          <cell r="AG1753" t="str">
            <v>P</v>
          </cell>
        </row>
        <row r="1754">
          <cell r="A1754" t="str">
            <v>1689807950</v>
          </cell>
          <cell r="C1754" t="str">
            <v>Gschossmann Sonja</v>
          </cell>
          <cell r="G1754" t="str">
            <v>Kathryn Spaziani</v>
          </cell>
          <cell r="H1754" t="str">
            <v>(212) 305-1255</v>
          </cell>
          <cell r="J1754" t="str">
            <v>kas9171@nyp.org</v>
          </cell>
          <cell r="K1754" t="str">
            <v>Physician</v>
          </cell>
          <cell r="L1754" t="str">
            <v>Uncategorized</v>
          </cell>
          <cell r="M1754" t="str">
            <v>No</v>
          </cell>
          <cell r="R1754" t="str">
            <v>GSCHOSSMANN SONJA</v>
          </cell>
          <cell r="S1754" t="str">
            <v>525 E 68TH ST, BOX 124</v>
          </cell>
          <cell r="T1754" t="str">
            <v>NEW YORK</v>
          </cell>
          <cell r="U1754" t="str">
            <v>NY</v>
          </cell>
          <cell r="V1754" t="str">
            <v>100654870</v>
          </cell>
          <cell r="AC1754" t="str">
            <v>M</v>
          </cell>
          <cell r="AD1754" t="str">
            <v>No</v>
          </cell>
          <cell r="AE1754" t="str">
            <v>NPI only</v>
          </cell>
          <cell r="AF1754" t="str">
            <v>nypeastcampus</v>
          </cell>
          <cell r="AG1754" t="str">
            <v>P</v>
          </cell>
        </row>
        <row r="1755">
          <cell r="A1755" t="str">
            <v>1710998125</v>
          </cell>
          <cell r="B1755" t="str">
            <v>01673674</v>
          </cell>
          <cell r="C1755" t="str">
            <v>Gurvitch Dana</v>
          </cell>
          <cell r="D1755" t="str">
            <v>E0132650</v>
          </cell>
          <cell r="E1755" t="str">
            <v>GURVITCH DANA LYNN</v>
          </cell>
          <cell r="L1755" t="str">
            <v>All Other:: Practitioner - Non-Primary Care Provider (PCP)</v>
          </cell>
          <cell r="M1755" t="str">
            <v>No</v>
          </cell>
          <cell r="R1755" t="str">
            <v>GURVITCH DANA DR.</v>
          </cell>
          <cell r="W1755" t="str">
            <v>GURVITCH DANA LYNN</v>
          </cell>
          <cell r="X1755" t="str">
            <v>525 EAST 68TH STREET BOX 585</v>
          </cell>
          <cell r="Y1755" t="str">
            <v>NEW YORK</v>
          </cell>
          <cell r="Z1755" t="str">
            <v>NY</v>
          </cell>
          <cell r="AA1755" t="str">
            <v>10065-4870</v>
          </cell>
          <cell r="AB1755" t="str">
            <v>PHYSICIAN</v>
          </cell>
          <cell r="AC1755" t="str">
            <v>M</v>
          </cell>
          <cell r="AD1755" t="str">
            <v>No</v>
          </cell>
          <cell r="AE1755" t="str">
            <v>MMIS</v>
          </cell>
          <cell r="AF1755" t="str">
            <v>nypeastcampus</v>
          </cell>
          <cell r="AG1755" t="str">
            <v>P</v>
          </cell>
        </row>
        <row r="1756">
          <cell r="A1756" t="str">
            <v>1982792263</v>
          </cell>
          <cell r="B1756" t="str">
            <v>02634568</v>
          </cell>
          <cell r="C1756" t="str">
            <v>Gutzler Marcus</v>
          </cell>
          <cell r="D1756" t="str">
            <v>E0036704</v>
          </cell>
          <cell r="E1756" t="str">
            <v>GUTZLER MARCUS MD</v>
          </cell>
          <cell r="L1756" t="str">
            <v>All Other:: Practitioner - Non-Primary Care Provider (PCP)</v>
          </cell>
          <cell r="M1756" t="str">
            <v>No</v>
          </cell>
          <cell r="R1756" t="str">
            <v>GUTZLER MARCUS</v>
          </cell>
          <cell r="W1756" t="str">
            <v>GUTZLER MARCUS MD</v>
          </cell>
          <cell r="X1756" t="str">
            <v>525 E 68TH ST</v>
          </cell>
          <cell r="Y1756" t="str">
            <v>NEW YORK</v>
          </cell>
          <cell r="Z1756" t="str">
            <v>NY</v>
          </cell>
          <cell r="AA1756" t="str">
            <v>10065-4870</v>
          </cell>
          <cell r="AB1756" t="str">
            <v>PHYSICIAN</v>
          </cell>
          <cell r="AC1756" t="str">
            <v>M</v>
          </cell>
          <cell r="AD1756" t="str">
            <v>No</v>
          </cell>
          <cell r="AE1756" t="str">
            <v>MMIS</v>
          </cell>
          <cell r="AF1756" t="str">
            <v>nypeastcampus</v>
          </cell>
          <cell r="AG1756" t="str">
            <v>P</v>
          </cell>
        </row>
        <row r="1757">
          <cell r="A1757" t="str">
            <v>1144502311</v>
          </cell>
          <cell r="C1757" t="str">
            <v>Halleran Kerry</v>
          </cell>
          <cell r="G1757" t="str">
            <v>Kathryn Spaziani</v>
          </cell>
          <cell r="H1757" t="str">
            <v>(212) 305-1255</v>
          </cell>
          <cell r="J1757" t="str">
            <v>kas9171@nyp.org</v>
          </cell>
          <cell r="K1757" t="str">
            <v>Physician</v>
          </cell>
          <cell r="L1757" t="str">
            <v>Uncategorized</v>
          </cell>
          <cell r="M1757" t="str">
            <v>No</v>
          </cell>
          <cell r="R1757" t="str">
            <v>HALLERAN KERRY MS.</v>
          </cell>
          <cell r="S1757" t="str">
            <v>525 E 68TH ST, BOX 124</v>
          </cell>
          <cell r="T1757" t="str">
            <v>NEW YORK</v>
          </cell>
          <cell r="U1757" t="str">
            <v>NY</v>
          </cell>
          <cell r="V1757" t="str">
            <v>100654870</v>
          </cell>
          <cell r="AC1757" t="str">
            <v>M</v>
          </cell>
          <cell r="AD1757" t="str">
            <v>No</v>
          </cell>
          <cell r="AE1757" t="str">
            <v>NPI only</v>
          </cell>
          <cell r="AF1757" t="str">
            <v>nypeastcampus</v>
          </cell>
          <cell r="AG1757" t="str">
            <v>P</v>
          </cell>
        </row>
        <row r="1758">
          <cell r="A1758" t="str">
            <v>1922079169</v>
          </cell>
          <cell r="B1758" t="str">
            <v>03610157</v>
          </cell>
          <cell r="C1758" t="str">
            <v>Halpern Neil</v>
          </cell>
          <cell r="D1758" t="str">
            <v>E0351235</v>
          </cell>
          <cell r="E1758" t="str">
            <v>HALPERN NEIL A</v>
          </cell>
          <cell r="L1758" t="str">
            <v>Practitioner - Non-Primary Care Provider (PCP)</v>
          </cell>
          <cell r="M1758" t="str">
            <v>No</v>
          </cell>
          <cell r="R1758" t="str">
            <v>HALPERN NEIL</v>
          </cell>
          <cell r="W1758" t="str">
            <v>HALPERN NEIL A</v>
          </cell>
          <cell r="X1758" t="str">
            <v>1275 YORK AVE</v>
          </cell>
          <cell r="Y1758" t="str">
            <v>NEW YORK</v>
          </cell>
          <cell r="Z1758" t="str">
            <v>NY</v>
          </cell>
          <cell r="AA1758" t="str">
            <v>10065-6007</v>
          </cell>
          <cell r="AB1758" t="str">
            <v>PHYSICIAN</v>
          </cell>
          <cell r="AC1758" t="str">
            <v>M</v>
          </cell>
          <cell r="AD1758" t="str">
            <v>No</v>
          </cell>
          <cell r="AE1758" t="str">
            <v>MMIS</v>
          </cell>
          <cell r="AG1758" t="str">
            <v>P</v>
          </cell>
        </row>
        <row r="1759">
          <cell r="A1759" t="str">
            <v>1912215104</v>
          </cell>
          <cell r="C1759" t="str">
            <v>Hames Brooke</v>
          </cell>
          <cell r="G1759" t="str">
            <v>Kathryn Spaziani</v>
          </cell>
          <cell r="H1759" t="str">
            <v>(212) 305-1255</v>
          </cell>
          <cell r="J1759" t="str">
            <v>kas9171@nyp.org</v>
          </cell>
          <cell r="K1759" t="str">
            <v>Physician</v>
          </cell>
          <cell r="L1759" t="str">
            <v>Uncategorized</v>
          </cell>
          <cell r="M1759" t="str">
            <v>No</v>
          </cell>
          <cell r="R1759" t="str">
            <v>HAMES BROOKE MRS.</v>
          </cell>
          <cell r="S1759" t="str">
            <v>223 HAMPSHIRE DOWNS DR</v>
          </cell>
          <cell r="T1759" t="str">
            <v>MORRISVILLE</v>
          </cell>
          <cell r="U1759" t="str">
            <v>NC</v>
          </cell>
          <cell r="V1759" t="str">
            <v>275609733</v>
          </cell>
          <cell r="AC1759" t="str">
            <v>M</v>
          </cell>
          <cell r="AD1759" t="str">
            <v>No</v>
          </cell>
          <cell r="AE1759" t="str">
            <v>NPI only</v>
          </cell>
          <cell r="AF1759" t="str">
            <v>nypeastcampus</v>
          </cell>
          <cell r="AG1759" t="str">
            <v>P</v>
          </cell>
        </row>
        <row r="1760">
          <cell r="A1760" t="str">
            <v>1083650170</v>
          </cell>
          <cell r="B1760" t="str">
            <v>02645201</v>
          </cell>
          <cell r="C1760" t="str">
            <v>RUTMAN, MATTHEW P</v>
          </cell>
          <cell r="D1760" t="str">
            <v>E0035645</v>
          </cell>
          <cell r="E1760" t="str">
            <v>RUTMAN MATTHEW P MD</v>
          </cell>
          <cell r="G1760" t="str">
            <v>Kathryn Spaziani</v>
          </cell>
          <cell r="H1760" t="str">
            <v>(212) 305-1190</v>
          </cell>
          <cell r="J1760" t="str">
            <v>kas9171@nyp.org</v>
          </cell>
          <cell r="L1760" t="str">
            <v>All Other:: Practitioner - Non-Primary Care Provider (PCP)</v>
          </cell>
          <cell r="M1760" t="str">
            <v>Yes</v>
          </cell>
          <cell r="R1760" t="str">
            <v>RUTMAN MATTHEW</v>
          </cell>
          <cell r="W1760" t="str">
            <v>RUTMAN MATTHEW P MD</v>
          </cell>
          <cell r="X1760" t="str">
            <v>5141 BROADWAY</v>
          </cell>
          <cell r="Y1760" t="str">
            <v>NEW YORK</v>
          </cell>
          <cell r="Z1760" t="str">
            <v>NY</v>
          </cell>
          <cell r="AA1760" t="str">
            <v>10034-1159</v>
          </cell>
          <cell r="AB1760" t="str">
            <v>PHYSICIAN</v>
          </cell>
          <cell r="AC1760" t="str">
            <v>M</v>
          </cell>
          <cell r="AD1760" t="str">
            <v>No</v>
          </cell>
          <cell r="AE1760" t="str">
            <v>MMIS</v>
          </cell>
          <cell r="AF1760" t="str">
            <v>nypwestcampus</v>
          </cell>
          <cell r="AG1760" t="str">
            <v>P</v>
          </cell>
        </row>
        <row r="1761">
          <cell r="B1761" t="str">
            <v>03547651</v>
          </cell>
          <cell r="C1761" t="str">
            <v>ST VINCENT DE PAUL RESIDENCE ASSIST (ALF)</v>
          </cell>
          <cell r="D1761" t="str">
            <v>E0344666</v>
          </cell>
          <cell r="E1761" t="str">
            <v>ST VINCENT DE PAUL RESIDENCE ASSIST</v>
          </cell>
          <cell r="G1761" t="str">
            <v>Eva Eng</v>
          </cell>
          <cell r="H1761" t="str">
            <v>(212) 752-4973</v>
          </cell>
          <cell r="J1761" t="str">
            <v xml:space="preserve">eeng@archcare.org </v>
          </cell>
          <cell r="L1761" t="str">
            <v>All Other</v>
          </cell>
          <cell r="M1761" t="str">
            <v>Yes</v>
          </cell>
          <cell r="W1761" t="str">
            <v>ST VINCENT DE PAUL RESIDENCE ASSIST</v>
          </cell>
          <cell r="X1761" t="str">
            <v>900 INTERVALE AVE</v>
          </cell>
          <cell r="Y1761" t="str">
            <v>BRONX</v>
          </cell>
          <cell r="Z1761" t="str">
            <v>NY</v>
          </cell>
          <cell r="AA1761" t="str">
            <v>10459-4240</v>
          </cell>
          <cell r="AB1761" t="str">
            <v>HOME HEALTH AGENCY</v>
          </cell>
          <cell r="AC1761" t="str">
            <v>M</v>
          </cell>
          <cell r="AD1761" t="str">
            <v>No</v>
          </cell>
          <cell r="AE1761" t="str">
            <v>MMIS</v>
          </cell>
          <cell r="AG1761" t="str">
            <v>P</v>
          </cell>
        </row>
        <row r="1762">
          <cell r="A1762" t="str">
            <v>1760570725</v>
          </cell>
          <cell r="B1762" t="str">
            <v>01452033</v>
          </cell>
          <cell r="C1762" t="str">
            <v>JACOBS, THOMAS P</v>
          </cell>
          <cell r="D1762" t="str">
            <v>E0154774</v>
          </cell>
          <cell r="E1762" t="str">
            <v>JACOBS THOMAS P MD</v>
          </cell>
          <cell r="G1762" t="str">
            <v>Kathryn Spaziani</v>
          </cell>
          <cell r="H1762" t="str">
            <v>(212) 305-1190</v>
          </cell>
          <cell r="J1762" t="str">
            <v>kas9171@nyp.org</v>
          </cell>
          <cell r="L1762" t="str">
            <v>All Other:: Practitioner - Non-Primary Care Provider (PCP)</v>
          </cell>
          <cell r="M1762" t="str">
            <v>No</v>
          </cell>
          <cell r="R1762" t="str">
            <v>JACOBS THOMAS DR.</v>
          </cell>
          <cell r="W1762" t="str">
            <v>JACOBS THOMAS P MD</v>
          </cell>
          <cell r="Y1762" t="str">
            <v>NEW YORK</v>
          </cell>
          <cell r="Z1762" t="str">
            <v>NY</v>
          </cell>
          <cell r="AA1762" t="str">
            <v>10032-3725</v>
          </cell>
          <cell r="AB1762" t="str">
            <v>PHYSICIAN</v>
          </cell>
          <cell r="AC1762" t="str">
            <v>M</v>
          </cell>
          <cell r="AD1762" t="str">
            <v>No</v>
          </cell>
          <cell r="AE1762" t="str">
            <v>MMIS</v>
          </cell>
          <cell r="AF1762" t="str">
            <v>nypwestacn</v>
          </cell>
          <cell r="AG1762" t="str">
            <v>P</v>
          </cell>
        </row>
        <row r="1763">
          <cell r="A1763" t="str">
            <v>1760575641</v>
          </cell>
          <cell r="B1763" t="str">
            <v>01888068</v>
          </cell>
          <cell r="C1763" t="str">
            <v>YUNAKOV, MICHAEL J</v>
          </cell>
          <cell r="D1763" t="str">
            <v>E0111238</v>
          </cell>
          <cell r="E1763" t="str">
            <v>YUNAKOV MICHAEL</v>
          </cell>
          <cell r="G1763" t="str">
            <v>Kathryn Spaziani</v>
          </cell>
          <cell r="H1763" t="str">
            <v>(212) 305-1190</v>
          </cell>
          <cell r="J1763" t="str">
            <v>kas9171@nyp.org</v>
          </cell>
          <cell r="L1763" t="str">
            <v>Practitioner - Non-Primary Care Provider (PCP)</v>
          </cell>
          <cell r="M1763" t="str">
            <v>No</v>
          </cell>
          <cell r="R1763" t="str">
            <v>YUNAKOV MICHAEL</v>
          </cell>
          <cell r="W1763" t="str">
            <v>YUNAKOV MICHAEL</v>
          </cell>
          <cell r="X1763" t="str">
            <v>YUNAKOV MICHAEL</v>
          </cell>
          <cell r="Y1763" t="str">
            <v>GLEN COVE</v>
          </cell>
          <cell r="Z1763" t="str">
            <v>NY</v>
          </cell>
          <cell r="AA1763" t="str">
            <v>11542-2193</v>
          </cell>
          <cell r="AB1763" t="str">
            <v>PHYSICIAN</v>
          </cell>
          <cell r="AC1763" t="str">
            <v>M</v>
          </cell>
          <cell r="AD1763" t="str">
            <v>No</v>
          </cell>
          <cell r="AE1763" t="str">
            <v>MMIS</v>
          </cell>
          <cell r="AF1763" t="str">
            <v>nypwestcampus</v>
          </cell>
          <cell r="AG1763" t="str">
            <v>P</v>
          </cell>
        </row>
        <row r="1764">
          <cell r="A1764" t="str">
            <v>1043448673</v>
          </cell>
          <cell r="B1764" t="str">
            <v>03603096</v>
          </cell>
          <cell r="C1764" t="str">
            <v>KUO, JOYCE S</v>
          </cell>
          <cell r="D1764" t="str">
            <v>E0350474</v>
          </cell>
          <cell r="E1764" t="str">
            <v>KUO JOYCE</v>
          </cell>
          <cell r="G1764" t="str">
            <v>Kathryn Spaziani</v>
          </cell>
          <cell r="H1764" t="str">
            <v>(212) 305-1190</v>
          </cell>
          <cell r="J1764" t="str">
            <v>kas9171@nyp.org</v>
          </cell>
          <cell r="L1764" t="str">
            <v>Practitioner - Non-Primary Care Provider (PCP)</v>
          </cell>
          <cell r="M1764" t="str">
            <v>No</v>
          </cell>
          <cell r="R1764" t="str">
            <v>KUO JOYCE DR.</v>
          </cell>
          <cell r="W1764" t="str">
            <v>KUO JOYCE</v>
          </cell>
          <cell r="X1764" t="str">
            <v>622 WEST 168TH STREET</v>
          </cell>
          <cell r="Y1764" t="str">
            <v>NEW YORK</v>
          </cell>
          <cell r="Z1764" t="str">
            <v>NY</v>
          </cell>
          <cell r="AA1764" t="str">
            <v>10032-3720</v>
          </cell>
          <cell r="AB1764" t="str">
            <v>PHYSICIAN</v>
          </cell>
          <cell r="AC1764" t="str">
            <v>M</v>
          </cell>
          <cell r="AD1764" t="str">
            <v>No</v>
          </cell>
          <cell r="AE1764" t="str">
            <v>MMIS</v>
          </cell>
          <cell r="AF1764" t="str">
            <v>nypwestcampus</v>
          </cell>
          <cell r="AG1764" t="str">
            <v>P</v>
          </cell>
        </row>
        <row r="1765">
          <cell r="A1765" t="str">
            <v>1841619137</v>
          </cell>
          <cell r="C1765" t="str">
            <v>Barajas Matthew</v>
          </cell>
          <cell r="G1765" t="str">
            <v>Kathryn Spaziani</v>
          </cell>
          <cell r="H1765" t="str">
            <v>(212) 305-1255</v>
          </cell>
          <cell r="J1765" t="str">
            <v>kas9171@nyp.org</v>
          </cell>
          <cell r="K1765" t="str">
            <v>Physician</v>
          </cell>
          <cell r="L1765" t="str">
            <v>Uncategorized</v>
          </cell>
          <cell r="M1765" t="str">
            <v>No</v>
          </cell>
          <cell r="R1765" t="str">
            <v>BARAJAS MATTHEW</v>
          </cell>
          <cell r="S1765" t="str">
            <v>622 W 168TH ST, PH5-133</v>
          </cell>
          <cell r="T1765" t="str">
            <v>NEW YORK</v>
          </cell>
          <cell r="U1765" t="str">
            <v>NY</v>
          </cell>
          <cell r="V1765" t="str">
            <v>100323720</v>
          </cell>
          <cell r="AC1765" t="str">
            <v>M</v>
          </cell>
          <cell r="AD1765" t="str">
            <v>No</v>
          </cell>
          <cell r="AE1765" t="str">
            <v>NPI only</v>
          </cell>
          <cell r="AF1765" t="str">
            <v>nypwestcampus</v>
          </cell>
          <cell r="AG1765" t="str">
            <v>P</v>
          </cell>
        </row>
        <row r="1766">
          <cell r="A1766" t="str">
            <v>1194949941</v>
          </cell>
          <cell r="C1766" t="str">
            <v>Pulijaal Venkat</v>
          </cell>
          <cell r="G1766" t="str">
            <v>Kathryn Spaziani</v>
          </cell>
          <cell r="H1766" t="str">
            <v>(212) 305-1212</v>
          </cell>
          <cell r="J1766" t="str">
            <v>kas9171@nyp.org</v>
          </cell>
          <cell r="K1766" t="str">
            <v>Physician</v>
          </cell>
          <cell r="L1766" t="str">
            <v>Uncategorized</v>
          </cell>
          <cell r="M1766" t="str">
            <v>No</v>
          </cell>
          <cell r="R1766" t="str">
            <v>PULIJAAL VENKAT DR.</v>
          </cell>
          <cell r="S1766" t="str">
            <v>462 1ST AVE, BELLEVUE HOSPITAL</v>
          </cell>
          <cell r="T1766" t="str">
            <v>NEW YORK</v>
          </cell>
          <cell r="U1766" t="str">
            <v>NY</v>
          </cell>
          <cell r="V1766" t="str">
            <v>100169196</v>
          </cell>
          <cell r="AC1766" t="str">
            <v>M</v>
          </cell>
          <cell r="AD1766" t="str">
            <v>No</v>
          </cell>
          <cell r="AE1766" t="str">
            <v>NPI only</v>
          </cell>
          <cell r="AF1766" t="str">
            <v>nypother</v>
          </cell>
          <cell r="AG1766" t="str">
            <v>P</v>
          </cell>
        </row>
        <row r="1767">
          <cell r="A1767" t="str">
            <v>1528141876</v>
          </cell>
          <cell r="B1767" t="str">
            <v>03912609</v>
          </cell>
          <cell r="C1767" t="str">
            <v>Suissa Zohra</v>
          </cell>
          <cell r="D1767" t="str">
            <v>E0382373</v>
          </cell>
          <cell r="E1767" t="str">
            <v>SUISSA ZOHRA</v>
          </cell>
          <cell r="L1767" t="str">
            <v>Practitioner - Non-Primary Care Provider (PCP)</v>
          </cell>
          <cell r="M1767" t="str">
            <v>No</v>
          </cell>
          <cell r="R1767" t="str">
            <v>SUISSA ZOHRA</v>
          </cell>
          <cell r="W1767" t="str">
            <v>SUISSA ZOHRA</v>
          </cell>
          <cell r="X1767" t="str">
            <v>622 W 168TH ST</v>
          </cell>
          <cell r="Y1767" t="str">
            <v>NEW YORK</v>
          </cell>
          <cell r="Z1767" t="str">
            <v>NY</v>
          </cell>
          <cell r="AA1767" t="str">
            <v>10032-3720</v>
          </cell>
          <cell r="AB1767" t="str">
            <v>PHYSICIAN</v>
          </cell>
          <cell r="AC1767" t="str">
            <v>M</v>
          </cell>
          <cell r="AD1767" t="str">
            <v>No</v>
          </cell>
          <cell r="AE1767" t="str">
            <v>MMIS</v>
          </cell>
          <cell r="AG1767" t="str">
            <v>P</v>
          </cell>
        </row>
        <row r="1768">
          <cell r="A1768" t="str">
            <v>1013335439</v>
          </cell>
          <cell r="C1768" t="str">
            <v>NICOLE CRUZ</v>
          </cell>
          <cell r="G1768" t="str">
            <v>Kathryn Spaziani</v>
          </cell>
          <cell r="H1768" t="str">
            <v>(212) 305-1190</v>
          </cell>
          <cell r="J1768" t="str">
            <v>kas9171@nyp.org</v>
          </cell>
          <cell r="K1768" t="str">
            <v>Unknown</v>
          </cell>
          <cell r="L1768" t="str">
            <v>Uncategorized</v>
          </cell>
          <cell r="M1768" t="str">
            <v>No</v>
          </cell>
          <cell r="R1768" t="str">
            <v>CRUZ NICOLE</v>
          </cell>
          <cell r="S1768" t="str">
            <v>505 EAST 70TH STREET, WEILL CORNELL INTERNAL MEDICINE ASSOCIATES</v>
          </cell>
          <cell r="T1768" t="str">
            <v>NEW YORK</v>
          </cell>
          <cell r="U1768" t="str">
            <v>NY</v>
          </cell>
          <cell r="V1768" t="str">
            <v>10021</v>
          </cell>
          <cell r="AC1768" t="str">
            <v>M</v>
          </cell>
          <cell r="AD1768" t="str">
            <v>No</v>
          </cell>
          <cell r="AE1768" t="str">
            <v>NPI only</v>
          </cell>
          <cell r="AF1768" t="str">
            <v>nypeastcampus</v>
          </cell>
          <cell r="AG1768" t="str">
            <v>P</v>
          </cell>
        </row>
        <row r="1769">
          <cell r="A1769" t="str">
            <v>1629411954</v>
          </cell>
          <cell r="B1769" t="str">
            <v>04499758</v>
          </cell>
          <cell r="C1769" t="str">
            <v>ROGELIO CRUZ</v>
          </cell>
          <cell r="D1769" t="str">
            <v>E0442667</v>
          </cell>
          <cell r="E1769" t="str">
            <v>CRUZ ROGELIO</v>
          </cell>
          <cell r="G1769" t="str">
            <v>Kathryn Spaziani</v>
          </cell>
          <cell r="H1769" t="str">
            <v>(212) 305-1190</v>
          </cell>
          <cell r="J1769" t="str">
            <v>kas9171@nyp.org</v>
          </cell>
          <cell r="L1769" t="str">
            <v>Practitioner - Non-Primary Care Provider (PCP)</v>
          </cell>
          <cell r="M1769" t="str">
            <v>No</v>
          </cell>
          <cell r="R1769" t="str">
            <v>CRUZ ROGELIO MR.</v>
          </cell>
          <cell r="W1769" t="str">
            <v>CRUZ ROGELIO</v>
          </cell>
          <cell r="AB1769" t="str">
            <v>PHYSICIAN</v>
          </cell>
          <cell r="AC1769" t="str">
            <v>M</v>
          </cell>
          <cell r="AD1769" t="str">
            <v>No</v>
          </cell>
          <cell r="AE1769" t="str">
            <v>MMIS</v>
          </cell>
          <cell r="AF1769" t="str">
            <v>nypeastcampus</v>
          </cell>
          <cell r="AG1769" t="str">
            <v>P</v>
          </cell>
        </row>
        <row r="1770">
          <cell r="A1770" t="str">
            <v>1770858847</v>
          </cell>
          <cell r="C1770" t="str">
            <v>AMANDA DEMAURO</v>
          </cell>
          <cell r="G1770" t="str">
            <v>Kathryn Spaziani</v>
          </cell>
          <cell r="H1770" t="str">
            <v>(212) 305-1190</v>
          </cell>
          <cell r="J1770" t="str">
            <v>kas9171@nyp.org</v>
          </cell>
          <cell r="K1770" t="str">
            <v>Unknown</v>
          </cell>
          <cell r="L1770" t="str">
            <v>Uncategorized</v>
          </cell>
          <cell r="M1770" t="str">
            <v>No</v>
          </cell>
          <cell r="R1770" t="str">
            <v>RENAGHAN AMANDA DR.</v>
          </cell>
          <cell r="S1770" t="str">
            <v>505 E 70TH ST, WEILL CORNELL INTERNAL MEDICINE ASSOCIATES</v>
          </cell>
          <cell r="T1770" t="str">
            <v>NEW YORK</v>
          </cell>
          <cell r="U1770" t="str">
            <v>NY</v>
          </cell>
          <cell r="V1770" t="str">
            <v>100214872</v>
          </cell>
          <cell r="AC1770" t="str">
            <v>M</v>
          </cell>
          <cell r="AD1770" t="str">
            <v>No</v>
          </cell>
          <cell r="AE1770" t="str">
            <v>NPI only</v>
          </cell>
          <cell r="AF1770" t="str">
            <v>nypeastcampus</v>
          </cell>
          <cell r="AG1770" t="str">
            <v>P</v>
          </cell>
        </row>
        <row r="1771">
          <cell r="A1771" t="str">
            <v>1023364387</v>
          </cell>
          <cell r="C1771" t="str">
            <v>VINICIUS DOMINGUES</v>
          </cell>
          <cell r="G1771" t="str">
            <v>Kathryn Spaziani</v>
          </cell>
          <cell r="H1771" t="str">
            <v>(212) 305-1190</v>
          </cell>
          <cell r="J1771" t="str">
            <v>kas9171@nyp.org</v>
          </cell>
          <cell r="K1771" t="str">
            <v>Unknown</v>
          </cell>
          <cell r="L1771" t="str">
            <v>Uncategorized</v>
          </cell>
          <cell r="M1771" t="str">
            <v>No</v>
          </cell>
          <cell r="R1771" t="str">
            <v>COSTADINIZ DOMINGUES VINICIUS DR.</v>
          </cell>
          <cell r="S1771" t="str">
            <v>550 1ST AVE</v>
          </cell>
          <cell r="T1771" t="str">
            <v>NEW YORK</v>
          </cell>
          <cell r="U1771" t="str">
            <v>NY</v>
          </cell>
          <cell r="V1771" t="str">
            <v>100166402</v>
          </cell>
          <cell r="AC1771" t="str">
            <v>M</v>
          </cell>
          <cell r="AD1771" t="str">
            <v>No</v>
          </cell>
          <cell r="AE1771" t="str">
            <v>NPI only</v>
          </cell>
          <cell r="AF1771" t="str">
            <v>nypother</v>
          </cell>
          <cell r="AG1771" t="str">
            <v>P</v>
          </cell>
        </row>
        <row r="1772">
          <cell r="A1772" t="str">
            <v>1679916928</v>
          </cell>
          <cell r="B1772" t="str">
            <v>04426000</v>
          </cell>
          <cell r="C1772" t="str">
            <v>CARRIE DOWN</v>
          </cell>
          <cell r="D1772" t="str">
            <v>E0435168</v>
          </cell>
          <cell r="E1772" t="str">
            <v>DOWN CARRIE MICHELLE</v>
          </cell>
          <cell r="G1772" t="str">
            <v>Kathryn Spaziani</v>
          </cell>
          <cell r="H1772" t="str">
            <v>(212) 305-1190</v>
          </cell>
          <cell r="J1772" t="str">
            <v>kas9171@nyp.org</v>
          </cell>
          <cell r="L1772" t="str">
            <v>Uncategorized</v>
          </cell>
          <cell r="M1772" t="str">
            <v>No</v>
          </cell>
          <cell r="R1772" t="str">
            <v>DOWN CARRIE</v>
          </cell>
          <cell r="W1772" t="str">
            <v>DOWN CARRIE MICHELE</v>
          </cell>
          <cell r="X1772" t="str">
            <v>525 E 68TH ST</v>
          </cell>
          <cell r="Y1772" t="str">
            <v>NEW YORK</v>
          </cell>
          <cell r="Z1772" t="str">
            <v>NY</v>
          </cell>
          <cell r="AA1772" t="str">
            <v>10065-4870</v>
          </cell>
          <cell r="AB1772" t="str">
            <v>PHYSICIAN</v>
          </cell>
          <cell r="AC1772" t="str">
            <v>M</v>
          </cell>
          <cell r="AD1772" t="str">
            <v>No</v>
          </cell>
          <cell r="AE1772" t="str">
            <v>MMIS</v>
          </cell>
          <cell r="AF1772" t="str">
            <v>nypeastcampus</v>
          </cell>
          <cell r="AG1772" t="str">
            <v>P</v>
          </cell>
        </row>
        <row r="1773">
          <cell r="A1773" t="str">
            <v>1164780698</v>
          </cell>
          <cell r="B1773" t="str">
            <v>04293812</v>
          </cell>
          <cell r="C1773" t="str">
            <v>JASON DUKES</v>
          </cell>
          <cell r="D1773" t="str">
            <v>E0421438</v>
          </cell>
          <cell r="E1773" t="str">
            <v>DUKES JASON COREY</v>
          </cell>
          <cell r="G1773" t="str">
            <v>Kathryn Spaziani</v>
          </cell>
          <cell r="H1773" t="str">
            <v>(212) 305-1190</v>
          </cell>
          <cell r="J1773" t="str">
            <v>kas9171@nyp.org</v>
          </cell>
          <cell r="L1773" t="str">
            <v>Practitioner - Non-Primary Care Provider (PCP)</v>
          </cell>
          <cell r="M1773" t="str">
            <v>No</v>
          </cell>
          <cell r="R1773" t="str">
            <v>DUKES JASON</v>
          </cell>
          <cell r="W1773" t="str">
            <v>DUKES JASON COREY</v>
          </cell>
          <cell r="X1773" t="str">
            <v>525 E 68TH ST # 5</v>
          </cell>
          <cell r="Y1773" t="str">
            <v>NEW YORK</v>
          </cell>
          <cell r="Z1773" t="str">
            <v>NY</v>
          </cell>
          <cell r="AA1773" t="str">
            <v>10065-4870</v>
          </cell>
          <cell r="AB1773" t="str">
            <v>PHYSICIAN</v>
          </cell>
          <cell r="AC1773" t="str">
            <v>M</v>
          </cell>
          <cell r="AD1773" t="str">
            <v>No</v>
          </cell>
          <cell r="AE1773" t="str">
            <v>MMIS</v>
          </cell>
          <cell r="AF1773" t="str">
            <v>nypeastcampus</v>
          </cell>
          <cell r="AG1773" t="str">
            <v>P</v>
          </cell>
        </row>
        <row r="1774">
          <cell r="A1774" t="str">
            <v>1477829877</v>
          </cell>
          <cell r="C1774" t="str">
            <v>ANDREW DUNBAR</v>
          </cell>
          <cell r="G1774" t="str">
            <v>Kathryn Spaziani</v>
          </cell>
          <cell r="H1774" t="str">
            <v>(212) 305-1190</v>
          </cell>
          <cell r="J1774" t="str">
            <v>kas9171@nyp.org</v>
          </cell>
          <cell r="K1774" t="str">
            <v>Unknown</v>
          </cell>
          <cell r="L1774" t="str">
            <v>Uncategorized</v>
          </cell>
          <cell r="M1774" t="str">
            <v>No</v>
          </cell>
          <cell r="R1774" t="str">
            <v>DUNBAR ANDREW</v>
          </cell>
          <cell r="S1774" t="str">
            <v>505 EAST 70TH STREET, WEILL CORNELL INTERNAL MEDICINE ASSOCIATES</v>
          </cell>
          <cell r="T1774" t="str">
            <v>NEW YORK</v>
          </cell>
          <cell r="U1774" t="str">
            <v>NY</v>
          </cell>
          <cell r="V1774" t="str">
            <v>10021</v>
          </cell>
          <cell r="AC1774" t="str">
            <v>M</v>
          </cell>
          <cell r="AD1774" t="str">
            <v>No</v>
          </cell>
          <cell r="AE1774" t="str">
            <v>NPI only</v>
          </cell>
          <cell r="AF1774" t="str">
            <v>nypother</v>
          </cell>
          <cell r="AG1774" t="str">
            <v>P</v>
          </cell>
        </row>
        <row r="1775">
          <cell r="A1775" t="str">
            <v>1932436938</v>
          </cell>
          <cell r="C1775" t="str">
            <v>DANIEL EDMONSTON</v>
          </cell>
          <cell r="G1775" t="str">
            <v>Kathryn Spaziani</v>
          </cell>
          <cell r="H1775" t="str">
            <v>(212) 305-1190</v>
          </cell>
          <cell r="J1775" t="str">
            <v>kas9171@nyp.org</v>
          </cell>
          <cell r="K1775" t="str">
            <v>Unknown</v>
          </cell>
          <cell r="L1775" t="str">
            <v>Uncategorized</v>
          </cell>
          <cell r="M1775" t="str">
            <v>No</v>
          </cell>
          <cell r="R1775" t="str">
            <v>EDMONSTON DANIEL</v>
          </cell>
          <cell r="S1775" t="str">
            <v>505 E 70TH ST, WEILL CORNELL INTERNAL MEDICINE ASSOCIATES</v>
          </cell>
          <cell r="T1775" t="str">
            <v>NEW YORK</v>
          </cell>
          <cell r="U1775" t="str">
            <v>NY</v>
          </cell>
          <cell r="V1775" t="str">
            <v>100214872</v>
          </cell>
          <cell r="AC1775" t="str">
            <v>M</v>
          </cell>
          <cell r="AD1775" t="str">
            <v>No</v>
          </cell>
          <cell r="AE1775" t="str">
            <v>NPI only</v>
          </cell>
          <cell r="AF1775" t="str">
            <v>nypeastcampus</v>
          </cell>
          <cell r="AG1775" t="str">
            <v>P</v>
          </cell>
        </row>
        <row r="1776">
          <cell r="A1776" t="str">
            <v>1861810442</v>
          </cell>
          <cell r="C1776" t="str">
            <v>EMILY EICHENBERGER</v>
          </cell>
          <cell r="G1776" t="str">
            <v>Kathryn Spaziani</v>
          </cell>
          <cell r="H1776" t="str">
            <v>(212) 305-1190</v>
          </cell>
          <cell r="J1776" t="str">
            <v>kas9171@nyp.org</v>
          </cell>
          <cell r="K1776" t="str">
            <v>Unknown</v>
          </cell>
          <cell r="L1776" t="str">
            <v>Uncategorized</v>
          </cell>
          <cell r="M1776" t="str">
            <v>No</v>
          </cell>
          <cell r="R1776" t="str">
            <v>EICHENBERGER EMILY</v>
          </cell>
          <cell r="S1776" t="str">
            <v>505 EAST 70TH STREET, WEILL CORNELL INTERNAL MEDICINE ASSOCIATES</v>
          </cell>
          <cell r="T1776" t="str">
            <v>NEW YORK</v>
          </cell>
          <cell r="U1776" t="str">
            <v>NY</v>
          </cell>
          <cell r="V1776" t="str">
            <v>10021</v>
          </cell>
          <cell r="AC1776" t="str">
            <v>M</v>
          </cell>
          <cell r="AD1776" t="str">
            <v>No</v>
          </cell>
          <cell r="AE1776" t="str">
            <v>NPI only</v>
          </cell>
          <cell r="AF1776" t="str">
            <v>nypeastcampus</v>
          </cell>
          <cell r="AG1776" t="str">
            <v>P</v>
          </cell>
        </row>
        <row r="1777">
          <cell r="A1777" t="str">
            <v>1194081042</v>
          </cell>
          <cell r="C1777" t="str">
            <v>GUILLERMO ESPINOZA</v>
          </cell>
          <cell r="G1777" t="str">
            <v>Kathryn Spaziani</v>
          </cell>
          <cell r="H1777" t="str">
            <v>(212) 305-1190</v>
          </cell>
          <cell r="J1777" t="str">
            <v>kas9171@nyp.org</v>
          </cell>
          <cell r="K1777" t="str">
            <v>Unknown</v>
          </cell>
          <cell r="L1777" t="str">
            <v>Uncategorized</v>
          </cell>
          <cell r="M1777" t="str">
            <v>No</v>
          </cell>
          <cell r="R1777" t="str">
            <v>ESPINOZA GUILLERMO DR.</v>
          </cell>
          <cell r="S1777" t="str">
            <v>505 E 70TH ST, WEILL CORNELL INTERNAL MEDICINE ASSOCIATES</v>
          </cell>
          <cell r="T1777" t="str">
            <v>NEW YORK</v>
          </cell>
          <cell r="U1777" t="str">
            <v>NY</v>
          </cell>
          <cell r="V1777" t="str">
            <v>100214872</v>
          </cell>
          <cell r="AC1777" t="str">
            <v>M</v>
          </cell>
          <cell r="AD1777" t="str">
            <v>No</v>
          </cell>
          <cell r="AE1777" t="str">
            <v>NPI only</v>
          </cell>
          <cell r="AF1777" t="str">
            <v>nypother</v>
          </cell>
          <cell r="AG1777" t="str">
            <v>P</v>
          </cell>
        </row>
        <row r="1778">
          <cell r="A1778" t="str">
            <v>1447526926</v>
          </cell>
          <cell r="B1778" t="str">
            <v>04409096</v>
          </cell>
          <cell r="C1778" t="str">
            <v>JOHN FERRARONE</v>
          </cell>
          <cell r="D1778" t="str">
            <v>E0433413</v>
          </cell>
          <cell r="E1778" t="str">
            <v>FERRARONE JOHN ROBERT</v>
          </cell>
          <cell r="G1778" t="str">
            <v>Kathryn Spaziani</v>
          </cell>
          <cell r="H1778" t="str">
            <v>(212) 305-1190</v>
          </cell>
          <cell r="J1778" t="str">
            <v>kas9171@nyp.org</v>
          </cell>
          <cell r="L1778" t="str">
            <v>Uncategorized</v>
          </cell>
          <cell r="M1778" t="str">
            <v>No</v>
          </cell>
          <cell r="R1778" t="str">
            <v>FERRARONE JOHN DR.</v>
          </cell>
          <cell r="W1778" t="str">
            <v>FERRARONE JOHN ROBERT</v>
          </cell>
          <cell r="X1778" t="str">
            <v>525 E 68TH ST</v>
          </cell>
          <cell r="Y1778" t="str">
            <v>NEW YORK</v>
          </cell>
          <cell r="Z1778" t="str">
            <v>NY</v>
          </cell>
          <cell r="AA1778" t="str">
            <v>10065-4870</v>
          </cell>
          <cell r="AB1778" t="str">
            <v>PHYSICIAN</v>
          </cell>
          <cell r="AC1778" t="str">
            <v>M</v>
          </cell>
          <cell r="AD1778" t="str">
            <v>No</v>
          </cell>
          <cell r="AE1778" t="str">
            <v>MMIS</v>
          </cell>
          <cell r="AF1778" t="str">
            <v>nypeastcampus</v>
          </cell>
          <cell r="AG1778" t="str">
            <v>P</v>
          </cell>
        </row>
        <row r="1779">
          <cell r="A1779" t="str">
            <v>1447593132</v>
          </cell>
          <cell r="C1779" t="str">
            <v>MARISSA FRIEDMAN</v>
          </cell>
          <cell r="G1779" t="str">
            <v>Kathryn Spaziani</v>
          </cell>
          <cell r="H1779" t="str">
            <v>(212) 305-1190</v>
          </cell>
          <cell r="J1779" t="str">
            <v>kas9171@nyp.org</v>
          </cell>
          <cell r="K1779" t="str">
            <v>Unknown</v>
          </cell>
          <cell r="L1779" t="str">
            <v>Uncategorized</v>
          </cell>
          <cell r="M1779" t="str">
            <v>No</v>
          </cell>
          <cell r="R1779" t="str">
            <v>RYBSTEIN MARISSA</v>
          </cell>
          <cell r="S1779" t="str">
            <v>505 E 70TH ST, WEILL CORNELL INTERNAL MEDICINE ASSOCIATES</v>
          </cell>
          <cell r="T1779" t="str">
            <v>NEW YORK</v>
          </cell>
          <cell r="U1779" t="str">
            <v>NY</v>
          </cell>
          <cell r="V1779" t="str">
            <v>100214872</v>
          </cell>
          <cell r="AC1779" t="str">
            <v>M</v>
          </cell>
          <cell r="AD1779" t="str">
            <v>No</v>
          </cell>
          <cell r="AE1779" t="str">
            <v>NPI only</v>
          </cell>
          <cell r="AF1779" t="str">
            <v>nypeastcampus</v>
          </cell>
          <cell r="AG1779" t="str">
            <v>P</v>
          </cell>
        </row>
        <row r="1780">
          <cell r="A1780" t="str">
            <v>1043638091</v>
          </cell>
          <cell r="C1780" t="str">
            <v>MICHAEL GAO</v>
          </cell>
          <cell r="G1780" t="str">
            <v>Kathryn Spaziani</v>
          </cell>
          <cell r="H1780" t="str">
            <v>(212) 305-1190</v>
          </cell>
          <cell r="J1780" t="str">
            <v>kas9171@nyp.org</v>
          </cell>
          <cell r="K1780" t="str">
            <v>Unknown</v>
          </cell>
          <cell r="L1780" t="str">
            <v>Uncategorized</v>
          </cell>
          <cell r="M1780" t="str">
            <v>No</v>
          </cell>
          <cell r="R1780" t="str">
            <v>GAO MICHAEL</v>
          </cell>
          <cell r="S1780" t="str">
            <v>505 E 70TH ST, WEILL CORNELL INTERNAL MEDICINE ASSOCIATES</v>
          </cell>
          <cell r="T1780" t="str">
            <v>NEW YORK</v>
          </cell>
          <cell r="U1780" t="str">
            <v>NY</v>
          </cell>
          <cell r="V1780" t="str">
            <v>100214872</v>
          </cell>
          <cell r="AC1780" t="str">
            <v>M</v>
          </cell>
          <cell r="AD1780" t="str">
            <v>No</v>
          </cell>
          <cell r="AE1780" t="str">
            <v>NPI only</v>
          </cell>
          <cell r="AF1780" t="str">
            <v>nypeastcampus</v>
          </cell>
          <cell r="AG1780" t="str">
            <v>P</v>
          </cell>
        </row>
        <row r="1781">
          <cell r="A1781" t="str">
            <v>1457778342</v>
          </cell>
          <cell r="C1781" t="str">
            <v>JOSHUA GELERIS</v>
          </cell>
          <cell r="G1781" t="str">
            <v>Kathryn Spaziani</v>
          </cell>
          <cell r="H1781" t="str">
            <v>(212) 305-1190</v>
          </cell>
          <cell r="J1781" t="str">
            <v>kas9171@nyp.org</v>
          </cell>
          <cell r="K1781" t="str">
            <v>Unknown</v>
          </cell>
          <cell r="L1781" t="str">
            <v>Uncategorized</v>
          </cell>
          <cell r="M1781" t="str">
            <v>No</v>
          </cell>
          <cell r="R1781" t="str">
            <v>GELERIS JOSHUA</v>
          </cell>
          <cell r="S1781" t="str">
            <v>525 E 68TH ST</v>
          </cell>
          <cell r="T1781" t="str">
            <v>NEW YORK</v>
          </cell>
          <cell r="U1781" t="str">
            <v>NY</v>
          </cell>
          <cell r="V1781" t="str">
            <v>100654870</v>
          </cell>
          <cell r="AC1781" t="str">
            <v>M</v>
          </cell>
          <cell r="AD1781" t="str">
            <v>No</v>
          </cell>
          <cell r="AE1781" t="str">
            <v>NPI only</v>
          </cell>
          <cell r="AF1781" t="str">
            <v>nypeastcampus</v>
          </cell>
          <cell r="AG1781" t="str">
            <v>P</v>
          </cell>
        </row>
        <row r="1782">
          <cell r="A1782" t="str">
            <v>1881910255</v>
          </cell>
          <cell r="B1782" t="str">
            <v>03608564</v>
          </cell>
          <cell r="C1782" t="str">
            <v>HSU, ANDREW</v>
          </cell>
          <cell r="D1782" t="str">
            <v>E0350996</v>
          </cell>
          <cell r="E1782" t="str">
            <v>HSU ANDREW CHUNG-PI</v>
          </cell>
          <cell r="G1782" t="str">
            <v>Kathryn Spaziani</v>
          </cell>
          <cell r="H1782" t="str">
            <v>(212) 305-1258</v>
          </cell>
          <cell r="J1782" t="str">
            <v>kas9171@nyp.org</v>
          </cell>
          <cell r="L1782" t="str">
            <v>All Other:: Practitioner - Non-Primary Care Provider (PCP)</v>
          </cell>
          <cell r="M1782" t="str">
            <v>No</v>
          </cell>
          <cell r="R1782" t="str">
            <v>HSU ANDREW</v>
          </cell>
          <cell r="W1782" t="str">
            <v>HSU ANDREW CHUNG-PI</v>
          </cell>
          <cell r="X1782" t="str">
            <v>9200 W WISCONSIN AVE</v>
          </cell>
          <cell r="Y1782" t="str">
            <v>MILWAUKEE</v>
          </cell>
          <cell r="Z1782" t="str">
            <v>WI</v>
          </cell>
          <cell r="AA1782" t="str">
            <v>53226-3522</v>
          </cell>
          <cell r="AB1782" t="str">
            <v>PHYSICIAN</v>
          </cell>
          <cell r="AC1782" t="str">
            <v>M</v>
          </cell>
          <cell r="AD1782" t="str">
            <v>No</v>
          </cell>
          <cell r="AE1782" t="str">
            <v>MMIS</v>
          </cell>
          <cell r="AF1782" t="str">
            <v>nypother</v>
          </cell>
          <cell r="AG1782" t="str">
            <v>P</v>
          </cell>
        </row>
        <row r="1783">
          <cell r="A1783" t="str">
            <v>1194781039</v>
          </cell>
          <cell r="B1783" t="str">
            <v>02462999</v>
          </cell>
          <cell r="C1783" t="str">
            <v>UYTTENDAELE, HENDRIK I</v>
          </cell>
          <cell r="D1783" t="str">
            <v>E0053836</v>
          </cell>
          <cell r="E1783" t="str">
            <v>UYTTENDAELE HENDRIK</v>
          </cell>
          <cell r="G1783" t="str">
            <v>Kathryn Spaziani</v>
          </cell>
          <cell r="H1783" t="str">
            <v>(212) 305-1190</v>
          </cell>
          <cell r="J1783" t="str">
            <v>kas9171@nyp.org</v>
          </cell>
          <cell r="L1783" t="str">
            <v>All Other:: Practitioner - Non-Primary Care Provider (PCP)</v>
          </cell>
          <cell r="M1783" t="str">
            <v>No</v>
          </cell>
          <cell r="R1783" t="str">
            <v>UYTTENDAELE HENDRIK DR.</v>
          </cell>
          <cell r="W1783" t="str">
            <v>UYTTENDAELE HENDRIK</v>
          </cell>
          <cell r="X1783" t="str">
            <v>UYTTENDAELE HENDRIK</v>
          </cell>
          <cell r="Y1783" t="str">
            <v>FISHKILL</v>
          </cell>
          <cell r="Z1783" t="str">
            <v>NY</v>
          </cell>
          <cell r="AA1783" t="str">
            <v>12524-1789</v>
          </cell>
          <cell r="AB1783" t="str">
            <v>PHYSICIAN</v>
          </cell>
          <cell r="AC1783" t="str">
            <v>M</v>
          </cell>
          <cell r="AD1783" t="str">
            <v>No</v>
          </cell>
          <cell r="AE1783" t="str">
            <v>MMIS</v>
          </cell>
          <cell r="AF1783" t="str">
            <v>nypwestcampus</v>
          </cell>
          <cell r="AG1783" t="str">
            <v>P</v>
          </cell>
        </row>
        <row r="1784">
          <cell r="A1784" t="str">
            <v>1265749550</v>
          </cell>
          <cell r="B1784" t="str">
            <v>03338103</v>
          </cell>
          <cell r="C1784" t="str">
            <v>Zhao, Jingbo</v>
          </cell>
          <cell r="D1784" t="str">
            <v>E0320068</v>
          </cell>
          <cell r="E1784" t="str">
            <v>ZHAO JINGBO</v>
          </cell>
          <cell r="G1784" t="str">
            <v>Betty Cheng</v>
          </cell>
          <cell r="H1784" t="str">
            <v>(212) 379-6988</v>
          </cell>
          <cell r="I1784">
            <v>2604</v>
          </cell>
          <cell r="J1784" t="str">
            <v>bcheng@cbwchc.org</v>
          </cell>
          <cell r="L1784" t="str">
            <v>All Other:: Practitioner - Primary Care Provider (PCP)</v>
          </cell>
          <cell r="M1784" t="str">
            <v>Yes</v>
          </cell>
          <cell r="R1784" t="str">
            <v>ZHAO JINGBO</v>
          </cell>
          <cell r="W1784" t="str">
            <v>ZHAO JINGBO</v>
          </cell>
          <cell r="X1784" t="str">
            <v>4316 215TH ST</v>
          </cell>
          <cell r="Y1784" t="str">
            <v>BAYSIDE</v>
          </cell>
          <cell r="Z1784" t="str">
            <v>NY</v>
          </cell>
          <cell r="AA1784" t="str">
            <v>11361-2976</v>
          </cell>
          <cell r="AB1784" t="str">
            <v>PHYSICIAN</v>
          </cell>
          <cell r="AC1784" t="str">
            <v>M</v>
          </cell>
          <cell r="AD1784" t="str">
            <v>No</v>
          </cell>
          <cell r="AE1784" t="str">
            <v>MMIS</v>
          </cell>
          <cell r="AF1784" t="str">
            <v>cbwchc</v>
          </cell>
          <cell r="AG1784" t="str">
            <v>P</v>
          </cell>
        </row>
        <row r="1785">
          <cell r="A1785" t="str">
            <v>1205990397</v>
          </cell>
          <cell r="B1785" t="str">
            <v>00734854</v>
          </cell>
          <cell r="C1785" t="str">
            <v>Union Settlement Association</v>
          </cell>
          <cell r="D1785" t="str">
            <v>E0226224</v>
          </cell>
          <cell r="E1785" t="str">
            <v>UNION SETTLEMENT ASSO     INC</v>
          </cell>
          <cell r="G1785" t="str">
            <v>David Nocenti</v>
          </cell>
          <cell r="H1785" t="str">
            <v>(212) 828-6046</v>
          </cell>
          <cell r="J1785" t="str">
            <v>dnocenti@unionsettlement.org</v>
          </cell>
          <cell r="L1785" t="str">
            <v>All Other:: Mental Health</v>
          </cell>
          <cell r="M1785" t="str">
            <v>Yes</v>
          </cell>
          <cell r="R1785" t="str">
            <v>UNION SETTLEMENT ASSOCIATION</v>
          </cell>
          <cell r="W1785" t="str">
            <v>UNION SETTLEMENT ASSOC INC</v>
          </cell>
          <cell r="X1785" t="str">
            <v>JOHNSON COUNS CL</v>
          </cell>
          <cell r="Y1785" t="str">
            <v>NEW YORK</v>
          </cell>
          <cell r="Z1785" t="str">
            <v>NY</v>
          </cell>
          <cell r="AA1785" t="str">
            <v>10029-2184</v>
          </cell>
          <cell r="AB1785" t="str">
            <v>DIAGNOSTIC AND TREATMENT CENTER</v>
          </cell>
          <cell r="AC1785" t="str">
            <v>M</v>
          </cell>
          <cell r="AD1785" t="str">
            <v>No</v>
          </cell>
          <cell r="AE1785" t="str">
            <v>MMIS</v>
          </cell>
          <cell r="AG1785" t="str">
            <v>P</v>
          </cell>
        </row>
        <row r="1786">
          <cell r="A1786" t="str">
            <v>1649594169</v>
          </cell>
          <cell r="B1786" t="str">
            <v>03650786</v>
          </cell>
          <cell r="C1786" t="str">
            <v>SUAREZ, MONICA I</v>
          </cell>
          <cell r="D1786" t="str">
            <v>E0355549</v>
          </cell>
          <cell r="E1786" t="str">
            <v>SUAREZ MONICA</v>
          </cell>
          <cell r="G1786" t="str">
            <v>Kathryn Spaziani</v>
          </cell>
          <cell r="H1786" t="str">
            <v>(212) 305-1190</v>
          </cell>
          <cell r="J1786" t="str">
            <v>kas9171@nyp.org</v>
          </cell>
          <cell r="L1786" t="str">
            <v>Practitioner - Primary Care Provider (PCP)</v>
          </cell>
          <cell r="M1786" t="str">
            <v>No</v>
          </cell>
          <cell r="R1786" t="str">
            <v>SUAREZ MONICA</v>
          </cell>
          <cell r="W1786" t="str">
            <v>SUAREZ MONICA INEZ</v>
          </cell>
          <cell r="X1786" t="str">
            <v>630 W 168TH ST # 4</v>
          </cell>
          <cell r="Y1786" t="str">
            <v>NEW YORK</v>
          </cell>
          <cell r="Z1786" t="str">
            <v>NY</v>
          </cell>
          <cell r="AA1786" t="str">
            <v>10032-3725</v>
          </cell>
          <cell r="AB1786" t="str">
            <v>PHYSICIAN</v>
          </cell>
          <cell r="AC1786" t="str">
            <v>M</v>
          </cell>
          <cell r="AD1786" t="str">
            <v>No</v>
          </cell>
          <cell r="AE1786" t="str">
            <v>MMIS</v>
          </cell>
          <cell r="AF1786" t="str">
            <v>nypwestcampus</v>
          </cell>
          <cell r="AG1786" t="str">
            <v>P</v>
          </cell>
        </row>
        <row r="1787">
          <cell r="A1787" t="str">
            <v>1659449742</v>
          </cell>
          <cell r="B1787" t="str">
            <v>02010740</v>
          </cell>
          <cell r="C1787" t="str">
            <v>YIN, MICHAEL T</v>
          </cell>
          <cell r="D1787" t="str">
            <v>E0098987</v>
          </cell>
          <cell r="E1787" t="str">
            <v>YIN MICHAEL TING-PONG MD</v>
          </cell>
          <cell r="G1787" t="str">
            <v>Kathryn Spaziani</v>
          </cell>
          <cell r="H1787" t="str">
            <v>(212) 305-1190</v>
          </cell>
          <cell r="J1787" t="str">
            <v>kas9171@nyp.org</v>
          </cell>
          <cell r="L1787" t="str">
            <v>All Other:: Practitioner - Non-Primary Care Provider (PCP)</v>
          </cell>
          <cell r="M1787" t="str">
            <v>Yes</v>
          </cell>
          <cell r="R1787" t="str">
            <v>YIN MICHAEL DR.</v>
          </cell>
          <cell r="W1787" t="str">
            <v>YIN MICHAEL TING-PONG MD</v>
          </cell>
          <cell r="Y1787" t="str">
            <v>NEW YORK</v>
          </cell>
          <cell r="Z1787" t="str">
            <v>NY</v>
          </cell>
          <cell r="AA1787" t="str">
            <v>10032-3720</v>
          </cell>
          <cell r="AB1787" t="str">
            <v>PHYSICIAN</v>
          </cell>
          <cell r="AC1787" t="str">
            <v>M</v>
          </cell>
          <cell r="AD1787" t="str">
            <v>No</v>
          </cell>
          <cell r="AE1787" t="str">
            <v>MMIS</v>
          </cell>
          <cell r="AF1787" t="str">
            <v>nypwestcampus</v>
          </cell>
          <cell r="AG1787" t="str">
            <v>P</v>
          </cell>
        </row>
        <row r="1788">
          <cell r="A1788" t="str">
            <v>1326132143</v>
          </cell>
          <cell r="B1788" t="str">
            <v>02611952</v>
          </cell>
          <cell r="C1788" t="str">
            <v>WISLER, DARYL J</v>
          </cell>
          <cell r="D1788" t="str">
            <v>E0038962</v>
          </cell>
          <cell r="E1788" t="str">
            <v>WISLER-SCHER DARYL</v>
          </cell>
          <cell r="G1788" t="str">
            <v>Kathryn Spaziani</v>
          </cell>
          <cell r="H1788" t="str">
            <v>(212) 305-1190</v>
          </cell>
          <cell r="J1788" t="str">
            <v>kas9171@nyp.org</v>
          </cell>
          <cell r="L1788" t="str">
            <v>All Other:: Practitioner - Primary Care Provider (PCP)</v>
          </cell>
          <cell r="M1788" t="str">
            <v>No</v>
          </cell>
          <cell r="R1788" t="str">
            <v>WISLER DARYL DR.</v>
          </cell>
          <cell r="W1788" t="str">
            <v>WISLER-SCHER DARYL</v>
          </cell>
          <cell r="X1788" t="str">
            <v>3959 BROADWAY</v>
          </cell>
          <cell r="Y1788" t="str">
            <v>NEW YORK</v>
          </cell>
          <cell r="Z1788" t="str">
            <v>NY</v>
          </cell>
          <cell r="AA1788" t="str">
            <v>10032-9725</v>
          </cell>
          <cell r="AB1788" t="str">
            <v>PHYSICIAN</v>
          </cell>
          <cell r="AC1788" t="str">
            <v>M</v>
          </cell>
          <cell r="AD1788" t="str">
            <v>No</v>
          </cell>
          <cell r="AE1788" t="str">
            <v>MMIS</v>
          </cell>
          <cell r="AF1788" t="str">
            <v>nypwestcampus</v>
          </cell>
          <cell r="AG1788" t="str">
            <v>P</v>
          </cell>
        </row>
        <row r="1789">
          <cell r="A1789" t="str">
            <v>1053524900</v>
          </cell>
          <cell r="B1789" t="str">
            <v>01810902</v>
          </cell>
          <cell r="C1789" t="str">
            <v xml:space="preserve">BRESGI, IVAN </v>
          </cell>
          <cell r="D1789" t="str">
            <v>E0118947</v>
          </cell>
          <cell r="E1789" t="str">
            <v>BRESGI IVAN</v>
          </cell>
          <cell r="G1789" t="str">
            <v>Kathryn Spaziani</v>
          </cell>
          <cell r="H1789" t="str">
            <v>(212) 305-1190</v>
          </cell>
          <cell r="J1789" t="str">
            <v>kas9171@nyp.org</v>
          </cell>
          <cell r="L1789" t="str">
            <v>Practitioner - Non-Primary Care Provider (PCP)</v>
          </cell>
          <cell r="M1789" t="str">
            <v>No</v>
          </cell>
          <cell r="R1789" t="str">
            <v>BRESGI IVAN DR.</v>
          </cell>
          <cell r="W1789" t="str">
            <v>BRESGI IVAN</v>
          </cell>
          <cell r="X1789" t="str">
            <v>635 W 165TH ST FL 6</v>
          </cell>
          <cell r="Y1789" t="str">
            <v>NEW YORK</v>
          </cell>
          <cell r="Z1789" t="str">
            <v>NY</v>
          </cell>
          <cell r="AA1789" t="str">
            <v>10032-3724</v>
          </cell>
          <cell r="AB1789" t="str">
            <v>CLINICAL PSYCHOLOGIST</v>
          </cell>
          <cell r="AC1789" t="str">
            <v>M</v>
          </cell>
          <cell r="AD1789" t="str">
            <v>No</v>
          </cell>
          <cell r="AE1789" t="str">
            <v>MMIS</v>
          </cell>
          <cell r="AF1789" t="str">
            <v>nypwestacn</v>
          </cell>
          <cell r="AG1789" t="str">
            <v>P</v>
          </cell>
        </row>
        <row r="1790">
          <cell r="A1790" t="str">
            <v>1881665669</v>
          </cell>
          <cell r="B1790" t="str">
            <v>03538061</v>
          </cell>
          <cell r="C1790" t="str">
            <v>FRATTINI, MARK</v>
          </cell>
          <cell r="D1790" t="str">
            <v>E0343637</v>
          </cell>
          <cell r="E1790" t="str">
            <v>FRATTINI MARK G</v>
          </cell>
          <cell r="G1790" t="str">
            <v>Kathryn Spaziani</v>
          </cell>
          <cell r="H1790" t="str">
            <v>(212) 305-1238</v>
          </cell>
          <cell r="J1790" t="str">
            <v>kas9171@nyp.org</v>
          </cell>
          <cell r="L1790" t="str">
            <v>Practitioner - Non-Primary Care Provider (PCP)</v>
          </cell>
          <cell r="M1790" t="str">
            <v>No</v>
          </cell>
          <cell r="R1790" t="str">
            <v>FRATTINI MARK</v>
          </cell>
          <cell r="W1790" t="str">
            <v>FRATTINI MARK G</v>
          </cell>
          <cell r="X1790" t="str">
            <v>161 FORT WASHINGTON AVE</v>
          </cell>
          <cell r="Y1790" t="str">
            <v>NEW YORK</v>
          </cell>
          <cell r="Z1790" t="str">
            <v>NY</v>
          </cell>
          <cell r="AA1790" t="str">
            <v>10032-3729</v>
          </cell>
          <cell r="AB1790" t="str">
            <v>PHYSICIAN</v>
          </cell>
          <cell r="AC1790" t="str">
            <v>M</v>
          </cell>
          <cell r="AD1790" t="str">
            <v>No</v>
          </cell>
          <cell r="AE1790" t="str">
            <v>MMIS</v>
          </cell>
          <cell r="AF1790" t="str">
            <v>nypwestcampus</v>
          </cell>
          <cell r="AG1790" t="str">
            <v>P</v>
          </cell>
        </row>
        <row r="1791">
          <cell r="A1791" t="str">
            <v>1154580520</v>
          </cell>
          <cell r="C1791" t="str">
            <v>Memoudou Abalola</v>
          </cell>
          <cell r="G1791" t="str">
            <v>Eva Eng</v>
          </cell>
          <cell r="H1791" t="str">
            <v>(212) 752-4974</v>
          </cell>
          <cell r="J1791" t="str">
            <v>eeng@archcare.org</v>
          </cell>
          <cell r="K1791" t="str">
            <v>Other Practitioners</v>
          </cell>
          <cell r="L1791" t="str">
            <v>Uncategorized</v>
          </cell>
          <cell r="M1791" t="str">
            <v>No</v>
          </cell>
          <cell r="R1791" t="str">
            <v>ABALOLA MEMOUDOU</v>
          </cell>
          <cell r="S1791" t="str">
            <v>230 W 113TH ST APT 3D</v>
          </cell>
          <cell r="T1791" t="str">
            <v>NEW YORK</v>
          </cell>
          <cell r="U1791" t="str">
            <v>NY</v>
          </cell>
          <cell r="V1791" t="str">
            <v>100263316</v>
          </cell>
          <cell r="AC1791" t="str">
            <v>M</v>
          </cell>
          <cell r="AD1791" t="str">
            <v>No</v>
          </cell>
          <cell r="AE1791" t="str">
            <v>NPI only</v>
          </cell>
          <cell r="AG1791" t="str">
            <v>P</v>
          </cell>
        </row>
        <row r="1792">
          <cell r="A1792" t="str">
            <v>1558337667</v>
          </cell>
          <cell r="B1792" t="str">
            <v>03784705</v>
          </cell>
          <cell r="C1792" t="str">
            <v>BANK, DAVID A</v>
          </cell>
          <cell r="D1792" t="str">
            <v>E0369271</v>
          </cell>
          <cell r="E1792" t="str">
            <v>BANK DAVID</v>
          </cell>
          <cell r="G1792" t="str">
            <v>Kathryn Spaziani</v>
          </cell>
          <cell r="H1792" t="str">
            <v>(212) 305-1190</v>
          </cell>
          <cell r="J1792" t="str">
            <v>kas9171@nyp.org</v>
          </cell>
          <cell r="L1792" t="str">
            <v>Practitioner - Non-Primary Care Provider (PCP)</v>
          </cell>
          <cell r="M1792" t="str">
            <v>No</v>
          </cell>
          <cell r="R1792" t="str">
            <v>BANK DAVID DR.</v>
          </cell>
          <cell r="W1792" t="str">
            <v>BANK DAVID</v>
          </cell>
          <cell r="X1792" t="str">
            <v>161 FT WASHINGTN AVE</v>
          </cell>
          <cell r="Y1792" t="str">
            <v>NEW YORK</v>
          </cell>
          <cell r="Z1792" t="str">
            <v>NY</v>
          </cell>
          <cell r="AA1792" t="str">
            <v>10032-3729</v>
          </cell>
          <cell r="AB1792" t="str">
            <v>PHYSICIAN</v>
          </cell>
          <cell r="AC1792" t="str">
            <v>M</v>
          </cell>
          <cell r="AD1792" t="str">
            <v>No</v>
          </cell>
          <cell r="AE1792" t="str">
            <v>MMIS</v>
          </cell>
          <cell r="AF1792" t="str">
            <v>nypwestacn</v>
          </cell>
          <cell r="AG1792" t="str">
            <v>P</v>
          </cell>
        </row>
        <row r="1793">
          <cell r="A1793" t="str">
            <v>1053385864</v>
          </cell>
          <cell r="B1793" t="str">
            <v>01142772</v>
          </cell>
          <cell r="C1793" t="str">
            <v>BEUTLER, HEIDI E</v>
          </cell>
          <cell r="D1793" t="str">
            <v>E0185604</v>
          </cell>
          <cell r="E1793" t="str">
            <v>BEUTLER HEIDI MD</v>
          </cell>
          <cell r="G1793" t="str">
            <v>Kathryn Spaziani</v>
          </cell>
          <cell r="H1793" t="str">
            <v>(212) 305-1190</v>
          </cell>
          <cell r="J1793" t="str">
            <v>kas9171@nyp.org</v>
          </cell>
          <cell r="L1793" t="str">
            <v>All Other:: Practitioner - Primary Care Provider (PCP)</v>
          </cell>
          <cell r="M1793" t="str">
            <v>Yes</v>
          </cell>
          <cell r="R1793" t="str">
            <v>BEUTLER HEIDI DR.</v>
          </cell>
          <cell r="W1793" t="str">
            <v>BEUTLER HEIDI MD</v>
          </cell>
          <cell r="X1793" t="str">
            <v>BROADWAY ACNC</v>
          </cell>
          <cell r="Y1793" t="str">
            <v>NEW YORK</v>
          </cell>
          <cell r="Z1793" t="str">
            <v>NY</v>
          </cell>
          <cell r="AA1793" t="str">
            <v>10034-4915</v>
          </cell>
          <cell r="AB1793" t="str">
            <v>PHYSICIAN</v>
          </cell>
          <cell r="AC1793" t="str">
            <v>M</v>
          </cell>
          <cell r="AD1793" t="str">
            <v>No</v>
          </cell>
          <cell r="AE1793" t="str">
            <v>MMIS</v>
          </cell>
          <cell r="AF1793" t="str">
            <v>nypwestacn</v>
          </cell>
          <cell r="AG1793" t="str">
            <v>P</v>
          </cell>
        </row>
        <row r="1794">
          <cell r="A1794" t="str">
            <v>1053408138</v>
          </cell>
          <cell r="B1794" t="str">
            <v>02365699</v>
          </cell>
          <cell r="C1794" t="str">
            <v>REID, MANNEY C</v>
          </cell>
          <cell r="D1794" t="str">
            <v>E0063538</v>
          </cell>
          <cell r="E1794" t="str">
            <v>REID MANNEY C JR MD</v>
          </cell>
          <cell r="G1794" t="str">
            <v>Kathryn Spaziani</v>
          </cell>
          <cell r="H1794" t="str">
            <v>(212) 305-1190</v>
          </cell>
          <cell r="J1794" t="str">
            <v>kas9171@nyp.org</v>
          </cell>
          <cell r="L1794" t="str">
            <v>Practitioner - Primary Care Provider (PCP)</v>
          </cell>
          <cell r="M1794" t="str">
            <v>No</v>
          </cell>
          <cell r="R1794" t="str">
            <v>REID MANNEY</v>
          </cell>
          <cell r="W1794" t="str">
            <v>REID MANNEY C JR MD</v>
          </cell>
          <cell r="X1794" t="str">
            <v>I.S. WRIGHT CENTER</v>
          </cell>
          <cell r="Y1794" t="str">
            <v>NEW YORK</v>
          </cell>
          <cell r="Z1794" t="str">
            <v>NY</v>
          </cell>
          <cell r="AA1794" t="str">
            <v>10075-2304</v>
          </cell>
          <cell r="AB1794" t="str">
            <v>PHYSICIAN</v>
          </cell>
          <cell r="AC1794" t="str">
            <v>M</v>
          </cell>
          <cell r="AD1794" t="str">
            <v>No</v>
          </cell>
          <cell r="AE1794" t="str">
            <v>MMIS</v>
          </cell>
          <cell r="AF1794" t="str">
            <v>nypeastcampus</v>
          </cell>
          <cell r="AG1794" t="str">
            <v>P</v>
          </cell>
        </row>
        <row r="1795">
          <cell r="A1795" t="str">
            <v>1235317306</v>
          </cell>
          <cell r="B1795" t="str">
            <v>03394061</v>
          </cell>
          <cell r="C1795" t="str">
            <v xml:space="preserve">SRINIVASAN, SHRADDHA </v>
          </cell>
          <cell r="D1795" t="str">
            <v>E0326941</v>
          </cell>
          <cell r="E1795" t="str">
            <v>SRINIVASAN SHRADDHA</v>
          </cell>
          <cell r="G1795" t="str">
            <v>Kathryn Spaziani</v>
          </cell>
          <cell r="H1795" t="str">
            <v>(212) 305-1190</v>
          </cell>
          <cell r="J1795" t="str">
            <v>kas9171@nyp.org</v>
          </cell>
          <cell r="L1795" t="str">
            <v>Practitioner - Non-Primary Care Provider (PCP)</v>
          </cell>
          <cell r="M1795" t="str">
            <v>No</v>
          </cell>
          <cell r="R1795" t="str">
            <v>SRINIVASAN SHRADDHA DR.</v>
          </cell>
          <cell r="W1795" t="str">
            <v>SRINIVASAN SHRADDHA</v>
          </cell>
          <cell r="X1795" t="str">
            <v>622 W 168TH ST</v>
          </cell>
          <cell r="Y1795" t="str">
            <v>NEW YORK</v>
          </cell>
          <cell r="Z1795" t="str">
            <v>NY</v>
          </cell>
          <cell r="AA1795" t="str">
            <v>10032-3720</v>
          </cell>
          <cell r="AB1795" t="str">
            <v>PHYSICIAN</v>
          </cell>
          <cell r="AC1795" t="str">
            <v>M</v>
          </cell>
          <cell r="AD1795" t="str">
            <v>No</v>
          </cell>
          <cell r="AE1795" t="str">
            <v>MMIS</v>
          </cell>
          <cell r="AF1795" t="str">
            <v>nypwestcampus</v>
          </cell>
          <cell r="AG1795" t="str">
            <v>P</v>
          </cell>
        </row>
        <row r="1796">
          <cell r="A1796" t="str">
            <v>1639457674</v>
          </cell>
          <cell r="B1796" t="str">
            <v>03392394</v>
          </cell>
          <cell r="C1796" t="str">
            <v xml:space="preserve">CHANDRA, SUBANI </v>
          </cell>
          <cell r="D1796" t="str">
            <v>E0326774</v>
          </cell>
          <cell r="E1796" t="str">
            <v>CHANDRA SUBANI</v>
          </cell>
          <cell r="G1796" t="str">
            <v>Kathryn Spaziani</v>
          </cell>
          <cell r="H1796" t="str">
            <v>(212) 305-1190</v>
          </cell>
          <cell r="J1796" t="str">
            <v>kas9171@nyp.org</v>
          </cell>
          <cell r="L1796" t="str">
            <v>Practitioner - Non-Primary Care Provider (PCP)</v>
          </cell>
          <cell r="M1796" t="str">
            <v>No</v>
          </cell>
          <cell r="R1796" t="str">
            <v>CHANDRA SUBANI DR.</v>
          </cell>
          <cell r="W1796" t="str">
            <v>CHANDRA SUBANI</v>
          </cell>
          <cell r="X1796" t="str">
            <v>622 WEST 168TH STREET</v>
          </cell>
          <cell r="Y1796" t="str">
            <v>NEW YORK</v>
          </cell>
          <cell r="Z1796" t="str">
            <v>NY</v>
          </cell>
          <cell r="AA1796" t="str">
            <v>10032-3720</v>
          </cell>
          <cell r="AB1796" t="str">
            <v>PHYSICIAN</v>
          </cell>
          <cell r="AC1796" t="str">
            <v>M</v>
          </cell>
          <cell r="AD1796" t="str">
            <v>No</v>
          </cell>
          <cell r="AE1796" t="str">
            <v>MMIS</v>
          </cell>
          <cell r="AF1796" t="str">
            <v>nypwestacn</v>
          </cell>
          <cell r="AG1796" t="str">
            <v>P</v>
          </cell>
        </row>
        <row r="1797">
          <cell r="A1797" t="str">
            <v>1952559064</v>
          </cell>
          <cell r="B1797" t="str">
            <v>01726118</v>
          </cell>
          <cell r="C1797" t="str">
            <v>Chan, Angela Mei</v>
          </cell>
          <cell r="D1797" t="str">
            <v>E0127411</v>
          </cell>
          <cell r="E1797" t="str">
            <v>CHAN ANGELA MEI MD</v>
          </cell>
          <cell r="G1797" t="str">
            <v>Betty Cheng</v>
          </cell>
          <cell r="H1797" t="str">
            <v>(212) 379-6988</v>
          </cell>
          <cell r="I1797">
            <v>2604</v>
          </cell>
          <cell r="J1797" t="str">
            <v>bcheng@cbwchc.org</v>
          </cell>
          <cell r="L1797" t="str">
            <v>All Other:: Practitioner - Primary Care Provider (PCP)</v>
          </cell>
          <cell r="M1797" t="str">
            <v>No</v>
          </cell>
          <cell r="R1797" t="str">
            <v>CHAN ANGELA DR.</v>
          </cell>
          <cell r="W1797" t="str">
            <v>CHAN ANGELA MEI MD</v>
          </cell>
          <cell r="X1797" t="str">
            <v>948 48TH ST</v>
          </cell>
          <cell r="Y1797" t="str">
            <v>BROOKLYN</v>
          </cell>
          <cell r="Z1797" t="str">
            <v>NY</v>
          </cell>
          <cell r="AA1797" t="str">
            <v>11219-2918</v>
          </cell>
          <cell r="AB1797" t="str">
            <v>PHYSICIAN</v>
          </cell>
          <cell r="AC1797" t="str">
            <v>M</v>
          </cell>
          <cell r="AD1797" t="str">
            <v>No</v>
          </cell>
          <cell r="AE1797" t="str">
            <v>MMIS</v>
          </cell>
          <cell r="AF1797" t="str">
            <v>cbwchc</v>
          </cell>
          <cell r="AG1797" t="str">
            <v>P</v>
          </cell>
        </row>
        <row r="1798">
          <cell r="A1798" t="str">
            <v>1881712040</v>
          </cell>
          <cell r="B1798" t="str">
            <v>02987511</v>
          </cell>
          <cell r="C1798" t="str">
            <v>ANG, VIVIEN JEAN T</v>
          </cell>
          <cell r="D1798" t="str">
            <v>E0007257</v>
          </cell>
          <cell r="E1798" t="str">
            <v>VIVIEN JEAN ANG</v>
          </cell>
          <cell r="G1798" t="str">
            <v>Kathryn Spaziani</v>
          </cell>
          <cell r="H1798" t="str">
            <v>(212) 305-1190</v>
          </cell>
          <cell r="J1798" t="str">
            <v>kas9171@nyp.org</v>
          </cell>
          <cell r="L1798" t="str">
            <v>Practitioner - Primary Care Provider (PCP)</v>
          </cell>
          <cell r="M1798" t="str">
            <v>No</v>
          </cell>
          <cell r="R1798" t="str">
            <v>ANG VIVIEN JEAN</v>
          </cell>
          <cell r="W1798" t="str">
            <v>ANG VIVIEN JEAN</v>
          </cell>
          <cell r="X1798" t="str">
            <v>505 E 70TH ST</v>
          </cell>
          <cell r="Y1798" t="str">
            <v>NEW YORK</v>
          </cell>
          <cell r="Z1798" t="str">
            <v>NY</v>
          </cell>
          <cell r="AA1798" t="str">
            <v>10021-4872</v>
          </cell>
          <cell r="AB1798" t="str">
            <v>PHYSICIAN</v>
          </cell>
          <cell r="AC1798" t="str">
            <v>M</v>
          </cell>
          <cell r="AD1798" t="str">
            <v>No</v>
          </cell>
          <cell r="AE1798" t="str">
            <v>MMIS</v>
          </cell>
          <cell r="AF1798" t="str">
            <v>nypother</v>
          </cell>
          <cell r="AG1798" t="str">
            <v>P</v>
          </cell>
        </row>
        <row r="1799">
          <cell r="A1799" t="str">
            <v>1396842852</v>
          </cell>
          <cell r="B1799" t="str">
            <v>02022342</v>
          </cell>
          <cell r="C1799" t="str">
            <v xml:space="preserve">CATALLOZZI, MARINA </v>
          </cell>
          <cell r="D1799" t="str">
            <v>E0097828</v>
          </cell>
          <cell r="E1799" t="str">
            <v>CATALLOZZI MARINA MD</v>
          </cell>
          <cell r="G1799" t="str">
            <v>Kathryn Spaziani</v>
          </cell>
          <cell r="H1799" t="str">
            <v>(212) 305-1190</v>
          </cell>
          <cell r="J1799" t="str">
            <v>kas9171@nyp.org</v>
          </cell>
          <cell r="L1799" t="str">
            <v>Practitioner - Primary Care Provider (PCP)</v>
          </cell>
          <cell r="M1799" t="str">
            <v>Yes</v>
          </cell>
          <cell r="R1799" t="str">
            <v>CATALLOZZI MARINA DR.</v>
          </cell>
          <cell r="W1799" t="str">
            <v>CATALLOZZI MARINA MD</v>
          </cell>
          <cell r="X1799" t="str">
            <v>3959 BROADWAY</v>
          </cell>
          <cell r="Y1799" t="str">
            <v>NEW YORK</v>
          </cell>
          <cell r="Z1799" t="str">
            <v>NY</v>
          </cell>
          <cell r="AA1799" t="str">
            <v>10032-1559</v>
          </cell>
          <cell r="AB1799" t="str">
            <v>PHYSICIAN</v>
          </cell>
          <cell r="AC1799" t="str">
            <v>M</v>
          </cell>
          <cell r="AD1799" t="str">
            <v>No</v>
          </cell>
          <cell r="AE1799" t="str">
            <v>MMIS</v>
          </cell>
          <cell r="AF1799" t="str">
            <v>nypwestacn</v>
          </cell>
          <cell r="AG1799" t="str">
            <v>P</v>
          </cell>
        </row>
        <row r="1800">
          <cell r="A1800" t="str">
            <v>1770768202</v>
          </cell>
          <cell r="B1800" t="str">
            <v>02998429</v>
          </cell>
          <cell r="C1800" t="str">
            <v>THE NEW YORK AND PRESBYTERIAN HOSPITAL</v>
          </cell>
          <cell r="D1800" t="str">
            <v>E0274062</v>
          </cell>
          <cell r="E1800" t="str">
            <v>NY HOSPITAL</v>
          </cell>
          <cell r="G1800" t="str">
            <v>Kathryn Spaziani</v>
          </cell>
          <cell r="H1800" t="str">
            <v>(212) 305-1190</v>
          </cell>
          <cell r="J1800" t="str">
            <v>kas9171@nyp.org</v>
          </cell>
          <cell r="L1800" t="str">
            <v>All Other:: Case Management / Health Home:: Clinic:: Hospital:: Mental Health:: Pharmacy:: Substance Abuse</v>
          </cell>
          <cell r="M1800" t="str">
            <v>Yes</v>
          </cell>
          <cell r="R1800" t="str">
            <v>THE NEW YORK AND PRESBYTERIAN HOSPITAL</v>
          </cell>
          <cell r="W1800" t="str">
            <v>PRESBYTERIAN HSP CITY OF NY</v>
          </cell>
          <cell r="X1800" t="str">
            <v>622 W 168TH ST</v>
          </cell>
          <cell r="Y1800" t="str">
            <v>NEW YORK</v>
          </cell>
          <cell r="Z1800" t="str">
            <v>NY</v>
          </cell>
          <cell r="AA1800" t="str">
            <v>10032-3720</v>
          </cell>
          <cell r="AB1800" t="str">
            <v>HOSPITAL</v>
          </cell>
          <cell r="AC1800" t="str">
            <v>M</v>
          </cell>
          <cell r="AD1800" t="str">
            <v>No</v>
          </cell>
          <cell r="AE1800" t="str">
            <v>MMIS</v>
          </cell>
          <cell r="AF1800" t="str">
            <v>nypwestcampus</v>
          </cell>
          <cell r="AG1800" t="str">
            <v>P</v>
          </cell>
        </row>
        <row r="1801">
          <cell r="C1801" t="str">
            <v>Service program for older people - Outpatient mental health clinic - Stanley Isaacs Center</v>
          </cell>
          <cell r="G1801" t="str">
            <v>Dan Del Bene, LCSW</v>
          </cell>
          <cell r="H1801" t="str">
            <v>(212) 787-7120</v>
          </cell>
          <cell r="I1801">
            <v>528</v>
          </cell>
          <cell r="J1801" t="str">
            <v>ddelbene@spop.org</v>
          </cell>
          <cell r="K1801" t="str">
            <v>Unknown</v>
          </cell>
          <cell r="L1801" t="str">
            <v>CBO</v>
          </cell>
          <cell r="M1801" t="str">
            <v>No</v>
          </cell>
          <cell r="AC1801" t="str">
            <v>M</v>
          </cell>
          <cell r="AD1801" t="str">
            <v>No</v>
          </cell>
          <cell r="AE1801" t="str">
            <v>No NPI or MMIS</v>
          </cell>
          <cell r="AG1801" t="str">
            <v>P</v>
          </cell>
        </row>
        <row r="1802">
          <cell r="A1802" t="str">
            <v>1578660932</v>
          </cell>
          <cell r="B1802" t="str">
            <v>01984078</v>
          </cell>
          <cell r="C1802" t="str">
            <v>ROSENBAUM, EDWARD A</v>
          </cell>
          <cell r="D1802" t="str">
            <v>E0101650</v>
          </cell>
          <cell r="E1802" t="str">
            <v>ROSENBAUM EDWARD</v>
          </cell>
          <cell r="G1802" t="str">
            <v>Kathryn Spaziani</v>
          </cell>
          <cell r="H1802" t="str">
            <v>(212) 305-1190</v>
          </cell>
          <cell r="J1802" t="str">
            <v>kas9171@nyp.org</v>
          </cell>
          <cell r="L1802" t="str">
            <v>Practitioner - Non-Primary Care Provider (PCP)</v>
          </cell>
          <cell r="M1802" t="str">
            <v>No</v>
          </cell>
          <cell r="R1802" t="str">
            <v>ROSENBAUM EDWARD DR.</v>
          </cell>
          <cell r="W1802" t="str">
            <v>ROSENBAUM EDWARD</v>
          </cell>
          <cell r="X1802" t="str">
            <v>525 EAST 68TH STREET</v>
          </cell>
          <cell r="Y1802" t="str">
            <v>NEW YORK</v>
          </cell>
          <cell r="Z1802" t="str">
            <v>NY</v>
          </cell>
          <cell r="AA1802" t="str">
            <v>10021-0000</v>
          </cell>
          <cell r="AB1802" t="str">
            <v>DENTIST</v>
          </cell>
          <cell r="AC1802" t="str">
            <v>M</v>
          </cell>
          <cell r="AD1802" t="str">
            <v>No</v>
          </cell>
          <cell r="AE1802" t="str">
            <v>MMIS</v>
          </cell>
          <cell r="AF1802" t="str">
            <v>nypeastcampus</v>
          </cell>
          <cell r="AG1802" t="str">
            <v>P</v>
          </cell>
        </row>
        <row r="1803">
          <cell r="A1803" t="str">
            <v>1184648560</v>
          </cell>
          <cell r="B1803" t="str">
            <v>01226544</v>
          </cell>
          <cell r="C1803" t="str">
            <v>Village Center for Care Home Care</v>
          </cell>
          <cell r="D1803" t="str">
            <v>E0177246</v>
          </cell>
          <cell r="E1803" t="str">
            <v>VILLAGE CENTER FOR CARE</v>
          </cell>
          <cell r="G1803" t="str">
            <v>Allison Silvers, Chief Strategy Officer</v>
          </cell>
          <cell r="H1803" t="str">
            <v>(212) 337-5755</v>
          </cell>
          <cell r="J1803" t="str">
            <v>Allisons@villagecare.org</v>
          </cell>
          <cell r="L1803" t="str">
            <v>All Other</v>
          </cell>
          <cell r="M1803" t="str">
            <v>Yes</v>
          </cell>
          <cell r="R1803" t="str">
            <v>VILLAGE CENTER FOR CARE</v>
          </cell>
          <cell r="W1803" t="str">
            <v>VILLAGE CARE CHHA</v>
          </cell>
          <cell r="X1803" t="str">
            <v>112 CHARLES ST # 2ND</v>
          </cell>
          <cell r="Y1803" t="str">
            <v>NEW YORK</v>
          </cell>
          <cell r="Z1803" t="str">
            <v>NY</v>
          </cell>
          <cell r="AA1803" t="str">
            <v>10014-2653</v>
          </cell>
          <cell r="AB1803" t="str">
            <v>HOME HEALTH AGENCY</v>
          </cell>
          <cell r="AC1803" t="str">
            <v>M</v>
          </cell>
          <cell r="AD1803" t="str">
            <v>No</v>
          </cell>
          <cell r="AE1803" t="str">
            <v>MMIS</v>
          </cell>
          <cell r="AG1803" t="str">
            <v>P</v>
          </cell>
        </row>
        <row r="1804">
          <cell r="A1804" t="str">
            <v>1457424863</v>
          </cell>
          <cell r="B1804" t="str">
            <v>02743557</v>
          </cell>
          <cell r="C1804" t="str">
            <v>Village Diagnostic and Treatment Center</v>
          </cell>
          <cell r="D1804" t="str">
            <v>E0025833</v>
          </cell>
          <cell r="E1804" t="str">
            <v>VILLAGE CARE HEALTH CLINIC</v>
          </cell>
          <cell r="G1804" t="str">
            <v>Allison Silvers, Chief Strategy Officer</v>
          </cell>
          <cell r="H1804" t="str">
            <v>(212) 337-5755</v>
          </cell>
          <cell r="J1804" t="str">
            <v>Allisons@villagecare.org</v>
          </cell>
          <cell r="L1804" t="str">
            <v>All Other:: Clinic</v>
          </cell>
          <cell r="M1804" t="str">
            <v>Yes</v>
          </cell>
          <cell r="R1804" t="str">
            <v>VILLAGE DIAGNOSTIC AND TREATMENT CENTER</v>
          </cell>
          <cell r="W1804" t="str">
            <v>VILLAGE CARE HEALTH CLINIC</v>
          </cell>
          <cell r="AB1804" t="str">
            <v>DIAGNOSTIC AND TREATMENT CENTER</v>
          </cell>
          <cell r="AC1804" t="str">
            <v>M</v>
          </cell>
          <cell r="AD1804" t="str">
            <v>No</v>
          </cell>
          <cell r="AE1804" t="str">
            <v>MMIS</v>
          </cell>
          <cell r="AG1804" t="str">
            <v>P</v>
          </cell>
        </row>
        <row r="1805">
          <cell r="A1805" t="str">
            <v>1396817003</v>
          </cell>
          <cell r="B1805" t="str">
            <v>00243985</v>
          </cell>
          <cell r="C1805" t="str">
            <v>Northside Center for Child Development, Inc (Multiple locations)</v>
          </cell>
          <cell r="D1805" t="str">
            <v>E0274021</v>
          </cell>
          <cell r="E1805" t="str">
            <v>NORTHSIDE CENTER FOR CHILD DE</v>
          </cell>
          <cell r="G1805" t="str">
            <v>Jean Holland, MD</v>
          </cell>
          <cell r="H1805" t="str">
            <v>(212) 426-3400</v>
          </cell>
          <cell r="J1805" t="str">
            <v>jholland@northsidecenter.org</v>
          </cell>
          <cell r="L1805" t="str">
            <v>All Other:: Mental Health</v>
          </cell>
          <cell r="M1805" t="str">
            <v>Yes</v>
          </cell>
          <cell r="R1805" t="str">
            <v>NORTHSIDE CENTER FOR CHILD DEVELOPMENT, INC.</v>
          </cell>
          <cell r="W1805" t="str">
            <v>NORTHSIDE CENTER FOR CHILD DE</v>
          </cell>
          <cell r="X1805" t="str">
            <v>NORTHSIDE CTR CL</v>
          </cell>
          <cell r="Y1805" t="str">
            <v>NEW YORK</v>
          </cell>
          <cell r="Z1805" t="str">
            <v>NY</v>
          </cell>
          <cell r="AA1805" t="str">
            <v>10029-3197</v>
          </cell>
          <cell r="AB1805" t="str">
            <v>DIAGNOSTIC AND TREATMENT CENTER</v>
          </cell>
          <cell r="AC1805" t="str">
            <v>M</v>
          </cell>
          <cell r="AD1805" t="str">
            <v>No</v>
          </cell>
          <cell r="AE1805" t="str">
            <v>MMIS</v>
          </cell>
          <cell r="AG1805" t="str">
            <v>P</v>
          </cell>
        </row>
        <row r="1806">
          <cell r="A1806" t="str">
            <v>1760465579</v>
          </cell>
          <cell r="B1806" t="str">
            <v>02614051</v>
          </cell>
          <cell r="C1806" t="str">
            <v xml:space="preserve">GONTER, NEIL </v>
          </cell>
          <cell r="D1806" t="str">
            <v>E0038752</v>
          </cell>
          <cell r="E1806" t="str">
            <v>GONTER NEIL</v>
          </cell>
          <cell r="G1806" t="str">
            <v>Kathryn Spaziani</v>
          </cell>
          <cell r="H1806" t="str">
            <v>(212) 305-1190</v>
          </cell>
          <cell r="J1806" t="str">
            <v>kas9171@nyp.org</v>
          </cell>
          <cell r="L1806" t="str">
            <v>Practitioner - Non-Primary Care Provider (PCP)</v>
          </cell>
          <cell r="M1806" t="str">
            <v>No</v>
          </cell>
          <cell r="R1806" t="str">
            <v>GONTER NEIL</v>
          </cell>
          <cell r="W1806" t="str">
            <v>GONTER NEIL JEFFREY</v>
          </cell>
          <cell r="X1806" t="str">
            <v>1415 QUEEN ANNE RD</v>
          </cell>
          <cell r="Y1806" t="str">
            <v>TEANECK</v>
          </cell>
          <cell r="Z1806" t="str">
            <v>NJ</v>
          </cell>
          <cell r="AA1806" t="str">
            <v>07666-3521</v>
          </cell>
          <cell r="AB1806" t="str">
            <v>PHYSICIAN</v>
          </cell>
          <cell r="AC1806" t="str">
            <v>M</v>
          </cell>
          <cell r="AD1806" t="str">
            <v>No</v>
          </cell>
          <cell r="AE1806" t="str">
            <v>MMIS</v>
          </cell>
          <cell r="AF1806" t="str">
            <v>nypwestcampus</v>
          </cell>
          <cell r="AG1806" t="str">
            <v>P</v>
          </cell>
        </row>
        <row r="1807">
          <cell r="A1807" t="str">
            <v>1760564512</v>
          </cell>
          <cell r="B1807" t="str">
            <v>02813596</v>
          </cell>
          <cell r="C1807" t="str">
            <v>BOQUIN, CYRUS A</v>
          </cell>
          <cell r="D1807" t="str">
            <v>E0018836</v>
          </cell>
          <cell r="E1807" t="str">
            <v>BOQUIN CYRUS AMIR MD</v>
          </cell>
          <cell r="G1807" t="str">
            <v>Kathryn Spaziani</v>
          </cell>
          <cell r="H1807" t="str">
            <v>(212) 305-1190</v>
          </cell>
          <cell r="J1807" t="str">
            <v>kas9171@nyp.org</v>
          </cell>
          <cell r="L1807" t="str">
            <v>Practitioner - Primary Care Provider (PCP)</v>
          </cell>
          <cell r="M1807" t="str">
            <v>Yes</v>
          </cell>
          <cell r="R1807" t="str">
            <v>BOQUIN CYRUS DR.</v>
          </cell>
          <cell r="W1807" t="str">
            <v>BOQUIN CYRUS AMIR MD</v>
          </cell>
          <cell r="X1807" t="str">
            <v>622 W 168TH ST</v>
          </cell>
          <cell r="Y1807" t="str">
            <v>NEW YORK</v>
          </cell>
          <cell r="Z1807" t="str">
            <v>NY</v>
          </cell>
          <cell r="AA1807" t="str">
            <v>10032-3720</v>
          </cell>
          <cell r="AB1807" t="str">
            <v>PHYSICIAN</v>
          </cell>
          <cell r="AC1807" t="str">
            <v>M</v>
          </cell>
          <cell r="AD1807" t="str">
            <v>No</v>
          </cell>
          <cell r="AE1807" t="str">
            <v>MMIS</v>
          </cell>
          <cell r="AF1807" t="str">
            <v>nypwestacn</v>
          </cell>
          <cell r="AG1807" t="str">
            <v>P</v>
          </cell>
        </row>
        <row r="1808">
          <cell r="A1808" t="str">
            <v>1205126836</v>
          </cell>
          <cell r="C1808" t="str">
            <v>Glodowski Seth</v>
          </cell>
          <cell r="G1808" t="str">
            <v>Kathryn Spaziani</v>
          </cell>
          <cell r="H1808" t="str">
            <v>(212) 305-1255</v>
          </cell>
          <cell r="J1808" t="str">
            <v>kas9171@nyp.org</v>
          </cell>
          <cell r="K1808" t="str">
            <v>Physician</v>
          </cell>
          <cell r="L1808" t="str">
            <v>Uncategorized</v>
          </cell>
          <cell r="M1808" t="str">
            <v>No</v>
          </cell>
          <cell r="R1808" t="str">
            <v>GLODOWSKI SETH</v>
          </cell>
          <cell r="S1808" t="str">
            <v>630 W 168TH ST</v>
          </cell>
          <cell r="T1808" t="str">
            <v>NEW YORK</v>
          </cell>
          <cell r="U1808" t="str">
            <v>NY</v>
          </cell>
          <cell r="V1808" t="str">
            <v>100323725</v>
          </cell>
          <cell r="AC1808" t="str">
            <v>M</v>
          </cell>
          <cell r="AD1808" t="str">
            <v>No</v>
          </cell>
          <cell r="AE1808" t="str">
            <v>NPI only</v>
          </cell>
          <cell r="AF1808" t="str">
            <v>nypother</v>
          </cell>
          <cell r="AG1808" t="str">
            <v>P</v>
          </cell>
        </row>
        <row r="1809">
          <cell r="A1809" t="str">
            <v>1174966899</v>
          </cell>
          <cell r="B1809" t="str">
            <v>04347779</v>
          </cell>
          <cell r="C1809" t="str">
            <v>Gottlieb David</v>
          </cell>
          <cell r="D1809" t="str">
            <v>E0427210</v>
          </cell>
          <cell r="E1809" t="str">
            <v>GOTTLIEB DAVID</v>
          </cell>
          <cell r="G1809" t="str">
            <v>Kathryn Spaziani</v>
          </cell>
          <cell r="H1809" t="str">
            <v>(212) 305-1255</v>
          </cell>
          <cell r="J1809" t="str">
            <v>kas9171@nyp.org</v>
          </cell>
          <cell r="L1809" t="str">
            <v>Uncategorized</v>
          </cell>
          <cell r="M1809" t="str">
            <v>No</v>
          </cell>
          <cell r="R1809" t="str">
            <v>GOTTLIEB DAVID</v>
          </cell>
          <cell r="W1809" t="str">
            <v>GOTTLIEB DAVID</v>
          </cell>
          <cell r="X1809" t="str">
            <v>622 W 168TH ST</v>
          </cell>
          <cell r="Y1809" t="str">
            <v>NEW YORK</v>
          </cell>
          <cell r="Z1809" t="str">
            <v>NY</v>
          </cell>
          <cell r="AA1809" t="str">
            <v>10032-3720</v>
          </cell>
          <cell r="AB1809" t="str">
            <v>DENTIST</v>
          </cell>
          <cell r="AC1809" t="str">
            <v>M</v>
          </cell>
          <cell r="AD1809" t="str">
            <v>No</v>
          </cell>
          <cell r="AE1809" t="str">
            <v>MMIS</v>
          </cell>
          <cell r="AF1809" t="str">
            <v>nypwestcampus</v>
          </cell>
          <cell r="AG1809" t="str">
            <v>P</v>
          </cell>
        </row>
        <row r="1810">
          <cell r="A1810" t="str">
            <v>1043653314</v>
          </cell>
          <cell r="C1810" t="str">
            <v>Griffiths Keren</v>
          </cell>
          <cell r="G1810" t="str">
            <v>Kathryn Spaziani</v>
          </cell>
          <cell r="H1810" t="str">
            <v>(212) 305-1255</v>
          </cell>
          <cell r="J1810" t="str">
            <v>kas9171@nyp.org</v>
          </cell>
          <cell r="K1810" t="str">
            <v>Physician</v>
          </cell>
          <cell r="L1810" t="str">
            <v>Uncategorized</v>
          </cell>
          <cell r="M1810" t="str">
            <v>No</v>
          </cell>
          <cell r="R1810" t="str">
            <v>GRIFFITHS KEREN</v>
          </cell>
          <cell r="S1810" t="str">
            <v>525 E 68TH ST, BOX#312</v>
          </cell>
          <cell r="T1810" t="str">
            <v>NEW YORK</v>
          </cell>
          <cell r="U1810" t="str">
            <v>NY</v>
          </cell>
          <cell r="V1810" t="str">
            <v>100654870</v>
          </cell>
          <cell r="AC1810" t="str">
            <v>M</v>
          </cell>
          <cell r="AD1810" t="str">
            <v>No</v>
          </cell>
          <cell r="AE1810" t="str">
            <v>NPI only</v>
          </cell>
          <cell r="AF1810" t="str">
            <v>nypwestcampus</v>
          </cell>
          <cell r="AG1810" t="str">
            <v>P</v>
          </cell>
        </row>
        <row r="1811">
          <cell r="A1811" t="str">
            <v>1114158383</v>
          </cell>
          <cell r="B1811" t="str">
            <v>03653032</v>
          </cell>
          <cell r="C1811" t="str">
            <v>CANTOR, MATTHEW</v>
          </cell>
          <cell r="D1811" t="str">
            <v>E0355787</v>
          </cell>
          <cell r="E1811" t="str">
            <v>CANTOR MATTHEW DAVID</v>
          </cell>
          <cell r="G1811" t="str">
            <v>Kathryn Spaziani</v>
          </cell>
          <cell r="H1811" t="str">
            <v>(212) 305-1207</v>
          </cell>
          <cell r="J1811" t="str">
            <v>kas9171@nyp.org</v>
          </cell>
          <cell r="L1811" t="str">
            <v>All Other:: Practitioner - Non-Primary Care Provider (PCP)</v>
          </cell>
          <cell r="M1811" t="str">
            <v>No</v>
          </cell>
          <cell r="R1811" t="str">
            <v>CANTOR MATTHEW DR.</v>
          </cell>
          <cell r="W1811" t="str">
            <v>CANTOR MATTHEW DAVID</v>
          </cell>
          <cell r="X1811" t="str">
            <v>5141 BROADWAY</v>
          </cell>
          <cell r="Y1811" t="str">
            <v>NEW YORK</v>
          </cell>
          <cell r="Z1811" t="str">
            <v>NY</v>
          </cell>
          <cell r="AA1811" t="str">
            <v>10034-1159</v>
          </cell>
          <cell r="AB1811" t="str">
            <v>PHYSICIAN</v>
          </cell>
          <cell r="AC1811" t="str">
            <v>M</v>
          </cell>
          <cell r="AD1811" t="str">
            <v>No</v>
          </cell>
          <cell r="AE1811" t="str">
            <v>MMIS</v>
          </cell>
          <cell r="AF1811" t="str">
            <v>nypwestcampus</v>
          </cell>
          <cell r="AG1811" t="str">
            <v>P</v>
          </cell>
        </row>
        <row r="1812">
          <cell r="A1812" t="str">
            <v>1033317664</v>
          </cell>
          <cell r="B1812" t="str">
            <v>03419761</v>
          </cell>
          <cell r="C1812" t="str">
            <v>CERVINI, CHRISTINE</v>
          </cell>
          <cell r="D1812" t="str">
            <v>E0330186</v>
          </cell>
          <cell r="E1812" t="str">
            <v>CERVINI CHRISTINE MARIE</v>
          </cell>
          <cell r="G1812" t="str">
            <v>Kathryn Spaziani</v>
          </cell>
          <cell r="H1812" t="str">
            <v>(212) 305-1208</v>
          </cell>
          <cell r="J1812" t="str">
            <v>kas9171@nyp.org</v>
          </cell>
          <cell r="L1812" t="str">
            <v>All Other:: Practitioner - Non-Primary Care Provider (PCP)</v>
          </cell>
          <cell r="M1812" t="str">
            <v>No</v>
          </cell>
          <cell r="R1812" t="str">
            <v>CERVINI CHRISTINE MS.</v>
          </cell>
          <cell r="W1812" t="str">
            <v>CERVINI CHRISTINE MARIE</v>
          </cell>
          <cell r="X1812" t="str">
            <v>525 E 68TH ST</v>
          </cell>
          <cell r="Y1812" t="str">
            <v>NEW YORK</v>
          </cell>
          <cell r="Z1812" t="str">
            <v>NY</v>
          </cell>
          <cell r="AA1812" t="str">
            <v>10065-4870</v>
          </cell>
          <cell r="AB1812" t="str">
            <v>PHYSICIAN</v>
          </cell>
          <cell r="AC1812" t="str">
            <v>M</v>
          </cell>
          <cell r="AD1812" t="str">
            <v>No</v>
          </cell>
          <cell r="AE1812" t="str">
            <v>MMIS</v>
          </cell>
          <cell r="AF1812" t="str">
            <v>nypeastcampus</v>
          </cell>
          <cell r="AG1812" t="str">
            <v>P</v>
          </cell>
        </row>
        <row r="1813">
          <cell r="A1813" t="str">
            <v>1386772143</v>
          </cell>
          <cell r="B1813" t="str">
            <v>03709473</v>
          </cell>
          <cell r="C1813" t="str">
            <v>Cassis Henry, MD</v>
          </cell>
          <cell r="D1813" t="str">
            <v>E0361416</v>
          </cell>
          <cell r="E1813" t="str">
            <v>HENRY CASSIS</v>
          </cell>
          <cell r="G1813" t="str">
            <v>Dianna Dragatsi</v>
          </cell>
          <cell r="H1813" t="str">
            <v>(212) 942-8515</v>
          </cell>
          <cell r="J1813" t="str">
            <v>Dragats@nyspi.columbia.edu</v>
          </cell>
          <cell r="L1813" t="str">
            <v>Practitioner - Non-Primary Care Provider (PCP)</v>
          </cell>
          <cell r="M1813" t="str">
            <v>No</v>
          </cell>
          <cell r="R1813" t="str">
            <v>HENRY CASSIS DR.</v>
          </cell>
          <cell r="W1813" t="str">
            <v>HENRY CASSIS</v>
          </cell>
          <cell r="X1813" t="str">
            <v>513 W 166TH ST FL 4</v>
          </cell>
          <cell r="Y1813" t="str">
            <v>NEW YORK</v>
          </cell>
          <cell r="Z1813" t="str">
            <v>NY</v>
          </cell>
          <cell r="AA1813" t="str">
            <v>10032-4207</v>
          </cell>
          <cell r="AB1813" t="str">
            <v>PHYSICIAN</v>
          </cell>
          <cell r="AC1813" t="str">
            <v>M</v>
          </cell>
          <cell r="AD1813" t="str">
            <v>No</v>
          </cell>
          <cell r="AE1813" t="str">
            <v>MMIS</v>
          </cell>
          <cell r="AF1813" t="str">
            <v>nyspi</v>
          </cell>
          <cell r="AG1813" t="str">
            <v>P</v>
          </cell>
        </row>
        <row r="1814">
          <cell r="A1814" t="str">
            <v>1295152163</v>
          </cell>
          <cell r="C1814" t="str">
            <v>Duren Andrew</v>
          </cell>
          <cell r="G1814" t="str">
            <v>Kathryn Spaziani</v>
          </cell>
          <cell r="H1814" t="str">
            <v>(212) 305-1255</v>
          </cell>
          <cell r="J1814" t="str">
            <v>kas9171@nyp.org</v>
          </cell>
          <cell r="K1814" t="str">
            <v>Physician</v>
          </cell>
          <cell r="L1814" t="str">
            <v>Uncategorized</v>
          </cell>
          <cell r="M1814" t="str">
            <v>No</v>
          </cell>
          <cell r="R1814" t="str">
            <v>DUREN ANDREW</v>
          </cell>
          <cell r="S1814" t="str">
            <v>622 W 168TH ST</v>
          </cell>
          <cell r="T1814" t="str">
            <v>NEW YORK</v>
          </cell>
          <cell r="U1814" t="str">
            <v>NY</v>
          </cell>
          <cell r="V1814" t="str">
            <v>100323720</v>
          </cell>
          <cell r="AC1814" t="str">
            <v>M</v>
          </cell>
          <cell r="AD1814" t="str">
            <v>No</v>
          </cell>
          <cell r="AE1814" t="str">
            <v>NPI only</v>
          </cell>
          <cell r="AF1814" t="str">
            <v>nypwestcampus</v>
          </cell>
          <cell r="AG1814" t="str">
            <v>P</v>
          </cell>
        </row>
        <row r="1815">
          <cell r="A1815" t="str">
            <v>1972517613</v>
          </cell>
          <cell r="B1815" t="str">
            <v>00488826</v>
          </cell>
          <cell r="C1815" t="str">
            <v>Brill Paula</v>
          </cell>
          <cell r="D1815" t="str">
            <v>E0250771</v>
          </cell>
          <cell r="E1815" t="str">
            <v>BRILL PAULA                MD</v>
          </cell>
          <cell r="L1815" t="str">
            <v>All Other:: Practitioner - Non-Primary Care Provider (PCP)</v>
          </cell>
          <cell r="M1815" t="str">
            <v>No</v>
          </cell>
          <cell r="R1815" t="str">
            <v>BRILL PAULA</v>
          </cell>
          <cell r="W1815" t="str">
            <v>BRILL PAULA                MD</v>
          </cell>
          <cell r="Y1815" t="str">
            <v>NEW YORK</v>
          </cell>
          <cell r="Z1815" t="str">
            <v>NY</v>
          </cell>
          <cell r="AA1815" t="str">
            <v>10065-4885</v>
          </cell>
          <cell r="AB1815" t="str">
            <v>PHYSICIAN</v>
          </cell>
          <cell r="AC1815" t="str">
            <v>M</v>
          </cell>
          <cell r="AD1815" t="str">
            <v>No</v>
          </cell>
          <cell r="AE1815" t="str">
            <v>MMIS</v>
          </cell>
          <cell r="AG1815" t="str">
            <v>P</v>
          </cell>
        </row>
        <row r="1816">
          <cell r="A1816" t="str">
            <v>1205931250</v>
          </cell>
          <cell r="B1816" t="str">
            <v>02933571</v>
          </cell>
          <cell r="C1816" t="str">
            <v>Kovanlikaya Arzu</v>
          </cell>
          <cell r="D1816" t="str">
            <v>E0001328</v>
          </cell>
          <cell r="E1816" t="str">
            <v>KOVANLIKAYA ARZU MD</v>
          </cell>
          <cell r="L1816" t="str">
            <v>All Other:: Practitioner - Non-Primary Care Provider (PCP)</v>
          </cell>
          <cell r="M1816" t="str">
            <v>No</v>
          </cell>
          <cell r="R1816" t="str">
            <v>KOVANLIKAYA ARZU</v>
          </cell>
          <cell r="W1816" t="str">
            <v>KOVANLIKAYA ARZU MD</v>
          </cell>
          <cell r="X1816" t="str">
            <v>525 E 68TH ST</v>
          </cell>
          <cell r="Y1816" t="str">
            <v>NEW YORK</v>
          </cell>
          <cell r="Z1816" t="str">
            <v>NY</v>
          </cell>
          <cell r="AA1816" t="str">
            <v>10065-4870</v>
          </cell>
          <cell r="AB1816" t="str">
            <v>PHYSICIAN</v>
          </cell>
          <cell r="AC1816" t="str">
            <v>M</v>
          </cell>
          <cell r="AD1816" t="str">
            <v>No</v>
          </cell>
          <cell r="AE1816" t="str">
            <v>MMIS</v>
          </cell>
          <cell r="AF1816" t="str">
            <v>nypeastcampus</v>
          </cell>
          <cell r="AG1816" t="str">
            <v>P</v>
          </cell>
        </row>
        <row r="1817">
          <cell r="A1817" t="str">
            <v>1336137116</v>
          </cell>
          <cell r="B1817" t="str">
            <v>03321735</v>
          </cell>
          <cell r="C1817" t="str">
            <v>Nagy Peter</v>
          </cell>
          <cell r="D1817" t="str">
            <v>E0318175</v>
          </cell>
          <cell r="E1817" t="str">
            <v>NAGY PETER</v>
          </cell>
          <cell r="L1817" t="str">
            <v>All Other:: Practitioner - Non-Primary Care Provider (PCP)</v>
          </cell>
          <cell r="M1817" t="str">
            <v>No</v>
          </cell>
          <cell r="R1817" t="str">
            <v>NAGY PETER</v>
          </cell>
          <cell r="W1817" t="str">
            <v>NAGY PETER</v>
          </cell>
          <cell r="X1817" t="str">
            <v>622 WEST 168TH STREE</v>
          </cell>
          <cell r="Y1817" t="str">
            <v>NEW YORK</v>
          </cell>
          <cell r="Z1817" t="str">
            <v>NY</v>
          </cell>
          <cell r="AA1817" t="str">
            <v>10032</v>
          </cell>
          <cell r="AB1817" t="str">
            <v>PHYSICIAN</v>
          </cell>
          <cell r="AC1817" t="str">
            <v>M</v>
          </cell>
          <cell r="AD1817" t="str">
            <v>No</v>
          </cell>
          <cell r="AE1817" t="str">
            <v>MMIS</v>
          </cell>
          <cell r="AF1817" t="str">
            <v>nypwestcampus</v>
          </cell>
          <cell r="AG1817" t="str">
            <v>P</v>
          </cell>
        </row>
        <row r="1818">
          <cell r="A1818" t="str">
            <v>1669715371</v>
          </cell>
          <cell r="C1818" t="str">
            <v>Long Yang</v>
          </cell>
          <cell r="G1818" t="str">
            <v>Kathryn Spaziani</v>
          </cell>
          <cell r="H1818" t="str">
            <v>(212) 305-1255</v>
          </cell>
          <cell r="J1818" t="str">
            <v>kas9171@nyp.org</v>
          </cell>
          <cell r="K1818" t="str">
            <v>Physician</v>
          </cell>
          <cell r="L1818" t="str">
            <v>Uncategorized</v>
          </cell>
          <cell r="M1818" t="str">
            <v>No</v>
          </cell>
          <cell r="R1818" t="str">
            <v>LONG YANG</v>
          </cell>
          <cell r="S1818" t="str">
            <v>622 W 168TH ST, PH5-133, NEW YORK PRESBYTERIAN HOSPITAL, DEPT OF ANESTHESIOLOGY</v>
          </cell>
          <cell r="T1818" t="str">
            <v>NEW YORK</v>
          </cell>
          <cell r="U1818" t="str">
            <v>NY</v>
          </cell>
          <cell r="V1818" t="str">
            <v>10032</v>
          </cell>
          <cell r="AC1818" t="str">
            <v>M</v>
          </cell>
          <cell r="AD1818" t="str">
            <v>No</v>
          </cell>
          <cell r="AE1818" t="str">
            <v>NPI only</v>
          </cell>
          <cell r="AF1818" t="str">
            <v>nypwestcampus</v>
          </cell>
          <cell r="AG1818" t="str">
            <v>P</v>
          </cell>
        </row>
        <row r="1819">
          <cell r="A1819" t="str">
            <v>1366496572</v>
          </cell>
          <cell r="B1819" t="str">
            <v>00850651</v>
          </cell>
          <cell r="C1819" t="str">
            <v>NOVOGRODER, MICHAEL</v>
          </cell>
          <cell r="D1819" t="str">
            <v>E0214678</v>
          </cell>
          <cell r="E1819" t="str">
            <v>NOVOGRODER MICHAEL</v>
          </cell>
          <cell r="G1819" t="str">
            <v>Kathryn Spaziani</v>
          </cell>
          <cell r="H1819" t="str">
            <v>(212) 305-1306</v>
          </cell>
          <cell r="J1819" t="str">
            <v>kas9171@nyp.org</v>
          </cell>
          <cell r="L1819" t="str">
            <v>Practitioner - Non-Primary Care Provider (PCP)</v>
          </cell>
          <cell r="M1819" t="str">
            <v>No</v>
          </cell>
          <cell r="R1819" t="str">
            <v>NOVOGRODER MICHAEL</v>
          </cell>
          <cell r="W1819" t="str">
            <v>NOVOGRODER MICHAEL</v>
          </cell>
          <cell r="X1819" t="str">
            <v>3959 BROADWAY</v>
          </cell>
          <cell r="Y1819" t="str">
            <v>NEW YORK</v>
          </cell>
          <cell r="Z1819" t="str">
            <v>NY</v>
          </cell>
          <cell r="AA1819" t="str">
            <v>10032-1559</v>
          </cell>
          <cell r="AB1819" t="str">
            <v>PHYSICIAN</v>
          </cell>
          <cell r="AC1819" t="str">
            <v>M</v>
          </cell>
          <cell r="AD1819" t="str">
            <v>No</v>
          </cell>
          <cell r="AE1819" t="str">
            <v>MMIS</v>
          </cell>
          <cell r="AF1819" t="str">
            <v>nypwestcampus</v>
          </cell>
          <cell r="AG1819" t="str">
            <v>P</v>
          </cell>
        </row>
        <row r="1820">
          <cell r="A1820" t="str">
            <v>1427211341</v>
          </cell>
          <cell r="B1820" t="str">
            <v>03318554</v>
          </cell>
          <cell r="C1820" t="str">
            <v>O-BRIEN, MEGHAN</v>
          </cell>
          <cell r="D1820" t="str">
            <v>E0317795</v>
          </cell>
          <cell r="E1820" t="str">
            <v>MEGHAN OBRIEN</v>
          </cell>
          <cell r="G1820" t="str">
            <v>Kathryn Spaziani</v>
          </cell>
          <cell r="H1820" t="str">
            <v>(212) 305-1308</v>
          </cell>
          <cell r="J1820" t="str">
            <v>kas9171@nyp.org</v>
          </cell>
          <cell r="L1820" t="str">
            <v>All Other:: Practitioner - Non-Primary Care Provider (PCP)</v>
          </cell>
          <cell r="M1820" t="str">
            <v>No</v>
          </cell>
          <cell r="R1820" t="str">
            <v>OBRIEN MEGHAN</v>
          </cell>
          <cell r="W1820" t="str">
            <v>OBRIEN MEGHAN MARY</v>
          </cell>
          <cell r="X1820" t="str">
            <v>1305 YORK AVE FL 9</v>
          </cell>
          <cell r="Y1820" t="str">
            <v>NEW YORK</v>
          </cell>
          <cell r="Z1820" t="str">
            <v>NY</v>
          </cell>
          <cell r="AA1820" t="str">
            <v>10021-5663</v>
          </cell>
          <cell r="AB1820" t="str">
            <v>PHYSICIAN</v>
          </cell>
          <cell r="AC1820" t="str">
            <v>M</v>
          </cell>
          <cell r="AD1820" t="str">
            <v>No</v>
          </cell>
          <cell r="AE1820" t="str">
            <v>MMIS</v>
          </cell>
          <cell r="AF1820" t="str">
            <v>nypeastcampus</v>
          </cell>
          <cell r="AG1820" t="str">
            <v>P</v>
          </cell>
        </row>
        <row r="1821">
          <cell r="A1821" t="str">
            <v>1003188293</v>
          </cell>
          <cell r="B1821" t="str">
            <v>03664468</v>
          </cell>
          <cell r="C1821" t="str">
            <v>O-NEIL, SARAH</v>
          </cell>
          <cell r="D1821" t="str">
            <v>E0356870</v>
          </cell>
          <cell r="E1821" t="str">
            <v>ONEIL SARAH CAITLIN</v>
          </cell>
          <cell r="G1821" t="str">
            <v>Kathryn Spaziani</v>
          </cell>
          <cell r="H1821" t="str">
            <v>(212) 305-1309</v>
          </cell>
          <cell r="J1821" t="str">
            <v>kas9171@nyp.org</v>
          </cell>
          <cell r="L1821" t="str">
            <v>Practitioner - Non-Primary Care Provider (PCP)</v>
          </cell>
          <cell r="M1821" t="str">
            <v>No</v>
          </cell>
          <cell r="R1821" t="str">
            <v>O'NEIL SARAH MS.</v>
          </cell>
          <cell r="W1821" t="str">
            <v>ONEIL SARAH CAITLIN</v>
          </cell>
          <cell r="X1821" t="str">
            <v>1305 YORK AVE FL 4</v>
          </cell>
          <cell r="Y1821" t="str">
            <v>NEW YORK</v>
          </cell>
          <cell r="Z1821" t="str">
            <v>NY</v>
          </cell>
          <cell r="AA1821" t="str">
            <v>10021-5663</v>
          </cell>
          <cell r="AB1821" t="str">
            <v>PHYSICIAN</v>
          </cell>
          <cell r="AC1821" t="str">
            <v>M</v>
          </cell>
          <cell r="AD1821" t="str">
            <v>No</v>
          </cell>
          <cell r="AE1821" t="str">
            <v>MMIS</v>
          </cell>
          <cell r="AF1821" t="str">
            <v>nypeastcampus</v>
          </cell>
          <cell r="AG1821" t="str">
            <v>P</v>
          </cell>
        </row>
        <row r="1822">
          <cell r="A1822" t="str">
            <v>1821202169</v>
          </cell>
          <cell r="B1822" t="str">
            <v>02906816</v>
          </cell>
          <cell r="C1822" t="str">
            <v>Johnston Taylor</v>
          </cell>
          <cell r="D1822" t="str">
            <v>E0009526</v>
          </cell>
          <cell r="E1822" t="str">
            <v>JOHNSTON TAYLOR A MD</v>
          </cell>
          <cell r="L1822" t="str">
            <v>All Other:: Practitioner - Non-Primary Care Provider (PCP)</v>
          </cell>
          <cell r="M1822" t="str">
            <v>No</v>
          </cell>
          <cell r="R1822" t="str">
            <v>JOHNSTON TAYLOR DR.</v>
          </cell>
          <cell r="W1822" t="str">
            <v>JOHNSTON TAYLOR A MD</v>
          </cell>
          <cell r="X1822" t="str">
            <v>622 W 168TH ST</v>
          </cell>
          <cell r="Y1822" t="str">
            <v>NEW YORK</v>
          </cell>
          <cell r="Z1822" t="str">
            <v>NY</v>
          </cell>
          <cell r="AA1822" t="str">
            <v>10032-3720</v>
          </cell>
          <cell r="AB1822" t="str">
            <v>PHYSICIAN</v>
          </cell>
          <cell r="AC1822" t="str">
            <v>M</v>
          </cell>
          <cell r="AD1822" t="str">
            <v>No</v>
          </cell>
          <cell r="AE1822" t="str">
            <v>MMIS</v>
          </cell>
          <cell r="AF1822" t="str">
            <v>nypwestcampus</v>
          </cell>
          <cell r="AG1822" t="str">
            <v>P</v>
          </cell>
        </row>
        <row r="1823">
          <cell r="A1823" t="str">
            <v>1053463869</v>
          </cell>
          <cell r="B1823" t="str">
            <v>02101366</v>
          </cell>
          <cell r="C1823" t="str">
            <v>Kachulis Bessie</v>
          </cell>
          <cell r="D1823" t="str">
            <v>E0089932</v>
          </cell>
          <cell r="E1823" t="str">
            <v>KACHULIS BESSIE MD</v>
          </cell>
          <cell r="L1823" t="str">
            <v>Practitioner - Non-Primary Care Provider (PCP)</v>
          </cell>
          <cell r="M1823" t="str">
            <v>No</v>
          </cell>
          <cell r="R1823" t="str">
            <v>KACHULIS BESSIE DR.</v>
          </cell>
          <cell r="W1823" t="str">
            <v>KACHULIS BESSIE MD</v>
          </cell>
          <cell r="X1823" t="str">
            <v>NY PRESBYTERIAN HOSP</v>
          </cell>
          <cell r="Y1823" t="str">
            <v>NEW YORK</v>
          </cell>
          <cell r="Z1823" t="str">
            <v>NY</v>
          </cell>
          <cell r="AA1823" t="str">
            <v>10032-3720</v>
          </cell>
          <cell r="AB1823" t="str">
            <v>PHYSICIAN</v>
          </cell>
          <cell r="AC1823" t="str">
            <v>M</v>
          </cell>
          <cell r="AD1823" t="str">
            <v>No</v>
          </cell>
          <cell r="AE1823" t="str">
            <v>MMIS</v>
          </cell>
          <cell r="AF1823" t="str">
            <v>nypwestcampus</v>
          </cell>
          <cell r="AG1823" t="str">
            <v>P</v>
          </cell>
        </row>
        <row r="1824">
          <cell r="A1824" t="str">
            <v>1699933580</v>
          </cell>
          <cell r="B1824" t="str">
            <v>03154390</v>
          </cell>
          <cell r="C1824" t="str">
            <v>Lo Sansan</v>
          </cell>
          <cell r="D1824" t="str">
            <v>E0299192</v>
          </cell>
          <cell r="E1824" t="str">
            <v>LO SANSAN SHELLEY MD</v>
          </cell>
          <cell r="L1824" t="str">
            <v>Practitioner - Non-Primary Care Provider (PCP)</v>
          </cell>
          <cell r="M1824" t="str">
            <v>No</v>
          </cell>
          <cell r="R1824" t="str">
            <v>LO SANSAN DR.</v>
          </cell>
          <cell r="W1824" t="str">
            <v>LO SANSAN SHELLEY MD</v>
          </cell>
          <cell r="X1824" t="str">
            <v>622 W 168TH ST</v>
          </cell>
          <cell r="Y1824" t="str">
            <v>NEW YORK</v>
          </cell>
          <cell r="Z1824" t="str">
            <v>NY</v>
          </cell>
          <cell r="AA1824" t="str">
            <v>10032-3720</v>
          </cell>
          <cell r="AB1824" t="str">
            <v>PHYSICIAN</v>
          </cell>
          <cell r="AC1824" t="str">
            <v>M</v>
          </cell>
          <cell r="AD1824" t="str">
            <v>No</v>
          </cell>
          <cell r="AE1824" t="str">
            <v>MMIS</v>
          </cell>
          <cell r="AF1824" t="str">
            <v>nypwestcampus</v>
          </cell>
          <cell r="AG1824" t="str">
            <v>P</v>
          </cell>
        </row>
        <row r="1825">
          <cell r="A1825" t="str">
            <v>1396948915</v>
          </cell>
          <cell r="B1825" t="str">
            <v>03623654</v>
          </cell>
          <cell r="C1825" t="str">
            <v>Mulaikal Teresa</v>
          </cell>
          <cell r="D1825" t="str">
            <v>E0352623</v>
          </cell>
          <cell r="E1825" t="str">
            <v>MULAIKAL TERESA ANITA</v>
          </cell>
          <cell r="L1825" t="str">
            <v>All Other:: Practitioner - Non-Primary Care Provider (PCP)</v>
          </cell>
          <cell r="M1825" t="str">
            <v>No</v>
          </cell>
          <cell r="R1825" t="str">
            <v>MULAIKAL TERESA</v>
          </cell>
          <cell r="W1825" t="str">
            <v>MULAIKAL TERESA ANITA</v>
          </cell>
          <cell r="X1825" t="str">
            <v>622 W 168TH ST</v>
          </cell>
          <cell r="Y1825" t="str">
            <v>NEW YORK</v>
          </cell>
          <cell r="Z1825" t="str">
            <v>NY</v>
          </cell>
          <cell r="AA1825" t="str">
            <v>10032-3720</v>
          </cell>
          <cell r="AB1825" t="str">
            <v>PHYSICIAN</v>
          </cell>
          <cell r="AC1825" t="str">
            <v>M</v>
          </cell>
          <cell r="AD1825" t="str">
            <v>No</v>
          </cell>
          <cell r="AE1825" t="str">
            <v>MMIS</v>
          </cell>
          <cell r="AF1825" t="str">
            <v>nypwestcampus</v>
          </cell>
          <cell r="AG1825" t="str">
            <v>P</v>
          </cell>
        </row>
        <row r="1826">
          <cell r="A1826" t="str">
            <v>1184659419</v>
          </cell>
          <cell r="B1826" t="str">
            <v>02143222</v>
          </cell>
          <cell r="C1826" t="str">
            <v>Nishanian Ervant</v>
          </cell>
          <cell r="D1826" t="str">
            <v>E0085751</v>
          </cell>
          <cell r="E1826" t="str">
            <v>NISHANIAN ERVANT VAHE MD</v>
          </cell>
          <cell r="L1826" t="str">
            <v>Practitioner - Non-Primary Care Provider (PCP)</v>
          </cell>
          <cell r="M1826" t="str">
            <v>No</v>
          </cell>
          <cell r="R1826" t="str">
            <v>NISHANIAN ERVANT</v>
          </cell>
          <cell r="W1826" t="str">
            <v>NISHANIAN ERVANT VAHE MD</v>
          </cell>
          <cell r="Y1826" t="str">
            <v>NEW YORK</v>
          </cell>
          <cell r="Z1826" t="str">
            <v>NY</v>
          </cell>
          <cell r="AA1826" t="str">
            <v>10032-3720</v>
          </cell>
          <cell r="AB1826" t="str">
            <v>PHYSICIAN</v>
          </cell>
          <cell r="AC1826" t="str">
            <v>M</v>
          </cell>
          <cell r="AD1826" t="str">
            <v>No</v>
          </cell>
          <cell r="AE1826" t="str">
            <v>MMIS</v>
          </cell>
          <cell r="AF1826" t="str">
            <v>nypwestcampus</v>
          </cell>
          <cell r="AG1826" t="str">
            <v>P</v>
          </cell>
        </row>
        <row r="1827">
          <cell r="A1827" t="str">
            <v>1457502262</v>
          </cell>
          <cell r="B1827" t="str">
            <v>03338658</v>
          </cell>
          <cell r="C1827" t="str">
            <v>Reichman Melissa</v>
          </cell>
          <cell r="D1827" t="str">
            <v>E0320130</v>
          </cell>
          <cell r="E1827" t="str">
            <v>MELISSA BIRNBAUM REICHMAN</v>
          </cell>
          <cell r="L1827" t="str">
            <v>All Other:: Practitioner - Non-Primary Care Provider (PCP)</v>
          </cell>
          <cell r="M1827" t="str">
            <v>No</v>
          </cell>
          <cell r="R1827" t="str">
            <v>REICHMAN MELISSA</v>
          </cell>
          <cell r="W1827" t="str">
            <v>REICHMAN MELISSA BIRNBAUM</v>
          </cell>
          <cell r="X1827" t="str">
            <v>525 E 68TH ST</v>
          </cell>
          <cell r="Y1827" t="str">
            <v>NEW YORK</v>
          </cell>
          <cell r="Z1827" t="str">
            <v>NY</v>
          </cell>
          <cell r="AA1827" t="str">
            <v>10065-4870</v>
          </cell>
          <cell r="AB1827" t="str">
            <v>PHYSICIAN</v>
          </cell>
          <cell r="AC1827" t="str">
            <v>M</v>
          </cell>
          <cell r="AD1827" t="str">
            <v>No</v>
          </cell>
          <cell r="AE1827" t="str">
            <v>MMIS</v>
          </cell>
          <cell r="AF1827" t="str">
            <v>nypeastcampus</v>
          </cell>
          <cell r="AG1827" t="str">
            <v>P</v>
          </cell>
        </row>
        <row r="1828">
          <cell r="A1828" t="str">
            <v>1871644294</v>
          </cell>
          <cell r="B1828" t="str">
            <v>03102187</v>
          </cell>
          <cell r="C1828" t="str">
            <v>Frisby Xenia</v>
          </cell>
          <cell r="D1828" t="str">
            <v>E0293220</v>
          </cell>
          <cell r="E1828" t="str">
            <v>XENIA YVETTE FRISBY</v>
          </cell>
          <cell r="L1828" t="str">
            <v>Practitioner - Non-Primary Care Provider (PCP)</v>
          </cell>
          <cell r="M1828" t="str">
            <v>No</v>
          </cell>
          <cell r="R1828" t="str">
            <v>FRISBY XENIA</v>
          </cell>
          <cell r="W1828" t="str">
            <v>FRISBY XENIA YVETTE MD</v>
          </cell>
          <cell r="X1828" t="str">
            <v>622 W 168TH ST</v>
          </cell>
          <cell r="Y1828" t="str">
            <v>NEW YORK</v>
          </cell>
          <cell r="Z1828" t="str">
            <v>NY</v>
          </cell>
          <cell r="AA1828" t="str">
            <v>10032-3720</v>
          </cell>
          <cell r="AB1828" t="str">
            <v>PHYSICIAN</v>
          </cell>
          <cell r="AC1828" t="str">
            <v>M</v>
          </cell>
          <cell r="AD1828" t="str">
            <v>No</v>
          </cell>
          <cell r="AE1828" t="str">
            <v>MMIS</v>
          </cell>
          <cell r="AF1828" t="str">
            <v>nypwestcampus</v>
          </cell>
          <cell r="AG1828" t="str">
            <v>P</v>
          </cell>
        </row>
        <row r="1829">
          <cell r="A1829" t="str">
            <v>1073536702</v>
          </cell>
          <cell r="B1829" t="str">
            <v>02805067</v>
          </cell>
          <cell r="C1829" t="str">
            <v>Joseph Julie</v>
          </cell>
          <cell r="D1829" t="str">
            <v>E0019689</v>
          </cell>
          <cell r="E1829" t="str">
            <v>JOSEPH JULIE T MD</v>
          </cell>
          <cell r="L1829" t="str">
            <v>All Other:: Practitioner - Primary Care Provider (PCP)</v>
          </cell>
          <cell r="M1829" t="str">
            <v>No</v>
          </cell>
          <cell r="R1829" t="str">
            <v>JOSEPH JULIE</v>
          </cell>
          <cell r="W1829" t="str">
            <v>JOSEPH JULIE T MD</v>
          </cell>
          <cell r="X1829" t="str">
            <v>95 GRASSLANDS RD</v>
          </cell>
          <cell r="Y1829" t="str">
            <v>VALHALLA</v>
          </cell>
          <cell r="Z1829" t="str">
            <v>NY</v>
          </cell>
          <cell r="AA1829" t="str">
            <v>10595-1652</v>
          </cell>
          <cell r="AB1829" t="str">
            <v>PHYSICIAN</v>
          </cell>
          <cell r="AC1829" t="str">
            <v>M</v>
          </cell>
          <cell r="AD1829" t="str">
            <v>No</v>
          </cell>
          <cell r="AE1829" t="str">
            <v>MMIS</v>
          </cell>
          <cell r="AF1829" t="str">
            <v>nypwestcampus</v>
          </cell>
          <cell r="AG1829" t="str">
            <v>P</v>
          </cell>
        </row>
        <row r="1830">
          <cell r="A1830" t="str">
            <v>1740505296</v>
          </cell>
          <cell r="C1830" t="str">
            <v>Bhasin Vikram</v>
          </cell>
          <cell r="G1830" t="str">
            <v>Kathryn Spaziani</v>
          </cell>
          <cell r="H1830" t="str">
            <v>(212) 305-1255</v>
          </cell>
          <cell r="J1830" t="str">
            <v>kas9171@nyp.org</v>
          </cell>
          <cell r="K1830" t="str">
            <v>Physician</v>
          </cell>
          <cell r="L1830" t="str">
            <v>Uncategorized</v>
          </cell>
          <cell r="M1830" t="str">
            <v>No</v>
          </cell>
          <cell r="R1830" t="str">
            <v>BHASIN VIKRAM</v>
          </cell>
          <cell r="S1830" t="str">
            <v>22 S GREENE ST, N3E09</v>
          </cell>
          <cell r="T1830" t="str">
            <v>BALTIMORE</v>
          </cell>
          <cell r="U1830" t="str">
            <v>MD</v>
          </cell>
          <cell r="V1830" t="str">
            <v>212011544</v>
          </cell>
          <cell r="AC1830" t="str">
            <v>M</v>
          </cell>
          <cell r="AD1830" t="str">
            <v>No</v>
          </cell>
          <cell r="AE1830" t="str">
            <v>NPI only</v>
          </cell>
          <cell r="AF1830" t="str">
            <v>nypeastcampus</v>
          </cell>
          <cell r="AG1830" t="str">
            <v>P</v>
          </cell>
        </row>
        <row r="1831">
          <cell r="A1831" t="str">
            <v>1689093635</v>
          </cell>
          <cell r="C1831" t="str">
            <v>Boparai Harmandeep</v>
          </cell>
          <cell r="G1831" t="str">
            <v>Kathryn Spaziani</v>
          </cell>
          <cell r="H1831" t="str">
            <v>(212) 305-1255</v>
          </cell>
          <cell r="J1831" t="str">
            <v>kas9171@nyp.org</v>
          </cell>
          <cell r="K1831" t="str">
            <v>Physician</v>
          </cell>
          <cell r="L1831" t="str">
            <v>Uncategorized</v>
          </cell>
          <cell r="M1831" t="str">
            <v>No</v>
          </cell>
          <cell r="R1831" t="str">
            <v>BOPARAI HARMANDEEP</v>
          </cell>
          <cell r="S1831" t="str">
            <v>525 E 68TH ST RM M-312</v>
          </cell>
          <cell r="T1831" t="str">
            <v>NEW YORK</v>
          </cell>
          <cell r="U1831" t="str">
            <v>NY</v>
          </cell>
          <cell r="V1831" t="str">
            <v>100654870</v>
          </cell>
          <cell r="AC1831" t="str">
            <v>M</v>
          </cell>
          <cell r="AD1831" t="str">
            <v>No</v>
          </cell>
          <cell r="AE1831" t="str">
            <v>NPI only</v>
          </cell>
          <cell r="AF1831" t="str">
            <v>nypeastcampus</v>
          </cell>
          <cell r="AG1831" t="str">
            <v>P</v>
          </cell>
        </row>
        <row r="1832">
          <cell r="A1832" t="str">
            <v>1750701447</v>
          </cell>
          <cell r="C1832" t="str">
            <v>Bowen Robert</v>
          </cell>
          <cell r="G1832" t="str">
            <v>Kathryn Spaziani</v>
          </cell>
          <cell r="H1832" t="str">
            <v>(212) 305-1255</v>
          </cell>
          <cell r="J1832" t="str">
            <v>kas9171@nyp.org</v>
          </cell>
          <cell r="K1832" t="str">
            <v>Physician</v>
          </cell>
          <cell r="L1832" t="str">
            <v>Uncategorized</v>
          </cell>
          <cell r="M1832" t="str">
            <v>No</v>
          </cell>
          <cell r="R1832" t="str">
            <v>BOWEN ROBERT</v>
          </cell>
          <cell r="S1832" t="str">
            <v>525 E 68TH ST</v>
          </cell>
          <cell r="T1832" t="str">
            <v>NEW YORK</v>
          </cell>
          <cell r="U1832" t="str">
            <v>NY</v>
          </cell>
          <cell r="V1832" t="str">
            <v>100654870</v>
          </cell>
          <cell r="AC1832" t="str">
            <v>M</v>
          </cell>
          <cell r="AD1832" t="str">
            <v>No</v>
          </cell>
          <cell r="AE1832" t="str">
            <v>NPI only</v>
          </cell>
          <cell r="AF1832" t="str">
            <v>nypeastcampus</v>
          </cell>
          <cell r="AG1832" t="str">
            <v>P</v>
          </cell>
        </row>
        <row r="1833">
          <cell r="A1833" t="str">
            <v>1003108424</v>
          </cell>
          <cell r="B1833" t="str">
            <v>04595997</v>
          </cell>
          <cell r="C1833" t="str">
            <v>Bracken Donna</v>
          </cell>
          <cell r="D1833" t="str">
            <v>E0451949</v>
          </cell>
          <cell r="E1833" t="str">
            <v>BRACKEN DONNA</v>
          </cell>
          <cell r="G1833" t="str">
            <v>Kathryn Spaziani</v>
          </cell>
          <cell r="H1833" t="str">
            <v>(212) 305-1255</v>
          </cell>
          <cell r="J1833" t="str">
            <v>kas9171@nyp.org</v>
          </cell>
          <cell r="L1833" t="str">
            <v>Uncategorized</v>
          </cell>
          <cell r="M1833" t="str">
            <v>No</v>
          </cell>
          <cell r="R1833" t="str">
            <v>BRACKEN DONNA DR.</v>
          </cell>
          <cell r="W1833" t="str">
            <v>BRACKEN DONNA</v>
          </cell>
          <cell r="AB1833" t="str">
            <v>PHYSICIAN</v>
          </cell>
          <cell r="AC1833" t="str">
            <v>M</v>
          </cell>
          <cell r="AD1833" t="str">
            <v>No</v>
          </cell>
          <cell r="AE1833" t="str">
            <v>MMIS</v>
          </cell>
          <cell r="AF1833" t="str">
            <v>nypother</v>
          </cell>
          <cell r="AG1833" t="str">
            <v>P</v>
          </cell>
        </row>
        <row r="1834">
          <cell r="A1834" t="str">
            <v>1013259134</v>
          </cell>
          <cell r="C1834" t="str">
            <v>Brar Jasmit</v>
          </cell>
          <cell r="G1834" t="str">
            <v>Kathryn Spaziani</v>
          </cell>
          <cell r="H1834" t="str">
            <v>(212) 305-1255</v>
          </cell>
          <cell r="J1834" t="str">
            <v>kas9171@nyp.org</v>
          </cell>
          <cell r="K1834" t="str">
            <v>Physician</v>
          </cell>
          <cell r="L1834" t="str">
            <v>Uncategorized</v>
          </cell>
          <cell r="M1834" t="str">
            <v>No</v>
          </cell>
          <cell r="R1834" t="str">
            <v>BRAR JASMIT</v>
          </cell>
          <cell r="S1834" t="str">
            <v>5614 DAVIS FORD RD</v>
          </cell>
          <cell r="T1834" t="str">
            <v>MANASSAS</v>
          </cell>
          <cell r="U1834" t="str">
            <v>VA</v>
          </cell>
          <cell r="V1834" t="str">
            <v>201123054</v>
          </cell>
          <cell r="AC1834" t="str">
            <v>M</v>
          </cell>
          <cell r="AD1834" t="str">
            <v>No</v>
          </cell>
          <cell r="AE1834" t="str">
            <v>NPI only</v>
          </cell>
          <cell r="AF1834" t="str">
            <v>nypeastcampus</v>
          </cell>
          <cell r="AG1834" t="str">
            <v>P</v>
          </cell>
        </row>
        <row r="1835">
          <cell r="A1835" t="str">
            <v>1396156550</v>
          </cell>
          <cell r="C1835" t="str">
            <v>Burdick-Will Joshua</v>
          </cell>
          <cell r="G1835" t="str">
            <v>Kathryn Spaziani</v>
          </cell>
          <cell r="H1835" t="str">
            <v>(212) 305-1255</v>
          </cell>
          <cell r="J1835" t="str">
            <v>kas9171@nyp.org</v>
          </cell>
          <cell r="K1835" t="str">
            <v>Physician</v>
          </cell>
          <cell r="L1835" t="str">
            <v>Uncategorized</v>
          </cell>
          <cell r="M1835" t="str">
            <v>No</v>
          </cell>
          <cell r="R1835" t="str">
            <v>BURDICK-WILL JOSHUA</v>
          </cell>
          <cell r="S1835" t="str">
            <v>445 E 69TH ST</v>
          </cell>
          <cell r="T1835" t="str">
            <v>NEW YORK</v>
          </cell>
          <cell r="U1835" t="str">
            <v>NY</v>
          </cell>
          <cell r="V1835" t="str">
            <v>100215664</v>
          </cell>
          <cell r="AC1835" t="str">
            <v>M</v>
          </cell>
          <cell r="AD1835" t="str">
            <v>No</v>
          </cell>
          <cell r="AE1835" t="str">
            <v>NPI only</v>
          </cell>
          <cell r="AF1835" t="str">
            <v>nypeastcampus</v>
          </cell>
          <cell r="AG1835" t="str">
            <v>P</v>
          </cell>
        </row>
        <row r="1836">
          <cell r="A1836" t="str">
            <v>1275825697</v>
          </cell>
          <cell r="C1836" t="str">
            <v>Chavoustie Eric</v>
          </cell>
          <cell r="G1836" t="str">
            <v>Kathryn Spaziani</v>
          </cell>
          <cell r="H1836" t="str">
            <v>(212) 305-1255</v>
          </cell>
          <cell r="J1836" t="str">
            <v>kas9171@nyp.org</v>
          </cell>
          <cell r="K1836" t="str">
            <v>Physician</v>
          </cell>
          <cell r="L1836" t="str">
            <v>Uncategorized</v>
          </cell>
          <cell r="M1836" t="str">
            <v>No</v>
          </cell>
          <cell r="R1836" t="str">
            <v>CHAVOUSTIE ERIC DR.</v>
          </cell>
          <cell r="S1836" t="str">
            <v>6200 SW 73RD ST</v>
          </cell>
          <cell r="T1836" t="str">
            <v>SOUTH MIAMI</v>
          </cell>
          <cell r="U1836" t="str">
            <v>FL</v>
          </cell>
          <cell r="V1836" t="str">
            <v>331434679</v>
          </cell>
          <cell r="AC1836" t="str">
            <v>M</v>
          </cell>
          <cell r="AD1836" t="str">
            <v>No</v>
          </cell>
          <cell r="AE1836" t="str">
            <v>NPI only</v>
          </cell>
          <cell r="AF1836" t="str">
            <v>nypother</v>
          </cell>
          <cell r="AG1836" t="str">
            <v>P</v>
          </cell>
        </row>
        <row r="1837">
          <cell r="A1837" t="str">
            <v>1053732636</v>
          </cell>
          <cell r="C1837" t="str">
            <v>LYNDA NGO</v>
          </cell>
          <cell r="G1837" t="str">
            <v>Kathryn Spaziani</v>
          </cell>
          <cell r="H1837" t="str">
            <v>(212) 305-1190</v>
          </cell>
          <cell r="J1837" t="str">
            <v>kas9171@nyp.org</v>
          </cell>
          <cell r="K1837" t="str">
            <v>Unknown</v>
          </cell>
          <cell r="L1837" t="str">
            <v>Uncategorized</v>
          </cell>
          <cell r="M1837" t="str">
            <v>No</v>
          </cell>
          <cell r="R1837" t="str">
            <v>NGO LYNDA DR.</v>
          </cell>
          <cell r="S1837" t="str">
            <v>630 W 168TH ST</v>
          </cell>
          <cell r="T1837" t="str">
            <v>NEW YORK</v>
          </cell>
          <cell r="U1837" t="str">
            <v>NY</v>
          </cell>
          <cell r="V1837" t="str">
            <v>100323725</v>
          </cell>
          <cell r="AC1837" t="str">
            <v>M</v>
          </cell>
          <cell r="AD1837" t="str">
            <v>No</v>
          </cell>
          <cell r="AE1837" t="str">
            <v>NPI only</v>
          </cell>
          <cell r="AF1837" t="str">
            <v>nypwestcampus</v>
          </cell>
          <cell r="AG1837" t="str">
            <v>P</v>
          </cell>
        </row>
        <row r="1838">
          <cell r="A1838" t="str">
            <v>1649699984</v>
          </cell>
          <cell r="C1838" t="str">
            <v>JENNIFER SMALL</v>
          </cell>
          <cell r="G1838" t="str">
            <v>Kathryn Spaziani</v>
          </cell>
          <cell r="H1838" t="str">
            <v>(212) 305-1190</v>
          </cell>
          <cell r="J1838" t="str">
            <v>kas9171@nyp.org</v>
          </cell>
          <cell r="K1838" t="str">
            <v>Unknown</v>
          </cell>
          <cell r="L1838" t="str">
            <v>Uncategorized</v>
          </cell>
          <cell r="M1838" t="str">
            <v>No</v>
          </cell>
          <cell r="R1838" t="str">
            <v>SMALL JENNIFER</v>
          </cell>
          <cell r="S1838" t="str">
            <v>630 W 168TH ST</v>
          </cell>
          <cell r="T1838" t="str">
            <v>NEW YORK</v>
          </cell>
          <cell r="U1838" t="str">
            <v>NY</v>
          </cell>
          <cell r="V1838" t="str">
            <v>100323725</v>
          </cell>
          <cell r="AC1838" t="str">
            <v>M</v>
          </cell>
          <cell r="AD1838" t="str">
            <v>No</v>
          </cell>
          <cell r="AE1838" t="str">
            <v>NPI only</v>
          </cell>
          <cell r="AF1838" t="str">
            <v>nypwestcampus</v>
          </cell>
          <cell r="AG1838" t="str">
            <v>P</v>
          </cell>
        </row>
        <row r="1839">
          <cell r="A1839" t="str">
            <v>1629310735</v>
          </cell>
          <cell r="C1839" t="str">
            <v>ANDRES GOTTFRIED BLACKMORE</v>
          </cell>
          <cell r="G1839" t="str">
            <v>Kathryn Spaziani</v>
          </cell>
          <cell r="H1839" t="str">
            <v>(212) 305-1190</v>
          </cell>
          <cell r="J1839" t="str">
            <v>kas9171@nyp.org</v>
          </cell>
          <cell r="K1839" t="str">
            <v>Unknown</v>
          </cell>
          <cell r="L1839" t="str">
            <v>Uncategorized</v>
          </cell>
          <cell r="M1839" t="str">
            <v>No</v>
          </cell>
          <cell r="R1839" t="str">
            <v>GOTTFRIED BLACKMORE ANDRES</v>
          </cell>
          <cell r="S1839" t="str">
            <v>505 EAST 70TH STREET, WEILL CORNELL INTERNAL MEDICINE ASSOCIATES</v>
          </cell>
          <cell r="T1839" t="str">
            <v>NEW YORK</v>
          </cell>
          <cell r="U1839" t="str">
            <v>NY</v>
          </cell>
          <cell r="V1839" t="str">
            <v>10021</v>
          </cell>
          <cell r="AC1839" t="str">
            <v>M</v>
          </cell>
          <cell r="AD1839" t="str">
            <v>No</v>
          </cell>
          <cell r="AE1839" t="str">
            <v>NPI only</v>
          </cell>
          <cell r="AF1839" t="str">
            <v>nypother</v>
          </cell>
          <cell r="AG1839" t="str">
            <v>P</v>
          </cell>
        </row>
        <row r="1840">
          <cell r="A1840" t="str">
            <v>1649512724</v>
          </cell>
          <cell r="C1840" t="str">
            <v>STEPHANIE GUO</v>
          </cell>
          <cell r="G1840" t="str">
            <v>Kathryn Spaziani</v>
          </cell>
          <cell r="H1840" t="str">
            <v>(212) 305-1190</v>
          </cell>
          <cell r="J1840" t="str">
            <v>kas9171@nyp.org</v>
          </cell>
          <cell r="K1840" t="str">
            <v>Unknown</v>
          </cell>
          <cell r="L1840" t="str">
            <v>Uncategorized</v>
          </cell>
          <cell r="M1840" t="str">
            <v>No</v>
          </cell>
          <cell r="R1840" t="str">
            <v>GUO STEPHANIE</v>
          </cell>
          <cell r="S1840" t="str">
            <v>505 E 70TH ST, WEILL CORNELL INTERNAL MEDICINE ASSOCIATES</v>
          </cell>
          <cell r="T1840" t="str">
            <v>NEW YORK</v>
          </cell>
          <cell r="U1840" t="str">
            <v>NY</v>
          </cell>
          <cell r="V1840" t="str">
            <v>100214872</v>
          </cell>
          <cell r="AC1840" t="str">
            <v>M</v>
          </cell>
          <cell r="AD1840" t="str">
            <v>No</v>
          </cell>
          <cell r="AE1840" t="str">
            <v>NPI only</v>
          </cell>
          <cell r="AF1840" t="str">
            <v>nypeastcampus</v>
          </cell>
          <cell r="AG1840" t="str">
            <v>P</v>
          </cell>
        </row>
        <row r="1841">
          <cell r="A1841" t="str">
            <v>1578839015</v>
          </cell>
          <cell r="C1841" t="str">
            <v>SERGEY GUREVICH</v>
          </cell>
          <cell r="G1841" t="str">
            <v>Kathryn Spaziani</v>
          </cell>
          <cell r="H1841" t="str">
            <v>(212) 305-1190</v>
          </cell>
          <cell r="J1841" t="str">
            <v>kas9171@nyp.org</v>
          </cell>
          <cell r="K1841" t="str">
            <v>Unknown</v>
          </cell>
          <cell r="L1841" t="str">
            <v>Uncategorized</v>
          </cell>
          <cell r="M1841" t="str">
            <v>No</v>
          </cell>
          <cell r="R1841" t="str">
            <v>GUREVICH SERGEY DR.</v>
          </cell>
          <cell r="S1841" t="str">
            <v>505 E 70TH ST</v>
          </cell>
          <cell r="T1841" t="str">
            <v>NEW YORK</v>
          </cell>
          <cell r="U1841" t="str">
            <v>NY</v>
          </cell>
          <cell r="V1841" t="str">
            <v>100214872</v>
          </cell>
          <cell r="AC1841" t="str">
            <v>M</v>
          </cell>
          <cell r="AD1841" t="str">
            <v>No</v>
          </cell>
          <cell r="AE1841" t="str">
            <v>NPI only</v>
          </cell>
          <cell r="AF1841" t="str">
            <v>nypother</v>
          </cell>
          <cell r="AG1841" t="str">
            <v>P</v>
          </cell>
        </row>
        <row r="1842">
          <cell r="A1842" t="str">
            <v>1801214663</v>
          </cell>
          <cell r="C1842" t="str">
            <v>CHRISTOPHER HACKETT</v>
          </cell>
          <cell r="G1842" t="str">
            <v>Kathryn Spaziani</v>
          </cell>
          <cell r="H1842" t="str">
            <v>(212) 305-1190</v>
          </cell>
          <cell r="J1842" t="str">
            <v>kas9171@nyp.org</v>
          </cell>
          <cell r="K1842" t="str">
            <v>Unknown</v>
          </cell>
          <cell r="L1842" t="str">
            <v>Uncategorized</v>
          </cell>
          <cell r="M1842" t="str">
            <v>No</v>
          </cell>
          <cell r="R1842" t="str">
            <v>HACKETT CHRISTOPHER</v>
          </cell>
          <cell r="S1842" t="str">
            <v>505 E 70TH ST, HELMSLEY TOWER, 4TH FLOOR</v>
          </cell>
          <cell r="T1842" t="str">
            <v>NEW YORK</v>
          </cell>
          <cell r="U1842" t="str">
            <v>NY</v>
          </cell>
          <cell r="V1842" t="str">
            <v>100214872</v>
          </cell>
          <cell r="AC1842" t="str">
            <v>M</v>
          </cell>
          <cell r="AD1842" t="str">
            <v>No</v>
          </cell>
          <cell r="AE1842" t="str">
            <v>NPI only</v>
          </cell>
          <cell r="AF1842" t="str">
            <v>nypeastcampus</v>
          </cell>
          <cell r="AG1842" t="str">
            <v>P</v>
          </cell>
        </row>
        <row r="1843">
          <cell r="A1843" t="str">
            <v>1962822742</v>
          </cell>
          <cell r="C1843" t="str">
            <v>ZACHARY HAGER</v>
          </cell>
          <cell r="G1843" t="str">
            <v>Kathryn Spaziani</v>
          </cell>
          <cell r="H1843" t="str">
            <v>(212) 305-1190</v>
          </cell>
          <cell r="J1843" t="str">
            <v>kas9171@nyp.org</v>
          </cell>
          <cell r="K1843" t="str">
            <v>Unknown</v>
          </cell>
          <cell r="L1843" t="str">
            <v>Uncategorized</v>
          </cell>
          <cell r="M1843" t="str">
            <v>No</v>
          </cell>
          <cell r="R1843" t="str">
            <v>HAGER ZACHARY</v>
          </cell>
          <cell r="S1843" t="str">
            <v>505 E 70TH ST, WEILL CORNELL INTERNAL MEDICINE ASSOCIATES</v>
          </cell>
          <cell r="T1843" t="str">
            <v>NEW YORK</v>
          </cell>
          <cell r="U1843" t="str">
            <v>NY</v>
          </cell>
          <cell r="V1843" t="str">
            <v>100214872</v>
          </cell>
          <cell r="AC1843" t="str">
            <v>M</v>
          </cell>
          <cell r="AD1843" t="str">
            <v>No</v>
          </cell>
          <cell r="AE1843" t="str">
            <v>NPI only</v>
          </cell>
          <cell r="AF1843" t="str">
            <v>nypeastcampus</v>
          </cell>
          <cell r="AG1843" t="str">
            <v>P</v>
          </cell>
        </row>
        <row r="1844">
          <cell r="A1844" t="str">
            <v>1790050110</v>
          </cell>
          <cell r="B1844" t="str">
            <v>04360445</v>
          </cell>
          <cell r="C1844" t="str">
            <v>HORATIO HOLZER</v>
          </cell>
          <cell r="D1844" t="str">
            <v>E0428561</v>
          </cell>
          <cell r="E1844" t="str">
            <v>HOLZER HORATIO EDWARD</v>
          </cell>
          <cell r="G1844" t="str">
            <v>Kathryn Spaziani</v>
          </cell>
          <cell r="H1844" t="str">
            <v>(212) 305-1190</v>
          </cell>
          <cell r="J1844" t="str">
            <v>kas9171@nyp.org</v>
          </cell>
          <cell r="L1844" t="str">
            <v>Practitioner - Non-Primary Care Provider (PCP)</v>
          </cell>
          <cell r="M1844" t="str">
            <v>No</v>
          </cell>
          <cell r="R1844" t="str">
            <v>HOLZER HORATIO DR.</v>
          </cell>
          <cell r="W1844" t="str">
            <v>HOLZER HORATIO EDWARD</v>
          </cell>
          <cell r="X1844" t="str">
            <v>1 GUSTAVE L LEVY PL</v>
          </cell>
          <cell r="Y1844" t="str">
            <v>NEW YORK</v>
          </cell>
          <cell r="Z1844" t="str">
            <v>NY</v>
          </cell>
          <cell r="AA1844" t="str">
            <v>10029-6504</v>
          </cell>
          <cell r="AB1844" t="str">
            <v>PHYSICIAN</v>
          </cell>
          <cell r="AC1844" t="str">
            <v>M</v>
          </cell>
          <cell r="AD1844" t="str">
            <v>No</v>
          </cell>
          <cell r="AE1844" t="str">
            <v>MMIS</v>
          </cell>
          <cell r="AF1844" t="str">
            <v>nypother</v>
          </cell>
          <cell r="AG1844" t="str">
            <v>P</v>
          </cell>
        </row>
        <row r="1845">
          <cell r="A1845" t="str">
            <v>1316387483</v>
          </cell>
          <cell r="C1845" t="str">
            <v>POLYDOROS KAMPAKTYSIS</v>
          </cell>
          <cell r="G1845" t="str">
            <v>Kathryn Spaziani</v>
          </cell>
          <cell r="H1845" t="str">
            <v>(212) 305-1190</v>
          </cell>
          <cell r="J1845" t="str">
            <v>kas9171@nyp.org</v>
          </cell>
          <cell r="K1845" t="str">
            <v>Unknown</v>
          </cell>
          <cell r="L1845" t="str">
            <v>Uncategorized</v>
          </cell>
          <cell r="M1845" t="str">
            <v>No</v>
          </cell>
          <cell r="R1845" t="str">
            <v>KAMPAKTSIS POLYDOROS</v>
          </cell>
          <cell r="S1845" t="str">
            <v>505 EAST 70TH STREET, WEILL CORNELL INTERNAL MEDICINE ASSOCIATES</v>
          </cell>
          <cell r="T1845" t="str">
            <v>NEW YORK</v>
          </cell>
          <cell r="U1845" t="str">
            <v>NY</v>
          </cell>
          <cell r="V1845" t="str">
            <v>10021</v>
          </cell>
          <cell r="AC1845" t="str">
            <v>M</v>
          </cell>
          <cell r="AD1845" t="str">
            <v>No</v>
          </cell>
          <cell r="AE1845" t="str">
            <v>NPI only</v>
          </cell>
          <cell r="AF1845" t="str">
            <v>nypeastcampus</v>
          </cell>
          <cell r="AG1845" t="str">
            <v>P</v>
          </cell>
        </row>
        <row r="1846">
          <cell r="A1846" t="str">
            <v>1710253638</v>
          </cell>
          <cell r="C1846" t="str">
            <v>YULIAN KHAGI</v>
          </cell>
          <cell r="G1846" t="str">
            <v>Kathryn Spaziani</v>
          </cell>
          <cell r="H1846" t="str">
            <v>(212) 305-1190</v>
          </cell>
          <cell r="J1846" t="str">
            <v>kas9171@nyp.org</v>
          </cell>
          <cell r="K1846" t="str">
            <v>Unknown</v>
          </cell>
          <cell r="L1846" t="str">
            <v>Uncategorized</v>
          </cell>
          <cell r="M1846" t="str">
            <v>No</v>
          </cell>
          <cell r="R1846" t="str">
            <v>KHAGI YULIAN</v>
          </cell>
          <cell r="S1846" t="str">
            <v>505 E 70TH ST</v>
          </cell>
          <cell r="T1846" t="str">
            <v>NEW YORK</v>
          </cell>
          <cell r="U1846" t="str">
            <v>NY</v>
          </cell>
          <cell r="V1846" t="str">
            <v>100214872</v>
          </cell>
          <cell r="AC1846" t="str">
            <v>M</v>
          </cell>
          <cell r="AD1846" t="str">
            <v>No</v>
          </cell>
          <cell r="AE1846" t="str">
            <v>NPI only</v>
          </cell>
          <cell r="AF1846" t="str">
            <v>nypother</v>
          </cell>
          <cell r="AG1846" t="str">
            <v>P</v>
          </cell>
        </row>
        <row r="1847">
          <cell r="A1847" t="str">
            <v>1215355839</v>
          </cell>
          <cell r="C1847" t="str">
            <v>JARED KIRZNER</v>
          </cell>
          <cell r="G1847" t="str">
            <v>Kathryn Spaziani</v>
          </cell>
          <cell r="H1847" t="str">
            <v>(212) 305-1190</v>
          </cell>
          <cell r="J1847" t="str">
            <v>kas9171@nyp.org</v>
          </cell>
          <cell r="K1847" t="str">
            <v>Unknown</v>
          </cell>
          <cell r="L1847" t="str">
            <v>Uncategorized</v>
          </cell>
          <cell r="M1847" t="str">
            <v>No</v>
          </cell>
          <cell r="R1847" t="str">
            <v>KIRZNER JARED</v>
          </cell>
          <cell r="S1847" t="str">
            <v>439 E 71ST ST</v>
          </cell>
          <cell r="T1847" t="str">
            <v>NEW YORK</v>
          </cell>
          <cell r="U1847" t="str">
            <v>NY</v>
          </cell>
          <cell r="V1847" t="str">
            <v>100214845</v>
          </cell>
          <cell r="AC1847" t="str">
            <v>M</v>
          </cell>
          <cell r="AD1847" t="str">
            <v>No</v>
          </cell>
          <cell r="AE1847" t="str">
            <v>NPI only</v>
          </cell>
          <cell r="AF1847" t="str">
            <v>nypeastcampus</v>
          </cell>
          <cell r="AG1847" t="str">
            <v>P</v>
          </cell>
        </row>
        <row r="1848">
          <cell r="A1848" t="str">
            <v>1528487477</v>
          </cell>
          <cell r="C1848" t="str">
            <v>JERARD KNEIFATI-HAYEK</v>
          </cell>
          <cell r="G1848" t="str">
            <v>Kathryn Spaziani</v>
          </cell>
          <cell r="H1848" t="str">
            <v>(212) 305-1190</v>
          </cell>
          <cell r="J1848" t="str">
            <v>kas9171@nyp.org</v>
          </cell>
          <cell r="K1848" t="str">
            <v>Unknown</v>
          </cell>
          <cell r="L1848" t="str">
            <v>Uncategorized</v>
          </cell>
          <cell r="M1848" t="str">
            <v>No</v>
          </cell>
          <cell r="R1848" t="str">
            <v>KNEIFATI-HAYEK JERARD</v>
          </cell>
          <cell r="S1848" t="str">
            <v>505 E 70TH ST, WEILL CORNELL INTERNAL MEDICINE ASSOCIATES</v>
          </cell>
          <cell r="T1848" t="str">
            <v>NEW YORK</v>
          </cell>
          <cell r="U1848" t="str">
            <v>NY</v>
          </cell>
          <cell r="V1848" t="str">
            <v>100214872</v>
          </cell>
          <cell r="AC1848" t="str">
            <v>M</v>
          </cell>
          <cell r="AD1848" t="str">
            <v>No</v>
          </cell>
          <cell r="AE1848" t="str">
            <v>NPI only</v>
          </cell>
          <cell r="AF1848" t="str">
            <v>nypeastcampus</v>
          </cell>
          <cell r="AG1848" t="str">
            <v>P</v>
          </cell>
        </row>
        <row r="1849">
          <cell r="A1849" t="str">
            <v>1548688401</v>
          </cell>
          <cell r="C1849" t="str">
            <v>DAVID KNORR</v>
          </cell>
          <cell r="G1849" t="str">
            <v>Kathryn Spaziani</v>
          </cell>
          <cell r="H1849" t="str">
            <v>(212) 305-1190</v>
          </cell>
          <cell r="J1849" t="str">
            <v>kas9171@nyp.org</v>
          </cell>
          <cell r="K1849" t="str">
            <v>Unknown</v>
          </cell>
          <cell r="L1849" t="str">
            <v>Uncategorized</v>
          </cell>
          <cell r="M1849" t="str">
            <v>No</v>
          </cell>
          <cell r="R1849" t="str">
            <v>KNORR DAVID</v>
          </cell>
          <cell r="S1849" t="str">
            <v>505 E 70TH ST</v>
          </cell>
          <cell r="T1849" t="str">
            <v>NEW YORK</v>
          </cell>
          <cell r="U1849" t="str">
            <v>NY</v>
          </cell>
          <cell r="V1849" t="str">
            <v>100214872</v>
          </cell>
          <cell r="AC1849" t="str">
            <v>M</v>
          </cell>
          <cell r="AD1849" t="str">
            <v>No</v>
          </cell>
          <cell r="AE1849" t="str">
            <v>NPI only</v>
          </cell>
          <cell r="AF1849" t="str">
            <v>nypeastcampus</v>
          </cell>
          <cell r="AG1849" t="str">
            <v>P</v>
          </cell>
        </row>
        <row r="1850">
          <cell r="A1850" t="str">
            <v>1659637890</v>
          </cell>
          <cell r="C1850" t="str">
            <v>CHRYSTAL LANDRY</v>
          </cell>
          <cell r="G1850" t="str">
            <v>Kathryn Spaziani</v>
          </cell>
          <cell r="H1850" t="str">
            <v>(212) 305-1190</v>
          </cell>
          <cell r="J1850" t="str">
            <v>kas9171@nyp.org</v>
          </cell>
          <cell r="K1850" t="str">
            <v>Unknown</v>
          </cell>
          <cell r="L1850" t="str">
            <v>Uncategorized</v>
          </cell>
          <cell r="M1850" t="str">
            <v>No</v>
          </cell>
          <cell r="R1850" t="str">
            <v>LANDRY CHRYSTAL</v>
          </cell>
          <cell r="S1850" t="str">
            <v>505 E 70TH ST, WEILL CORNELL INTERNAL MEDICINE ASSOCIATES</v>
          </cell>
          <cell r="T1850" t="str">
            <v>NEW YORK</v>
          </cell>
          <cell r="U1850" t="str">
            <v>NY</v>
          </cell>
          <cell r="V1850" t="str">
            <v>100214872</v>
          </cell>
          <cell r="AC1850" t="str">
            <v>M</v>
          </cell>
          <cell r="AD1850" t="str">
            <v>No</v>
          </cell>
          <cell r="AE1850" t="str">
            <v>NPI only</v>
          </cell>
          <cell r="AF1850" t="str">
            <v>nypother</v>
          </cell>
          <cell r="AG1850" t="str">
            <v>P</v>
          </cell>
        </row>
        <row r="1851">
          <cell r="A1851" t="str">
            <v>1023435922</v>
          </cell>
          <cell r="C1851" t="str">
            <v>DUSTIN LEE</v>
          </cell>
          <cell r="G1851" t="str">
            <v>Kathryn Spaziani</v>
          </cell>
          <cell r="H1851" t="str">
            <v>(212) 305-1190</v>
          </cell>
          <cell r="J1851" t="str">
            <v>kas9171@nyp.org</v>
          </cell>
          <cell r="K1851" t="str">
            <v>Unknown</v>
          </cell>
          <cell r="L1851" t="str">
            <v>Uncategorized</v>
          </cell>
          <cell r="M1851" t="str">
            <v>No</v>
          </cell>
          <cell r="R1851" t="str">
            <v>LEE DUSTIN DR.</v>
          </cell>
          <cell r="S1851" t="str">
            <v>505 EAST 70TH STREET, WEILL CORNELL INTERNAL MEDICINE ASSOCIATES</v>
          </cell>
          <cell r="T1851" t="str">
            <v>NEW YORK</v>
          </cell>
          <cell r="U1851" t="str">
            <v>NY</v>
          </cell>
          <cell r="V1851" t="str">
            <v>10021</v>
          </cell>
          <cell r="AC1851" t="str">
            <v>M</v>
          </cell>
          <cell r="AD1851" t="str">
            <v>No</v>
          </cell>
          <cell r="AE1851" t="str">
            <v>NPI only</v>
          </cell>
          <cell r="AF1851" t="str">
            <v>nypeastcampus</v>
          </cell>
          <cell r="AG1851" t="str">
            <v>P</v>
          </cell>
        </row>
        <row r="1852">
          <cell r="A1852" t="str">
            <v>1225457187</v>
          </cell>
          <cell r="C1852" t="str">
            <v>MICHELE LEE</v>
          </cell>
          <cell r="G1852" t="str">
            <v>Kathryn Spaziani</v>
          </cell>
          <cell r="H1852" t="str">
            <v>(212) 305-1190</v>
          </cell>
          <cell r="J1852" t="str">
            <v>kas9171@nyp.org</v>
          </cell>
          <cell r="K1852" t="str">
            <v>Unknown</v>
          </cell>
          <cell r="L1852" t="str">
            <v>Uncategorized</v>
          </cell>
          <cell r="M1852" t="str">
            <v>No</v>
          </cell>
          <cell r="R1852" t="str">
            <v>LEE MICHELE</v>
          </cell>
          <cell r="S1852" t="str">
            <v>505 EAST 70TH STREET, WEILL CORNELL INTERNAL MEDICINE ASSOCIATES</v>
          </cell>
          <cell r="T1852" t="str">
            <v>NEW YORK</v>
          </cell>
          <cell r="U1852" t="str">
            <v>NY</v>
          </cell>
          <cell r="V1852" t="str">
            <v>10021</v>
          </cell>
          <cell r="AC1852" t="str">
            <v>M</v>
          </cell>
          <cell r="AD1852" t="str">
            <v>No</v>
          </cell>
          <cell r="AE1852" t="str">
            <v>NPI only</v>
          </cell>
          <cell r="AF1852" t="str">
            <v>nypeastcampus</v>
          </cell>
          <cell r="AG1852" t="str">
            <v>P</v>
          </cell>
        </row>
        <row r="1853">
          <cell r="A1853" t="str">
            <v>1053677302</v>
          </cell>
          <cell r="B1853" t="str">
            <v>04156052</v>
          </cell>
          <cell r="C1853" t="str">
            <v>RICHARD LEITER</v>
          </cell>
          <cell r="D1853" t="str">
            <v>E0407424</v>
          </cell>
          <cell r="E1853" t="str">
            <v>LEITER RICHARD</v>
          </cell>
          <cell r="G1853" t="str">
            <v>Kathryn Spaziani</v>
          </cell>
          <cell r="H1853" t="str">
            <v>(212) 305-1190</v>
          </cell>
          <cell r="J1853" t="str">
            <v>kas9171@nyp.org</v>
          </cell>
          <cell r="L1853" t="str">
            <v>Practitioner - Non-Primary Care Provider (PCP)</v>
          </cell>
          <cell r="M1853" t="str">
            <v>No</v>
          </cell>
          <cell r="R1853" t="str">
            <v>LEITER RICHARD</v>
          </cell>
          <cell r="W1853" t="str">
            <v>LEITER RICHARD ELLIOT</v>
          </cell>
          <cell r="X1853" t="str">
            <v>525 E 68TH ST # 5</v>
          </cell>
          <cell r="Y1853" t="str">
            <v>NEW YORK</v>
          </cell>
          <cell r="Z1853" t="str">
            <v>NY</v>
          </cell>
          <cell r="AA1853" t="str">
            <v>10065-4870</v>
          </cell>
          <cell r="AB1853" t="str">
            <v>PHYSICIAN</v>
          </cell>
          <cell r="AC1853" t="str">
            <v>M</v>
          </cell>
          <cell r="AD1853" t="str">
            <v>No</v>
          </cell>
          <cell r="AE1853" t="str">
            <v>MMIS</v>
          </cell>
          <cell r="AF1853" t="str">
            <v>nypeastcampus</v>
          </cell>
          <cell r="AG1853" t="str">
            <v>P</v>
          </cell>
        </row>
        <row r="1854">
          <cell r="A1854" t="str">
            <v>1548688518</v>
          </cell>
          <cell r="C1854" t="str">
            <v>PEGGY LEUNG</v>
          </cell>
          <cell r="G1854" t="str">
            <v>Kathryn Spaziani</v>
          </cell>
          <cell r="H1854" t="str">
            <v>(212) 305-1190</v>
          </cell>
          <cell r="J1854" t="str">
            <v>kas9171@nyp.org</v>
          </cell>
          <cell r="K1854" t="str">
            <v>Unknown</v>
          </cell>
          <cell r="L1854" t="str">
            <v>Uncategorized</v>
          </cell>
          <cell r="M1854" t="str">
            <v>No</v>
          </cell>
          <cell r="R1854" t="str">
            <v>LEUNG PEGGY</v>
          </cell>
          <cell r="S1854" t="str">
            <v>505 E 70TH ST</v>
          </cell>
          <cell r="T1854" t="str">
            <v>NEW YORK</v>
          </cell>
          <cell r="U1854" t="str">
            <v>NY</v>
          </cell>
          <cell r="V1854" t="str">
            <v>100214872</v>
          </cell>
          <cell r="AC1854" t="str">
            <v>M</v>
          </cell>
          <cell r="AD1854" t="str">
            <v>No</v>
          </cell>
          <cell r="AE1854" t="str">
            <v>NPI only</v>
          </cell>
          <cell r="AF1854" t="str">
            <v>nypeastcampus</v>
          </cell>
          <cell r="AG1854" t="str">
            <v>P</v>
          </cell>
        </row>
        <row r="1855">
          <cell r="A1855" t="str">
            <v>1487072104</v>
          </cell>
          <cell r="C1855" t="str">
            <v>LILY LI</v>
          </cell>
          <cell r="G1855" t="str">
            <v>Kathryn Spaziani</v>
          </cell>
          <cell r="H1855" t="str">
            <v>(212) 305-1190</v>
          </cell>
          <cell r="J1855" t="str">
            <v>kas9171@nyp.org</v>
          </cell>
          <cell r="K1855" t="str">
            <v>Unknown</v>
          </cell>
          <cell r="L1855" t="str">
            <v>Uncategorized</v>
          </cell>
          <cell r="M1855" t="str">
            <v>No</v>
          </cell>
          <cell r="R1855" t="str">
            <v>LI LILY</v>
          </cell>
          <cell r="S1855" t="str">
            <v>505 E 70TH ST, WEILL CORNELL INTERNAL MEDICINE ASSOCIATES</v>
          </cell>
          <cell r="T1855" t="str">
            <v>NEW YORK</v>
          </cell>
          <cell r="U1855" t="str">
            <v>NY</v>
          </cell>
          <cell r="V1855" t="str">
            <v>100214872</v>
          </cell>
          <cell r="AC1855" t="str">
            <v>M</v>
          </cell>
          <cell r="AD1855" t="str">
            <v>No</v>
          </cell>
          <cell r="AE1855" t="str">
            <v>NPI only</v>
          </cell>
          <cell r="AF1855" t="str">
            <v>nypeastcampus</v>
          </cell>
          <cell r="AG1855" t="str">
            <v>P</v>
          </cell>
        </row>
        <row r="1856">
          <cell r="A1856" t="str">
            <v>1467870287</v>
          </cell>
          <cell r="C1856" t="str">
            <v>HANA LIM</v>
          </cell>
          <cell r="G1856" t="str">
            <v>Kathryn Spaziani</v>
          </cell>
          <cell r="H1856" t="str">
            <v>(212) 305-1190</v>
          </cell>
          <cell r="J1856" t="str">
            <v>kas9171@nyp.org</v>
          </cell>
          <cell r="K1856" t="str">
            <v>Unknown</v>
          </cell>
          <cell r="L1856" t="str">
            <v>Uncategorized</v>
          </cell>
          <cell r="M1856" t="str">
            <v>No</v>
          </cell>
          <cell r="R1856" t="str">
            <v>LIM HANA</v>
          </cell>
          <cell r="S1856" t="str">
            <v>505 E 70TH ST</v>
          </cell>
          <cell r="T1856" t="str">
            <v>NEW YORK</v>
          </cell>
          <cell r="U1856" t="str">
            <v>NY</v>
          </cell>
          <cell r="V1856" t="str">
            <v>100214872</v>
          </cell>
          <cell r="AC1856" t="str">
            <v>M</v>
          </cell>
          <cell r="AD1856" t="str">
            <v>No</v>
          </cell>
          <cell r="AE1856" t="str">
            <v>NPI only</v>
          </cell>
          <cell r="AF1856" t="str">
            <v>nypeastcampus</v>
          </cell>
          <cell r="AG1856" t="str">
            <v>P</v>
          </cell>
        </row>
        <row r="1857">
          <cell r="A1857" t="str">
            <v>1831432566</v>
          </cell>
          <cell r="C1857" t="str">
            <v>SIDNEY LU</v>
          </cell>
          <cell r="G1857" t="str">
            <v>Kathryn Spaziani</v>
          </cell>
          <cell r="H1857" t="str">
            <v>(212) 305-1190</v>
          </cell>
          <cell r="J1857" t="str">
            <v>kas9171@nyp.org</v>
          </cell>
          <cell r="K1857" t="str">
            <v>Unknown</v>
          </cell>
          <cell r="L1857" t="str">
            <v>Uncategorized</v>
          </cell>
          <cell r="M1857" t="str">
            <v>No</v>
          </cell>
          <cell r="R1857" t="str">
            <v>LU SYDNEY</v>
          </cell>
          <cell r="S1857" t="str">
            <v>505 EAST 70TH STREET, WEILL CORNELL INTERNAL MEDICINE ASSOCIATES</v>
          </cell>
          <cell r="T1857" t="str">
            <v>NEW YORK</v>
          </cell>
          <cell r="U1857" t="str">
            <v>NY</v>
          </cell>
          <cell r="V1857" t="str">
            <v>10065</v>
          </cell>
          <cell r="AC1857" t="str">
            <v>M</v>
          </cell>
          <cell r="AD1857" t="str">
            <v>No</v>
          </cell>
          <cell r="AE1857" t="str">
            <v>NPI only</v>
          </cell>
          <cell r="AF1857" t="str">
            <v>nypother</v>
          </cell>
          <cell r="AG1857" t="str">
            <v>P</v>
          </cell>
        </row>
        <row r="1858">
          <cell r="A1858" t="str">
            <v>1790027654</v>
          </cell>
          <cell r="C1858" t="str">
            <v>PAUL LU</v>
          </cell>
          <cell r="G1858" t="str">
            <v>Kathryn Spaziani</v>
          </cell>
          <cell r="H1858" t="str">
            <v>(212) 305-1190</v>
          </cell>
          <cell r="J1858" t="str">
            <v>kas9171@nyp.org</v>
          </cell>
          <cell r="K1858" t="str">
            <v>Unknown</v>
          </cell>
          <cell r="L1858" t="str">
            <v>Uncategorized</v>
          </cell>
          <cell r="M1858" t="str">
            <v>No</v>
          </cell>
          <cell r="R1858" t="str">
            <v>LU PAUL</v>
          </cell>
          <cell r="S1858" t="str">
            <v>505 E 70TH ST</v>
          </cell>
          <cell r="T1858" t="str">
            <v>NEW YORK</v>
          </cell>
          <cell r="U1858" t="str">
            <v>NY</v>
          </cell>
          <cell r="V1858" t="str">
            <v>100214872</v>
          </cell>
          <cell r="AC1858" t="str">
            <v>M</v>
          </cell>
          <cell r="AD1858" t="str">
            <v>No</v>
          </cell>
          <cell r="AE1858" t="str">
            <v>NPI only</v>
          </cell>
          <cell r="AF1858" t="str">
            <v>nypeastcampus</v>
          </cell>
          <cell r="AG1858" t="str">
            <v>P</v>
          </cell>
        </row>
        <row r="1859">
          <cell r="A1859" t="str">
            <v>1770849721</v>
          </cell>
          <cell r="C1859" t="str">
            <v>EMILY LU</v>
          </cell>
          <cell r="G1859" t="str">
            <v>Kathryn Spaziani</v>
          </cell>
          <cell r="H1859" t="str">
            <v>(212) 305-1190</v>
          </cell>
          <cell r="J1859" t="str">
            <v>kas9171@nyp.org</v>
          </cell>
          <cell r="K1859" t="str">
            <v>Unknown</v>
          </cell>
          <cell r="L1859" t="str">
            <v>Uncategorized</v>
          </cell>
          <cell r="M1859" t="str">
            <v>No</v>
          </cell>
          <cell r="R1859" t="str">
            <v>LU EMILY</v>
          </cell>
          <cell r="S1859" t="str">
            <v>505 EAST 70TH STREET, WEILL CORNELL INTERNAL MEDICINE ASSOCIATES</v>
          </cell>
          <cell r="T1859" t="str">
            <v>NEW YORK</v>
          </cell>
          <cell r="U1859" t="str">
            <v>NY</v>
          </cell>
          <cell r="V1859" t="str">
            <v>100219809</v>
          </cell>
          <cell r="AC1859" t="str">
            <v>M</v>
          </cell>
          <cell r="AD1859" t="str">
            <v>No</v>
          </cell>
          <cell r="AE1859" t="str">
            <v>NPI only</v>
          </cell>
          <cell r="AF1859" t="str">
            <v>nypeastcampus</v>
          </cell>
          <cell r="AG1859" t="str">
            <v>P</v>
          </cell>
        </row>
        <row r="1860">
          <cell r="A1860" t="str">
            <v>1972948701</v>
          </cell>
          <cell r="B1860" t="str">
            <v>04451323</v>
          </cell>
          <cell r="C1860" t="str">
            <v>RAJ MACHHAR</v>
          </cell>
          <cell r="D1860" t="str">
            <v>E0437781</v>
          </cell>
          <cell r="E1860" t="str">
            <v>MACHHAR RAJ PRAKASH</v>
          </cell>
          <cell r="G1860" t="str">
            <v>Kathryn Spaziani</v>
          </cell>
          <cell r="H1860" t="str">
            <v>(212) 305-1190</v>
          </cell>
          <cell r="J1860" t="str">
            <v>kas9171@nyp.org</v>
          </cell>
          <cell r="L1860" t="str">
            <v>Practitioner - Non-Primary Care Provider (PCP)</v>
          </cell>
          <cell r="M1860" t="str">
            <v>No</v>
          </cell>
          <cell r="R1860" t="str">
            <v>MACHHAR RAJ</v>
          </cell>
          <cell r="W1860" t="str">
            <v>MACHHAR RAJ PRAKASH</v>
          </cell>
          <cell r="AB1860" t="str">
            <v>PHYSICIAN</v>
          </cell>
          <cell r="AC1860" t="str">
            <v>M</v>
          </cell>
          <cell r="AD1860" t="str">
            <v>No</v>
          </cell>
          <cell r="AE1860" t="str">
            <v>MMIS</v>
          </cell>
          <cell r="AF1860" t="str">
            <v>nypeastcampus</v>
          </cell>
          <cell r="AG1860" t="str">
            <v>P</v>
          </cell>
        </row>
        <row r="1861">
          <cell r="A1861" t="str">
            <v>1780002345</v>
          </cell>
          <cell r="C1861" t="str">
            <v>REED MAGLEBY</v>
          </cell>
          <cell r="G1861" t="str">
            <v>Kathryn Spaziani</v>
          </cell>
          <cell r="H1861" t="str">
            <v>(212) 305-1190</v>
          </cell>
          <cell r="J1861" t="str">
            <v>kas9171@nyp.org</v>
          </cell>
          <cell r="K1861" t="str">
            <v>Unknown</v>
          </cell>
          <cell r="L1861" t="str">
            <v>Uncategorized</v>
          </cell>
          <cell r="M1861" t="str">
            <v>No</v>
          </cell>
          <cell r="R1861" t="str">
            <v>MAGLEBY REED</v>
          </cell>
          <cell r="S1861" t="str">
            <v>505 EAST 70TH STREET, WEILL CORNELL INTERNAL MEDICINE ASSOCIATES</v>
          </cell>
          <cell r="T1861" t="str">
            <v>NEW YORK</v>
          </cell>
          <cell r="U1861" t="str">
            <v>NY</v>
          </cell>
          <cell r="V1861" t="str">
            <v>10021</v>
          </cell>
          <cell r="AC1861" t="str">
            <v>M</v>
          </cell>
          <cell r="AD1861" t="str">
            <v>No</v>
          </cell>
          <cell r="AE1861" t="str">
            <v>NPI only</v>
          </cell>
          <cell r="AF1861" t="str">
            <v>nypeastcampus</v>
          </cell>
          <cell r="AG1861" t="str">
            <v>P</v>
          </cell>
        </row>
        <row r="1862">
          <cell r="A1862" t="str">
            <v>1790041960</v>
          </cell>
          <cell r="B1862" t="str">
            <v>04304798</v>
          </cell>
          <cell r="C1862" t="str">
            <v>ELIZABETH MAINA</v>
          </cell>
          <cell r="D1862" t="str">
            <v>E0422546</v>
          </cell>
          <cell r="E1862" t="str">
            <v>MAINA ELIZABETH NJOROGE</v>
          </cell>
          <cell r="G1862" t="str">
            <v>Kathryn Spaziani</v>
          </cell>
          <cell r="H1862" t="str">
            <v>(212) 305-1190</v>
          </cell>
          <cell r="J1862" t="str">
            <v>kas9171@nyp.org</v>
          </cell>
          <cell r="L1862" t="str">
            <v>Practitioner - Non-Primary Care Provider (PCP)</v>
          </cell>
          <cell r="M1862" t="str">
            <v>No</v>
          </cell>
          <cell r="R1862" t="str">
            <v>MAINA ELIZABETH</v>
          </cell>
          <cell r="W1862" t="str">
            <v>MAINA ELIZABETH NJOROGE</v>
          </cell>
          <cell r="X1862" t="str">
            <v>1275 YORK AVE</v>
          </cell>
          <cell r="Y1862" t="str">
            <v>NEW YORK</v>
          </cell>
          <cell r="Z1862" t="str">
            <v>NY</v>
          </cell>
          <cell r="AA1862" t="str">
            <v>10065-6007</v>
          </cell>
          <cell r="AB1862" t="str">
            <v>PHYSICIAN</v>
          </cell>
          <cell r="AC1862" t="str">
            <v>M</v>
          </cell>
          <cell r="AD1862" t="str">
            <v>No</v>
          </cell>
          <cell r="AE1862" t="str">
            <v>MMIS</v>
          </cell>
          <cell r="AF1862" t="str">
            <v>nypother</v>
          </cell>
          <cell r="AG1862" t="str">
            <v>P</v>
          </cell>
        </row>
        <row r="1863">
          <cell r="A1863" t="str">
            <v>1902172752</v>
          </cell>
          <cell r="C1863" t="str">
            <v>NAHAL MANSOURI</v>
          </cell>
          <cell r="G1863" t="str">
            <v>Kathryn Spaziani</v>
          </cell>
          <cell r="H1863" t="str">
            <v>(212) 305-1190</v>
          </cell>
          <cell r="J1863" t="str">
            <v>kas9171@nyp.org</v>
          </cell>
          <cell r="K1863" t="str">
            <v>Unknown</v>
          </cell>
          <cell r="L1863" t="str">
            <v>Uncategorized</v>
          </cell>
          <cell r="M1863" t="str">
            <v>No</v>
          </cell>
          <cell r="R1863" t="str">
            <v>MANSOURI NAHAL</v>
          </cell>
          <cell r="S1863" t="str">
            <v>220 E 70TH ST, 4D</v>
          </cell>
          <cell r="T1863" t="str">
            <v>NEW YORK</v>
          </cell>
          <cell r="U1863" t="str">
            <v>NY</v>
          </cell>
          <cell r="V1863" t="str">
            <v>100215476</v>
          </cell>
          <cell r="AC1863" t="str">
            <v>M</v>
          </cell>
          <cell r="AD1863" t="str">
            <v>No</v>
          </cell>
          <cell r="AE1863" t="str">
            <v>NPI only</v>
          </cell>
          <cell r="AF1863" t="str">
            <v>nypother</v>
          </cell>
          <cell r="AG1863" t="str">
            <v>P</v>
          </cell>
        </row>
        <row r="1864">
          <cell r="A1864" t="str">
            <v>1992047146</v>
          </cell>
          <cell r="C1864" t="str">
            <v>SHEENA MATTHEW</v>
          </cell>
          <cell r="G1864" t="str">
            <v>Kathryn Spaziani</v>
          </cell>
          <cell r="H1864" t="str">
            <v>(212) 305-1190</v>
          </cell>
          <cell r="J1864" t="str">
            <v>kas9171@nyp.org</v>
          </cell>
          <cell r="K1864" t="str">
            <v>Unknown</v>
          </cell>
          <cell r="L1864" t="str">
            <v>Uncategorized</v>
          </cell>
          <cell r="M1864" t="str">
            <v>No</v>
          </cell>
          <cell r="R1864" t="str">
            <v>MATHEW SHEENA</v>
          </cell>
          <cell r="S1864" t="str">
            <v>505 E 70TH ST</v>
          </cell>
          <cell r="T1864" t="str">
            <v>NEW YORK</v>
          </cell>
          <cell r="U1864" t="str">
            <v>NY</v>
          </cell>
          <cell r="V1864" t="str">
            <v>100214872</v>
          </cell>
          <cell r="AC1864" t="str">
            <v>M</v>
          </cell>
          <cell r="AD1864" t="str">
            <v>No</v>
          </cell>
          <cell r="AE1864" t="str">
            <v>NPI only</v>
          </cell>
          <cell r="AF1864" t="str">
            <v>nypeastcampus</v>
          </cell>
          <cell r="AG1864" t="str">
            <v>P</v>
          </cell>
        </row>
        <row r="1865">
          <cell r="A1865" t="str">
            <v>1033537048</v>
          </cell>
          <cell r="C1865" t="str">
            <v>DEREK MAZIQUE</v>
          </cell>
          <cell r="G1865" t="str">
            <v>Kathryn Spaziani</v>
          </cell>
          <cell r="H1865" t="str">
            <v>(212) 305-1190</v>
          </cell>
          <cell r="J1865" t="str">
            <v>kas9171@nyp.org</v>
          </cell>
          <cell r="K1865" t="str">
            <v>Unknown</v>
          </cell>
          <cell r="L1865" t="str">
            <v>Uncategorized</v>
          </cell>
          <cell r="M1865" t="str">
            <v>No</v>
          </cell>
          <cell r="R1865" t="str">
            <v>MAZIQUE DEREK</v>
          </cell>
          <cell r="S1865" t="str">
            <v>505 EAST 70TH STREET, WEILL CORNELL INTERNAL MEDICINE ASSOCIATES</v>
          </cell>
          <cell r="T1865" t="str">
            <v>NEW YORK</v>
          </cell>
          <cell r="U1865" t="str">
            <v>NY</v>
          </cell>
          <cell r="V1865" t="str">
            <v>10021</v>
          </cell>
          <cell r="AC1865" t="str">
            <v>M</v>
          </cell>
          <cell r="AD1865" t="str">
            <v>No</v>
          </cell>
          <cell r="AE1865" t="str">
            <v>NPI only</v>
          </cell>
          <cell r="AF1865" t="str">
            <v>nypeastcampus</v>
          </cell>
          <cell r="AG1865" t="str">
            <v>P</v>
          </cell>
        </row>
        <row r="1866">
          <cell r="A1866" t="str">
            <v>1467897355</v>
          </cell>
          <cell r="B1866" t="str">
            <v>04451534</v>
          </cell>
          <cell r="C1866" t="str">
            <v>MARSHALL MILLER</v>
          </cell>
          <cell r="D1866" t="str">
            <v>E0437802</v>
          </cell>
          <cell r="E1866" t="str">
            <v>MILLER MARSHALL</v>
          </cell>
          <cell r="G1866" t="str">
            <v>Kathryn Spaziani</v>
          </cell>
          <cell r="H1866" t="str">
            <v>(212) 305-1190</v>
          </cell>
          <cell r="J1866" t="str">
            <v>kas9171@nyp.org</v>
          </cell>
          <cell r="L1866" t="str">
            <v>Practitioner - Non-Primary Care Provider (PCP)</v>
          </cell>
          <cell r="M1866" t="str">
            <v>No</v>
          </cell>
          <cell r="R1866" t="str">
            <v>MILLER MARSHALL</v>
          </cell>
          <cell r="W1866" t="str">
            <v>MILLER MARSHALL CURTIS</v>
          </cell>
          <cell r="AB1866" t="str">
            <v>PHYSICIAN</v>
          </cell>
          <cell r="AC1866" t="str">
            <v>M</v>
          </cell>
          <cell r="AD1866" t="str">
            <v>No</v>
          </cell>
          <cell r="AE1866" t="str">
            <v>MMIS</v>
          </cell>
          <cell r="AF1866" t="str">
            <v>nypeastcampus</v>
          </cell>
          <cell r="AG1866" t="str">
            <v>P</v>
          </cell>
        </row>
        <row r="1867">
          <cell r="A1867" t="str">
            <v>1467866194</v>
          </cell>
          <cell r="C1867" t="str">
            <v>TAYSEER MOSLEH</v>
          </cell>
          <cell r="G1867" t="str">
            <v>Kathryn Spaziani</v>
          </cell>
          <cell r="H1867" t="str">
            <v>(212) 305-1190</v>
          </cell>
          <cell r="J1867" t="str">
            <v>kas9171@nyp.org</v>
          </cell>
          <cell r="K1867" t="str">
            <v>Unknown</v>
          </cell>
          <cell r="L1867" t="str">
            <v>Uncategorized</v>
          </cell>
          <cell r="M1867" t="str">
            <v>No</v>
          </cell>
          <cell r="R1867" t="str">
            <v>MOSLEH TAYSEER DR.</v>
          </cell>
          <cell r="S1867" t="str">
            <v>505 E 70TH ST, WEILL CORNELL INTERNAL MEDICINE ASSOCIATES</v>
          </cell>
          <cell r="T1867" t="str">
            <v>NEW YORK</v>
          </cell>
          <cell r="U1867" t="str">
            <v>NY</v>
          </cell>
          <cell r="V1867" t="str">
            <v>100214872</v>
          </cell>
          <cell r="AC1867" t="str">
            <v>M</v>
          </cell>
          <cell r="AD1867" t="str">
            <v>No</v>
          </cell>
          <cell r="AE1867" t="str">
            <v>NPI only</v>
          </cell>
          <cell r="AF1867" t="str">
            <v>nypeastcampus</v>
          </cell>
          <cell r="AG1867" t="str">
            <v>P</v>
          </cell>
        </row>
        <row r="1868">
          <cell r="A1868" t="str">
            <v>1255680997</v>
          </cell>
          <cell r="C1868" t="str">
            <v>SAIF MUHSIN</v>
          </cell>
          <cell r="G1868" t="str">
            <v>Kathryn Spaziani</v>
          </cell>
          <cell r="H1868" t="str">
            <v>(212) 305-1190</v>
          </cell>
          <cell r="J1868" t="str">
            <v>kas9171@nyp.org</v>
          </cell>
          <cell r="K1868" t="str">
            <v>Unknown</v>
          </cell>
          <cell r="L1868" t="str">
            <v>Uncategorized</v>
          </cell>
          <cell r="M1868" t="str">
            <v>No</v>
          </cell>
          <cell r="R1868" t="str">
            <v>MUHSIN SAIF DR.</v>
          </cell>
          <cell r="S1868" t="str">
            <v>505 EAST 70TH STREET, WEILL CORNELL INTERNAL MEDICINE ASSOCIATES</v>
          </cell>
          <cell r="T1868" t="str">
            <v>NEW YORK</v>
          </cell>
          <cell r="U1868" t="str">
            <v>NY</v>
          </cell>
          <cell r="V1868" t="str">
            <v>10021</v>
          </cell>
          <cell r="AC1868" t="str">
            <v>M</v>
          </cell>
          <cell r="AD1868" t="str">
            <v>No</v>
          </cell>
          <cell r="AE1868" t="str">
            <v>NPI only</v>
          </cell>
          <cell r="AF1868" t="str">
            <v>nypother</v>
          </cell>
          <cell r="AG1868" t="str">
            <v>P</v>
          </cell>
        </row>
        <row r="1869">
          <cell r="A1869" t="str">
            <v>1033538970</v>
          </cell>
          <cell r="C1869" t="str">
            <v>KUMAR NAIR</v>
          </cell>
          <cell r="G1869" t="str">
            <v>Kathryn Spaziani</v>
          </cell>
          <cell r="H1869" t="str">
            <v>(212) 305-1190</v>
          </cell>
          <cell r="J1869" t="str">
            <v>kas9171@nyp.org</v>
          </cell>
          <cell r="K1869" t="str">
            <v>Unknown</v>
          </cell>
          <cell r="L1869" t="str">
            <v>Uncategorized</v>
          </cell>
          <cell r="M1869" t="str">
            <v>No</v>
          </cell>
          <cell r="R1869" t="str">
            <v>NAIR KUMAR</v>
          </cell>
          <cell r="S1869" t="str">
            <v>505 E 70TH ST</v>
          </cell>
          <cell r="T1869" t="str">
            <v>NEW YORK</v>
          </cell>
          <cell r="U1869" t="str">
            <v>NY</v>
          </cell>
          <cell r="V1869" t="str">
            <v>100214872</v>
          </cell>
          <cell r="AC1869" t="str">
            <v>M</v>
          </cell>
          <cell r="AD1869" t="str">
            <v>No</v>
          </cell>
          <cell r="AE1869" t="str">
            <v>NPI only</v>
          </cell>
          <cell r="AF1869" t="str">
            <v>nypeastcampus</v>
          </cell>
          <cell r="AG1869" t="str">
            <v>P</v>
          </cell>
        </row>
        <row r="1870">
          <cell r="A1870" t="str">
            <v>1285077065</v>
          </cell>
          <cell r="C1870" t="str">
            <v>JOSEPH NEGUSEI</v>
          </cell>
          <cell r="G1870" t="str">
            <v>Kathryn Spaziani</v>
          </cell>
          <cell r="H1870" t="str">
            <v>(212) 305-1190</v>
          </cell>
          <cell r="J1870" t="str">
            <v>kas9171@nyp.org</v>
          </cell>
          <cell r="K1870" t="str">
            <v>Unknown</v>
          </cell>
          <cell r="L1870" t="str">
            <v>Uncategorized</v>
          </cell>
          <cell r="M1870" t="str">
            <v>No</v>
          </cell>
          <cell r="R1870" t="str">
            <v>NEGUSEI JOSEPH</v>
          </cell>
          <cell r="S1870" t="str">
            <v>505 EAST 70TH STREET, WEILL CORNELL INTERNAL MEDICINE ASSOCIATES</v>
          </cell>
          <cell r="T1870" t="str">
            <v>NEW YORK</v>
          </cell>
          <cell r="U1870" t="str">
            <v>NY</v>
          </cell>
          <cell r="V1870" t="str">
            <v>10021</v>
          </cell>
          <cell r="AC1870" t="str">
            <v>M</v>
          </cell>
          <cell r="AD1870" t="str">
            <v>No</v>
          </cell>
          <cell r="AE1870" t="str">
            <v>NPI only</v>
          </cell>
          <cell r="AF1870" t="str">
            <v>nypeastcampus</v>
          </cell>
          <cell r="AG1870" t="str">
            <v>P</v>
          </cell>
        </row>
        <row r="1871">
          <cell r="A1871" t="str">
            <v>1922364926</v>
          </cell>
          <cell r="C1871" t="str">
            <v>JORDAN NESTOR</v>
          </cell>
          <cell r="G1871" t="str">
            <v>Kathryn Spaziani</v>
          </cell>
          <cell r="H1871" t="str">
            <v>(212) 305-1190</v>
          </cell>
          <cell r="J1871" t="str">
            <v>kas9171@nyp.org</v>
          </cell>
          <cell r="K1871" t="str">
            <v>Unknown</v>
          </cell>
          <cell r="L1871" t="str">
            <v>Uncategorized</v>
          </cell>
          <cell r="M1871" t="str">
            <v>No</v>
          </cell>
          <cell r="R1871" t="str">
            <v>NESTOR JORDAN DR.</v>
          </cell>
          <cell r="S1871" t="str">
            <v>505 E 70TH ST</v>
          </cell>
          <cell r="T1871" t="str">
            <v>NEW YORK</v>
          </cell>
          <cell r="U1871" t="str">
            <v>NY</v>
          </cell>
          <cell r="V1871" t="str">
            <v>100214872</v>
          </cell>
          <cell r="AC1871" t="str">
            <v>M</v>
          </cell>
          <cell r="AD1871" t="str">
            <v>No</v>
          </cell>
          <cell r="AE1871" t="str">
            <v>NPI only</v>
          </cell>
          <cell r="AF1871" t="str">
            <v>nypwestcampus</v>
          </cell>
          <cell r="AG1871" t="str">
            <v>P</v>
          </cell>
        </row>
        <row r="1872">
          <cell r="A1872" t="str">
            <v>1629334339</v>
          </cell>
          <cell r="C1872" t="str">
            <v>Zininberg Elena</v>
          </cell>
          <cell r="G1872" t="str">
            <v>Kathryn Spaziani</v>
          </cell>
          <cell r="H1872" t="str">
            <v>(212) 305-1255</v>
          </cell>
          <cell r="J1872" t="str">
            <v>kas9171@nyp.org</v>
          </cell>
          <cell r="K1872" t="str">
            <v>Physician</v>
          </cell>
          <cell r="L1872" t="str">
            <v>Uncategorized</v>
          </cell>
          <cell r="M1872" t="str">
            <v>No</v>
          </cell>
          <cell r="R1872" t="str">
            <v>ZININBERG ELENA</v>
          </cell>
          <cell r="S1872" t="str">
            <v>525 E 68TH ST, BOX 124 ROOM N312</v>
          </cell>
          <cell r="T1872" t="str">
            <v>NEW YORK</v>
          </cell>
          <cell r="U1872" t="str">
            <v>NY</v>
          </cell>
          <cell r="V1872" t="str">
            <v>100654870</v>
          </cell>
          <cell r="AC1872" t="str">
            <v>M</v>
          </cell>
          <cell r="AD1872" t="str">
            <v>No</v>
          </cell>
          <cell r="AE1872" t="str">
            <v>NPI only</v>
          </cell>
          <cell r="AF1872" t="str">
            <v>nypeastcampus</v>
          </cell>
          <cell r="AG1872" t="str">
            <v>P</v>
          </cell>
        </row>
        <row r="1873">
          <cell r="A1873" t="str">
            <v>1114160074</v>
          </cell>
          <cell r="B1873" t="str">
            <v>03920321</v>
          </cell>
          <cell r="C1873" t="str">
            <v>Aaronson Jaime</v>
          </cell>
          <cell r="D1873" t="str">
            <v>E0383200</v>
          </cell>
          <cell r="E1873" t="str">
            <v>AARONSON JAIME</v>
          </cell>
          <cell r="L1873" t="str">
            <v>Practitioner - Non-Primary Care Provider (PCP)</v>
          </cell>
          <cell r="M1873" t="str">
            <v>No</v>
          </cell>
          <cell r="R1873" t="str">
            <v>AARONSON JAIME</v>
          </cell>
          <cell r="W1873" t="str">
            <v>AARONSON JAIME</v>
          </cell>
          <cell r="X1873" t="str">
            <v>525 E 68TH ST</v>
          </cell>
          <cell r="Y1873" t="str">
            <v>NEW YORK</v>
          </cell>
          <cell r="Z1873" t="str">
            <v>NY</v>
          </cell>
          <cell r="AA1873" t="str">
            <v>10065-4870</v>
          </cell>
          <cell r="AB1873" t="str">
            <v>PHYSICIAN</v>
          </cell>
          <cell r="AC1873" t="str">
            <v>M</v>
          </cell>
          <cell r="AD1873" t="str">
            <v>No</v>
          </cell>
          <cell r="AE1873" t="str">
            <v>MMIS</v>
          </cell>
          <cell r="AF1873" t="str">
            <v>nypeastcampus</v>
          </cell>
          <cell r="AG1873" t="str">
            <v>P</v>
          </cell>
        </row>
        <row r="1874">
          <cell r="A1874" t="str">
            <v>1003108168</v>
          </cell>
          <cell r="B1874" t="str">
            <v>04179764</v>
          </cell>
          <cell r="C1874" t="str">
            <v>Francois Karen</v>
          </cell>
          <cell r="D1874" t="str">
            <v>E0409842</v>
          </cell>
          <cell r="E1874" t="str">
            <v>FRANCOIS KAREN TAMAR</v>
          </cell>
          <cell r="G1874" t="str">
            <v>Kathryn Spaziani</v>
          </cell>
          <cell r="H1874" t="str">
            <v>(212) 305-1255</v>
          </cell>
          <cell r="J1874" t="str">
            <v>kas9171@nyp.org</v>
          </cell>
          <cell r="L1874" t="str">
            <v>All Other:: Practitioner - Non-Primary Care Provider (PCP)</v>
          </cell>
          <cell r="M1874" t="str">
            <v>No</v>
          </cell>
          <cell r="R1874" t="str">
            <v>FRANCOIS KAREN</v>
          </cell>
          <cell r="W1874" t="str">
            <v>FRANCOIS KAREN TAMAR</v>
          </cell>
          <cell r="X1874" t="str">
            <v>100 WOODS RD</v>
          </cell>
          <cell r="Y1874" t="str">
            <v>VALHALLA</v>
          </cell>
          <cell r="Z1874" t="str">
            <v>NY</v>
          </cell>
          <cell r="AA1874" t="str">
            <v>10595-1530</v>
          </cell>
          <cell r="AB1874" t="str">
            <v>PHYSICIAN</v>
          </cell>
          <cell r="AC1874" t="str">
            <v>M</v>
          </cell>
          <cell r="AD1874" t="str">
            <v>No</v>
          </cell>
          <cell r="AE1874" t="str">
            <v>MMIS</v>
          </cell>
          <cell r="AF1874" t="str">
            <v>nypother</v>
          </cell>
          <cell r="AG1874" t="str">
            <v>P</v>
          </cell>
        </row>
        <row r="1875">
          <cell r="A1875" t="str">
            <v>1902950611</v>
          </cell>
          <cell r="B1875" t="str">
            <v>01562770</v>
          </cell>
          <cell r="C1875" t="str">
            <v>Tan, Chyne</v>
          </cell>
          <cell r="D1875" t="str">
            <v>E0143723</v>
          </cell>
          <cell r="E1875" t="str">
            <v>TAN CHYNE C MD</v>
          </cell>
          <cell r="G1875" t="str">
            <v>Kathryn Spaziani</v>
          </cell>
          <cell r="H1875" t="str">
            <v>(212) 305-1190</v>
          </cell>
          <cell r="J1875" t="str">
            <v>kas9171@nyp.org</v>
          </cell>
          <cell r="L1875" t="str">
            <v>All Other:: Practitioner - Primary Care Provider (PCP)</v>
          </cell>
          <cell r="M1875" t="str">
            <v>Yes</v>
          </cell>
          <cell r="R1875" t="str">
            <v>TAN CHYNE</v>
          </cell>
          <cell r="W1875" t="str">
            <v>TAN CHYNE C MD</v>
          </cell>
          <cell r="X1875" t="str">
            <v>170 WILLIAM ST</v>
          </cell>
          <cell r="Y1875" t="str">
            <v>NEW YORK</v>
          </cell>
          <cell r="Z1875" t="str">
            <v>NY</v>
          </cell>
          <cell r="AA1875" t="str">
            <v>10038-2612</v>
          </cell>
          <cell r="AB1875" t="str">
            <v>PHYSICIAN</v>
          </cell>
          <cell r="AC1875" t="str">
            <v>M</v>
          </cell>
          <cell r="AD1875" t="str">
            <v>No</v>
          </cell>
          <cell r="AE1875" t="str">
            <v>MMIS</v>
          </cell>
          <cell r="AF1875" t="str">
            <v>nypeastcampus</v>
          </cell>
          <cell r="AG1875" t="str">
            <v>P</v>
          </cell>
        </row>
        <row r="1876">
          <cell r="A1876" t="str">
            <v>1700923638</v>
          </cell>
          <cell r="B1876" t="str">
            <v>02692340</v>
          </cell>
          <cell r="C1876" t="str">
            <v>Chang Betty</v>
          </cell>
          <cell r="D1876" t="str">
            <v>E0030945</v>
          </cell>
          <cell r="E1876" t="str">
            <v>CHANG BETTY CHIA WEN MD</v>
          </cell>
          <cell r="L1876" t="str">
            <v>Practitioner - Non-Primary Care Provider (PCP)</v>
          </cell>
          <cell r="M1876" t="str">
            <v>No</v>
          </cell>
          <cell r="R1876" t="str">
            <v>CHANG BETTY DR.</v>
          </cell>
          <cell r="W1876" t="str">
            <v>CHANG BETTY CHIA WEN MD</v>
          </cell>
          <cell r="X1876" t="str">
            <v>1 BROOKDALE PLZ</v>
          </cell>
          <cell r="Y1876" t="str">
            <v>BROOKLYN</v>
          </cell>
          <cell r="Z1876" t="str">
            <v>NY</v>
          </cell>
          <cell r="AA1876" t="str">
            <v>11212-3139</v>
          </cell>
          <cell r="AB1876" t="str">
            <v>PHYSICIAN</v>
          </cell>
          <cell r="AC1876" t="str">
            <v>M</v>
          </cell>
          <cell r="AD1876" t="str">
            <v>No</v>
          </cell>
          <cell r="AE1876" t="str">
            <v>MMIS</v>
          </cell>
          <cell r="AF1876" t="str">
            <v>nypwestcampus</v>
          </cell>
          <cell r="AG1876" t="str">
            <v>P</v>
          </cell>
        </row>
        <row r="1877">
          <cell r="A1877" t="str">
            <v>1720217839</v>
          </cell>
          <cell r="B1877" t="str">
            <v>03623916</v>
          </cell>
          <cell r="C1877" t="str">
            <v>Chisolm-Straker Makini</v>
          </cell>
          <cell r="D1877" t="str">
            <v>E0352649</v>
          </cell>
          <cell r="E1877" t="str">
            <v>CHISOLM-STRAKER MAKINI DAYO</v>
          </cell>
          <cell r="L1877" t="str">
            <v>All Other:: Practitioner - Non-Primary Care Provider (PCP)</v>
          </cell>
          <cell r="M1877" t="str">
            <v>No</v>
          </cell>
          <cell r="R1877" t="str">
            <v>CHISOLM-STRAKER MAKINI</v>
          </cell>
          <cell r="W1877" t="str">
            <v>CHISOLM-STRAKER MAKINI DAYO</v>
          </cell>
          <cell r="X1877" t="str">
            <v>622 W 168TH ST PH 1-137</v>
          </cell>
          <cell r="Y1877" t="str">
            <v>NEW YORK</v>
          </cell>
          <cell r="Z1877" t="str">
            <v>NY</v>
          </cell>
          <cell r="AA1877" t="str">
            <v>10032-3720</v>
          </cell>
          <cell r="AB1877" t="str">
            <v>PHYSICIAN</v>
          </cell>
          <cell r="AC1877" t="str">
            <v>M</v>
          </cell>
          <cell r="AD1877" t="str">
            <v>No</v>
          </cell>
          <cell r="AE1877" t="str">
            <v>MMIS</v>
          </cell>
          <cell r="AG1877" t="str">
            <v>P</v>
          </cell>
        </row>
        <row r="1878">
          <cell r="A1878" t="str">
            <v>1609801091</v>
          </cell>
          <cell r="B1878" t="str">
            <v>01847070</v>
          </cell>
          <cell r="C1878" t="str">
            <v>Cordi Heidi</v>
          </cell>
          <cell r="D1878" t="str">
            <v>E0115333</v>
          </cell>
          <cell r="E1878" t="str">
            <v>CORDI HEIDI P MD</v>
          </cell>
          <cell r="L1878" t="str">
            <v>Practitioner - Primary Care Provider (PCP)</v>
          </cell>
          <cell r="M1878" t="str">
            <v>No</v>
          </cell>
          <cell r="R1878" t="str">
            <v>CORDI HEIDI</v>
          </cell>
          <cell r="W1878" t="str">
            <v>CORDI HEIDI P MD</v>
          </cell>
          <cell r="X1878" t="str">
            <v>ASSOC IN EMERG SVCS</v>
          </cell>
          <cell r="Y1878" t="str">
            <v>NEW YORK</v>
          </cell>
          <cell r="Z1878" t="str">
            <v>NY</v>
          </cell>
          <cell r="AA1878" t="str">
            <v>10032-3720</v>
          </cell>
          <cell r="AB1878" t="str">
            <v>PHYSICIAN</v>
          </cell>
          <cell r="AC1878" t="str">
            <v>M</v>
          </cell>
          <cell r="AD1878" t="str">
            <v>No</v>
          </cell>
          <cell r="AE1878" t="str">
            <v>MMIS</v>
          </cell>
          <cell r="AF1878" t="str">
            <v>nypwestcampus</v>
          </cell>
          <cell r="AG1878" t="str">
            <v>P</v>
          </cell>
        </row>
        <row r="1879">
          <cell r="A1879" t="str">
            <v>1710040779</v>
          </cell>
          <cell r="B1879" t="str">
            <v>02403405</v>
          </cell>
          <cell r="C1879" t="str">
            <v>PRICE, DAVID D</v>
          </cell>
          <cell r="D1879" t="str">
            <v>E0059787</v>
          </cell>
          <cell r="E1879" t="str">
            <v>PRICE DAVID</v>
          </cell>
          <cell r="G1879" t="str">
            <v>Kathryn Spaziani</v>
          </cell>
          <cell r="H1879" t="str">
            <v>(212) 305-1190</v>
          </cell>
          <cell r="J1879" t="str">
            <v>kas9171@nyp.org</v>
          </cell>
          <cell r="L1879" t="str">
            <v>Mental Health:: Practitioner - Non-Primary Care Provider (PCP)</v>
          </cell>
          <cell r="M1879" t="str">
            <v>No</v>
          </cell>
          <cell r="R1879" t="str">
            <v>PRICE DAVID MR.</v>
          </cell>
          <cell r="W1879" t="str">
            <v>PRICE DAVID D</v>
          </cell>
          <cell r="X1879" t="str">
            <v>622 W 168TH ST FL 4</v>
          </cell>
          <cell r="Y1879" t="str">
            <v>NEW YORK</v>
          </cell>
          <cell r="Z1879" t="str">
            <v>NY</v>
          </cell>
          <cell r="AA1879" t="str">
            <v>10032-3720</v>
          </cell>
          <cell r="AB1879" t="str">
            <v>CLINICAL SOCIAL WORKER (CSW)</v>
          </cell>
          <cell r="AC1879" t="str">
            <v>M</v>
          </cell>
          <cell r="AD1879" t="str">
            <v>No</v>
          </cell>
          <cell r="AE1879" t="str">
            <v>MMIS</v>
          </cell>
          <cell r="AF1879" t="str">
            <v>nypother</v>
          </cell>
          <cell r="AG1879" t="str">
            <v>P</v>
          </cell>
        </row>
        <row r="1880">
          <cell r="A1880" t="str">
            <v>1811148224</v>
          </cell>
          <cell r="B1880" t="str">
            <v>03558078</v>
          </cell>
          <cell r="C1880" t="str">
            <v>CHAUDHARI, PARU R</v>
          </cell>
          <cell r="D1880" t="str">
            <v>E0345777</v>
          </cell>
          <cell r="E1880" t="str">
            <v>CHAUDHARI PARU</v>
          </cell>
          <cell r="G1880" t="str">
            <v>Kathryn Spaziani</v>
          </cell>
          <cell r="H1880" t="str">
            <v>(212) 305-1190</v>
          </cell>
          <cell r="J1880" t="str">
            <v>kas9171@nyp.org</v>
          </cell>
          <cell r="L1880" t="str">
            <v>All Other:: Practitioner - Non-Primary Care Provider (PCP)</v>
          </cell>
          <cell r="M1880" t="str">
            <v>No</v>
          </cell>
          <cell r="R1880" t="str">
            <v>CHAUDHARI PARU DR.</v>
          </cell>
          <cell r="W1880" t="str">
            <v>CHAUDHARI PARU</v>
          </cell>
          <cell r="X1880" t="str">
            <v>17 E 102ND ST</v>
          </cell>
          <cell r="Y1880" t="str">
            <v>NEW YORK</v>
          </cell>
          <cell r="Z1880" t="str">
            <v>NY</v>
          </cell>
          <cell r="AA1880" t="str">
            <v>10029-5204</v>
          </cell>
          <cell r="AB1880" t="str">
            <v>PHYSICIAN</v>
          </cell>
          <cell r="AC1880" t="str">
            <v>M</v>
          </cell>
          <cell r="AD1880" t="str">
            <v>No</v>
          </cell>
          <cell r="AE1880" t="str">
            <v>MMIS</v>
          </cell>
          <cell r="AF1880" t="str">
            <v>nypother</v>
          </cell>
          <cell r="AG1880" t="str">
            <v>P</v>
          </cell>
        </row>
        <row r="1881">
          <cell r="A1881" t="str">
            <v>1811154891</v>
          </cell>
          <cell r="B1881" t="str">
            <v>03638722</v>
          </cell>
          <cell r="C1881" t="str">
            <v>BRAUNSTEIN, ALEXANDRA L</v>
          </cell>
          <cell r="D1881" t="str">
            <v>E0354097</v>
          </cell>
          <cell r="E1881" t="str">
            <v>BRAUNSTEIN ALEXANDRA LARA</v>
          </cell>
          <cell r="G1881" t="str">
            <v>Kathryn Spaziani</v>
          </cell>
          <cell r="H1881" t="str">
            <v>(212) 305-1190</v>
          </cell>
          <cell r="J1881" t="str">
            <v>kas9171@nyp.org</v>
          </cell>
          <cell r="L1881" t="str">
            <v>All Other:: Practitioner - Non-Primary Care Provider (PCP)</v>
          </cell>
          <cell r="M1881" t="str">
            <v>No</v>
          </cell>
          <cell r="R1881" t="str">
            <v>BRAUNSTEIN ALEXANDRA DR.</v>
          </cell>
          <cell r="W1881" t="str">
            <v>BRAUNSTEIN ALEXANDRA LARA</v>
          </cell>
          <cell r="X1881" t="str">
            <v>635 W 165TH ST BSMT</v>
          </cell>
          <cell r="Y1881" t="str">
            <v>NEW YORK</v>
          </cell>
          <cell r="Z1881" t="str">
            <v>NY</v>
          </cell>
          <cell r="AA1881" t="str">
            <v>10032-3724</v>
          </cell>
          <cell r="AB1881" t="str">
            <v>PHYSICIAN</v>
          </cell>
          <cell r="AC1881" t="str">
            <v>M</v>
          </cell>
          <cell r="AD1881" t="str">
            <v>No</v>
          </cell>
          <cell r="AE1881" t="str">
            <v>MMIS</v>
          </cell>
          <cell r="AF1881" t="str">
            <v>nypwestacn</v>
          </cell>
          <cell r="AG1881" t="str">
            <v>P</v>
          </cell>
        </row>
        <row r="1882">
          <cell r="A1882" t="str">
            <v>1184774069</v>
          </cell>
          <cell r="B1882" t="str">
            <v>02990334</v>
          </cell>
          <cell r="C1882" t="str">
            <v>ZUCKERBROT, RACHEL A</v>
          </cell>
          <cell r="D1882" t="str">
            <v>E0007615</v>
          </cell>
          <cell r="E1882" t="str">
            <v>ZUCKERBROT RACHEL</v>
          </cell>
          <cell r="G1882" t="str">
            <v>Kathryn Spaziani</v>
          </cell>
          <cell r="H1882" t="str">
            <v>(212) 305-1190</v>
          </cell>
          <cell r="J1882" t="str">
            <v>kas9171@nyp.org</v>
          </cell>
          <cell r="L1882" t="str">
            <v>Practitioner - Non-Primary Care Provider (PCP)</v>
          </cell>
          <cell r="M1882" t="str">
            <v>No</v>
          </cell>
          <cell r="R1882" t="str">
            <v>ZUCKERBROT RACHEL DR.</v>
          </cell>
          <cell r="W1882" t="str">
            <v>ZUCKERBROT RACHEL ARYELLA</v>
          </cell>
          <cell r="X1882" t="str">
            <v>3959 BROADWAY FL 6</v>
          </cell>
          <cell r="Y1882" t="str">
            <v>NEW YORK</v>
          </cell>
          <cell r="Z1882" t="str">
            <v>NY</v>
          </cell>
          <cell r="AA1882" t="str">
            <v>10032-1559</v>
          </cell>
          <cell r="AB1882" t="str">
            <v>PHYSICIAN</v>
          </cell>
          <cell r="AC1882" t="str">
            <v>M</v>
          </cell>
          <cell r="AD1882" t="str">
            <v>No</v>
          </cell>
          <cell r="AE1882" t="str">
            <v>MMIS</v>
          </cell>
          <cell r="AF1882" t="str">
            <v>nypwestcampus</v>
          </cell>
          <cell r="AG1882" t="str">
            <v>P</v>
          </cell>
        </row>
        <row r="1883">
          <cell r="A1883" t="str">
            <v>1861665929</v>
          </cell>
          <cell r="B1883" t="str">
            <v>03108156</v>
          </cell>
          <cell r="C1883" t="str">
            <v>FAVA, ATANASIO G</v>
          </cell>
          <cell r="D1883" t="str">
            <v>E0294008</v>
          </cell>
          <cell r="E1883" t="str">
            <v>FAVA ATANASIO</v>
          </cell>
          <cell r="G1883" t="str">
            <v>Kathryn Spaziani</v>
          </cell>
          <cell r="H1883" t="str">
            <v>(212) 305-1190</v>
          </cell>
          <cell r="J1883" t="str">
            <v>kas9171@nyp.org</v>
          </cell>
          <cell r="L1883" t="str">
            <v>Practitioner - Non-Primary Care Provider (PCP)</v>
          </cell>
          <cell r="M1883" t="str">
            <v>No</v>
          </cell>
          <cell r="R1883" t="str">
            <v>FAVA ATANASIO GAETANO MR.</v>
          </cell>
          <cell r="W1883" t="str">
            <v>FAVA ATANASIO</v>
          </cell>
          <cell r="X1883" t="str">
            <v>622 W 168TH ST FL</v>
          </cell>
          <cell r="Y1883" t="str">
            <v>NEW YORK</v>
          </cell>
          <cell r="Z1883" t="str">
            <v>NY</v>
          </cell>
          <cell r="AA1883" t="str">
            <v>10032-3720</v>
          </cell>
          <cell r="AB1883" t="str">
            <v>THERAPIST</v>
          </cell>
          <cell r="AC1883" t="str">
            <v>M</v>
          </cell>
          <cell r="AD1883" t="str">
            <v>No</v>
          </cell>
          <cell r="AE1883" t="str">
            <v>MMIS</v>
          </cell>
          <cell r="AF1883" t="str">
            <v>nypother</v>
          </cell>
          <cell r="AG1883" t="str">
            <v>P</v>
          </cell>
        </row>
        <row r="1884">
          <cell r="A1884" t="str">
            <v>1871516344</v>
          </cell>
          <cell r="B1884" t="str">
            <v>01446515</v>
          </cell>
          <cell r="C1884" t="str">
            <v>FOCA, FRANCIS J</v>
          </cell>
          <cell r="D1884" t="str">
            <v>E0155326</v>
          </cell>
          <cell r="E1884" t="str">
            <v>FOCA FRANCIS J MD</v>
          </cell>
          <cell r="G1884" t="str">
            <v>Kathryn Spaziani</v>
          </cell>
          <cell r="H1884" t="str">
            <v>(212) 305-1190</v>
          </cell>
          <cell r="J1884" t="str">
            <v>kas9171@nyp.org</v>
          </cell>
          <cell r="L1884" t="str">
            <v>Practitioner - Non-Primary Care Provider (PCP)</v>
          </cell>
          <cell r="M1884" t="str">
            <v>No</v>
          </cell>
          <cell r="R1884" t="str">
            <v>FOCA FRANCIS DR.</v>
          </cell>
          <cell r="W1884" t="str">
            <v>FOCA FRANCIS J MD</v>
          </cell>
          <cell r="X1884" t="str">
            <v>LMC MED CENTER</v>
          </cell>
          <cell r="Y1884" t="str">
            <v>BROOKLYN</v>
          </cell>
          <cell r="Z1884" t="str">
            <v>NY</v>
          </cell>
          <cell r="AA1884" t="str">
            <v>11220-2559</v>
          </cell>
          <cell r="AB1884" t="str">
            <v>PHYSICIAN</v>
          </cell>
          <cell r="AC1884" t="str">
            <v>M</v>
          </cell>
          <cell r="AD1884" t="str">
            <v>No</v>
          </cell>
          <cell r="AE1884" t="str">
            <v>MMIS</v>
          </cell>
          <cell r="AF1884" t="str">
            <v>nypwestacn</v>
          </cell>
          <cell r="AG1884" t="str">
            <v>P</v>
          </cell>
        </row>
        <row r="1885">
          <cell r="A1885" t="str">
            <v>1508024886</v>
          </cell>
          <cell r="B1885" t="str">
            <v>03255850</v>
          </cell>
          <cell r="C1885" t="str">
            <v xml:space="preserve">WHITE, HALINA </v>
          </cell>
          <cell r="D1885" t="str">
            <v>E0310725</v>
          </cell>
          <cell r="E1885" t="str">
            <v>WHITE HALINA</v>
          </cell>
          <cell r="G1885" t="str">
            <v>Kathryn Spaziani</v>
          </cell>
          <cell r="H1885" t="str">
            <v>(212) 305-1190</v>
          </cell>
          <cell r="J1885" t="str">
            <v>kas9171@nyp.org</v>
          </cell>
          <cell r="L1885" t="str">
            <v>All Other:: Practitioner - Non-Primary Care Provider (PCP)</v>
          </cell>
          <cell r="M1885" t="str">
            <v>No</v>
          </cell>
          <cell r="R1885" t="str">
            <v>WHITE HALINA DR.</v>
          </cell>
          <cell r="W1885" t="str">
            <v>WHITE HALINA</v>
          </cell>
          <cell r="X1885" t="str">
            <v>525 E 68TH ST</v>
          </cell>
          <cell r="Y1885" t="str">
            <v>NEW YORK</v>
          </cell>
          <cell r="Z1885" t="str">
            <v>NY</v>
          </cell>
          <cell r="AA1885" t="str">
            <v>10065-4870</v>
          </cell>
          <cell r="AB1885" t="str">
            <v>PHYSICIAN</v>
          </cell>
          <cell r="AC1885" t="str">
            <v>M</v>
          </cell>
          <cell r="AD1885" t="str">
            <v>No</v>
          </cell>
          <cell r="AE1885" t="str">
            <v>MMIS</v>
          </cell>
          <cell r="AF1885" t="str">
            <v>nypeastcampus</v>
          </cell>
          <cell r="AG1885" t="str">
            <v>P</v>
          </cell>
        </row>
        <row r="1886">
          <cell r="A1886" t="str">
            <v>1508801630</v>
          </cell>
          <cell r="B1886" t="str">
            <v>01825387</v>
          </cell>
          <cell r="C1886" t="str">
            <v>SCHLUGER, NEIL W</v>
          </cell>
          <cell r="D1886" t="str">
            <v>E0117500</v>
          </cell>
          <cell r="E1886" t="str">
            <v>SCHLUGER NEIL W MD</v>
          </cell>
          <cell r="G1886" t="str">
            <v>Kathryn Spaziani</v>
          </cell>
          <cell r="H1886" t="str">
            <v>(212) 305-1190</v>
          </cell>
          <cell r="J1886" t="str">
            <v>kas9171@nyp.org</v>
          </cell>
          <cell r="L1886" t="str">
            <v>Practitioner - Non-Primary Care Provider (PCP)</v>
          </cell>
          <cell r="M1886" t="str">
            <v>No</v>
          </cell>
          <cell r="R1886" t="str">
            <v>SCHLUGER NEIL DR.</v>
          </cell>
          <cell r="W1886" t="str">
            <v>SCHLUGER NEIL WARREN</v>
          </cell>
          <cell r="Y1886" t="str">
            <v>NEW YORK</v>
          </cell>
          <cell r="Z1886" t="str">
            <v>NY</v>
          </cell>
          <cell r="AA1886" t="str">
            <v>10032-3720</v>
          </cell>
          <cell r="AB1886" t="str">
            <v>PHYSICIAN</v>
          </cell>
          <cell r="AC1886" t="str">
            <v>M</v>
          </cell>
          <cell r="AD1886" t="str">
            <v>No</v>
          </cell>
          <cell r="AE1886" t="str">
            <v>MMIS</v>
          </cell>
          <cell r="AF1886" t="str">
            <v>nypwestcampus</v>
          </cell>
          <cell r="AG1886" t="str">
            <v>P</v>
          </cell>
        </row>
        <row r="1887">
          <cell r="A1887" t="str">
            <v>1578635561</v>
          </cell>
          <cell r="B1887" t="str">
            <v>01095110</v>
          </cell>
          <cell r="C1887" t="str">
            <v>Elizabeth Seton Pediatric Center</v>
          </cell>
          <cell r="D1887" t="str">
            <v>E0190362</v>
          </cell>
          <cell r="E1887" t="str">
            <v>ELIZABETH SETON PEDIATRIC CENTER</v>
          </cell>
          <cell r="G1887" t="str">
            <v>Nancy Bullock</v>
          </cell>
          <cell r="H1887" t="str">
            <v>(914) 294-6303</v>
          </cell>
          <cell r="J1887" t="str">
            <v>nbullock@setonpediatric.org</v>
          </cell>
          <cell r="L1887" t="str">
            <v>All Other:: Nursing Home</v>
          </cell>
          <cell r="M1887" t="str">
            <v>Yes</v>
          </cell>
          <cell r="R1887" t="str">
            <v>NEW YORK FOUNDLING HOSPITAL CENTER FOR PEDIATRIC MEDICAL AND</v>
          </cell>
          <cell r="W1887" t="str">
            <v>ELIZABETH SETON PEDIATRIC CENTER</v>
          </cell>
          <cell r="X1887" t="str">
            <v>300 CORPORATE BLVD S</v>
          </cell>
          <cell r="Y1887" t="str">
            <v>YONKERS</v>
          </cell>
          <cell r="Z1887" t="str">
            <v>NY</v>
          </cell>
          <cell r="AA1887" t="str">
            <v>10701-6862</v>
          </cell>
          <cell r="AB1887" t="str">
            <v>LONG TERM CARE FACILITY</v>
          </cell>
          <cell r="AC1887" t="str">
            <v>M</v>
          </cell>
          <cell r="AD1887" t="str">
            <v>No</v>
          </cell>
          <cell r="AE1887" t="str">
            <v>MMIS</v>
          </cell>
          <cell r="AG1887" t="str">
            <v>P</v>
          </cell>
        </row>
        <row r="1888">
          <cell r="A1888" t="str">
            <v>1891814711</v>
          </cell>
          <cell r="B1888" t="str">
            <v>02819845</v>
          </cell>
          <cell r="C1888" t="str">
            <v>Dianna Dragatsi, MD</v>
          </cell>
          <cell r="D1888" t="str">
            <v>E0018211</v>
          </cell>
          <cell r="E1888" t="str">
            <v>DRAGATSI DIANNA</v>
          </cell>
          <cell r="G1888" t="str">
            <v>Dianna Dragatsi</v>
          </cell>
          <cell r="H1888" t="str">
            <v>(212) 942-8511</v>
          </cell>
          <cell r="J1888" t="str">
            <v>Dragats@nyspi.columbia.edu</v>
          </cell>
          <cell r="L1888" t="str">
            <v>Mental Health:: Practitioner - Non-Primary Care Provider (PCP)</v>
          </cell>
          <cell r="M1888" t="str">
            <v>No</v>
          </cell>
          <cell r="R1888" t="str">
            <v>DRAGATSI DIANNA DR.</v>
          </cell>
          <cell r="W1888" t="str">
            <v>DRAGATSI DIANNA</v>
          </cell>
          <cell r="X1888" t="str">
            <v>26 SHERMAN AVE</v>
          </cell>
          <cell r="Y1888" t="str">
            <v>NEW YORK</v>
          </cell>
          <cell r="Z1888" t="str">
            <v>NY</v>
          </cell>
          <cell r="AA1888" t="str">
            <v>10040-1602</v>
          </cell>
          <cell r="AB1888" t="str">
            <v>PHYSICIAN</v>
          </cell>
          <cell r="AC1888" t="str">
            <v>M</v>
          </cell>
          <cell r="AD1888" t="str">
            <v>No</v>
          </cell>
          <cell r="AE1888" t="str">
            <v>MMIS</v>
          </cell>
          <cell r="AF1888" t="str">
            <v>nyspi</v>
          </cell>
          <cell r="AG1888" t="str">
            <v>P</v>
          </cell>
        </row>
        <row r="1889">
          <cell r="A1889" t="str">
            <v>1932141249</v>
          </cell>
          <cell r="B1889" t="str">
            <v>01749673</v>
          </cell>
          <cell r="C1889" t="str">
            <v>WARSHOFSKY, MARK K</v>
          </cell>
          <cell r="D1889" t="str">
            <v>E0125059</v>
          </cell>
          <cell r="E1889" t="str">
            <v>WARSHOFSKY MARK KEVIN MD</v>
          </cell>
          <cell r="G1889" t="str">
            <v>Kathryn Spaziani</v>
          </cell>
          <cell r="H1889" t="str">
            <v>(212) 305-1190</v>
          </cell>
          <cell r="J1889" t="str">
            <v>kas9171@nyp.org</v>
          </cell>
          <cell r="L1889" t="str">
            <v>Practitioner - Non-Primary Care Provider (PCP)</v>
          </cell>
          <cell r="M1889" t="str">
            <v>No</v>
          </cell>
          <cell r="R1889" t="str">
            <v>WARSHOFSKY MARK</v>
          </cell>
          <cell r="W1889" t="str">
            <v>WARSHOFSKY MARK KEVIN MD</v>
          </cell>
          <cell r="X1889" t="str">
            <v>PRESBYTERIAN HOSP. , 622 WEST 168TH ST.</v>
          </cell>
          <cell r="Y1889" t="str">
            <v>NEW YORK</v>
          </cell>
          <cell r="Z1889" t="str">
            <v>NY</v>
          </cell>
          <cell r="AA1889" t="str">
            <v>10032</v>
          </cell>
          <cell r="AB1889" t="str">
            <v>PHYSICIAN</v>
          </cell>
          <cell r="AC1889" t="str">
            <v>M</v>
          </cell>
          <cell r="AD1889" t="str">
            <v>No</v>
          </cell>
          <cell r="AE1889" t="str">
            <v>MMIS</v>
          </cell>
          <cell r="AF1889" t="str">
            <v>nypwestcampus</v>
          </cell>
          <cell r="AG1889" t="str">
            <v>P</v>
          </cell>
        </row>
        <row r="1890">
          <cell r="A1890" t="str">
            <v>1225001787</v>
          </cell>
          <cell r="B1890" t="str">
            <v>01487512</v>
          </cell>
          <cell r="C1890" t="str">
            <v>ROBBINS-MILNE, LAURA E</v>
          </cell>
          <cell r="D1890" t="str">
            <v>E0151235</v>
          </cell>
          <cell r="E1890" t="str">
            <v>ROBBINS-MILNE LAURA E MD</v>
          </cell>
          <cell r="G1890" t="str">
            <v>Kathryn Spaziani</v>
          </cell>
          <cell r="H1890" t="str">
            <v>(212) 305-1190</v>
          </cell>
          <cell r="J1890" t="str">
            <v>kas9171@nyp.org</v>
          </cell>
          <cell r="L1890" t="str">
            <v>Practitioner - Primary Care Provider (PCP)</v>
          </cell>
          <cell r="M1890" t="str">
            <v>Yes</v>
          </cell>
          <cell r="R1890" t="str">
            <v>ROBBINS-MILNE LAURA DR.</v>
          </cell>
          <cell r="W1890" t="str">
            <v>ROBBINS-MILNE LAURA E MD</v>
          </cell>
          <cell r="X1890" t="str">
            <v>COL-PRESB VC2-205</v>
          </cell>
          <cell r="Y1890" t="str">
            <v>NEW YORK</v>
          </cell>
          <cell r="Z1890" t="str">
            <v>NY</v>
          </cell>
          <cell r="AA1890" t="str">
            <v>10032-3720</v>
          </cell>
          <cell r="AB1890" t="str">
            <v>PHYSICIAN</v>
          </cell>
          <cell r="AC1890" t="str">
            <v>M</v>
          </cell>
          <cell r="AD1890" t="str">
            <v>No</v>
          </cell>
          <cell r="AE1890" t="str">
            <v>MMIS</v>
          </cell>
          <cell r="AF1890" t="str">
            <v>nypwestcampus</v>
          </cell>
          <cell r="AG1890" t="str">
            <v>P</v>
          </cell>
        </row>
        <row r="1891">
          <cell r="A1891" t="str">
            <v>1093816639</v>
          </cell>
          <cell r="B1891" t="str">
            <v>01911917</v>
          </cell>
          <cell r="C1891" t="str">
            <v>SCHICCHI, JOHN S</v>
          </cell>
          <cell r="D1891" t="str">
            <v>E0108858</v>
          </cell>
          <cell r="E1891" t="str">
            <v>JOHN DARIO SALAZAR SCHICCHI</v>
          </cell>
          <cell r="G1891" t="str">
            <v>Kathryn Spaziani</v>
          </cell>
          <cell r="H1891" t="str">
            <v>(212) 305-1190</v>
          </cell>
          <cell r="J1891" t="str">
            <v>kas9171@nyp.org</v>
          </cell>
          <cell r="L1891" t="str">
            <v>Practitioner - Non-Primary Care Provider (PCP)</v>
          </cell>
          <cell r="M1891" t="str">
            <v>No</v>
          </cell>
          <cell r="R1891" t="str">
            <v>SCHICCHI JOHN DR.</v>
          </cell>
          <cell r="W1891" t="str">
            <v>JOHN DARIO SALAZAR SCHICCHI</v>
          </cell>
          <cell r="X1891" t="str">
            <v>506 MALCOLM X BLVD</v>
          </cell>
          <cell r="Y1891" t="str">
            <v>NEW YORK</v>
          </cell>
          <cell r="Z1891" t="str">
            <v>NY</v>
          </cell>
          <cell r="AA1891" t="str">
            <v>10037-1802</v>
          </cell>
          <cell r="AB1891" t="str">
            <v>PHYSICIAN</v>
          </cell>
          <cell r="AC1891" t="str">
            <v>M</v>
          </cell>
          <cell r="AD1891" t="str">
            <v>No</v>
          </cell>
          <cell r="AE1891" t="str">
            <v>MMIS</v>
          </cell>
          <cell r="AF1891" t="str">
            <v>nypwestcampus</v>
          </cell>
          <cell r="AG1891" t="str">
            <v>P</v>
          </cell>
        </row>
        <row r="1892">
          <cell r="A1892" t="str">
            <v>1104024405</v>
          </cell>
          <cell r="B1892" t="str">
            <v>03337831</v>
          </cell>
          <cell r="C1892" t="str">
            <v xml:space="preserve">ABDULLA, HEBA </v>
          </cell>
          <cell r="D1892" t="str">
            <v>E0320041</v>
          </cell>
          <cell r="E1892" t="str">
            <v>ABDULLA HEBA</v>
          </cell>
          <cell r="G1892" t="str">
            <v>Kathryn Spaziani</v>
          </cell>
          <cell r="H1892" t="str">
            <v>(212) 305-1190</v>
          </cell>
          <cell r="J1892" t="str">
            <v>kas9171@nyp.org</v>
          </cell>
          <cell r="L1892" t="str">
            <v>Practitioner - Non-Primary Care Provider (PCP)</v>
          </cell>
          <cell r="M1892" t="str">
            <v>No</v>
          </cell>
          <cell r="R1892" t="str">
            <v>ABDULLA HEBA DR.</v>
          </cell>
          <cell r="W1892" t="str">
            <v>ABDULLA HEBA</v>
          </cell>
          <cell r="X1892" t="str">
            <v>161 FORT WASHINGTON AVE</v>
          </cell>
          <cell r="Y1892" t="str">
            <v>NEW YORK</v>
          </cell>
          <cell r="Z1892" t="str">
            <v>NY</v>
          </cell>
          <cell r="AA1892" t="str">
            <v>10032-3729</v>
          </cell>
          <cell r="AB1892" t="str">
            <v>PHYSICIAN</v>
          </cell>
          <cell r="AC1892" t="str">
            <v>M</v>
          </cell>
          <cell r="AD1892" t="str">
            <v>No</v>
          </cell>
          <cell r="AE1892" t="str">
            <v>MMIS</v>
          </cell>
          <cell r="AF1892" t="str">
            <v>nypwestacn</v>
          </cell>
          <cell r="AG1892" t="str">
            <v>P</v>
          </cell>
        </row>
        <row r="1893">
          <cell r="A1893" t="str">
            <v>1780717868</v>
          </cell>
          <cell r="B1893" t="str">
            <v>03034420</v>
          </cell>
          <cell r="C1893" t="str">
            <v>FRY, ANDREA</v>
          </cell>
          <cell r="D1893" t="str">
            <v>E0285445</v>
          </cell>
          <cell r="E1893" t="str">
            <v>FRY ANDREA LEE</v>
          </cell>
          <cell r="G1893" t="str">
            <v>Kathryn Spaziani</v>
          </cell>
          <cell r="H1893" t="str">
            <v>(212) 305-1239</v>
          </cell>
          <cell r="J1893" t="str">
            <v>kas9171@nyp.org</v>
          </cell>
          <cell r="L1893" t="str">
            <v>All Other:: Practitioner - Non-Primary Care Provider (PCP)</v>
          </cell>
          <cell r="M1893" t="str">
            <v>No</v>
          </cell>
          <cell r="R1893" t="str">
            <v>FRY ANDREA MS.</v>
          </cell>
          <cell r="W1893" t="str">
            <v>FRY ANDREA LEE</v>
          </cell>
          <cell r="X1893" t="str">
            <v>622 W 168TH ST</v>
          </cell>
          <cell r="Y1893" t="str">
            <v>NEW YORK</v>
          </cell>
          <cell r="Z1893" t="str">
            <v>NY</v>
          </cell>
          <cell r="AA1893" t="str">
            <v>10032-3720</v>
          </cell>
          <cell r="AB1893" t="str">
            <v>PHYSICIAN</v>
          </cell>
          <cell r="AC1893" t="str">
            <v>M</v>
          </cell>
          <cell r="AD1893" t="str">
            <v>No</v>
          </cell>
          <cell r="AE1893" t="str">
            <v>MMIS</v>
          </cell>
          <cell r="AF1893" t="str">
            <v>nypother</v>
          </cell>
          <cell r="AG1893" t="str">
            <v>P</v>
          </cell>
        </row>
        <row r="1894">
          <cell r="A1894" t="str">
            <v>1538331624</v>
          </cell>
          <cell r="B1894" t="str">
            <v>03111653</v>
          </cell>
          <cell r="C1894" t="str">
            <v>FUENTES, DEBORAH</v>
          </cell>
          <cell r="D1894" t="str">
            <v>E0294380</v>
          </cell>
          <cell r="E1894" t="str">
            <v>FUENTES DEBORAH ANN</v>
          </cell>
          <cell r="G1894" t="str">
            <v>Kathryn Spaziani</v>
          </cell>
          <cell r="H1894" t="str">
            <v>(212) 305-1240</v>
          </cell>
          <cell r="J1894" t="str">
            <v>kas9171@nyp.org</v>
          </cell>
          <cell r="L1894" t="str">
            <v>Practitioner - Non-Primary Care Provider (PCP)</v>
          </cell>
          <cell r="M1894" t="str">
            <v>No</v>
          </cell>
          <cell r="R1894" t="str">
            <v>FUENTES DEBORAH</v>
          </cell>
          <cell r="W1894" t="str">
            <v>FUENTES DEBORAH ANN</v>
          </cell>
          <cell r="X1894" t="str">
            <v>161 FORT WASHINGTON AVE</v>
          </cell>
          <cell r="Y1894" t="str">
            <v>NEW YORK</v>
          </cell>
          <cell r="Z1894" t="str">
            <v>NY</v>
          </cell>
          <cell r="AA1894" t="str">
            <v>10032-3729</v>
          </cell>
          <cell r="AB1894" t="str">
            <v>PHYSICIAN</v>
          </cell>
          <cell r="AC1894" t="str">
            <v>M</v>
          </cell>
          <cell r="AD1894" t="str">
            <v>No</v>
          </cell>
          <cell r="AE1894" t="str">
            <v>MMIS</v>
          </cell>
          <cell r="AF1894" t="str">
            <v>nypwestcampus</v>
          </cell>
          <cell r="AG1894" t="str">
            <v>P</v>
          </cell>
        </row>
        <row r="1895">
          <cell r="A1895" t="str">
            <v>1386802106</v>
          </cell>
          <cell r="B1895" t="str">
            <v>03582496</v>
          </cell>
          <cell r="C1895" t="str">
            <v>Emily Gastelum, MD</v>
          </cell>
          <cell r="D1895" t="str">
            <v>E0348377</v>
          </cell>
          <cell r="E1895" t="str">
            <v>GASTELUM EMILY DAVIES</v>
          </cell>
          <cell r="G1895" t="str">
            <v>Dianna Dragatsi</v>
          </cell>
          <cell r="H1895" t="str">
            <v>(212) 942-8512</v>
          </cell>
          <cell r="J1895" t="str">
            <v>Dragats@nyspi.columbia.edu</v>
          </cell>
          <cell r="L1895" t="str">
            <v>Mental Health:: Practitioner - Non-Primary Care Provider (PCP)</v>
          </cell>
          <cell r="M1895" t="str">
            <v>No</v>
          </cell>
          <cell r="R1895" t="str">
            <v>GASTELUM EMILY DR.</v>
          </cell>
          <cell r="W1895" t="str">
            <v>GASTELUM EMILY D</v>
          </cell>
          <cell r="X1895" t="str">
            <v>26 SHERMAN AVE</v>
          </cell>
          <cell r="Y1895" t="str">
            <v>NEW YORK</v>
          </cell>
          <cell r="Z1895" t="str">
            <v>NY</v>
          </cell>
          <cell r="AA1895" t="str">
            <v>10040-1602</v>
          </cell>
          <cell r="AB1895" t="str">
            <v>PHYSICIAN</v>
          </cell>
          <cell r="AC1895" t="str">
            <v>M</v>
          </cell>
          <cell r="AD1895" t="str">
            <v>No</v>
          </cell>
          <cell r="AE1895" t="str">
            <v>MMIS</v>
          </cell>
          <cell r="AF1895" t="str">
            <v>nyspi</v>
          </cell>
          <cell r="AG1895" t="str">
            <v>P</v>
          </cell>
        </row>
        <row r="1896">
          <cell r="A1896" t="str">
            <v>1720248131</v>
          </cell>
          <cell r="B1896" t="str">
            <v>03481023</v>
          </cell>
          <cell r="C1896" t="str">
            <v>COHEN, DAVID A</v>
          </cell>
          <cell r="D1896" t="str">
            <v>E0337482</v>
          </cell>
          <cell r="E1896" t="str">
            <v>COHEN DAVID ADAM</v>
          </cell>
          <cell r="G1896" t="str">
            <v>Kathryn Spaziani</v>
          </cell>
          <cell r="H1896" t="str">
            <v>(212) 305-1190</v>
          </cell>
          <cell r="J1896" t="str">
            <v>kas9171@nyp.org</v>
          </cell>
          <cell r="L1896" t="str">
            <v>All Other:: Practitioner - Non-Primary Care Provider (PCP)</v>
          </cell>
          <cell r="M1896" t="str">
            <v>No</v>
          </cell>
          <cell r="R1896" t="str">
            <v>COHEN DAVID DR.</v>
          </cell>
          <cell r="W1896" t="str">
            <v>COHEN DAVID ADAM</v>
          </cell>
          <cell r="X1896" t="str">
            <v>525 EAST 68TH ST  F2008</v>
          </cell>
          <cell r="Y1896" t="str">
            <v>NEW YORK</v>
          </cell>
          <cell r="Z1896" t="str">
            <v>NY</v>
          </cell>
          <cell r="AA1896" t="str">
            <v>10065-4870</v>
          </cell>
          <cell r="AB1896" t="str">
            <v>PHYSICIAN</v>
          </cell>
          <cell r="AC1896" t="str">
            <v>M</v>
          </cell>
          <cell r="AD1896" t="str">
            <v>No</v>
          </cell>
          <cell r="AE1896" t="str">
            <v>MMIS</v>
          </cell>
          <cell r="AF1896" t="str">
            <v>nypother</v>
          </cell>
          <cell r="AG1896" t="str">
            <v>P</v>
          </cell>
        </row>
        <row r="1897">
          <cell r="A1897" t="str">
            <v>1386813657</v>
          </cell>
          <cell r="C1897" t="str">
            <v>WEILL CORNELL MEDICAL COLLEGE / NEW YORK PRESBYTERIAN</v>
          </cell>
          <cell r="K1897" t="str">
            <v>All Other</v>
          </cell>
          <cell r="L1897" t="str">
            <v>Uncategorized</v>
          </cell>
          <cell r="M1897" t="str">
            <v>No</v>
          </cell>
          <cell r="R1897" t="str">
            <v>WEILL CORNELL MEDICAL COLLEGE / NEW YORK PRESBYTERIAN</v>
          </cell>
          <cell r="S1897" t="str">
            <v>525 E 68TH ST</v>
          </cell>
          <cell r="T1897" t="str">
            <v>NEW YORK</v>
          </cell>
          <cell r="U1897" t="str">
            <v>NY</v>
          </cell>
          <cell r="V1897" t="str">
            <v>100654870</v>
          </cell>
          <cell r="AC1897" t="str">
            <v>M</v>
          </cell>
          <cell r="AD1897" t="str">
            <v>No</v>
          </cell>
          <cell r="AE1897" t="str">
            <v>NPI only</v>
          </cell>
          <cell r="AF1897" t="str">
            <v>nypeastcampus</v>
          </cell>
          <cell r="AG1897" t="str">
            <v>P</v>
          </cell>
        </row>
        <row r="1898">
          <cell r="A1898" t="str">
            <v>1013958610</v>
          </cell>
          <cell r="C1898" t="str">
            <v>WEILL MEDICAL COLLEGE OF CORNELL</v>
          </cell>
          <cell r="K1898" t="str">
            <v>All Other</v>
          </cell>
          <cell r="L1898" t="str">
            <v>Uncategorized</v>
          </cell>
          <cell r="M1898" t="str">
            <v>No</v>
          </cell>
          <cell r="R1898" t="str">
            <v>WEILL MEDICAL COLLEGE OF CORNELL</v>
          </cell>
          <cell r="S1898" t="str">
            <v>525 E 68TH ST</v>
          </cell>
          <cell r="T1898" t="str">
            <v>NEW YORK</v>
          </cell>
          <cell r="U1898" t="str">
            <v>NY</v>
          </cell>
          <cell r="V1898" t="str">
            <v>100654870</v>
          </cell>
          <cell r="AC1898" t="str">
            <v>M</v>
          </cell>
          <cell r="AD1898" t="str">
            <v>No</v>
          </cell>
          <cell r="AE1898" t="str">
            <v>NPI only</v>
          </cell>
          <cell r="AG1898" t="str">
            <v>P</v>
          </cell>
        </row>
        <row r="1899">
          <cell r="A1899" t="str">
            <v>1538279484</v>
          </cell>
          <cell r="B1899" t="str">
            <v>01365806</v>
          </cell>
          <cell r="C1899" t="str">
            <v>Steinberg, Leonard</v>
          </cell>
          <cell r="D1899" t="str">
            <v>E0163370</v>
          </cell>
          <cell r="E1899" t="str">
            <v>STEINBERG LEONARD GARY MD</v>
          </cell>
          <cell r="G1899" t="str">
            <v>Kathryn Spaziani</v>
          </cell>
          <cell r="H1899" t="str">
            <v>(212) 305-1190</v>
          </cell>
          <cell r="J1899" t="str">
            <v>kas9171@nyp.org</v>
          </cell>
          <cell r="L1899" t="str">
            <v>All Other:: Practitioner - Non-Primary Care Provider (PCP)</v>
          </cell>
          <cell r="M1899" t="str">
            <v>No</v>
          </cell>
          <cell r="R1899" t="str">
            <v>STEINBERG LEONARD GARY DR.</v>
          </cell>
          <cell r="W1899" t="str">
            <v>STEINBERG LEONARD GARY MD</v>
          </cell>
          <cell r="X1899" t="str">
            <v>7901 BROADWAY</v>
          </cell>
          <cell r="Y1899" t="str">
            <v>ELMHURST</v>
          </cell>
          <cell r="Z1899" t="str">
            <v>NY</v>
          </cell>
          <cell r="AA1899" t="str">
            <v>11373-1329</v>
          </cell>
          <cell r="AB1899" t="str">
            <v>PHYSICIAN</v>
          </cell>
          <cell r="AC1899" t="str">
            <v>M</v>
          </cell>
          <cell r="AD1899" t="str">
            <v>No</v>
          </cell>
          <cell r="AE1899" t="str">
            <v>MMIS</v>
          </cell>
          <cell r="AF1899" t="str">
            <v>nypeastcampus</v>
          </cell>
          <cell r="AG1899" t="str">
            <v>P</v>
          </cell>
        </row>
        <row r="1900">
          <cell r="A1900" t="str">
            <v>1063509156</v>
          </cell>
          <cell r="B1900" t="str">
            <v>00658017</v>
          </cell>
          <cell r="C1900" t="str">
            <v>Bussel, James B</v>
          </cell>
          <cell r="D1900" t="str">
            <v>E0233888</v>
          </cell>
          <cell r="E1900" t="str">
            <v>BUSSEL JAMES BRUCE         MD</v>
          </cell>
          <cell r="G1900" t="str">
            <v>Kathryn Spaziani</v>
          </cell>
          <cell r="H1900" t="str">
            <v>(212) 305-1190</v>
          </cell>
          <cell r="J1900" t="str">
            <v>kas9171@nyp.org</v>
          </cell>
          <cell r="L1900" t="str">
            <v>All Other:: Practitioner - Non-Primary Care Provider (PCP)</v>
          </cell>
          <cell r="M1900" t="str">
            <v>No</v>
          </cell>
          <cell r="R1900" t="str">
            <v>BUSSEL JAMES</v>
          </cell>
          <cell r="W1900" t="str">
            <v>BUSSEL JAMES BRUCE         MD</v>
          </cell>
          <cell r="X1900" t="str">
            <v>525 E 68TH ST</v>
          </cell>
          <cell r="Y1900" t="str">
            <v>NEW YORK</v>
          </cell>
          <cell r="Z1900" t="str">
            <v>NY</v>
          </cell>
          <cell r="AA1900" t="str">
            <v>10065-4870</v>
          </cell>
          <cell r="AB1900" t="str">
            <v>PHYSICIAN</v>
          </cell>
          <cell r="AC1900" t="str">
            <v>M</v>
          </cell>
          <cell r="AD1900" t="str">
            <v>No</v>
          </cell>
          <cell r="AE1900" t="str">
            <v>MMIS</v>
          </cell>
          <cell r="AF1900" t="str">
            <v>nypeastcampus</v>
          </cell>
          <cell r="AG1900" t="str">
            <v>P</v>
          </cell>
        </row>
        <row r="1901">
          <cell r="A1901" t="str">
            <v>1942382353</v>
          </cell>
          <cell r="B1901" t="str">
            <v>00571417</v>
          </cell>
          <cell r="C1901" t="str">
            <v>DANTZIG, PAUL I</v>
          </cell>
          <cell r="D1901" t="str">
            <v>E0242532</v>
          </cell>
          <cell r="E1901" t="str">
            <v>DANTZIG PAUL I</v>
          </cell>
          <cell r="G1901" t="str">
            <v>Kathryn Spaziani</v>
          </cell>
          <cell r="H1901" t="str">
            <v>(212) 305-1190</v>
          </cell>
          <cell r="J1901" t="str">
            <v>kas9171@nyp.org</v>
          </cell>
          <cell r="L1901" t="str">
            <v>Practitioner - Non-Primary Care Provider (PCP)</v>
          </cell>
          <cell r="M1901" t="str">
            <v>No</v>
          </cell>
          <cell r="R1901" t="str">
            <v>DANTZIG PAUL DR.</v>
          </cell>
          <cell r="W1901" t="str">
            <v>DANTZIG PAUL I</v>
          </cell>
          <cell r="X1901" t="str">
            <v>30 E 60TH ST RM 508</v>
          </cell>
          <cell r="Y1901" t="str">
            <v>NEW YORK</v>
          </cell>
          <cell r="Z1901" t="str">
            <v>NY</v>
          </cell>
          <cell r="AA1901" t="str">
            <v>10022-1089</v>
          </cell>
          <cell r="AB1901" t="str">
            <v>PHYSICIAN</v>
          </cell>
          <cell r="AC1901" t="str">
            <v>M</v>
          </cell>
          <cell r="AD1901" t="str">
            <v>No</v>
          </cell>
          <cell r="AE1901" t="str">
            <v>MMIS</v>
          </cell>
          <cell r="AF1901" t="str">
            <v>nypwestacn</v>
          </cell>
          <cell r="AG1901" t="str">
            <v>P</v>
          </cell>
        </row>
        <row r="1902">
          <cell r="B1902" t="str">
            <v>03110863</v>
          </cell>
          <cell r="C1902" t="str">
            <v>Village Housing Development Fund Corp d/b/a VillageCare at 46&amp;Ten</v>
          </cell>
          <cell r="D1902" t="str">
            <v>E0294311</v>
          </cell>
          <cell r="E1902" t="str">
            <v>THE VILLAGE AT 46TH AND TEN ALP</v>
          </cell>
          <cell r="G1902" t="str">
            <v>Allison Silvers, Chief Strategy Officer</v>
          </cell>
          <cell r="H1902" t="str">
            <v>(212) 337-5755</v>
          </cell>
          <cell r="J1902" t="str">
            <v>Allisons@villagecare.org</v>
          </cell>
          <cell r="L1902" t="str">
            <v>All Other</v>
          </cell>
          <cell r="M1902" t="str">
            <v>Yes</v>
          </cell>
          <cell r="W1902" t="str">
            <v>VILLAGECARE AT 46 AND TEN</v>
          </cell>
          <cell r="X1902" t="str">
            <v>510 W 46TH ST</v>
          </cell>
          <cell r="Y1902" t="str">
            <v>NEW YORK</v>
          </cell>
          <cell r="Z1902" t="str">
            <v>NY</v>
          </cell>
          <cell r="AA1902" t="str">
            <v>10036-2296</v>
          </cell>
          <cell r="AB1902" t="str">
            <v>HOME HEALTH AGENCY</v>
          </cell>
          <cell r="AC1902" t="str">
            <v>M</v>
          </cell>
          <cell r="AD1902" t="str">
            <v>No</v>
          </cell>
          <cell r="AE1902" t="str">
            <v>MMIS</v>
          </cell>
          <cell r="AG1902" t="str">
            <v>P</v>
          </cell>
        </row>
        <row r="1903">
          <cell r="A1903" t="str">
            <v>1962530055</v>
          </cell>
          <cell r="B1903" t="str">
            <v>01114474</v>
          </cell>
          <cell r="C1903" t="str">
            <v>BARBERA, LISA G</v>
          </cell>
          <cell r="D1903" t="str">
            <v>E0188428</v>
          </cell>
          <cell r="E1903" t="str">
            <v>BARBERA LISA G MD</v>
          </cell>
          <cell r="G1903" t="str">
            <v>Kathryn Spaziani</v>
          </cell>
          <cell r="H1903" t="str">
            <v>(212) 305-1190</v>
          </cell>
          <cell r="J1903" t="str">
            <v>kas9171@nyp.org</v>
          </cell>
          <cell r="L1903" t="str">
            <v>Uncategorized</v>
          </cell>
          <cell r="M1903" t="str">
            <v>No</v>
          </cell>
          <cell r="R1903" t="str">
            <v>BARBERA LISA DR.</v>
          </cell>
          <cell r="W1903" t="str">
            <v>BARBERA LISA G MD</v>
          </cell>
          <cell r="Y1903" t="str">
            <v>NEW YORK</v>
          </cell>
          <cell r="Z1903" t="str">
            <v>NY</v>
          </cell>
          <cell r="AA1903" t="str">
            <v>10032-3724</v>
          </cell>
          <cell r="AB1903" t="str">
            <v>PHYSICIAN</v>
          </cell>
          <cell r="AC1903" t="str">
            <v>M</v>
          </cell>
          <cell r="AD1903" t="str">
            <v>No</v>
          </cell>
          <cell r="AE1903" t="str">
            <v>MMIS</v>
          </cell>
          <cell r="AF1903" t="str">
            <v>nypwestcampus</v>
          </cell>
          <cell r="AG1903" t="str">
            <v>P</v>
          </cell>
        </row>
        <row r="1904">
          <cell r="A1904" t="str">
            <v>1962581728</v>
          </cell>
          <cell r="B1904" t="str">
            <v>01972105</v>
          </cell>
          <cell r="C1904" t="str">
            <v>BERKOWITZ, RHONDA K</v>
          </cell>
          <cell r="D1904" t="str">
            <v>E0102846</v>
          </cell>
          <cell r="E1904" t="str">
            <v>BERKOWITZ RHONDA</v>
          </cell>
          <cell r="G1904" t="str">
            <v>Kathryn Spaziani</v>
          </cell>
          <cell r="H1904" t="str">
            <v>(212) 305-1190</v>
          </cell>
          <cell r="J1904" t="str">
            <v>kas9171@nyp.org</v>
          </cell>
          <cell r="L1904" t="str">
            <v>Practitioner - Non-Primary Care Provider (PCP)</v>
          </cell>
          <cell r="M1904" t="str">
            <v>No</v>
          </cell>
          <cell r="R1904" t="str">
            <v>BERKOWITZ RHONDA DR.</v>
          </cell>
          <cell r="W1904" t="str">
            <v>BERKOWITZ RHONDA</v>
          </cell>
          <cell r="X1904" t="str">
            <v>BERKOWITZ RHONDA</v>
          </cell>
          <cell r="Y1904" t="str">
            <v>BRIARCLIFF MANOR</v>
          </cell>
          <cell r="Z1904" t="str">
            <v>NY</v>
          </cell>
          <cell r="AA1904" t="str">
            <v>10510-2096</v>
          </cell>
          <cell r="AB1904" t="str">
            <v>PHYSICIAN</v>
          </cell>
          <cell r="AC1904" t="str">
            <v>M</v>
          </cell>
          <cell r="AD1904" t="str">
            <v>No</v>
          </cell>
          <cell r="AE1904" t="str">
            <v>MMIS</v>
          </cell>
          <cell r="AF1904" t="str">
            <v>nypwestacn</v>
          </cell>
          <cell r="AG1904" t="str">
            <v>P</v>
          </cell>
        </row>
        <row r="1905">
          <cell r="A1905" t="str">
            <v>1619172541</v>
          </cell>
          <cell r="B1905" t="str">
            <v>03421809</v>
          </cell>
          <cell r="C1905" t="str">
            <v>WEISER, JESSICA A</v>
          </cell>
          <cell r="D1905" t="str">
            <v>E0330463</v>
          </cell>
          <cell r="E1905" t="str">
            <v>WEISER JESSICA</v>
          </cell>
          <cell r="G1905" t="str">
            <v>Kathryn Spaziani</v>
          </cell>
          <cell r="H1905" t="str">
            <v>(212) 305-1190</v>
          </cell>
          <cell r="J1905" t="str">
            <v>kas9171@nyp.org</v>
          </cell>
          <cell r="L1905" t="str">
            <v>Practitioner - Non-Primary Care Provider (PCP)</v>
          </cell>
          <cell r="M1905" t="str">
            <v>No</v>
          </cell>
          <cell r="R1905" t="str">
            <v>WEISER JESSICA DR.</v>
          </cell>
          <cell r="W1905" t="str">
            <v>WEISER JESSICA</v>
          </cell>
          <cell r="X1905" t="str">
            <v>161 FORT WASHINGTON AVE</v>
          </cell>
          <cell r="Y1905" t="str">
            <v>NEW YORK</v>
          </cell>
          <cell r="Z1905" t="str">
            <v>NY</v>
          </cell>
          <cell r="AA1905" t="str">
            <v>10032-3729</v>
          </cell>
          <cell r="AB1905" t="str">
            <v>PHYSICIAN</v>
          </cell>
          <cell r="AC1905" t="str">
            <v>M</v>
          </cell>
          <cell r="AD1905" t="str">
            <v>No</v>
          </cell>
          <cell r="AE1905" t="str">
            <v>MMIS</v>
          </cell>
          <cell r="AF1905" t="str">
            <v>nypwestcampus</v>
          </cell>
          <cell r="AG1905" t="str">
            <v>P</v>
          </cell>
        </row>
        <row r="1906">
          <cell r="A1906" t="str">
            <v>1972537967</v>
          </cell>
          <cell r="B1906" t="str">
            <v>01111884</v>
          </cell>
          <cell r="C1906" t="str">
            <v>CHIRIBOGA-KLEIN, CLAUDIA A</v>
          </cell>
          <cell r="D1906" t="str">
            <v>E0188687</v>
          </cell>
          <cell r="E1906" t="str">
            <v>CHIRIBOGA KLEIN CLAUDIA MD</v>
          </cell>
          <cell r="G1906" t="str">
            <v>Kathryn Spaziani</v>
          </cell>
          <cell r="H1906" t="str">
            <v>(212) 305-1190</v>
          </cell>
          <cell r="J1906" t="str">
            <v>kas9171@nyp.org</v>
          </cell>
          <cell r="L1906" t="str">
            <v>Practitioner - Non-Primary Care Provider (PCP)</v>
          </cell>
          <cell r="M1906" t="str">
            <v>No</v>
          </cell>
          <cell r="R1906" t="str">
            <v>CHIRIBOGA CLAUDIA DR.</v>
          </cell>
          <cell r="W1906" t="str">
            <v>CHIRIBOGA KLEIN CLAUDIA MD</v>
          </cell>
          <cell r="X1906" t="str">
            <v>RM 4185</v>
          </cell>
          <cell r="Y1906" t="str">
            <v>NEW YORK</v>
          </cell>
          <cell r="Z1906" t="str">
            <v>NY</v>
          </cell>
          <cell r="AA1906" t="str">
            <v>10037-1802</v>
          </cell>
          <cell r="AB1906" t="str">
            <v>PHYSICIAN</v>
          </cell>
          <cell r="AC1906" t="str">
            <v>M</v>
          </cell>
          <cell r="AD1906" t="str">
            <v>No</v>
          </cell>
          <cell r="AE1906" t="str">
            <v>MMIS</v>
          </cell>
          <cell r="AF1906" t="str">
            <v>nypwestacn</v>
          </cell>
          <cell r="AG1906" t="str">
            <v>P</v>
          </cell>
        </row>
        <row r="1907">
          <cell r="A1907" t="str">
            <v>1194768002</v>
          </cell>
          <cell r="B1907" t="str">
            <v>02912747</v>
          </cell>
          <cell r="C1907" t="str">
            <v>BLANCO, FIONA R-P</v>
          </cell>
          <cell r="D1907" t="str">
            <v>E0008933</v>
          </cell>
          <cell r="E1907" t="str">
            <v>BLANCO FIONA</v>
          </cell>
          <cell r="G1907" t="str">
            <v>Kathryn Spaziani</v>
          </cell>
          <cell r="H1907" t="str">
            <v>(212) 305-1190</v>
          </cell>
          <cell r="J1907" t="str">
            <v>kas9171@nyp.org</v>
          </cell>
          <cell r="L1907" t="str">
            <v>Practitioner - Non-Primary Care Provider (PCP)</v>
          </cell>
          <cell r="M1907" t="str">
            <v>No</v>
          </cell>
          <cell r="R1907" t="str">
            <v>BLANCO FIONA MRS.</v>
          </cell>
          <cell r="W1907" t="str">
            <v>BLANCO FIONA</v>
          </cell>
          <cell r="X1907" t="str">
            <v>161 FORT WASHINGTON AVE</v>
          </cell>
          <cell r="Y1907" t="str">
            <v>NEW YORK</v>
          </cell>
          <cell r="Z1907" t="str">
            <v>NY</v>
          </cell>
          <cell r="AA1907" t="str">
            <v>10032-3729</v>
          </cell>
          <cell r="AB1907" t="str">
            <v>PHYSICIAN</v>
          </cell>
          <cell r="AC1907" t="str">
            <v>M</v>
          </cell>
          <cell r="AD1907" t="str">
            <v>No</v>
          </cell>
          <cell r="AE1907" t="str">
            <v>MMIS</v>
          </cell>
          <cell r="AF1907" t="str">
            <v>nypwestacn</v>
          </cell>
          <cell r="AG1907" t="str">
            <v>P</v>
          </cell>
        </row>
        <row r="1908">
          <cell r="A1908" t="str">
            <v>1700869294</v>
          </cell>
          <cell r="B1908" t="str">
            <v>00770232</v>
          </cell>
          <cell r="C1908" t="str">
            <v>BELSITO, DONALD V</v>
          </cell>
          <cell r="D1908" t="str">
            <v>E0222701</v>
          </cell>
          <cell r="E1908" t="str">
            <v>BELSITO DONALD VINCENT</v>
          </cell>
          <cell r="G1908" t="str">
            <v>Kathryn Spaziani</v>
          </cell>
          <cell r="H1908" t="str">
            <v>(212) 305-1190</v>
          </cell>
          <cell r="J1908" t="str">
            <v>kas9171@nyp.org</v>
          </cell>
          <cell r="L1908" t="str">
            <v>Practitioner - Non-Primary Care Provider (PCP)</v>
          </cell>
          <cell r="M1908" t="str">
            <v>No</v>
          </cell>
          <cell r="R1908" t="str">
            <v>BELSITO DONALD</v>
          </cell>
          <cell r="W1908" t="str">
            <v>BELSITO DONALD VINCENT</v>
          </cell>
          <cell r="X1908" t="str">
            <v>161 FORT WASHINGTON AVE FL 12</v>
          </cell>
          <cell r="Y1908" t="str">
            <v>NEW YORK</v>
          </cell>
          <cell r="Z1908" t="str">
            <v>NY</v>
          </cell>
          <cell r="AA1908" t="str">
            <v>10032-3729</v>
          </cell>
          <cell r="AB1908" t="str">
            <v>PHYSICIAN</v>
          </cell>
          <cell r="AC1908" t="str">
            <v>M</v>
          </cell>
          <cell r="AD1908" t="str">
            <v>No</v>
          </cell>
          <cell r="AE1908" t="str">
            <v>MMIS</v>
          </cell>
          <cell r="AF1908" t="str">
            <v>nypwestacn</v>
          </cell>
          <cell r="AG1908" t="str">
            <v>P</v>
          </cell>
        </row>
        <row r="1909">
          <cell r="A1909" t="str">
            <v>1124361522</v>
          </cell>
          <cell r="C1909" t="str">
            <v>DIANE WANG</v>
          </cell>
          <cell r="G1909" t="str">
            <v>Kathryn Spaziani</v>
          </cell>
          <cell r="H1909" t="str">
            <v>(212) 305-1190</v>
          </cell>
          <cell r="J1909" t="str">
            <v>kas9171@nyp.org</v>
          </cell>
          <cell r="K1909" t="str">
            <v>Unknown</v>
          </cell>
          <cell r="L1909" t="str">
            <v>Uncategorized</v>
          </cell>
          <cell r="M1909" t="str">
            <v>No</v>
          </cell>
          <cell r="R1909" t="str">
            <v>WANG DIANE</v>
          </cell>
          <cell r="S1909" t="str">
            <v>1740 W TAYLOR ST</v>
          </cell>
          <cell r="T1909" t="str">
            <v>CHICAGO</v>
          </cell>
          <cell r="U1909" t="str">
            <v>IL</v>
          </cell>
          <cell r="V1909" t="str">
            <v>606127232</v>
          </cell>
          <cell r="AC1909" t="str">
            <v>M</v>
          </cell>
          <cell r="AD1909" t="str">
            <v>No</v>
          </cell>
          <cell r="AE1909" t="str">
            <v>NPI only</v>
          </cell>
          <cell r="AF1909" t="str">
            <v>nypother</v>
          </cell>
          <cell r="AG1909" t="str">
            <v>P</v>
          </cell>
        </row>
        <row r="1910">
          <cell r="A1910" t="str">
            <v>1700128964</v>
          </cell>
          <cell r="C1910" t="str">
            <v>ANDREW BEENKEN</v>
          </cell>
          <cell r="G1910" t="str">
            <v>Kathryn Spaziani</v>
          </cell>
          <cell r="H1910" t="str">
            <v>(212) 305-1190</v>
          </cell>
          <cell r="J1910" t="str">
            <v>kas9171@nyp.org</v>
          </cell>
          <cell r="K1910" t="str">
            <v>Unknown</v>
          </cell>
          <cell r="L1910" t="str">
            <v>Uncategorized</v>
          </cell>
          <cell r="M1910" t="str">
            <v>No</v>
          </cell>
          <cell r="R1910" t="str">
            <v>BEENKEN ANDREW DR.</v>
          </cell>
          <cell r="S1910" t="str">
            <v>622 W 168TH ST</v>
          </cell>
          <cell r="T1910" t="str">
            <v>NEW YORK</v>
          </cell>
          <cell r="U1910" t="str">
            <v>NY</v>
          </cell>
          <cell r="V1910" t="str">
            <v>100323720</v>
          </cell>
          <cell r="AC1910" t="str">
            <v>M</v>
          </cell>
          <cell r="AD1910" t="str">
            <v>No</v>
          </cell>
          <cell r="AE1910" t="str">
            <v>NPI only</v>
          </cell>
          <cell r="AF1910" t="str">
            <v>nypwestcampus</v>
          </cell>
          <cell r="AG1910" t="str">
            <v>P</v>
          </cell>
        </row>
        <row r="1911">
          <cell r="A1911" t="str">
            <v>1659714921</v>
          </cell>
          <cell r="C1911" t="str">
            <v>DAVID BEJAR</v>
          </cell>
          <cell r="G1911" t="str">
            <v>Kathryn Spaziani</v>
          </cell>
          <cell r="H1911" t="str">
            <v>(212) 305-1190</v>
          </cell>
          <cell r="J1911" t="str">
            <v>kas9171@nyp.org</v>
          </cell>
          <cell r="K1911" t="str">
            <v>Unknown</v>
          </cell>
          <cell r="L1911" t="str">
            <v>Uncategorized</v>
          </cell>
          <cell r="M1911" t="str">
            <v>No</v>
          </cell>
          <cell r="R1911" t="str">
            <v>BEJAR DAVID DR.</v>
          </cell>
          <cell r="S1911" t="str">
            <v>622 W 168TH ST FL 2</v>
          </cell>
          <cell r="T1911" t="str">
            <v>NEW YORK</v>
          </cell>
          <cell r="U1911" t="str">
            <v>NY</v>
          </cell>
          <cell r="V1911" t="str">
            <v>100323720</v>
          </cell>
          <cell r="AC1911" t="str">
            <v>M</v>
          </cell>
          <cell r="AD1911" t="str">
            <v>No</v>
          </cell>
          <cell r="AE1911" t="str">
            <v>NPI only</v>
          </cell>
          <cell r="AF1911" t="str">
            <v>nypwestcampus</v>
          </cell>
          <cell r="AG1911" t="str">
            <v>P</v>
          </cell>
        </row>
        <row r="1912">
          <cell r="A1912" t="str">
            <v>1215279542</v>
          </cell>
          <cell r="C1912" t="str">
            <v>RACHEL BRING</v>
          </cell>
          <cell r="G1912" t="str">
            <v>Kathryn Spaziani</v>
          </cell>
          <cell r="H1912" t="str">
            <v>(212) 305-1190</v>
          </cell>
          <cell r="J1912" t="str">
            <v>kas9171@nyp.org</v>
          </cell>
          <cell r="K1912" t="str">
            <v>Unknown</v>
          </cell>
          <cell r="L1912" t="str">
            <v>Uncategorized</v>
          </cell>
          <cell r="M1912" t="str">
            <v>No</v>
          </cell>
          <cell r="R1912" t="str">
            <v>BRING RACHEL DR.</v>
          </cell>
          <cell r="S1912" t="str">
            <v>622 W 168TH ST</v>
          </cell>
          <cell r="T1912" t="str">
            <v>NEW YORK</v>
          </cell>
          <cell r="U1912" t="str">
            <v>NY</v>
          </cell>
          <cell r="V1912" t="str">
            <v>100323720</v>
          </cell>
          <cell r="AC1912" t="str">
            <v>M</v>
          </cell>
          <cell r="AD1912" t="str">
            <v>No</v>
          </cell>
          <cell r="AE1912" t="str">
            <v>NPI only</v>
          </cell>
          <cell r="AF1912" t="str">
            <v>nypwestcampus</v>
          </cell>
          <cell r="AG1912" t="str">
            <v>P</v>
          </cell>
        </row>
        <row r="1913">
          <cell r="A1913" t="str">
            <v>1861735722</v>
          </cell>
          <cell r="C1913" t="str">
            <v>GIUSEPPE CULLARO</v>
          </cell>
          <cell r="G1913" t="str">
            <v>Kathryn Spaziani</v>
          </cell>
          <cell r="H1913" t="str">
            <v>(212) 305-1190</v>
          </cell>
          <cell r="J1913" t="str">
            <v>kas9171@nyp.org</v>
          </cell>
          <cell r="K1913" t="str">
            <v>Unknown</v>
          </cell>
          <cell r="L1913" t="str">
            <v>Uncategorized</v>
          </cell>
          <cell r="M1913" t="str">
            <v>No</v>
          </cell>
          <cell r="R1913" t="str">
            <v>CULLARO GIUSEPPE MR.</v>
          </cell>
          <cell r="S1913" t="str">
            <v>41 ROCHELLE DR</v>
          </cell>
          <cell r="T1913" t="str">
            <v>NEW CITY</v>
          </cell>
          <cell r="U1913" t="str">
            <v>NY</v>
          </cell>
          <cell r="V1913" t="str">
            <v>109565852</v>
          </cell>
          <cell r="AC1913" t="str">
            <v>M</v>
          </cell>
          <cell r="AD1913" t="str">
            <v>No</v>
          </cell>
          <cell r="AE1913" t="str">
            <v>NPI only</v>
          </cell>
          <cell r="AF1913" t="str">
            <v>nypwestcampus</v>
          </cell>
          <cell r="AG1913" t="str">
            <v>P</v>
          </cell>
        </row>
        <row r="1914">
          <cell r="A1914" t="str">
            <v>1508200205</v>
          </cell>
          <cell r="B1914" t="str">
            <v>04451378</v>
          </cell>
          <cell r="C1914" t="str">
            <v>MATTHEW CUMMINGS</v>
          </cell>
          <cell r="D1914" t="str">
            <v>E0437786</v>
          </cell>
          <cell r="E1914" t="str">
            <v>CUMMINGS MATTHEW</v>
          </cell>
          <cell r="G1914" t="str">
            <v>Kathryn Spaziani</v>
          </cell>
          <cell r="H1914" t="str">
            <v>(212) 305-1190</v>
          </cell>
          <cell r="J1914" t="str">
            <v>kas9171@nyp.org</v>
          </cell>
          <cell r="L1914" t="str">
            <v>Practitioner - Non-Primary Care Provider (PCP)</v>
          </cell>
          <cell r="M1914" t="str">
            <v>No</v>
          </cell>
          <cell r="R1914" t="str">
            <v>CUMMINGS MATTHEW DR.</v>
          </cell>
          <cell r="W1914" t="str">
            <v>CUMMINGS MATTHEW JOHN</v>
          </cell>
          <cell r="AB1914" t="str">
            <v>PHYSICIAN</v>
          </cell>
          <cell r="AC1914" t="str">
            <v>M</v>
          </cell>
          <cell r="AD1914" t="str">
            <v>No</v>
          </cell>
          <cell r="AE1914" t="str">
            <v>MMIS</v>
          </cell>
          <cell r="AF1914" t="str">
            <v>nypwestacn</v>
          </cell>
          <cell r="AG1914" t="str">
            <v>P</v>
          </cell>
        </row>
        <row r="1915">
          <cell r="A1915" t="str">
            <v>1861734188</v>
          </cell>
          <cell r="C1915" t="str">
            <v>MARTIN DOMINGUEZ</v>
          </cell>
          <cell r="G1915" t="str">
            <v>Kathryn Spaziani</v>
          </cell>
          <cell r="H1915" t="str">
            <v>(212) 305-1190</v>
          </cell>
          <cell r="J1915" t="str">
            <v>kas9171@nyp.org</v>
          </cell>
          <cell r="K1915" t="str">
            <v>Unknown</v>
          </cell>
          <cell r="L1915" t="str">
            <v>Uncategorized</v>
          </cell>
          <cell r="M1915" t="str">
            <v>No</v>
          </cell>
          <cell r="R1915" t="str">
            <v>DOMINGUEZ MARTIN DR.</v>
          </cell>
          <cell r="S1915" t="str">
            <v>525 E 68TH ST</v>
          </cell>
          <cell r="T1915" t="str">
            <v>NEW YORK</v>
          </cell>
          <cell r="U1915" t="str">
            <v>NY</v>
          </cell>
          <cell r="V1915" t="str">
            <v>100654870</v>
          </cell>
          <cell r="AC1915" t="str">
            <v>M</v>
          </cell>
          <cell r="AD1915" t="str">
            <v>No</v>
          </cell>
          <cell r="AE1915" t="str">
            <v>NPI only</v>
          </cell>
          <cell r="AF1915" t="str">
            <v>nypwestcampus</v>
          </cell>
          <cell r="AG1915" t="str">
            <v>P</v>
          </cell>
        </row>
        <row r="1916">
          <cell r="A1916" t="str">
            <v>1538401005</v>
          </cell>
          <cell r="B1916" t="str">
            <v>04448468</v>
          </cell>
          <cell r="C1916" t="str">
            <v>ADAM FAYE</v>
          </cell>
          <cell r="D1916" t="str">
            <v>E0437376</v>
          </cell>
          <cell r="E1916" t="str">
            <v>FAYE ADAM SCOTTE</v>
          </cell>
          <cell r="G1916" t="str">
            <v>Kathryn Spaziani</v>
          </cell>
          <cell r="H1916" t="str">
            <v>(212) 305-1190</v>
          </cell>
          <cell r="J1916" t="str">
            <v>kas9171@nyp.org</v>
          </cell>
          <cell r="L1916" t="str">
            <v>Practitioner - Non-Primary Care Provider (PCP)</v>
          </cell>
          <cell r="M1916" t="str">
            <v>No</v>
          </cell>
          <cell r="R1916" t="str">
            <v>FAYE ADAM</v>
          </cell>
          <cell r="W1916" t="str">
            <v>FAYE ADAM SCOTTE</v>
          </cell>
          <cell r="AB1916" t="str">
            <v>PHYSICIAN</v>
          </cell>
          <cell r="AC1916" t="str">
            <v>M</v>
          </cell>
          <cell r="AD1916" t="str">
            <v>No</v>
          </cell>
          <cell r="AE1916" t="str">
            <v>MMIS</v>
          </cell>
          <cell r="AF1916" t="str">
            <v>nypwestacn</v>
          </cell>
          <cell r="AG1916" t="str">
            <v>P</v>
          </cell>
        </row>
        <row r="1917">
          <cell r="A1917" t="str">
            <v>1740523125</v>
          </cell>
          <cell r="C1917" t="str">
            <v>SHALOM FRAGER</v>
          </cell>
          <cell r="G1917" t="str">
            <v>Kathryn Spaziani</v>
          </cell>
          <cell r="H1917" t="str">
            <v>(212) 305-1190</v>
          </cell>
          <cell r="J1917" t="str">
            <v>kas9171@nyp.org</v>
          </cell>
          <cell r="K1917" t="str">
            <v>Unknown</v>
          </cell>
          <cell r="L1917" t="str">
            <v>Uncategorized</v>
          </cell>
          <cell r="M1917" t="str">
            <v>No</v>
          </cell>
          <cell r="R1917" t="str">
            <v>FRAGER SHALOM</v>
          </cell>
          <cell r="S1917" t="str">
            <v>622 W 168TH ST</v>
          </cell>
          <cell r="T1917" t="str">
            <v>NEW YORK</v>
          </cell>
          <cell r="U1917" t="str">
            <v>NY</v>
          </cell>
          <cell r="V1917" t="str">
            <v>100323720</v>
          </cell>
          <cell r="AC1917" t="str">
            <v>M</v>
          </cell>
          <cell r="AD1917" t="str">
            <v>No</v>
          </cell>
          <cell r="AE1917" t="str">
            <v>NPI only</v>
          </cell>
          <cell r="AF1917" t="str">
            <v>nypwestcampus</v>
          </cell>
          <cell r="AG1917" t="str">
            <v>P</v>
          </cell>
        </row>
        <row r="1918">
          <cell r="A1918" t="str">
            <v>1477895605</v>
          </cell>
          <cell r="B1918" t="str">
            <v>04452200</v>
          </cell>
          <cell r="C1918" t="str">
            <v>SABRINA GARD</v>
          </cell>
          <cell r="D1918" t="str">
            <v>E0437869</v>
          </cell>
          <cell r="E1918" t="str">
            <v>GARD SABRINA</v>
          </cell>
          <cell r="G1918" t="str">
            <v>Kathryn Spaziani</v>
          </cell>
          <cell r="H1918" t="str">
            <v>(212) 305-1190</v>
          </cell>
          <cell r="J1918" t="str">
            <v>kas9171@nyp.org</v>
          </cell>
          <cell r="L1918" t="str">
            <v>Uncategorized</v>
          </cell>
          <cell r="M1918" t="str">
            <v>No</v>
          </cell>
          <cell r="R1918" t="str">
            <v>GARD SABRINA DR.</v>
          </cell>
          <cell r="W1918" t="str">
            <v>GARD SABRINA JANIE</v>
          </cell>
          <cell r="AB1918" t="str">
            <v>PHYSICIAN</v>
          </cell>
          <cell r="AC1918" t="str">
            <v>M</v>
          </cell>
          <cell r="AD1918" t="str">
            <v>No</v>
          </cell>
          <cell r="AE1918" t="str">
            <v>MMIS</v>
          </cell>
          <cell r="AF1918" t="str">
            <v>nypwestcampus</v>
          </cell>
          <cell r="AG1918" t="str">
            <v>P</v>
          </cell>
        </row>
        <row r="1919">
          <cell r="A1919" t="str">
            <v>1326481466</v>
          </cell>
          <cell r="C1919" t="str">
            <v>SHIVANI GUPTA</v>
          </cell>
          <cell r="G1919" t="str">
            <v>Kathryn Spaziani</v>
          </cell>
          <cell r="H1919" t="str">
            <v>(212) 305-1190</v>
          </cell>
          <cell r="J1919" t="str">
            <v>kas9171@nyp.org</v>
          </cell>
          <cell r="K1919" t="str">
            <v>Unknown</v>
          </cell>
          <cell r="L1919" t="str">
            <v>Uncategorized</v>
          </cell>
          <cell r="M1919" t="str">
            <v>No</v>
          </cell>
          <cell r="R1919" t="str">
            <v>GUPTA SHIVANI</v>
          </cell>
          <cell r="S1919" t="str">
            <v>3673 FOXFIRE PL</v>
          </cell>
          <cell r="T1919" t="str">
            <v>MARTINEZ</v>
          </cell>
          <cell r="U1919" t="str">
            <v>GA</v>
          </cell>
          <cell r="V1919" t="str">
            <v>309078998</v>
          </cell>
          <cell r="AC1919" t="str">
            <v>M</v>
          </cell>
          <cell r="AD1919" t="str">
            <v>No</v>
          </cell>
          <cell r="AE1919" t="str">
            <v>NPI only</v>
          </cell>
          <cell r="AF1919" t="str">
            <v>nypwestcampus</v>
          </cell>
          <cell r="AG1919" t="str">
            <v>P</v>
          </cell>
        </row>
        <row r="1920">
          <cell r="A1920" t="str">
            <v>1346683513</v>
          </cell>
          <cell r="C1920" t="str">
            <v>NORRISA HAYNES</v>
          </cell>
          <cell r="G1920" t="str">
            <v>Kathryn Spaziani</v>
          </cell>
          <cell r="H1920" t="str">
            <v>(212) 305-1190</v>
          </cell>
          <cell r="J1920" t="str">
            <v>kas9171@nyp.org</v>
          </cell>
          <cell r="K1920" t="str">
            <v>Unknown</v>
          </cell>
          <cell r="L1920" t="str">
            <v>Uncategorized</v>
          </cell>
          <cell r="M1920" t="str">
            <v>No</v>
          </cell>
          <cell r="R1920" t="str">
            <v>HAYNES NORRISA MS.</v>
          </cell>
          <cell r="S1920" t="str">
            <v>630 W 168TH STREET</v>
          </cell>
          <cell r="T1920" t="str">
            <v>NEW YORK</v>
          </cell>
          <cell r="U1920" t="str">
            <v>NY</v>
          </cell>
          <cell r="V1920" t="str">
            <v>10032</v>
          </cell>
          <cell r="AC1920" t="str">
            <v>M</v>
          </cell>
          <cell r="AD1920" t="str">
            <v>No</v>
          </cell>
          <cell r="AE1920" t="str">
            <v>NPI only</v>
          </cell>
          <cell r="AF1920" t="str">
            <v>nypwestcampus</v>
          </cell>
          <cell r="AG1920" t="str">
            <v>P</v>
          </cell>
        </row>
        <row r="1921">
          <cell r="A1921" t="str">
            <v>1114360534</v>
          </cell>
          <cell r="C1921" t="str">
            <v>FARAH HUSSAIN</v>
          </cell>
          <cell r="G1921" t="str">
            <v>Kathryn Spaziani</v>
          </cell>
          <cell r="H1921" t="str">
            <v>(212) 305-1190</v>
          </cell>
          <cell r="J1921" t="str">
            <v>kas9171@nyp.org</v>
          </cell>
          <cell r="K1921" t="str">
            <v>Unknown</v>
          </cell>
          <cell r="L1921" t="str">
            <v>Uncategorized</v>
          </cell>
          <cell r="M1921" t="str">
            <v>No</v>
          </cell>
          <cell r="R1921" t="str">
            <v>HUSSAIN FARAH</v>
          </cell>
          <cell r="S1921" t="str">
            <v>3400 SPRUCE STREET, 5 MALONEY</v>
          </cell>
          <cell r="T1921" t="str">
            <v>PHILADELPHIA</v>
          </cell>
          <cell r="U1921" t="str">
            <v>PA</v>
          </cell>
          <cell r="V1921" t="str">
            <v>19104</v>
          </cell>
          <cell r="AC1921" t="str">
            <v>M</v>
          </cell>
          <cell r="AD1921" t="str">
            <v>No</v>
          </cell>
          <cell r="AE1921" t="str">
            <v>NPI only</v>
          </cell>
          <cell r="AF1921" t="str">
            <v>nypwestcampus</v>
          </cell>
          <cell r="AG1921" t="str">
            <v>P</v>
          </cell>
        </row>
        <row r="1922">
          <cell r="A1922" t="str">
            <v>1952745143</v>
          </cell>
          <cell r="B1922" t="str">
            <v>04425210</v>
          </cell>
          <cell r="C1922" t="str">
            <v>SYDNEY KATZ</v>
          </cell>
          <cell r="D1922" t="str">
            <v>E0435089</v>
          </cell>
          <cell r="E1922" t="str">
            <v>KATZ SYDNEY E</v>
          </cell>
          <cell r="G1922" t="str">
            <v>Kathryn Spaziani</v>
          </cell>
          <cell r="H1922" t="str">
            <v>(212) 305-1190</v>
          </cell>
          <cell r="J1922" t="str">
            <v>kas9171@nyp.org</v>
          </cell>
          <cell r="L1922" t="str">
            <v>Practitioner - Non-Primary Care Provider (PCP)</v>
          </cell>
          <cell r="M1922" t="str">
            <v>No</v>
          </cell>
          <cell r="R1922" t="str">
            <v>KATZ SYDNEY</v>
          </cell>
          <cell r="W1922" t="str">
            <v>KATZ SYDNEY E</v>
          </cell>
          <cell r="X1922" t="str">
            <v>525 E 68TH ST</v>
          </cell>
          <cell r="Y1922" t="str">
            <v>NEW YORK</v>
          </cell>
          <cell r="Z1922" t="str">
            <v>NY</v>
          </cell>
          <cell r="AA1922" t="str">
            <v>10065-4870</v>
          </cell>
          <cell r="AB1922" t="str">
            <v>PHYSICIAN</v>
          </cell>
          <cell r="AC1922" t="str">
            <v>M</v>
          </cell>
          <cell r="AD1922" t="str">
            <v>No</v>
          </cell>
          <cell r="AE1922" t="str">
            <v>MMIS</v>
          </cell>
          <cell r="AF1922" t="str">
            <v>nypwestcampus</v>
          </cell>
          <cell r="AG1922" t="str">
            <v>P</v>
          </cell>
        </row>
        <row r="1923">
          <cell r="A1923" t="str">
            <v>1336482801</v>
          </cell>
          <cell r="C1923" t="str">
            <v>MAIA KAYAL</v>
          </cell>
          <cell r="G1923" t="str">
            <v>Kathryn Spaziani</v>
          </cell>
          <cell r="H1923" t="str">
            <v>(212) 305-1190</v>
          </cell>
          <cell r="J1923" t="str">
            <v>kas9171@nyp.org</v>
          </cell>
          <cell r="K1923" t="str">
            <v>Unknown</v>
          </cell>
          <cell r="L1923" t="str">
            <v>Uncategorized</v>
          </cell>
          <cell r="M1923" t="str">
            <v>No</v>
          </cell>
          <cell r="R1923" t="str">
            <v>KAYAL MAIA</v>
          </cell>
          <cell r="S1923" t="str">
            <v>630 W 168TH ST, PH 8 EAST ROOM 105</v>
          </cell>
          <cell r="T1923" t="str">
            <v>NEW YORK</v>
          </cell>
          <cell r="U1923" t="str">
            <v>NY</v>
          </cell>
          <cell r="V1923" t="str">
            <v>100323725</v>
          </cell>
          <cell r="AC1923" t="str">
            <v>M</v>
          </cell>
          <cell r="AD1923" t="str">
            <v>No</v>
          </cell>
          <cell r="AE1923" t="str">
            <v>NPI only</v>
          </cell>
          <cell r="AF1923" t="str">
            <v>nypwestcampus</v>
          </cell>
          <cell r="AG1923" t="str">
            <v>P</v>
          </cell>
        </row>
        <row r="1924">
          <cell r="A1924" t="str">
            <v>1922441443</v>
          </cell>
          <cell r="C1924" t="str">
            <v>MAYA KOTAS</v>
          </cell>
          <cell r="G1924" t="str">
            <v>Kathryn Spaziani</v>
          </cell>
          <cell r="H1924" t="str">
            <v>(212) 305-1190</v>
          </cell>
          <cell r="J1924" t="str">
            <v>kas9171@nyp.org</v>
          </cell>
          <cell r="K1924" t="str">
            <v>Unknown</v>
          </cell>
          <cell r="L1924" t="str">
            <v>Uncategorized</v>
          </cell>
          <cell r="M1924" t="str">
            <v>No</v>
          </cell>
          <cell r="R1924" t="str">
            <v>KOTAS MAYA</v>
          </cell>
          <cell r="S1924" t="str">
            <v>630 W 168TH ST, PH 8 EAST ROOM 105</v>
          </cell>
          <cell r="T1924" t="str">
            <v>NEW YORK</v>
          </cell>
          <cell r="U1924" t="str">
            <v>NY</v>
          </cell>
          <cell r="V1924" t="str">
            <v>100323725</v>
          </cell>
          <cell r="AC1924" t="str">
            <v>M</v>
          </cell>
          <cell r="AD1924" t="str">
            <v>No</v>
          </cell>
          <cell r="AE1924" t="str">
            <v>NPI only</v>
          </cell>
          <cell r="AF1924" t="str">
            <v>nypother</v>
          </cell>
          <cell r="AG1924" t="str">
            <v>P</v>
          </cell>
        </row>
        <row r="1925">
          <cell r="A1925" t="str">
            <v>1629311790</v>
          </cell>
          <cell r="B1925" t="str">
            <v>04448459</v>
          </cell>
          <cell r="C1925" t="str">
            <v>ANNA KRIGEL</v>
          </cell>
          <cell r="D1925" t="str">
            <v>E0437372</v>
          </cell>
          <cell r="E1925" t="str">
            <v>KRIGEL ANNA E</v>
          </cell>
          <cell r="G1925" t="str">
            <v>Kathryn Spaziani</v>
          </cell>
          <cell r="H1925" t="str">
            <v>(212) 305-1190</v>
          </cell>
          <cell r="J1925" t="str">
            <v>kas9171@nyp.org</v>
          </cell>
          <cell r="L1925" t="str">
            <v>Practitioner - Non-Primary Care Provider (PCP)</v>
          </cell>
          <cell r="M1925" t="str">
            <v>No</v>
          </cell>
          <cell r="R1925" t="str">
            <v>KRIGEL ANNA</v>
          </cell>
          <cell r="W1925" t="str">
            <v>KRIGEL ANNA E</v>
          </cell>
          <cell r="AB1925" t="str">
            <v>PHYSICIAN</v>
          </cell>
          <cell r="AC1925" t="str">
            <v>M</v>
          </cell>
          <cell r="AD1925" t="str">
            <v>No</v>
          </cell>
          <cell r="AE1925" t="str">
            <v>MMIS</v>
          </cell>
          <cell r="AF1925" t="str">
            <v>nypwestcampus</v>
          </cell>
          <cell r="AG1925" t="str">
            <v>P</v>
          </cell>
        </row>
        <row r="1926">
          <cell r="A1926" t="str">
            <v>1992048862</v>
          </cell>
          <cell r="B1926" t="str">
            <v>04418879</v>
          </cell>
          <cell r="C1926" t="str">
            <v>BRYAN LEPPERT</v>
          </cell>
          <cell r="D1926" t="str">
            <v>E0434451</v>
          </cell>
          <cell r="E1926" t="str">
            <v>LEPPERT BRYAN CHARLES</v>
          </cell>
          <cell r="G1926" t="str">
            <v>Kathryn Spaziani</v>
          </cell>
          <cell r="H1926" t="str">
            <v>(212) 305-1190</v>
          </cell>
          <cell r="J1926" t="str">
            <v>kas9171@nyp.org</v>
          </cell>
          <cell r="L1926" t="str">
            <v>Practitioner - Non-Primary Care Provider (PCP)</v>
          </cell>
          <cell r="M1926" t="str">
            <v>No</v>
          </cell>
          <cell r="R1926" t="str">
            <v>LEPPERT BRYAN</v>
          </cell>
          <cell r="W1926" t="str">
            <v>LEPPERT BRYAN CHARLES</v>
          </cell>
          <cell r="X1926" t="str">
            <v>525 E 68TH ST # 5</v>
          </cell>
          <cell r="Y1926" t="str">
            <v>NEW YORK</v>
          </cell>
          <cell r="Z1926" t="str">
            <v>NY</v>
          </cell>
          <cell r="AA1926" t="str">
            <v>10065-4870</v>
          </cell>
          <cell r="AB1926" t="str">
            <v>PHYSICIAN</v>
          </cell>
          <cell r="AC1926" t="str">
            <v>M</v>
          </cell>
          <cell r="AD1926" t="str">
            <v>No</v>
          </cell>
          <cell r="AE1926" t="str">
            <v>MMIS</v>
          </cell>
          <cell r="AF1926" t="str">
            <v>nypwestcampus</v>
          </cell>
          <cell r="AG1926" t="str">
            <v>P</v>
          </cell>
        </row>
        <row r="1927">
          <cell r="A1927" t="str">
            <v>1477896421</v>
          </cell>
          <cell r="B1927" t="str">
            <v>04501786</v>
          </cell>
          <cell r="C1927" t="str">
            <v>YING LIU</v>
          </cell>
          <cell r="D1927" t="str">
            <v>E0442870</v>
          </cell>
          <cell r="E1927" t="str">
            <v>LIU YING</v>
          </cell>
          <cell r="G1927" t="str">
            <v>Kathryn Spaziani</v>
          </cell>
          <cell r="H1927" t="str">
            <v>(212) 305-1190</v>
          </cell>
          <cell r="J1927" t="str">
            <v>kas9171@nyp.org</v>
          </cell>
          <cell r="L1927" t="str">
            <v>Uncategorized</v>
          </cell>
          <cell r="M1927" t="str">
            <v>No</v>
          </cell>
          <cell r="R1927" t="str">
            <v>LIU YING DR.</v>
          </cell>
          <cell r="W1927" t="str">
            <v>LIU YING</v>
          </cell>
          <cell r="AB1927" t="str">
            <v>PHYSICIAN</v>
          </cell>
          <cell r="AC1927" t="str">
            <v>M</v>
          </cell>
          <cell r="AD1927" t="str">
            <v>No</v>
          </cell>
          <cell r="AE1927" t="str">
            <v>MMIS</v>
          </cell>
          <cell r="AF1927" t="str">
            <v>nypwestcampus</v>
          </cell>
          <cell r="AG1927" t="str">
            <v>P</v>
          </cell>
        </row>
        <row r="1928">
          <cell r="A1928" t="str">
            <v>1780027862</v>
          </cell>
          <cell r="C1928" t="str">
            <v>THOMAS MCCONVILLE</v>
          </cell>
          <cell r="G1928" t="str">
            <v>Kathryn Spaziani</v>
          </cell>
          <cell r="H1928" t="str">
            <v>(212) 305-1190</v>
          </cell>
          <cell r="J1928" t="str">
            <v>kas9171@nyp.org</v>
          </cell>
          <cell r="K1928" t="str">
            <v>Unknown</v>
          </cell>
          <cell r="L1928" t="str">
            <v>Uncategorized</v>
          </cell>
          <cell r="M1928" t="str">
            <v>No</v>
          </cell>
          <cell r="R1928" t="str">
            <v>MCCONVILLE THOMAS DR.</v>
          </cell>
          <cell r="S1928" t="str">
            <v>622 W 168TH ST</v>
          </cell>
          <cell r="T1928" t="str">
            <v>NEW YORK</v>
          </cell>
          <cell r="U1928" t="str">
            <v>NY</v>
          </cell>
          <cell r="V1928" t="str">
            <v>100323720</v>
          </cell>
          <cell r="AC1928" t="str">
            <v>M</v>
          </cell>
          <cell r="AD1928" t="str">
            <v>No</v>
          </cell>
          <cell r="AE1928" t="str">
            <v>NPI only</v>
          </cell>
          <cell r="AF1928" t="str">
            <v>nypwestcampus</v>
          </cell>
          <cell r="AG1928" t="str">
            <v>P</v>
          </cell>
        </row>
        <row r="1929">
          <cell r="A1929" t="str">
            <v>1134462211</v>
          </cell>
          <cell r="B1929" t="str">
            <v>04454808</v>
          </cell>
          <cell r="C1929" t="str">
            <v>JONATHAN MCINTYRE</v>
          </cell>
          <cell r="D1929" t="str">
            <v>E0437570</v>
          </cell>
          <cell r="E1929" t="str">
            <v>MCINTYRE JONATHAN STEWART</v>
          </cell>
          <cell r="G1929" t="str">
            <v>Kathryn Spaziani</v>
          </cell>
          <cell r="H1929" t="str">
            <v>(212) 305-1190</v>
          </cell>
          <cell r="J1929" t="str">
            <v>kas9171@nyp.org</v>
          </cell>
          <cell r="L1929" t="str">
            <v>Practitioner - Non-Primary Care Provider (PCP)</v>
          </cell>
          <cell r="M1929" t="str">
            <v>No</v>
          </cell>
          <cell r="R1929" t="str">
            <v>MCINTYRE JONATHAN</v>
          </cell>
          <cell r="W1929" t="str">
            <v>MCINTYRE JONATHAN STEWART</v>
          </cell>
          <cell r="AB1929" t="str">
            <v>PHYSICIAN</v>
          </cell>
          <cell r="AC1929" t="str">
            <v>M</v>
          </cell>
          <cell r="AD1929" t="str">
            <v>No</v>
          </cell>
          <cell r="AE1929" t="str">
            <v>MMIS</v>
          </cell>
          <cell r="AF1929" t="str">
            <v>nypwestcampus</v>
          </cell>
          <cell r="AG1929" t="str">
            <v>P</v>
          </cell>
        </row>
        <row r="1930">
          <cell r="A1930" t="str">
            <v>1821330218</v>
          </cell>
          <cell r="C1930" t="str">
            <v>DANIEL MUSIKANTOW</v>
          </cell>
          <cell r="G1930" t="str">
            <v>Kathryn Spaziani</v>
          </cell>
          <cell r="H1930" t="str">
            <v>(212) 305-1190</v>
          </cell>
          <cell r="J1930" t="str">
            <v>kas9171@nyp.org</v>
          </cell>
          <cell r="K1930" t="str">
            <v>Unknown</v>
          </cell>
          <cell r="L1930" t="str">
            <v>Uncategorized</v>
          </cell>
          <cell r="M1930" t="str">
            <v>No</v>
          </cell>
          <cell r="R1930" t="str">
            <v>MUSIKANTOW DANIEL DR.</v>
          </cell>
          <cell r="S1930" t="str">
            <v>622 W 168TH ST, 11E</v>
          </cell>
          <cell r="T1930" t="str">
            <v>NEW YORK</v>
          </cell>
          <cell r="U1930" t="str">
            <v>NY</v>
          </cell>
          <cell r="V1930" t="str">
            <v>100323720</v>
          </cell>
          <cell r="AC1930" t="str">
            <v>M</v>
          </cell>
          <cell r="AD1930" t="str">
            <v>No</v>
          </cell>
          <cell r="AE1930" t="str">
            <v>NPI only</v>
          </cell>
          <cell r="AF1930" t="str">
            <v>nypwestcampus</v>
          </cell>
          <cell r="AG1930" t="str">
            <v>P</v>
          </cell>
        </row>
        <row r="1931">
          <cell r="A1931" t="str">
            <v>1831469832</v>
          </cell>
          <cell r="C1931" t="str">
            <v>DAVID NAROTSKY</v>
          </cell>
          <cell r="G1931" t="str">
            <v>Kathryn Spaziani</v>
          </cell>
          <cell r="H1931" t="str">
            <v>(212) 305-1190</v>
          </cell>
          <cell r="J1931" t="str">
            <v>kas9171@nyp.org</v>
          </cell>
          <cell r="K1931" t="str">
            <v>Unknown</v>
          </cell>
          <cell r="L1931" t="str">
            <v>Uncategorized</v>
          </cell>
          <cell r="M1931" t="str">
            <v>No</v>
          </cell>
          <cell r="R1931" t="str">
            <v>NAROTSKY DAVID</v>
          </cell>
          <cell r="S1931" t="str">
            <v>622 WEST 168TH STREET, 2ND FLOOR, AIM CLINIC</v>
          </cell>
          <cell r="T1931" t="str">
            <v>NEW YORK</v>
          </cell>
          <cell r="U1931" t="str">
            <v>NY</v>
          </cell>
          <cell r="V1931" t="str">
            <v>10032</v>
          </cell>
          <cell r="AC1931" t="str">
            <v>M</v>
          </cell>
          <cell r="AD1931" t="str">
            <v>No</v>
          </cell>
          <cell r="AE1931" t="str">
            <v>NPI only</v>
          </cell>
          <cell r="AF1931" t="str">
            <v>nypwestcampus</v>
          </cell>
          <cell r="AG1931" t="str">
            <v>P</v>
          </cell>
        </row>
        <row r="1932">
          <cell r="A1932" t="str">
            <v>1013350636</v>
          </cell>
          <cell r="C1932" t="str">
            <v>FERRANDO ORTIZ</v>
          </cell>
          <cell r="G1932" t="str">
            <v>Kathryn Spaziani</v>
          </cell>
          <cell r="H1932" t="str">
            <v>(212) 305-1190</v>
          </cell>
          <cell r="J1932" t="str">
            <v>kas9171@nyp.org</v>
          </cell>
          <cell r="K1932" t="str">
            <v>Unknown</v>
          </cell>
          <cell r="L1932" t="str">
            <v>Uncategorized</v>
          </cell>
          <cell r="M1932" t="str">
            <v>No</v>
          </cell>
          <cell r="R1932" t="str">
            <v>ORTIZ FERNANDO DR.</v>
          </cell>
          <cell r="S1932" t="str">
            <v>630 W 168TH ST</v>
          </cell>
          <cell r="T1932" t="str">
            <v>NEW YORK</v>
          </cell>
          <cell r="U1932" t="str">
            <v>NY</v>
          </cell>
          <cell r="V1932" t="str">
            <v>100323725</v>
          </cell>
          <cell r="AC1932" t="str">
            <v>M</v>
          </cell>
          <cell r="AD1932" t="str">
            <v>No</v>
          </cell>
          <cell r="AE1932" t="str">
            <v>NPI only</v>
          </cell>
          <cell r="AF1932" t="str">
            <v>nypwestcampus</v>
          </cell>
          <cell r="AG1932" t="str">
            <v>P</v>
          </cell>
        </row>
        <row r="1933">
          <cell r="A1933" t="str">
            <v>1366784423</v>
          </cell>
          <cell r="C1933" t="str">
            <v>ALTAF PIRMOHAMED</v>
          </cell>
          <cell r="G1933" t="str">
            <v>Kathryn Spaziani</v>
          </cell>
          <cell r="H1933" t="str">
            <v>(212) 305-1190</v>
          </cell>
          <cell r="J1933" t="str">
            <v>kas9171@nyp.org</v>
          </cell>
          <cell r="K1933" t="str">
            <v>Unknown</v>
          </cell>
          <cell r="L1933" t="str">
            <v>Uncategorized</v>
          </cell>
          <cell r="M1933" t="str">
            <v>No</v>
          </cell>
          <cell r="R1933" t="str">
            <v>PIRMOHAMED ALTAF</v>
          </cell>
          <cell r="S1933" t="str">
            <v>7304 PETER PL</v>
          </cell>
          <cell r="T1933" t="str">
            <v>MC LEAN</v>
          </cell>
          <cell r="U1933" t="str">
            <v>VA</v>
          </cell>
          <cell r="V1933" t="str">
            <v>221022153</v>
          </cell>
          <cell r="AC1933" t="str">
            <v>M</v>
          </cell>
          <cell r="AD1933" t="str">
            <v>No</v>
          </cell>
          <cell r="AE1933" t="str">
            <v>NPI only</v>
          </cell>
          <cell r="AF1933" t="str">
            <v>nypwestcampus</v>
          </cell>
          <cell r="AG1933" t="str">
            <v>P</v>
          </cell>
        </row>
        <row r="1934">
          <cell r="A1934" t="str">
            <v>1245573369</v>
          </cell>
          <cell r="C1934" t="str">
            <v>ARMEEN POOR</v>
          </cell>
          <cell r="G1934" t="str">
            <v>Kathryn Spaziani</v>
          </cell>
          <cell r="H1934" t="str">
            <v>(212) 305-1190</v>
          </cell>
          <cell r="J1934" t="str">
            <v>kas9171@nyp.org</v>
          </cell>
          <cell r="K1934" t="str">
            <v>Unknown</v>
          </cell>
          <cell r="L1934" t="str">
            <v>Uncategorized</v>
          </cell>
          <cell r="M1934" t="str">
            <v>No</v>
          </cell>
          <cell r="R1934" t="str">
            <v>POOR ARMEEN</v>
          </cell>
          <cell r="S1934" t="str">
            <v>ONE GUSTAVE L LEVY PLACE, MOUNT SINAI MEDICAL CENTER, DEPT OF MEDICINE</v>
          </cell>
          <cell r="T1934" t="str">
            <v>NEW YORK</v>
          </cell>
          <cell r="U1934" t="str">
            <v>NY</v>
          </cell>
          <cell r="V1934" t="str">
            <v>10029</v>
          </cell>
          <cell r="AC1934" t="str">
            <v>M</v>
          </cell>
          <cell r="AD1934" t="str">
            <v>No</v>
          </cell>
          <cell r="AE1934" t="str">
            <v>NPI only</v>
          </cell>
          <cell r="AF1934" t="str">
            <v>nypwestcampus</v>
          </cell>
          <cell r="AG1934" t="str">
            <v>P</v>
          </cell>
        </row>
        <row r="1935">
          <cell r="A1935" t="str">
            <v>1477996643</v>
          </cell>
          <cell r="B1935" t="str">
            <v>04508412</v>
          </cell>
          <cell r="C1935" t="str">
            <v>DAVID RAWSON</v>
          </cell>
          <cell r="D1935" t="str">
            <v>E0443461</v>
          </cell>
          <cell r="E1935" t="str">
            <v>RAWSON DAVID W</v>
          </cell>
          <cell r="G1935" t="str">
            <v>Kathryn Spaziani</v>
          </cell>
          <cell r="H1935" t="str">
            <v>(212) 305-1190</v>
          </cell>
          <cell r="J1935" t="str">
            <v>kas9171@nyp.org</v>
          </cell>
          <cell r="L1935" t="str">
            <v>Uncategorized</v>
          </cell>
          <cell r="M1935" t="str">
            <v>No</v>
          </cell>
          <cell r="R1935" t="str">
            <v>RAWSON DAVID DR.</v>
          </cell>
          <cell r="W1935" t="str">
            <v>RAWSON DAVID W</v>
          </cell>
          <cell r="AB1935" t="str">
            <v>PHYSICIAN</v>
          </cell>
          <cell r="AC1935" t="str">
            <v>M</v>
          </cell>
          <cell r="AD1935" t="str">
            <v>No</v>
          </cell>
          <cell r="AE1935" t="str">
            <v>MMIS</v>
          </cell>
          <cell r="AF1935" t="str">
            <v>nypwestcampus</v>
          </cell>
          <cell r="AG1935" t="str">
            <v>P</v>
          </cell>
        </row>
        <row r="1936">
          <cell r="A1936" t="str">
            <v>1447592878</v>
          </cell>
          <cell r="B1936" t="str">
            <v>04451098</v>
          </cell>
          <cell r="C1936" t="str">
            <v>STEFANIE REIFF</v>
          </cell>
          <cell r="D1936" t="str">
            <v>E0437758</v>
          </cell>
          <cell r="E1936" t="str">
            <v>REIFF STEFANIE</v>
          </cell>
          <cell r="G1936" t="str">
            <v>Kathryn Spaziani</v>
          </cell>
          <cell r="H1936" t="str">
            <v>(212) 305-1190</v>
          </cell>
          <cell r="J1936" t="str">
            <v>kas9171@nyp.org</v>
          </cell>
          <cell r="L1936" t="str">
            <v>Uncategorized</v>
          </cell>
          <cell r="M1936" t="str">
            <v>No</v>
          </cell>
          <cell r="R1936" t="str">
            <v>REIFF STEFANIE</v>
          </cell>
          <cell r="W1936" t="str">
            <v>REIFF STEFANIE NICOLE</v>
          </cell>
          <cell r="AB1936" t="str">
            <v>PHYSICIAN</v>
          </cell>
          <cell r="AC1936" t="str">
            <v>M</v>
          </cell>
          <cell r="AD1936" t="str">
            <v>No</v>
          </cell>
          <cell r="AE1936" t="str">
            <v>MMIS</v>
          </cell>
          <cell r="AF1936" t="str">
            <v>nypwestcampus</v>
          </cell>
          <cell r="AG1936" t="str">
            <v>P</v>
          </cell>
        </row>
        <row r="1937">
          <cell r="A1937" t="str">
            <v>1174966295</v>
          </cell>
          <cell r="C1937" t="str">
            <v>LACEY ROBINSON</v>
          </cell>
          <cell r="G1937" t="str">
            <v>Kathryn Spaziani</v>
          </cell>
          <cell r="H1937" t="str">
            <v>(212) 305-1190</v>
          </cell>
          <cell r="J1937" t="str">
            <v>kas9171@nyp.org</v>
          </cell>
          <cell r="K1937" t="str">
            <v>Unknown</v>
          </cell>
          <cell r="L1937" t="str">
            <v>Uncategorized</v>
          </cell>
          <cell r="M1937" t="str">
            <v>No</v>
          </cell>
          <cell r="R1937" t="str">
            <v>ROBINSON LACEY</v>
          </cell>
          <cell r="S1937" t="str">
            <v>622 W 168TH ST FL 2</v>
          </cell>
          <cell r="T1937" t="str">
            <v>NEW YORK</v>
          </cell>
          <cell r="U1937" t="str">
            <v>NY</v>
          </cell>
          <cell r="V1937" t="str">
            <v>100323720</v>
          </cell>
          <cell r="AC1937" t="str">
            <v>M</v>
          </cell>
          <cell r="AD1937" t="str">
            <v>No</v>
          </cell>
          <cell r="AE1937" t="str">
            <v>NPI only</v>
          </cell>
          <cell r="AF1937" t="str">
            <v>nypwestcampus</v>
          </cell>
          <cell r="AG1937" t="str">
            <v>P</v>
          </cell>
        </row>
        <row r="1938">
          <cell r="A1938" t="str">
            <v>1689917908</v>
          </cell>
          <cell r="B1938" t="str">
            <v>04451552</v>
          </cell>
          <cell r="C1938" t="str">
            <v>SAACHI SACHDEV</v>
          </cell>
          <cell r="D1938" t="str">
            <v>E0437804</v>
          </cell>
          <cell r="E1938" t="str">
            <v>SACHDEV SAACHI</v>
          </cell>
          <cell r="G1938" t="str">
            <v>Kathryn Spaziani</v>
          </cell>
          <cell r="H1938" t="str">
            <v>(212) 305-1190</v>
          </cell>
          <cell r="J1938" t="str">
            <v>kas9171@nyp.org</v>
          </cell>
          <cell r="L1938" t="str">
            <v>Practitioner - Non-Primary Care Provider (PCP)</v>
          </cell>
          <cell r="M1938" t="str">
            <v>No</v>
          </cell>
          <cell r="R1938" t="str">
            <v>SACHDEV SAACHI DR.</v>
          </cell>
          <cell r="W1938" t="str">
            <v>SACHDEV SAACHI</v>
          </cell>
          <cell r="AB1938" t="str">
            <v>PHYSICIAN</v>
          </cell>
          <cell r="AC1938" t="str">
            <v>M</v>
          </cell>
          <cell r="AD1938" t="str">
            <v>No</v>
          </cell>
          <cell r="AE1938" t="str">
            <v>MMIS</v>
          </cell>
          <cell r="AF1938" t="str">
            <v>nypwestcampus</v>
          </cell>
          <cell r="AG1938" t="str">
            <v>P</v>
          </cell>
        </row>
        <row r="1939">
          <cell r="A1939" t="str">
            <v>1033552096</v>
          </cell>
          <cell r="B1939" t="str">
            <v>04425807</v>
          </cell>
          <cell r="C1939" t="str">
            <v>NIKHIL SEVAL</v>
          </cell>
          <cell r="D1939" t="str">
            <v>E0435148</v>
          </cell>
          <cell r="E1939" t="str">
            <v>SEVAL NIKHIL SRINIVAS</v>
          </cell>
          <cell r="G1939" t="str">
            <v>Kathryn Spaziani</v>
          </cell>
          <cell r="H1939" t="str">
            <v>(212) 305-1190</v>
          </cell>
          <cell r="J1939" t="str">
            <v>kas9171@nyp.org</v>
          </cell>
          <cell r="L1939" t="str">
            <v>Practitioner - Non-Primary Care Provider (PCP)</v>
          </cell>
          <cell r="M1939" t="str">
            <v>No</v>
          </cell>
          <cell r="R1939" t="str">
            <v>SEVAL NIKHIL</v>
          </cell>
          <cell r="W1939" t="str">
            <v>SEVAL NIKHIL SRINIVAS</v>
          </cell>
          <cell r="X1939" t="str">
            <v>622 W 168TH ST VC2 S</v>
          </cell>
          <cell r="Y1939" t="str">
            <v>NEW YORK</v>
          </cell>
          <cell r="Z1939" t="str">
            <v>NY</v>
          </cell>
          <cell r="AA1939" t="str">
            <v>10032</v>
          </cell>
          <cell r="AB1939" t="str">
            <v>PHYSICIAN</v>
          </cell>
          <cell r="AC1939" t="str">
            <v>M</v>
          </cell>
          <cell r="AD1939" t="str">
            <v>No</v>
          </cell>
          <cell r="AE1939" t="str">
            <v>MMIS</v>
          </cell>
          <cell r="AF1939" t="str">
            <v>nypwestcampus</v>
          </cell>
          <cell r="AG1939" t="str">
            <v>P</v>
          </cell>
        </row>
        <row r="1940">
          <cell r="A1940" t="str">
            <v>1710220363</v>
          </cell>
          <cell r="C1940" t="str">
            <v>RAJANI SHARMA</v>
          </cell>
          <cell r="G1940" t="str">
            <v>Kathryn Spaziani</v>
          </cell>
          <cell r="H1940" t="str">
            <v>(212) 305-1190</v>
          </cell>
          <cell r="J1940" t="str">
            <v>kas9171@nyp.org</v>
          </cell>
          <cell r="K1940" t="str">
            <v>Unknown</v>
          </cell>
          <cell r="L1940" t="str">
            <v>Uncategorized</v>
          </cell>
          <cell r="M1940" t="str">
            <v>No</v>
          </cell>
          <cell r="R1940" t="str">
            <v>SHARMA RAJANI</v>
          </cell>
          <cell r="S1940" t="str">
            <v>177 FORT WASHINGTON AVE, MEDICINE RESIDENCY PROGRAM, 6TH FLOOR CENTER, ROOM 12</v>
          </cell>
          <cell r="T1940" t="str">
            <v>NEW YORK</v>
          </cell>
          <cell r="U1940" t="str">
            <v>NY</v>
          </cell>
          <cell r="V1940" t="str">
            <v>100323733</v>
          </cell>
          <cell r="AC1940" t="str">
            <v>M</v>
          </cell>
          <cell r="AD1940" t="str">
            <v>No</v>
          </cell>
          <cell r="AE1940" t="str">
            <v>NPI only</v>
          </cell>
          <cell r="AF1940" t="str">
            <v>nypwestcampus</v>
          </cell>
          <cell r="AG1940" t="str">
            <v>P</v>
          </cell>
        </row>
        <row r="1941">
          <cell r="A1941" t="str">
            <v>1689017451</v>
          </cell>
          <cell r="C1941" t="str">
            <v>DAVID SHIM</v>
          </cell>
          <cell r="G1941" t="str">
            <v>Kathryn Spaziani</v>
          </cell>
          <cell r="H1941" t="str">
            <v>(212) 305-1190</v>
          </cell>
          <cell r="J1941" t="str">
            <v>kas9171@nyp.org</v>
          </cell>
          <cell r="K1941" t="str">
            <v>Unknown</v>
          </cell>
          <cell r="L1941" t="str">
            <v>Uncategorized</v>
          </cell>
          <cell r="M1941" t="str">
            <v>No</v>
          </cell>
          <cell r="R1941" t="str">
            <v>SHIM DAVID DR.</v>
          </cell>
          <cell r="S1941" t="str">
            <v>622 W 168TH ST, 2ND FLOOR, AIM CLINIC</v>
          </cell>
          <cell r="T1941" t="str">
            <v>NEW YORK</v>
          </cell>
          <cell r="U1941" t="str">
            <v>NY</v>
          </cell>
          <cell r="V1941" t="str">
            <v>10032</v>
          </cell>
          <cell r="AC1941" t="str">
            <v>M</v>
          </cell>
          <cell r="AD1941" t="str">
            <v>No</v>
          </cell>
          <cell r="AE1941" t="str">
            <v>NPI only</v>
          </cell>
          <cell r="AF1941" t="str">
            <v>nypwestcampus</v>
          </cell>
          <cell r="AG1941" t="str">
            <v>P</v>
          </cell>
        </row>
        <row r="1942">
          <cell r="A1942" t="str">
            <v>1346683463</v>
          </cell>
          <cell r="C1942" t="str">
            <v>NICOLAS VILLANUEVA</v>
          </cell>
          <cell r="G1942" t="str">
            <v>Kathryn Spaziani</v>
          </cell>
          <cell r="H1942" t="str">
            <v>(212) 305-1190</v>
          </cell>
          <cell r="J1942" t="str">
            <v>kas9171@nyp.org</v>
          </cell>
          <cell r="K1942" t="str">
            <v>Unknown</v>
          </cell>
          <cell r="L1942" t="str">
            <v>Uncategorized</v>
          </cell>
          <cell r="M1942" t="str">
            <v>No</v>
          </cell>
          <cell r="R1942" t="str">
            <v>VILLANUEVA NICOLAS</v>
          </cell>
          <cell r="S1942" t="str">
            <v>630 W 168TH ST, PH 8 EAST ROOM 105</v>
          </cell>
          <cell r="T1942" t="str">
            <v>NEW YORK</v>
          </cell>
          <cell r="U1942" t="str">
            <v>NY</v>
          </cell>
          <cell r="V1942" t="str">
            <v>100323725</v>
          </cell>
          <cell r="AC1942" t="str">
            <v>M</v>
          </cell>
          <cell r="AD1942" t="str">
            <v>No</v>
          </cell>
          <cell r="AE1942" t="str">
            <v>NPI only</v>
          </cell>
          <cell r="AF1942" t="str">
            <v>nypwestcampus</v>
          </cell>
          <cell r="AG1942" t="str">
            <v>P</v>
          </cell>
        </row>
        <row r="1943">
          <cell r="A1943" t="str">
            <v>1376886713</v>
          </cell>
          <cell r="C1943" t="str">
            <v>SARA VIOLA</v>
          </cell>
          <cell r="G1943" t="str">
            <v>Kathryn Spaziani</v>
          </cell>
          <cell r="H1943" t="str">
            <v>(212) 305-1190</v>
          </cell>
          <cell r="J1943" t="str">
            <v>kas9171@nyp.org</v>
          </cell>
          <cell r="K1943" t="str">
            <v>Unknown</v>
          </cell>
          <cell r="L1943" t="str">
            <v>Uncategorized</v>
          </cell>
          <cell r="M1943" t="str">
            <v>No</v>
          </cell>
          <cell r="R1943" t="str">
            <v>VIOLA SARA</v>
          </cell>
          <cell r="S1943" t="str">
            <v>100 HAVEN AVE, APT 29A</v>
          </cell>
          <cell r="T1943" t="str">
            <v>NEW YORK</v>
          </cell>
          <cell r="U1943" t="str">
            <v>NY</v>
          </cell>
          <cell r="V1943" t="str">
            <v>100322645</v>
          </cell>
          <cell r="AC1943" t="str">
            <v>M</v>
          </cell>
          <cell r="AD1943" t="str">
            <v>No</v>
          </cell>
          <cell r="AE1943" t="str">
            <v>NPI only</v>
          </cell>
          <cell r="AF1943" t="str">
            <v>nypwestcampus</v>
          </cell>
          <cell r="AG1943" t="str">
            <v>P</v>
          </cell>
        </row>
        <row r="1944">
          <cell r="A1944" t="str">
            <v>1902993082</v>
          </cell>
          <cell r="B1944" t="str">
            <v>02186914</v>
          </cell>
          <cell r="C1944" t="str">
            <v>LACHS, MARK S</v>
          </cell>
          <cell r="D1944" t="str">
            <v>E0081389</v>
          </cell>
          <cell r="E1944" t="str">
            <v>LACHS MARK STEVEN MD</v>
          </cell>
          <cell r="G1944" t="str">
            <v>Kathryn Spaziani</v>
          </cell>
          <cell r="H1944" t="str">
            <v>(212) 305-1190</v>
          </cell>
          <cell r="J1944" t="str">
            <v>kas9171@nyp.org</v>
          </cell>
          <cell r="L1944" t="str">
            <v>Practitioner - Non-Primary Care Provider (PCP)</v>
          </cell>
          <cell r="M1944" t="str">
            <v>No</v>
          </cell>
          <cell r="R1944" t="str">
            <v>LACHS MARK</v>
          </cell>
          <cell r="W1944" t="str">
            <v>LACHS MARK STEVEN MD</v>
          </cell>
          <cell r="X1944" t="str">
            <v>1484 1ST AVE</v>
          </cell>
          <cell r="Y1944" t="str">
            <v>NEW YORK</v>
          </cell>
          <cell r="Z1944" t="str">
            <v>NY</v>
          </cell>
          <cell r="AA1944" t="str">
            <v>10075-2304</v>
          </cell>
          <cell r="AB1944" t="str">
            <v>PHYSICIAN</v>
          </cell>
          <cell r="AC1944" t="str">
            <v>M</v>
          </cell>
          <cell r="AD1944" t="str">
            <v>No</v>
          </cell>
          <cell r="AE1944" t="str">
            <v>MMIS</v>
          </cell>
          <cell r="AF1944" t="str">
            <v>nypeastcampus</v>
          </cell>
          <cell r="AG1944" t="str">
            <v>P</v>
          </cell>
        </row>
        <row r="1945">
          <cell r="A1945" t="str">
            <v>1336134600</v>
          </cell>
          <cell r="B1945" t="str">
            <v>02885289</v>
          </cell>
          <cell r="C1945" t="str">
            <v>MOLINARO, MICHAEL J</v>
          </cell>
          <cell r="D1945" t="str">
            <v>E0011676</v>
          </cell>
          <cell r="E1945" t="str">
            <v>MOLINARO MICHAEL</v>
          </cell>
          <cell r="G1945" t="str">
            <v>Kathryn Spaziani</v>
          </cell>
          <cell r="H1945" t="str">
            <v>(212) 305-1190</v>
          </cell>
          <cell r="J1945" t="str">
            <v>kas9171@nyp.org</v>
          </cell>
          <cell r="L1945" t="str">
            <v>Practitioner - Non-Primary Care Provider (PCP)</v>
          </cell>
          <cell r="M1945" t="str">
            <v>No</v>
          </cell>
          <cell r="R1945" t="str">
            <v>MOLINARO MICHAEL DR.</v>
          </cell>
          <cell r="W1945" t="str">
            <v>MOLINARO MICHAEL</v>
          </cell>
          <cell r="X1945" t="str">
            <v>IRVING PAVILLIONN DE</v>
          </cell>
          <cell r="Y1945" t="str">
            <v>NEW YORK</v>
          </cell>
          <cell r="Z1945" t="str">
            <v>NY</v>
          </cell>
          <cell r="AA1945" t="str">
            <v>10032</v>
          </cell>
          <cell r="AB1945" t="str">
            <v>PHYSICIAN</v>
          </cell>
          <cell r="AC1945" t="str">
            <v>M</v>
          </cell>
          <cell r="AD1945" t="str">
            <v>No</v>
          </cell>
          <cell r="AE1945" t="str">
            <v>MMIS</v>
          </cell>
          <cell r="AF1945" t="str">
            <v>nypwestcampus</v>
          </cell>
          <cell r="AG1945" t="str">
            <v>P</v>
          </cell>
        </row>
        <row r="1946">
          <cell r="B1946" t="str">
            <v>00647269</v>
          </cell>
          <cell r="C1946" t="str">
            <v>NYU DOWNTOWN HOSPITAL</v>
          </cell>
          <cell r="D1946" t="str">
            <v>E0031713</v>
          </cell>
          <cell r="E1946" t="str">
            <v>NYU DOWNTOWN HOSPITAL</v>
          </cell>
          <cell r="G1946" t="str">
            <v>Kathryn Spaziani</v>
          </cell>
          <cell r="H1946" t="str">
            <v>(212) 305-1190</v>
          </cell>
          <cell r="J1946" t="str">
            <v>kas9171@nyp.org</v>
          </cell>
          <cell r="L1946" t="str">
            <v>All Other:: Clinic:: Pharmacy</v>
          </cell>
          <cell r="M1946" t="str">
            <v>No</v>
          </cell>
          <cell r="W1946" t="str">
            <v>NYU DOWNTOWN HOSPITAL</v>
          </cell>
          <cell r="X1946" t="str">
            <v>00243527 NY INFIRM</v>
          </cell>
          <cell r="Y1946" t="str">
            <v>NEW YORK</v>
          </cell>
          <cell r="Z1946" t="str">
            <v>NY</v>
          </cell>
          <cell r="AA1946" t="str">
            <v>10038-2612</v>
          </cell>
          <cell r="AB1946" t="str">
            <v>HOSPITAL</v>
          </cell>
          <cell r="AC1946" t="str">
            <v>M</v>
          </cell>
          <cell r="AD1946" t="str">
            <v>No</v>
          </cell>
          <cell r="AE1946" t="str">
            <v>MMIS</v>
          </cell>
          <cell r="AF1946" t="str">
            <v>nypeastcampus</v>
          </cell>
          <cell r="AG1946" t="str">
            <v>P</v>
          </cell>
        </row>
        <row r="1947">
          <cell r="A1947" t="str">
            <v>1104898204</v>
          </cell>
          <cell r="B1947" t="str">
            <v>01834995</v>
          </cell>
          <cell r="C1947" t="str">
            <v>SKLAR, JEFFREY A</v>
          </cell>
          <cell r="D1947" t="str">
            <v>E0116541</v>
          </cell>
          <cell r="E1947" t="str">
            <v>SKLAR JEFFREY</v>
          </cell>
          <cell r="G1947" t="str">
            <v>Kathryn Spaziani</v>
          </cell>
          <cell r="H1947" t="str">
            <v>(212) 305-1190</v>
          </cell>
          <cell r="J1947" t="str">
            <v>kas9171@nyp.org</v>
          </cell>
          <cell r="L1947" t="str">
            <v>Practitioner - Non-Primary Care Provider (PCP)</v>
          </cell>
          <cell r="M1947" t="str">
            <v>No</v>
          </cell>
          <cell r="R1947" t="str">
            <v>SKLAR JEFFREY</v>
          </cell>
          <cell r="W1947" t="str">
            <v>SKLAR JEFFREY</v>
          </cell>
          <cell r="X1947" t="str">
            <v>SKLAR JEFFREY</v>
          </cell>
          <cell r="Y1947" t="str">
            <v>WOODBURY</v>
          </cell>
          <cell r="Z1947" t="str">
            <v>NY</v>
          </cell>
          <cell r="AA1947" t="str">
            <v>11797-2503</v>
          </cell>
          <cell r="AB1947" t="str">
            <v>PHYSICIAN</v>
          </cell>
          <cell r="AC1947" t="str">
            <v>M</v>
          </cell>
          <cell r="AD1947" t="str">
            <v>No</v>
          </cell>
          <cell r="AE1947" t="str">
            <v>MMIS</v>
          </cell>
          <cell r="AF1947" t="str">
            <v>nypwestcampus</v>
          </cell>
          <cell r="AG1947" t="str">
            <v>P</v>
          </cell>
        </row>
        <row r="1948">
          <cell r="A1948" t="str">
            <v>1366595084</v>
          </cell>
          <cell r="B1948" t="str">
            <v>01381222</v>
          </cell>
          <cell r="C1948" t="str">
            <v>Kazim Robert</v>
          </cell>
          <cell r="D1948" t="str">
            <v>E0161836</v>
          </cell>
          <cell r="E1948" t="str">
            <v>KAZIM ROBERT MD</v>
          </cell>
          <cell r="L1948" t="str">
            <v>Practitioner - Non-Primary Care Provider (PCP)</v>
          </cell>
          <cell r="M1948" t="str">
            <v>No</v>
          </cell>
          <cell r="R1948" t="str">
            <v>KAZIM ROBERT DR.</v>
          </cell>
          <cell r="W1948" t="str">
            <v>KAZIM ROBERT MD</v>
          </cell>
          <cell r="X1948" t="str">
            <v>ANESTH SERV CPMC</v>
          </cell>
          <cell r="Y1948" t="str">
            <v>NEW YORK</v>
          </cell>
          <cell r="Z1948" t="str">
            <v>NY</v>
          </cell>
          <cell r="AA1948" t="str">
            <v>10032-3720</v>
          </cell>
          <cell r="AB1948" t="str">
            <v>PHYSICIAN</v>
          </cell>
          <cell r="AC1948" t="str">
            <v>M</v>
          </cell>
          <cell r="AD1948" t="str">
            <v>No</v>
          </cell>
          <cell r="AE1948" t="str">
            <v>MMIS</v>
          </cell>
          <cell r="AF1948" t="str">
            <v>nypwestcampus</v>
          </cell>
          <cell r="AG1948" t="str">
            <v>P</v>
          </cell>
        </row>
        <row r="1949">
          <cell r="A1949" t="str">
            <v>1538230222</v>
          </cell>
          <cell r="B1949" t="str">
            <v>02108143</v>
          </cell>
          <cell r="C1949" t="str">
            <v>WINAWER, MELODIE R</v>
          </cell>
          <cell r="D1949" t="str">
            <v>E0089254</v>
          </cell>
          <cell r="E1949" t="str">
            <v>WINAWER MELODIE MD</v>
          </cell>
          <cell r="G1949" t="str">
            <v>Kathryn Spaziani</v>
          </cell>
          <cell r="H1949" t="str">
            <v>(212) 305-1190</v>
          </cell>
          <cell r="J1949" t="str">
            <v>kas9171@nyp.org</v>
          </cell>
          <cell r="L1949" t="str">
            <v>Practitioner - Non-Primary Care Provider (PCP)</v>
          </cell>
          <cell r="M1949" t="str">
            <v>No</v>
          </cell>
          <cell r="R1949" t="str">
            <v>WINAWER MELODIE DR.</v>
          </cell>
          <cell r="W1949" t="str">
            <v>WINAWER MELODIE MD</v>
          </cell>
          <cell r="X1949" t="str">
            <v>506 MALCOLM X BLVD</v>
          </cell>
          <cell r="Y1949" t="str">
            <v>NEW YORK</v>
          </cell>
          <cell r="Z1949" t="str">
            <v>NY</v>
          </cell>
          <cell r="AA1949" t="str">
            <v>10037-1802</v>
          </cell>
          <cell r="AB1949" t="str">
            <v>PHYSICIAN</v>
          </cell>
          <cell r="AC1949" t="str">
            <v>M</v>
          </cell>
          <cell r="AD1949" t="str">
            <v>No</v>
          </cell>
          <cell r="AE1949" t="str">
            <v>MMIS</v>
          </cell>
          <cell r="AF1949" t="str">
            <v>nypwestcampus</v>
          </cell>
          <cell r="AG1949" t="str">
            <v>P</v>
          </cell>
        </row>
        <row r="1950">
          <cell r="A1950" t="str">
            <v>1982754750</v>
          </cell>
          <cell r="B1950" t="str">
            <v>00200353</v>
          </cell>
          <cell r="C1950" t="str">
            <v>JOSE MANSUETO</v>
          </cell>
          <cell r="D1950" t="str">
            <v>E0276170</v>
          </cell>
          <cell r="E1950" t="str">
            <v>MANSUETO JOSE L            MD</v>
          </cell>
          <cell r="G1950" t="str">
            <v>Eva Eng</v>
          </cell>
          <cell r="H1950" t="str">
            <v>(212) 752-5011</v>
          </cell>
          <cell r="J1950" t="str">
            <v>eeng@archcare.org</v>
          </cell>
          <cell r="L1950" t="str">
            <v>Uncategorized</v>
          </cell>
          <cell r="M1950" t="str">
            <v>No</v>
          </cell>
          <cell r="R1950" t="str">
            <v>MANSUETO JOSE DR.</v>
          </cell>
          <cell r="W1950" t="str">
            <v>MANSUETO JOSE L            MD</v>
          </cell>
          <cell r="X1950" t="str">
            <v>329 MYRTLE AVE</v>
          </cell>
          <cell r="Y1950" t="str">
            <v>BROOKLYN</v>
          </cell>
          <cell r="Z1950" t="str">
            <v>NY</v>
          </cell>
          <cell r="AA1950" t="str">
            <v>11205-3201</v>
          </cell>
          <cell r="AB1950" t="str">
            <v>PHYSICIAN</v>
          </cell>
          <cell r="AC1950" t="str">
            <v>M</v>
          </cell>
          <cell r="AD1950" t="str">
            <v>No</v>
          </cell>
          <cell r="AE1950" t="str">
            <v>MMIS</v>
          </cell>
          <cell r="AG1950" t="str">
            <v>P</v>
          </cell>
        </row>
        <row r="1951">
          <cell r="A1951" t="str">
            <v>1720144108</v>
          </cell>
          <cell r="B1951" t="str">
            <v>01785895</v>
          </cell>
          <cell r="C1951" t="str">
            <v>BARBARA SCHOFIELD</v>
          </cell>
          <cell r="D1951" t="str">
            <v>E0121442</v>
          </cell>
          <cell r="E1951" t="str">
            <v>SCHOFIELD BARBARA S MD</v>
          </cell>
          <cell r="G1951" t="str">
            <v>Eva Eng</v>
          </cell>
          <cell r="H1951" t="str">
            <v>(212) 752-5012</v>
          </cell>
          <cell r="J1951" t="str">
            <v>eeng@archcare.org</v>
          </cell>
          <cell r="L1951" t="str">
            <v>Practitioner - Non-Primary Care Provider (PCP)</v>
          </cell>
          <cell r="M1951" t="str">
            <v>No</v>
          </cell>
          <cell r="R1951" t="str">
            <v>SCHOFIELD BARBARA</v>
          </cell>
          <cell r="W1951" t="str">
            <v>SCHOFIELD BARBARA S MD</v>
          </cell>
          <cell r="X1951" t="str">
            <v>10 NATHAN D PERLMAN PL</v>
          </cell>
          <cell r="Y1951" t="str">
            <v>NEW YORK</v>
          </cell>
          <cell r="Z1951" t="str">
            <v>NY</v>
          </cell>
          <cell r="AA1951" t="str">
            <v>10003-3851</v>
          </cell>
          <cell r="AB1951" t="str">
            <v>PHYSICIAN</v>
          </cell>
          <cell r="AC1951" t="str">
            <v>M</v>
          </cell>
          <cell r="AD1951" t="str">
            <v>No</v>
          </cell>
          <cell r="AE1951" t="str">
            <v>MMIS</v>
          </cell>
          <cell r="AG1951" t="str">
            <v>P</v>
          </cell>
        </row>
        <row r="1952">
          <cell r="A1952" t="str">
            <v>1669581807</v>
          </cell>
          <cell r="B1952" t="str">
            <v>02251949</v>
          </cell>
          <cell r="C1952" t="str">
            <v>MARAGARET P BAKER</v>
          </cell>
          <cell r="D1952" t="str">
            <v>E0074900</v>
          </cell>
          <cell r="E1952" t="str">
            <v>BAKER MARGARET NP</v>
          </cell>
          <cell r="G1952" t="str">
            <v>Eva Eng</v>
          </cell>
          <cell r="H1952" t="str">
            <v>(212) 752-5005</v>
          </cell>
          <cell r="J1952" t="str">
            <v>eeng@archcare.org</v>
          </cell>
          <cell r="L1952" t="str">
            <v>All Other:: Practitioner - Non-Primary Care Provider (PCP)</v>
          </cell>
          <cell r="M1952" t="str">
            <v>No</v>
          </cell>
          <cell r="R1952" t="str">
            <v>BAKER MARGARET MS.</v>
          </cell>
          <cell r="W1952" t="str">
            <v>BAKER MARGARET NP</v>
          </cell>
          <cell r="X1952" t="str">
            <v>17 GLEN POND DR STE 3</v>
          </cell>
          <cell r="Y1952" t="str">
            <v>RED HOOK</v>
          </cell>
          <cell r="Z1952" t="str">
            <v>NY</v>
          </cell>
          <cell r="AA1952" t="str">
            <v>12571-1824</v>
          </cell>
          <cell r="AB1952" t="str">
            <v>PHYSICIAN</v>
          </cell>
          <cell r="AC1952" t="str">
            <v>M</v>
          </cell>
          <cell r="AD1952" t="str">
            <v>No</v>
          </cell>
          <cell r="AE1952" t="str">
            <v>MMIS</v>
          </cell>
          <cell r="AG1952" t="str">
            <v>P</v>
          </cell>
        </row>
        <row r="1953">
          <cell r="A1953" t="str">
            <v>1770873010</v>
          </cell>
          <cell r="C1953" t="str">
            <v>Browne William</v>
          </cell>
          <cell r="G1953" t="str">
            <v>Kathryn Spaziani</v>
          </cell>
          <cell r="H1953" t="str">
            <v>(212) 305-1255</v>
          </cell>
          <cell r="J1953" t="str">
            <v>kas9171@nyp.org</v>
          </cell>
          <cell r="K1953" t="str">
            <v>Physician</v>
          </cell>
          <cell r="L1953" t="str">
            <v>Uncategorized</v>
          </cell>
          <cell r="M1953" t="str">
            <v>No</v>
          </cell>
          <cell r="R1953" t="str">
            <v>BROWNE WILLIAM</v>
          </cell>
          <cell r="S1953" t="str">
            <v>2351 CLAY ST, SUITE 380</v>
          </cell>
          <cell r="T1953" t="str">
            <v>SAN FRANCISCO</v>
          </cell>
          <cell r="U1953" t="str">
            <v>CA</v>
          </cell>
          <cell r="V1953" t="str">
            <v>94118</v>
          </cell>
          <cell r="AC1953" t="str">
            <v>M</v>
          </cell>
          <cell r="AD1953" t="str">
            <v>No</v>
          </cell>
          <cell r="AE1953" t="str">
            <v>NPI only</v>
          </cell>
          <cell r="AF1953" t="str">
            <v>nypwestcampus</v>
          </cell>
          <cell r="AG1953" t="str">
            <v>P</v>
          </cell>
        </row>
        <row r="1954">
          <cell r="A1954" t="str">
            <v>1356786073</v>
          </cell>
          <cell r="C1954" t="str">
            <v>Chalifoux Jason</v>
          </cell>
          <cell r="G1954" t="str">
            <v>Kathryn Spaziani</v>
          </cell>
          <cell r="H1954" t="str">
            <v>(212) 305-1255</v>
          </cell>
          <cell r="J1954" t="str">
            <v>kas9171@nyp.org</v>
          </cell>
          <cell r="K1954" t="str">
            <v>Physician</v>
          </cell>
          <cell r="L1954" t="str">
            <v>Uncategorized</v>
          </cell>
          <cell r="M1954" t="str">
            <v>No</v>
          </cell>
          <cell r="R1954" t="str">
            <v>CHALIFOUX JASON DR.</v>
          </cell>
          <cell r="S1954" t="str">
            <v>550 1ST AVE, NYU LANGONE MEDICAL CENTER</v>
          </cell>
          <cell r="T1954" t="str">
            <v>NEW YORK</v>
          </cell>
          <cell r="U1954" t="str">
            <v>NY</v>
          </cell>
          <cell r="V1954" t="str">
            <v>100166402</v>
          </cell>
          <cell r="AC1954" t="str">
            <v>M</v>
          </cell>
          <cell r="AD1954" t="str">
            <v>No</v>
          </cell>
          <cell r="AE1954" t="str">
            <v>NPI only</v>
          </cell>
          <cell r="AF1954" t="str">
            <v>nypwestcampus</v>
          </cell>
          <cell r="AG1954" t="str">
            <v>P</v>
          </cell>
        </row>
        <row r="1955">
          <cell r="A1955" t="str">
            <v>1720033764</v>
          </cell>
          <cell r="C1955" t="str">
            <v>Mattingly James</v>
          </cell>
          <cell r="G1955" t="str">
            <v>Kathryn Spaziani</v>
          </cell>
          <cell r="H1955" t="str">
            <v>(212) 305-1255</v>
          </cell>
          <cell r="J1955" t="str">
            <v>kas9171@nyp.org</v>
          </cell>
          <cell r="K1955" t="str">
            <v>Physician</v>
          </cell>
          <cell r="L1955" t="str">
            <v>Uncategorized</v>
          </cell>
          <cell r="M1955" t="str">
            <v>No</v>
          </cell>
          <cell r="R1955" t="str">
            <v>MATTINGLY JAMES MR.</v>
          </cell>
          <cell r="S1955" t="str">
            <v>5141 BROADWAY</v>
          </cell>
          <cell r="T1955" t="str">
            <v>NEW YORK</v>
          </cell>
          <cell r="U1955" t="str">
            <v>NY</v>
          </cell>
          <cell r="V1955" t="str">
            <v>100341159</v>
          </cell>
          <cell r="AC1955" t="str">
            <v>M</v>
          </cell>
          <cell r="AD1955" t="str">
            <v>No</v>
          </cell>
          <cell r="AE1955" t="str">
            <v>NPI only</v>
          </cell>
          <cell r="AF1955" t="str">
            <v>nypwestcampus</v>
          </cell>
          <cell r="AG1955" t="str">
            <v>P</v>
          </cell>
        </row>
        <row r="1956">
          <cell r="A1956" t="str">
            <v>1992012124</v>
          </cell>
          <cell r="C1956" t="str">
            <v>Mecca Breea</v>
          </cell>
          <cell r="G1956" t="str">
            <v>Kathryn Spaziani</v>
          </cell>
          <cell r="H1956" t="str">
            <v>(212) 305-1255</v>
          </cell>
          <cell r="J1956" t="str">
            <v>kas9171@nyp.org</v>
          </cell>
          <cell r="K1956" t="str">
            <v>Physician</v>
          </cell>
          <cell r="L1956" t="str">
            <v>Uncategorized</v>
          </cell>
          <cell r="M1956" t="str">
            <v>No</v>
          </cell>
          <cell r="R1956" t="str">
            <v>MECCA BREEA</v>
          </cell>
          <cell r="S1956" t="str">
            <v>622 W 168TH ST, PH 5-505C</v>
          </cell>
          <cell r="T1956" t="str">
            <v>NEW YORK</v>
          </cell>
          <cell r="U1956" t="str">
            <v>NY</v>
          </cell>
          <cell r="V1956" t="str">
            <v>100323720</v>
          </cell>
          <cell r="AC1956" t="str">
            <v>M</v>
          </cell>
          <cell r="AD1956" t="str">
            <v>No</v>
          </cell>
          <cell r="AE1956" t="str">
            <v>NPI only</v>
          </cell>
          <cell r="AF1956" t="str">
            <v>nypwestcampus</v>
          </cell>
          <cell r="AG1956" t="str">
            <v>P</v>
          </cell>
        </row>
        <row r="1957">
          <cell r="A1957" t="str">
            <v>1689656217</v>
          </cell>
          <cell r="C1957" t="str">
            <v>Meenan Margaret</v>
          </cell>
          <cell r="G1957" t="str">
            <v>Kathryn Spaziani</v>
          </cell>
          <cell r="H1957" t="str">
            <v>(212) 305-1255</v>
          </cell>
          <cell r="J1957" t="str">
            <v>kas9171@nyp.org</v>
          </cell>
          <cell r="K1957" t="str">
            <v>Physician</v>
          </cell>
          <cell r="L1957" t="str">
            <v>Uncategorized</v>
          </cell>
          <cell r="M1957" t="str">
            <v>No</v>
          </cell>
          <cell r="R1957" t="str">
            <v>MEENAN MARGARET</v>
          </cell>
          <cell r="S1957" t="str">
            <v>5 LEDGEWOOD COMMONS</v>
          </cell>
          <cell r="T1957" t="str">
            <v>MILLWOOD</v>
          </cell>
          <cell r="U1957" t="str">
            <v>NY</v>
          </cell>
          <cell r="V1957" t="str">
            <v>105461025</v>
          </cell>
          <cell r="AC1957" t="str">
            <v>M</v>
          </cell>
          <cell r="AD1957" t="str">
            <v>No</v>
          </cell>
          <cell r="AE1957" t="str">
            <v>NPI only</v>
          </cell>
          <cell r="AF1957" t="str">
            <v>nypwestcampus</v>
          </cell>
          <cell r="AG1957" t="str">
            <v>P</v>
          </cell>
        </row>
        <row r="1958">
          <cell r="A1958" t="str">
            <v>1164452140</v>
          </cell>
          <cell r="C1958" t="str">
            <v>Nigro Lisa</v>
          </cell>
          <cell r="G1958" t="str">
            <v>Kathryn Spaziani</v>
          </cell>
          <cell r="H1958" t="str">
            <v>(212) 305-1255</v>
          </cell>
          <cell r="J1958" t="str">
            <v>kas9171@nyp.org</v>
          </cell>
          <cell r="K1958" t="str">
            <v>Physician</v>
          </cell>
          <cell r="L1958" t="str">
            <v>Uncategorized</v>
          </cell>
          <cell r="M1958" t="str">
            <v>No</v>
          </cell>
          <cell r="R1958" t="str">
            <v>NIGRO LISA MS.</v>
          </cell>
          <cell r="S1958" t="str">
            <v>535 E 70TH ST, HSS DEPT. OF ANESTHESIOLOGY</v>
          </cell>
          <cell r="T1958" t="str">
            <v>NEW YORK</v>
          </cell>
          <cell r="U1958" t="str">
            <v>NY</v>
          </cell>
          <cell r="V1958" t="str">
            <v>100214823</v>
          </cell>
          <cell r="AC1958" t="str">
            <v>M</v>
          </cell>
          <cell r="AD1958" t="str">
            <v>No</v>
          </cell>
          <cell r="AE1958" t="str">
            <v>NPI only</v>
          </cell>
          <cell r="AF1958" t="str">
            <v>nypwestcampus</v>
          </cell>
          <cell r="AG1958" t="str">
            <v>P</v>
          </cell>
        </row>
        <row r="1959">
          <cell r="A1959" t="str">
            <v>1730232984</v>
          </cell>
          <cell r="B1959" t="str">
            <v>01244022</v>
          </cell>
          <cell r="C1959" t="str">
            <v>Mercer John</v>
          </cell>
          <cell r="D1959" t="str">
            <v>E0175502</v>
          </cell>
          <cell r="E1959" t="str">
            <v>MERCER JOHN STEPHEN MD</v>
          </cell>
          <cell r="L1959" t="str">
            <v>All Other:: Practitioner - Non-Primary Care Provider (PCP)</v>
          </cell>
          <cell r="M1959" t="str">
            <v>No</v>
          </cell>
          <cell r="R1959" t="str">
            <v>MERCER JOHN DR.</v>
          </cell>
          <cell r="W1959" t="str">
            <v>MERCER JOHN STEPHEN MD</v>
          </cell>
          <cell r="X1959" t="str">
            <v>622 W 168TH ST</v>
          </cell>
          <cell r="Y1959" t="str">
            <v>NEW YORK</v>
          </cell>
          <cell r="Z1959" t="str">
            <v>NY</v>
          </cell>
          <cell r="AA1959" t="str">
            <v>10032-3720</v>
          </cell>
          <cell r="AB1959" t="str">
            <v>PHYSICIAN</v>
          </cell>
          <cell r="AC1959" t="str">
            <v>M</v>
          </cell>
          <cell r="AD1959" t="str">
            <v>No</v>
          </cell>
          <cell r="AE1959" t="str">
            <v>MMIS</v>
          </cell>
          <cell r="AF1959" t="str">
            <v>nypwestcampus</v>
          </cell>
          <cell r="AG1959" t="str">
            <v>P</v>
          </cell>
        </row>
        <row r="1960">
          <cell r="A1960" t="str">
            <v>1962567180</v>
          </cell>
          <cell r="B1960" t="str">
            <v>02977324</v>
          </cell>
          <cell r="C1960" t="str">
            <v>Pagano Parwane</v>
          </cell>
          <cell r="D1960" t="str">
            <v>E0005579</v>
          </cell>
          <cell r="E1960" t="str">
            <v>PARWANE PARSA PAGANO MD</v>
          </cell>
          <cell r="L1960" t="str">
            <v>All Other:: Practitioner - Non-Primary Care Provider (PCP)</v>
          </cell>
          <cell r="M1960" t="str">
            <v>No</v>
          </cell>
          <cell r="R1960" t="str">
            <v>PAGANO PARWANE</v>
          </cell>
          <cell r="W1960" t="str">
            <v>PAGANO PARWANE PARSA  MD</v>
          </cell>
          <cell r="X1960" t="str">
            <v>622 W 168TH ST</v>
          </cell>
          <cell r="Y1960" t="str">
            <v>NEW YORK</v>
          </cell>
          <cell r="Z1960" t="str">
            <v>NY</v>
          </cell>
          <cell r="AA1960" t="str">
            <v>10032-3720</v>
          </cell>
          <cell r="AB1960" t="str">
            <v>PHYSICIAN</v>
          </cell>
          <cell r="AC1960" t="str">
            <v>M</v>
          </cell>
          <cell r="AD1960" t="str">
            <v>No</v>
          </cell>
          <cell r="AE1960" t="str">
            <v>MMIS</v>
          </cell>
          <cell r="AF1960" t="str">
            <v>nypwestcampus</v>
          </cell>
          <cell r="AG1960" t="str">
            <v>P</v>
          </cell>
        </row>
        <row r="1961">
          <cell r="A1961" t="str">
            <v>1972657864</v>
          </cell>
          <cell r="B1961" t="str">
            <v>00230644</v>
          </cell>
          <cell r="C1961" t="str">
            <v>Raker Richard</v>
          </cell>
          <cell r="D1961" t="str">
            <v>E0274791</v>
          </cell>
          <cell r="E1961" t="str">
            <v>RAKER RICHARD              MD</v>
          </cell>
          <cell r="L1961" t="str">
            <v>All Other:: Practitioner - Non-Primary Care Provider (PCP)</v>
          </cell>
          <cell r="M1961" t="str">
            <v>No</v>
          </cell>
          <cell r="R1961" t="str">
            <v>RAKER RICHARD DR.</v>
          </cell>
          <cell r="W1961" t="str">
            <v>RAKER RICHARD</v>
          </cell>
          <cell r="Y1961" t="str">
            <v>NEW YORK</v>
          </cell>
          <cell r="Z1961" t="str">
            <v>NY</v>
          </cell>
          <cell r="AA1961" t="str">
            <v>10032-3720</v>
          </cell>
          <cell r="AB1961" t="str">
            <v>PHYSICIAN</v>
          </cell>
          <cell r="AC1961" t="str">
            <v>M</v>
          </cell>
          <cell r="AD1961" t="str">
            <v>No</v>
          </cell>
          <cell r="AE1961" t="str">
            <v>MMIS</v>
          </cell>
          <cell r="AF1961" t="str">
            <v>nypwestcampus</v>
          </cell>
          <cell r="AG1961" t="str">
            <v>P</v>
          </cell>
        </row>
        <row r="1962">
          <cell r="A1962" t="str">
            <v>1770669038</v>
          </cell>
          <cell r="B1962" t="str">
            <v>01084573</v>
          </cell>
          <cell r="C1962" t="str">
            <v>MJHS Hospice and Palliative Care</v>
          </cell>
          <cell r="D1962" t="str">
            <v>E0191415</v>
          </cell>
          <cell r="E1962" t="str">
            <v>JACOB PERLOW HOSPICE</v>
          </cell>
          <cell r="G1962" t="str">
            <v>Jay Gormley, VP of Planning, Research, and Innovation</v>
          </cell>
          <cell r="H1962" t="str">
            <v>(212) 356-5419</v>
          </cell>
          <cell r="J1962" t="str">
            <v>jgormley@mjhs.org</v>
          </cell>
          <cell r="L1962" t="str">
            <v>All Other:: Hospice</v>
          </cell>
          <cell r="M1962" t="str">
            <v>Yes</v>
          </cell>
          <cell r="R1962" t="str">
            <v>MJHS HOSPICE AND PALLIATIVE CARE INC.</v>
          </cell>
          <cell r="W1962" t="str">
            <v>MJHS HOSPICE AND PALLIATIVE CARE</v>
          </cell>
          <cell r="X1962" t="str">
            <v>39 BROADWAY STE 200</v>
          </cell>
          <cell r="Y1962" t="str">
            <v>NEW YORK</v>
          </cell>
          <cell r="Z1962" t="str">
            <v>NY</v>
          </cell>
          <cell r="AA1962" t="str">
            <v>10006-3039</v>
          </cell>
          <cell r="AB1962" t="str">
            <v>DIAGNOSTIC AND TREATMENT CENTER</v>
          </cell>
          <cell r="AC1962" t="str">
            <v>M</v>
          </cell>
          <cell r="AD1962" t="str">
            <v>No</v>
          </cell>
          <cell r="AE1962" t="str">
            <v>MMIS</v>
          </cell>
          <cell r="AG1962" t="str">
            <v>P</v>
          </cell>
        </row>
        <row r="1963">
          <cell r="A1963" t="str">
            <v>1841263878</v>
          </cell>
          <cell r="B1963" t="str">
            <v>01765599</v>
          </cell>
          <cell r="C1963" t="str">
            <v>Sheth, Sujit</v>
          </cell>
          <cell r="D1963" t="str">
            <v>E0123469</v>
          </cell>
          <cell r="E1963" t="str">
            <v>SHETH SUJIT S MD</v>
          </cell>
          <cell r="G1963" t="str">
            <v>Kathryn Spaziani</v>
          </cell>
          <cell r="H1963" t="str">
            <v>(212) 305-1190</v>
          </cell>
          <cell r="J1963" t="str">
            <v>kas9171@nyp.org</v>
          </cell>
          <cell r="L1963" t="str">
            <v>All Other:: Practitioner - Non-Primary Care Provider (PCP)</v>
          </cell>
          <cell r="M1963" t="str">
            <v>No</v>
          </cell>
          <cell r="R1963" t="str">
            <v>SHETH SUJIT DR.</v>
          </cell>
          <cell r="W1963" t="str">
            <v>SHETH SUJIT SHARAD</v>
          </cell>
          <cell r="X1963" t="str">
            <v>HP 554</v>
          </cell>
          <cell r="Y1963" t="str">
            <v>NEW YORK</v>
          </cell>
          <cell r="Z1963" t="str">
            <v>NY</v>
          </cell>
          <cell r="AA1963" t="str">
            <v>10032-3735</v>
          </cell>
          <cell r="AB1963" t="str">
            <v>PHYSICIAN</v>
          </cell>
          <cell r="AC1963" t="str">
            <v>M</v>
          </cell>
          <cell r="AD1963" t="str">
            <v>No</v>
          </cell>
          <cell r="AE1963" t="str">
            <v>MMIS</v>
          </cell>
          <cell r="AF1963" t="str">
            <v>nypeastcampus</v>
          </cell>
          <cell r="AG1963" t="str">
            <v>P</v>
          </cell>
        </row>
        <row r="1964">
          <cell r="A1964" t="str">
            <v>1841342656</v>
          </cell>
          <cell r="B1964" t="str">
            <v>00214957</v>
          </cell>
          <cell r="C1964" t="str">
            <v>QUEST, DONALD O</v>
          </cell>
          <cell r="D1964" t="str">
            <v>E0275497</v>
          </cell>
          <cell r="E1964" t="str">
            <v>QUEST DONALD O             MD</v>
          </cell>
          <cell r="G1964" t="str">
            <v>Kathryn Spaziani</v>
          </cell>
          <cell r="H1964" t="str">
            <v>(212) 305-1190</v>
          </cell>
          <cell r="J1964" t="str">
            <v>kas9171@nyp.org</v>
          </cell>
          <cell r="L1964" t="str">
            <v>Practitioner - Non-Primary Care Provider (PCP)</v>
          </cell>
          <cell r="M1964" t="str">
            <v>No</v>
          </cell>
          <cell r="R1964" t="str">
            <v>QUEST DONALD DR.</v>
          </cell>
          <cell r="W1964" t="str">
            <v>QUEST DONALD O             MD</v>
          </cell>
          <cell r="X1964" t="str">
            <v>710 W 168TH ST</v>
          </cell>
          <cell r="Y1964" t="str">
            <v>NEW YORK</v>
          </cell>
          <cell r="Z1964" t="str">
            <v>NY</v>
          </cell>
          <cell r="AA1964" t="str">
            <v>10032-3726</v>
          </cell>
          <cell r="AB1964" t="str">
            <v>PHYSICIAN</v>
          </cell>
          <cell r="AC1964" t="str">
            <v>M</v>
          </cell>
          <cell r="AD1964" t="str">
            <v>No</v>
          </cell>
          <cell r="AE1964" t="str">
            <v>MMIS</v>
          </cell>
          <cell r="AF1964" t="str">
            <v>nypwestcampus</v>
          </cell>
          <cell r="AG1964" t="str">
            <v>P</v>
          </cell>
        </row>
        <row r="1965">
          <cell r="A1965" t="str">
            <v>1841344652</v>
          </cell>
          <cell r="B1965" t="str">
            <v>02845370</v>
          </cell>
          <cell r="C1965" t="str">
            <v>SANCHEZ, CARLOS A</v>
          </cell>
          <cell r="D1965" t="str">
            <v>E0015660</v>
          </cell>
          <cell r="E1965" t="str">
            <v>SANCHEZ CARLOS ALBERTO</v>
          </cell>
          <cell r="G1965" t="str">
            <v>Kathryn Spaziani</v>
          </cell>
          <cell r="H1965" t="str">
            <v>(212) 305-1190</v>
          </cell>
          <cell r="J1965" t="str">
            <v>kas9171@nyp.org</v>
          </cell>
          <cell r="L1965" t="str">
            <v>Mental Health:: Practitioner - Non-Primary Care Provider (PCP)</v>
          </cell>
          <cell r="M1965" t="str">
            <v>No</v>
          </cell>
          <cell r="R1965" t="str">
            <v>SANCHEZ CARLOS DR.</v>
          </cell>
          <cell r="W1965" t="str">
            <v>SANCHEZ CARLOS ALBERTO</v>
          </cell>
          <cell r="X1965" t="str">
            <v>635 W 165TH ST</v>
          </cell>
          <cell r="Y1965" t="str">
            <v>NEW YORK</v>
          </cell>
          <cell r="Z1965" t="str">
            <v>NY</v>
          </cell>
          <cell r="AA1965" t="str">
            <v>10032-3724</v>
          </cell>
          <cell r="AB1965" t="str">
            <v>PHYSICIAN</v>
          </cell>
          <cell r="AC1965" t="str">
            <v>M</v>
          </cell>
          <cell r="AD1965" t="str">
            <v>No</v>
          </cell>
          <cell r="AE1965" t="str">
            <v>MMIS</v>
          </cell>
          <cell r="AF1965" t="str">
            <v>nypwestcampus</v>
          </cell>
          <cell r="AG1965" t="str">
            <v>P</v>
          </cell>
        </row>
        <row r="1966">
          <cell r="A1966" t="str">
            <v>1841351277</v>
          </cell>
          <cell r="B1966" t="str">
            <v>03367122</v>
          </cell>
          <cell r="C1966" t="str">
            <v xml:space="preserve">IYER, SHILESH </v>
          </cell>
          <cell r="D1966" t="str">
            <v>E0323399</v>
          </cell>
          <cell r="E1966" t="str">
            <v>IYER SHILESH</v>
          </cell>
          <cell r="G1966" t="str">
            <v>Kathryn Spaziani</v>
          </cell>
          <cell r="H1966" t="str">
            <v>(212) 305-1190</v>
          </cell>
          <cell r="J1966" t="str">
            <v>kas9171@nyp.org</v>
          </cell>
          <cell r="L1966" t="str">
            <v>Practitioner - Non-Primary Care Provider (PCP)</v>
          </cell>
          <cell r="M1966" t="str">
            <v>No</v>
          </cell>
          <cell r="R1966" t="str">
            <v>IYER SHILESH MR.</v>
          </cell>
          <cell r="W1966" t="str">
            <v>IYER SHILESH</v>
          </cell>
          <cell r="X1966" t="str">
            <v>36 7TH AVE # 2ND</v>
          </cell>
          <cell r="Y1966" t="str">
            <v>NEW YORK</v>
          </cell>
          <cell r="Z1966" t="str">
            <v>NY</v>
          </cell>
          <cell r="AA1966" t="str">
            <v>10011-6609</v>
          </cell>
          <cell r="AB1966" t="str">
            <v>PHYSICIAN</v>
          </cell>
          <cell r="AC1966" t="str">
            <v>M</v>
          </cell>
          <cell r="AD1966" t="str">
            <v>No</v>
          </cell>
          <cell r="AE1966" t="str">
            <v>MMIS</v>
          </cell>
          <cell r="AF1966" t="str">
            <v>nypwestacn</v>
          </cell>
          <cell r="AG1966" t="str">
            <v>P</v>
          </cell>
        </row>
        <row r="1967">
          <cell r="A1967" t="str">
            <v>1750524203</v>
          </cell>
          <cell r="B1967" t="str">
            <v>03500025</v>
          </cell>
          <cell r="C1967" t="str">
            <v>Roy-Burman Paula</v>
          </cell>
          <cell r="D1967" t="str">
            <v>E0339610</v>
          </cell>
          <cell r="E1967" t="str">
            <v>ROY-BURMAN PAULA</v>
          </cell>
          <cell r="L1967" t="str">
            <v>Practitioner - Non-Primary Care Provider (PCP)</v>
          </cell>
          <cell r="M1967" t="str">
            <v>No</v>
          </cell>
          <cell r="R1967" t="str">
            <v>ROY-BURMAN PAULA</v>
          </cell>
          <cell r="W1967" t="str">
            <v>ROY-BURMAN PAULA</v>
          </cell>
          <cell r="AB1967" t="str">
            <v>PHYSICIAN</v>
          </cell>
          <cell r="AC1967" t="str">
            <v>M</v>
          </cell>
          <cell r="AD1967" t="str">
            <v>No</v>
          </cell>
          <cell r="AE1967" t="str">
            <v>MMIS</v>
          </cell>
          <cell r="AF1967" t="str">
            <v>nypeastcampus</v>
          </cell>
          <cell r="AG1967" t="str">
            <v>P</v>
          </cell>
        </row>
        <row r="1968">
          <cell r="A1968" t="str">
            <v>1881852911</v>
          </cell>
          <cell r="B1968" t="str">
            <v>03472960</v>
          </cell>
          <cell r="C1968" t="str">
            <v>Shin Joseph</v>
          </cell>
          <cell r="D1968" t="str">
            <v>E0336577</v>
          </cell>
          <cell r="E1968" t="str">
            <v>SHIN JOSEPH</v>
          </cell>
          <cell r="L1968" t="str">
            <v>Practitioner - Primary Care Provider (PCP)</v>
          </cell>
          <cell r="M1968" t="str">
            <v>No</v>
          </cell>
          <cell r="R1968" t="str">
            <v>SHIN JOSEPH DR.</v>
          </cell>
          <cell r="W1968" t="str">
            <v>SHIN JOSEPH</v>
          </cell>
          <cell r="X1968" t="str">
            <v>462 1ST AVE</v>
          </cell>
          <cell r="Y1968" t="str">
            <v>NEW YORK</v>
          </cell>
          <cell r="Z1968" t="str">
            <v>NY</v>
          </cell>
          <cell r="AA1968" t="str">
            <v>10016-9196</v>
          </cell>
          <cell r="AB1968" t="str">
            <v>PHYSICIAN</v>
          </cell>
          <cell r="AC1968" t="str">
            <v>M</v>
          </cell>
          <cell r="AD1968" t="str">
            <v>No</v>
          </cell>
          <cell r="AE1968" t="str">
            <v>MMIS</v>
          </cell>
          <cell r="AF1968" t="str">
            <v>nypeastcampus</v>
          </cell>
          <cell r="AG1968" t="str">
            <v>P</v>
          </cell>
        </row>
        <row r="1969">
          <cell r="A1969" t="str">
            <v>1871853663</v>
          </cell>
          <cell r="C1969" t="str">
            <v>Liang Yongguang</v>
          </cell>
          <cell r="G1969" t="str">
            <v>Kathryn Spaziani</v>
          </cell>
          <cell r="H1969" t="str">
            <v>(212) 305-1255</v>
          </cell>
          <cell r="J1969" t="str">
            <v>kas9171@nyp.org</v>
          </cell>
          <cell r="K1969" t="str">
            <v>Physician</v>
          </cell>
          <cell r="L1969" t="str">
            <v>Uncategorized</v>
          </cell>
          <cell r="M1969" t="str">
            <v>No</v>
          </cell>
          <cell r="R1969" t="str">
            <v>LIANG YONGGUANG</v>
          </cell>
          <cell r="S1969" t="str">
            <v>177 FORT WASHINGTON AVE, MILSTEIN BLDG ROOM #3-265B</v>
          </cell>
          <cell r="T1969" t="str">
            <v>NEW YORK</v>
          </cell>
          <cell r="U1969" t="str">
            <v>NY</v>
          </cell>
          <cell r="V1969" t="str">
            <v>100323733</v>
          </cell>
          <cell r="AC1969" t="str">
            <v>M</v>
          </cell>
          <cell r="AD1969" t="str">
            <v>No</v>
          </cell>
          <cell r="AE1969" t="str">
            <v>NPI only</v>
          </cell>
          <cell r="AF1969" t="str">
            <v>nypwestcampus</v>
          </cell>
          <cell r="AG1969" t="str">
            <v>P</v>
          </cell>
        </row>
        <row r="1970">
          <cell r="A1970" t="str">
            <v>1447340617</v>
          </cell>
          <cell r="B1970" t="str">
            <v>02544338</v>
          </cell>
          <cell r="C1970" t="str">
            <v xml:space="preserve">HRILJAC, INGRID </v>
          </cell>
          <cell r="D1970" t="str">
            <v>E0045712</v>
          </cell>
          <cell r="E1970" t="str">
            <v>HRILJAC INGRID MD</v>
          </cell>
          <cell r="G1970" t="str">
            <v>Kathryn Spaziani</v>
          </cell>
          <cell r="H1970" t="str">
            <v>(212) 305-1190</v>
          </cell>
          <cell r="J1970" t="str">
            <v>kas9171@nyp.org</v>
          </cell>
          <cell r="L1970" t="str">
            <v>All Other:: Practitioner - Non-Primary Care Provider (PCP)</v>
          </cell>
          <cell r="M1970" t="str">
            <v>No</v>
          </cell>
          <cell r="R1970" t="str">
            <v>HRILJAC INGRID</v>
          </cell>
          <cell r="W1970" t="str">
            <v>HRILJAC INGRID MD</v>
          </cell>
          <cell r="X1970" t="str">
            <v>CARDIOLOGY ST4</v>
          </cell>
          <cell r="Y1970" t="str">
            <v>NEW YORK</v>
          </cell>
          <cell r="Z1970" t="str">
            <v>NY</v>
          </cell>
          <cell r="AA1970" t="str">
            <v>10021-9800</v>
          </cell>
          <cell r="AB1970" t="str">
            <v>PHYSICIAN</v>
          </cell>
          <cell r="AC1970" t="str">
            <v>M</v>
          </cell>
          <cell r="AD1970" t="str">
            <v>No</v>
          </cell>
          <cell r="AE1970" t="str">
            <v>MMIS</v>
          </cell>
          <cell r="AF1970" t="str">
            <v>nypeastacn</v>
          </cell>
          <cell r="AG1970" t="str">
            <v>P</v>
          </cell>
        </row>
        <row r="1971">
          <cell r="A1971" t="str">
            <v>1811254139</v>
          </cell>
          <cell r="B1971" t="str">
            <v>03464711</v>
          </cell>
          <cell r="C1971" t="str">
            <v>ARGUS COMMUNITY INC</v>
          </cell>
          <cell r="D1971" t="str">
            <v>E0335562</v>
          </cell>
          <cell r="E1971" t="str">
            <v>ARGUS COMMUNITY INC</v>
          </cell>
          <cell r="G1971" t="str">
            <v>Daniel Lowy</v>
          </cell>
          <cell r="H1971" t="str">
            <v>(718) 401-5650</v>
          </cell>
          <cell r="J1971" t="str">
            <v>dlowy@arguscommunity.org</v>
          </cell>
          <cell r="L1971" t="str">
            <v>Substance Abuse</v>
          </cell>
          <cell r="M1971" t="str">
            <v>No</v>
          </cell>
          <cell r="R1971" t="str">
            <v>ARGUS COMMUNITY INC</v>
          </cell>
          <cell r="W1971" t="str">
            <v>ARGUS COMMUNITY INC</v>
          </cell>
          <cell r="X1971" t="str">
            <v>507 W 145TH ST</v>
          </cell>
          <cell r="Y1971" t="str">
            <v>NEW YORK</v>
          </cell>
          <cell r="Z1971" t="str">
            <v>NY</v>
          </cell>
          <cell r="AA1971" t="str">
            <v>10031-5101</v>
          </cell>
          <cell r="AB1971" t="str">
            <v>DIAGNOSTIC AND TREATMENT CENTER</v>
          </cell>
          <cell r="AC1971" t="str">
            <v>M</v>
          </cell>
          <cell r="AD1971" t="str">
            <v>No</v>
          </cell>
          <cell r="AE1971" t="str">
            <v>MMIS</v>
          </cell>
          <cell r="AF1971" t="str">
            <v>arguscommunity</v>
          </cell>
          <cell r="AG1971" t="str">
            <v>P</v>
          </cell>
        </row>
        <row r="1972">
          <cell r="A1972" t="str">
            <v>1235104118</v>
          </cell>
          <cell r="B1972" t="str">
            <v>02862999</v>
          </cell>
          <cell r="C1972" t="str">
            <v>Remotti Fabrizio</v>
          </cell>
          <cell r="D1972" t="str">
            <v>E0013899</v>
          </cell>
          <cell r="E1972" t="str">
            <v>REMOTTI FABRIZIO</v>
          </cell>
          <cell r="L1972" t="str">
            <v>All Other:: Practitioner - Non-Primary Care Provider (PCP)</v>
          </cell>
          <cell r="M1972" t="str">
            <v>No</v>
          </cell>
          <cell r="R1972" t="str">
            <v>REMOTTI FABRIZIO</v>
          </cell>
          <cell r="W1972" t="str">
            <v>REMOTTI FABRIZIO</v>
          </cell>
          <cell r="X1972" t="str">
            <v>630 W 168TH ST STE P</v>
          </cell>
          <cell r="Y1972" t="str">
            <v>NEW YORK</v>
          </cell>
          <cell r="Z1972" t="str">
            <v>NY</v>
          </cell>
          <cell r="AA1972" t="str">
            <v>10032-3725</v>
          </cell>
          <cell r="AB1972" t="str">
            <v>PHYSICIAN</v>
          </cell>
          <cell r="AC1972" t="str">
            <v>M</v>
          </cell>
          <cell r="AD1972" t="str">
            <v>No</v>
          </cell>
          <cell r="AE1972" t="str">
            <v>MMIS</v>
          </cell>
          <cell r="AF1972" t="str">
            <v>nypwestcampus</v>
          </cell>
          <cell r="AG1972" t="str">
            <v>P</v>
          </cell>
        </row>
        <row r="1973">
          <cell r="A1973" t="str">
            <v>1649324302</v>
          </cell>
          <cell r="B1973" t="str">
            <v>01801505</v>
          </cell>
          <cell r="C1973" t="str">
            <v>Sladen Robert</v>
          </cell>
          <cell r="D1973" t="str">
            <v>E0119885</v>
          </cell>
          <cell r="E1973" t="str">
            <v>SLADEN ROBERT N MD</v>
          </cell>
          <cell r="L1973" t="str">
            <v>Practitioner - Non-Primary Care Provider (PCP)</v>
          </cell>
          <cell r="M1973" t="str">
            <v>No</v>
          </cell>
          <cell r="R1973" t="str">
            <v>SLADEN ROBERT</v>
          </cell>
          <cell r="W1973" t="str">
            <v>SLADEN ROBERT N MD</v>
          </cell>
          <cell r="X1973" t="str">
            <v>ANES SVCS OF CPMC</v>
          </cell>
          <cell r="Y1973" t="str">
            <v>NEW YORK</v>
          </cell>
          <cell r="Z1973" t="str">
            <v>NY</v>
          </cell>
          <cell r="AA1973" t="str">
            <v>10032-3720</v>
          </cell>
          <cell r="AB1973" t="str">
            <v>PHYSICIAN</v>
          </cell>
          <cell r="AC1973" t="str">
            <v>M</v>
          </cell>
          <cell r="AD1973" t="str">
            <v>No</v>
          </cell>
          <cell r="AE1973" t="str">
            <v>MMIS</v>
          </cell>
          <cell r="AF1973" t="str">
            <v>nypwestcampus</v>
          </cell>
          <cell r="AG1973" t="str">
            <v>P</v>
          </cell>
        </row>
        <row r="1974">
          <cell r="A1974" t="str">
            <v>1093940348</v>
          </cell>
          <cell r="B1974" t="str">
            <v>03376625</v>
          </cell>
          <cell r="C1974" t="str">
            <v>Sobol Julia</v>
          </cell>
          <cell r="D1974" t="str">
            <v>E0324599</v>
          </cell>
          <cell r="E1974" t="str">
            <v>SOBOL JULIA BERNARD</v>
          </cell>
          <cell r="L1974" t="str">
            <v>All Other:: Practitioner - Non-Primary Care Provider (PCP)</v>
          </cell>
          <cell r="M1974" t="str">
            <v>No</v>
          </cell>
          <cell r="R1974" t="str">
            <v>SOBOL JULIA</v>
          </cell>
          <cell r="W1974" t="str">
            <v>SOBOL JULIA BERNARD</v>
          </cell>
          <cell r="AB1974" t="str">
            <v>PHYSICIAN</v>
          </cell>
          <cell r="AC1974" t="str">
            <v>M</v>
          </cell>
          <cell r="AD1974" t="str">
            <v>No</v>
          </cell>
          <cell r="AE1974" t="str">
            <v>MMIS</v>
          </cell>
          <cell r="AF1974" t="str">
            <v>nypwestcampus</v>
          </cell>
          <cell r="AG1974" t="str">
            <v>P</v>
          </cell>
        </row>
        <row r="1975">
          <cell r="A1975" t="str">
            <v>1760402341</v>
          </cell>
          <cell r="B1975" t="str">
            <v>02978696</v>
          </cell>
          <cell r="C1975" t="str">
            <v>Tupper Kelly</v>
          </cell>
          <cell r="D1975" t="str">
            <v>E0006445</v>
          </cell>
          <cell r="E1975" t="str">
            <v>KELLY TUPPER PA</v>
          </cell>
          <cell r="L1975" t="str">
            <v>Uncategorized</v>
          </cell>
          <cell r="M1975" t="str">
            <v>No</v>
          </cell>
          <cell r="R1975" t="str">
            <v>TUPPER KELLY</v>
          </cell>
          <cell r="W1975" t="str">
            <v>TUPPER KELLY JEAN RPA</v>
          </cell>
          <cell r="X1975" t="str">
            <v>153 W 11TH ST</v>
          </cell>
          <cell r="Y1975" t="str">
            <v>NEW YORK</v>
          </cell>
          <cell r="Z1975" t="str">
            <v>NY</v>
          </cell>
          <cell r="AA1975" t="str">
            <v>10011-8305</v>
          </cell>
          <cell r="AB1975" t="str">
            <v>PHYSICIAN</v>
          </cell>
          <cell r="AC1975" t="str">
            <v>M</v>
          </cell>
          <cell r="AD1975" t="str">
            <v>No</v>
          </cell>
          <cell r="AE1975" t="str">
            <v>MMIS</v>
          </cell>
          <cell r="AF1975" t="str">
            <v>nypwestcampus</v>
          </cell>
          <cell r="AG1975" t="str">
            <v>P</v>
          </cell>
        </row>
        <row r="1976">
          <cell r="A1976" t="str">
            <v>1679732614</v>
          </cell>
          <cell r="B1976" t="str">
            <v>03790801</v>
          </cell>
          <cell r="C1976" t="str">
            <v>Calloway James</v>
          </cell>
          <cell r="D1976" t="str">
            <v>E0369878</v>
          </cell>
          <cell r="E1976" t="str">
            <v>CALLOWAY JAMES JULIUS III</v>
          </cell>
          <cell r="L1976" t="str">
            <v>Practitioner - Non-Primary Care Provider (PCP)</v>
          </cell>
          <cell r="M1976" t="str">
            <v>No</v>
          </cell>
          <cell r="R1976" t="str">
            <v>CALLOWAY JAMES</v>
          </cell>
          <cell r="W1976" t="str">
            <v>CALLOWAY JAMES JULIUS III</v>
          </cell>
          <cell r="X1976" t="str">
            <v>535 E 70TH ST</v>
          </cell>
          <cell r="Y1976" t="str">
            <v>NEW YORK</v>
          </cell>
          <cell r="Z1976" t="str">
            <v>NY</v>
          </cell>
          <cell r="AA1976" t="str">
            <v>10021-4823</v>
          </cell>
          <cell r="AB1976" t="str">
            <v>PHYSICIAN</v>
          </cell>
          <cell r="AC1976" t="str">
            <v>M</v>
          </cell>
          <cell r="AD1976" t="str">
            <v>No</v>
          </cell>
          <cell r="AE1976" t="str">
            <v>MMIS</v>
          </cell>
          <cell r="AF1976" t="str">
            <v>nypeastcampus</v>
          </cell>
          <cell r="AG1976" t="str">
            <v>P</v>
          </cell>
        </row>
        <row r="1977">
          <cell r="A1977" t="str">
            <v>1285691394</v>
          </cell>
          <cell r="B1977" t="str">
            <v>02859823</v>
          </cell>
          <cell r="C1977" t="str">
            <v>GAUTHIER, SUSAN A</v>
          </cell>
          <cell r="D1977" t="str">
            <v>E0014216</v>
          </cell>
          <cell r="E1977" t="str">
            <v>GAUTHIER SUSAN  DO</v>
          </cell>
          <cell r="G1977" t="str">
            <v>Kathryn Spaziani</v>
          </cell>
          <cell r="H1977" t="str">
            <v>(212) 305-1190</v>
          </cell>
          <cell r="J1977" t="str">
            <v>kas9171@nyp.org</v>
          </cell>
          <cell r="L1977" t="str">
            <v>All Other:: Practitioner - Non-Primary Care Provider (PCP)</v>
          </cell>
          <cell r="M1977" t="str">
            <v>No</v>
          </cell>
          <cell r="R1977" t="str">
            <v>GAUTHIER SUSAN</v>
          </cell>
          <cell r="W1977" t="str">
            <v>GAUTHIER SUSAN  DO</v>
          </cell>
          <cell r="X1977" t="str">
            <v>520 E 70TH ST</v>
          </cell>
          <cell r="Y1977" t="str">
            <v>NEW YORK</v>
          </cell>
          <cell r="Z1977" t="str">
            <v>NY</v>
          </cell>
          <cell r="AA1977" t="str">
            <v>10021-9800</v>
          </cell>
          <cell r="AB1977" t="str">
            <v>PHYSICIAN</v>
          </cell>
          <cell r="AC1977" t="str">
            <v>M</v>
          </cell>
          <cell r="AD1977" t="str">
            <v>No</v>
          </cell>
          <cell r="AE1977" t="str">
            <v>MMIS</v>
          </cell>
          <cell r="AF1977" t="str">
            <v>nypeastacn</v>
          </cell>
          <cell r="AG1977" t="str">
            <v>P</v>
          </cell>
        </row>
        <row r="1978">
          <cell r="C1978" t="str">
            <v>Allied Service Center NYC (ASCNYC)</v>
          </cell>
          <cell r="G1978" t="str">
            <v>Marcy Rae Thompson</v>
          </cell>
          <cell r="H1978" t="str">
            <v>(212) 645-0875</v>
          </cell>
          <cell r="J1978" t="str">
            <v>marcy@ascnyc.org</v>
          </cell>
          <cell r="K1978" t="str">
            <v>HIV/AIDS Provider</v>
          </cell>
          <cell r="L1978" t="str">
            <v>CBO</v>
          </cell>
          <cell r="M1978" t="str">
            <v>No</v>
          </cell>
          <cell r="AC1978" t="str">
            <v>M</v>
          </cell>
          <cell r="AD1978" t="str">
            <v>No</v>
          </cell>
          <cell r="AE1978" t="str">
            <v>No NPI or MMIS</v>
          </cell>
          <cell r="AG1978" t="str">
            <v>P</v>
          </cell>
        </row>
        <row r="1979">
          <cell r="A1979" t="str">
            <v>1265676092</v>
          </cell>
          <cell r="B1979" t="str">
            <v>03274251</v>
          </cell>
          <cell r="C1979" t="str">
            <v>City-Pro Group, Inc.</v>
          </cell>
          <cell r="D1979" t="str">
            <v>E0312827</v>
          </cell>
          <cell r="E1979" t="str">
            <v>CITY-PRO GROUP INC</v>
          </cell>
          <cell r="G1979" t="str">
            <v>Dr. Braden Josephson</v>
          </cell>
          <cell r="H1979" t="str">
            <v>(718) 769-2698</v>
          </cell>
          <cell r="I1979">
            <v>261</v>
          </cell>
          <cell r="J1979" t="str">
            <v>bjosephson@cityprogroup.com</v>
          </cell>
          <cell r="L1979" t="str">
            <v>All Other:: Case Management / Health Home:: Clinic</v>
          </cell>
          <cell r="M1979" t="str">
            <v>No</v>
          </cell>
          <cell r="R1979" t="str">
            <v>CITY PRO GROUP, INC.</v>
          </cell>
          <cell r="W1979" t="str">
            <v>CITY-PRO GROUP INC</v>
          </cell>
          <cell r="X1979" t="str">
            <v>42-09 28TH ST FL 18</v>
          </cell>
          <cell r="Y1979" t="str">
            <v>LONG ISLAND CITY</v>
          </cell>
          <cell r="Z1979" t="str">
            <v>NY</v>
          </cell>
          <cell r="AA1979" t="str">
            <v>11101-4130</v>
          </cell>
          <cell r="AB1979" t="str">
            <v>MULTI-TYPE</v>
          </cell>
          <cell r="AC1979" t="str">
            <v>M</v>
          </cell>
          <cell r="AD1979" t="str">
            <v>No</v>
          </cell>
          <cell r="AE1979" t="str">
            <v>MMIS</v>
          </cell>
          <cell r="AG1979" t="str">
            <v>P</v>
          </cell>
        </row>
        <row r="1980">
          <cell r="A1980" t="str">
            <v>1174620314</v>
          </cell>
          <cell r="B1980" t="str">
            <v>01764878</v>
          </cell>
          <cell r="C1980" t="str">
            <v xml:space="preserve">Create Inc </v>
          </cell>
          <cell r="D1980" t="str">
            <v>E0123541</v>
          </cell>
          <cell r="E1980" t="str">
            <v>CREATE,INC.</v>
          </cell>
          <cell r="G1980" t="str">
            <v xml:space="preserve">Jacques Nir, LCSW </v>
          </cell>
          <cell r="H1980" t="str">
            <v>(212) 663-1975</v>
          </cell>
          <cell r="I1980">
            <v>328</v>
          </cell>
          <cell r="J1980" t="str">
            <v xml:space="preserve">jnir@createinc.org </v>
          </cell>
          <cell r="L1980" t="str">
            <v>All Other:: Substance Abuse</v>
          </cell>
          <cell r="M1980" t="str">
            <v>Yes</v>
          </cell>
          <cell r="R1980" t="str">
            <v>CREATE, INC.</v>
          </cell>
          <cell r="W1980" t="str">
            <v>CREATE,INC.</v>
          </cell>
          <cell r="X1980" t="str">
            <v>73-75 LENOX AVE</v>
          </cell>
          <cell r="Y1980" t="str">
            <v>NEW YORK</v>
          </cell>
          <cell r="Z1980" t="str">
            <v>NY</v>
          </cell>
          <cell r="AA1980" t="str">
            <v>10026-3007</v>
          </cell>
          <cell r="AB1980" t="str">
            <v>DIAGNOSTIC AND TREATMENT CENTER</v>
          </cell>
          <cell r="AC1980" t="str">
            <v>M</v>
          </cell>
          <cell r="AD1980" t="str">
            <v>No</v>
          </cell>
          <cell r="AE1980" t="str">
            <v>MMIS</v>
          </cell>
          <cell r="AG1980" t="str">
            <v>P</v>
          </cell>
        </row>
        <row r="1981">
          <cell r="A1981" t="str">
            <v>1174668032</v>
          </cell>
          <cell r="C1981" t="str">
            <v xml:space="preserve">Jacques Nir, LCSW </v>
          </cell>
          <cell r="G1981" t="str">
            <v xml:space="preserve">Jacques Nir, LCSW </v>
          </cell>
          <cell r="H1981" t="str">
            <v>(212) 663-1975</v>
          </cell>
          <cell r="I1981">
            <v>328</v>
          </cell>
          <cell r="J1981" t="str">
            <v xml:space="preserve">jnir@createinc.org </v>
          </cell>
          <cell r="K1981" t="str">
            <v>Unknown</v>
          </cell>
          <cell r="L1981" t="str">
            <v>Uncategorized</v>
          </cell>
          <cell r="M1981" t="str">
            <v>No</v>
          </cell>
          <cell r="R1981" t="str">
            <v>NIR JACQUES MR.</v>
          </cell>
          <cell r="S1981" t="str">
            <v>50 LEXINGTON AVE, PROFESSIONAL SUITES 101</v>
          </cell>
          <cell r="T1981" t="str">
            <v>NEW YORK</v>
          </cell>
          <cell r="U1981" t="str">
            <v>NY</v>
          </cell>
          <cell r="V1981" t="str">
            <v>100102935</v>
          </cell>
          <cell r="AC1981" t="str">
            <v>M</v>
          </cell>
          <cell r="AD1981" t="str">
            <v>No</v>
          </cell>
          <cell r="AE1981" t="str">
            <v>NPI only</v>
          </cell>
          <cell r="AG1981" t="str">
            <v>P</v>
          </cell>
        </row>
        <row r="1982">
          <cell r="A1982" t="str">
            <v>1093991630</v>
          </cell>
          <cell r="C1982" t="str">
            <v xml:space="preserve">Iris Cohen, LCSW -R </v>
          </cell>
          <cell r="G1982" t="str">
            <v xml:space="preserve">Jacques Nir, LCSW </v>
          </cell>
          <cell r="H1982" t="str">
            <v>(212) 663-1975</v>
          </cell>
          <cell r="I1982">
            <v>328</v>
          </cell>
          <cell r="J1982" t="str">
            <v xml:space="preserve">jnir@createinc.org </v>
          </cell>
          <cell r="K1982" t="str">
            <v>Unknown</v>
          </cell>
          <cell r="L1982" t="str">
            <v>Practitioner - Non-Primary Care Provider (PCP)</v>
          </cell>
          <cell r="M1982" t="str">
            <v>No</v>
          </cell>
          <cell r="R1982" t="str">
            <v>COHEN IRIS MS.</v>
          </cell>
          <cell r="S1982" t="str">
            <v>1 GUSTAVE L LEVY PLACE, 1059</v>
          </cell>
          <cell r="T1982" t="str">
            <v>NEW YORK</v>
          </cell>
          <cell r="U1982" t="str">
            <v>NY</v>
          </cell>
          <cell r="V1982" t="str">
            <v>100296574</v>
          </cell>
          <cell r="AC1982" t="str">
            <v>M</v>
          </cell>
          <cell r="AD1982" t="str">
            <v>No</v>
          </cell>
          <cell r="AE1982" t="str">
            <v>NPI only</v>
          </cell>
          <cell r="AG1982" t="str">
            <v>P</v>
          </cell>
        </row>
        <row r="1983">
          <cell r="A1983" t="str">
            <v>1689087025</v>
          </cell>
          <cell r="C1983" t="str">
            <v xml:space="preserve">Lauren Levy,  MHC </v>
          </cell>
          <cell r="G1983" t="str">
            <v xml:space="preserve">Jacques Nir, LCSW </v>
          </cell>
          <cell r="H1983" t="str">
            <v>(212) 663-1975</v>
          </cell>
          <cell r="I1983">
            <v>328</v>
          </cell>
          <cell r="J1983" t="str">
            <v xml:space="preserve">jnir@createinc.org </v>
          </cell>
          <cell r="K1983" t="str">
            <v>Unknown</v>
          </cell>
          <cell r="L1983" t="str">
            <v>Uncategorized</v>
          </cell>
          <cell r="M1983" t="str">
            <v>No</v>
          </cell>
          <cell r="R1983" t="str">
            <v>LEVY LAUREN</v>
          </cell>
          <cell r="S1983" t="str">
            <v>73 LENOX AVE</v>
          </cell>
          <cell r="T1983" t="str">
            <v>NEW YORK</v>
          </cell>
          <cell r="U1983" t="str">
            <v>NY</v>
          </cell>
          <cell r="V1983" t="str">
            <v>100263007</v>
          </cell>
          <cell r="AC1983" t="str">
            <v>M</v>
          </cell>
          <cell r="AD1983" t="str">
            <v>No</v>
          </cell>
          <cell r="AE1983" t="str">
            <v>NPI only</v>
          </cell>
          <cell r="AG1983" t="str">
            <v>P</v>
          </cell>
        </row>
        <row r="1984">
          <cell r="C1984" t="str">
            <v xml:space="preserve">Alexis Acevedo MHC </v>
          </cell>
          <cell r="G1984" t="str">
            <v xml:space="preserve">Jacques Nir, LCSW </v>
          </cell>
          <cell r="H1984" t="str">
            <v>(212) 663-1975</v>
          </cell>
          <cell r="I1984">
            <v>328</v>
          </cell>
          <cell r="J1984" t="str">
            <v xml:space="preserve">jnir@createinc.org </v>
          </cell>
          <cell r="K1984" t="str">
            <v>Unknown</v>
          </cell>
          <cell r="L1984" t="str">
            <v>CBO</v>
          </cell>
          <cell r="M1984" t="str">
            <v>No</v>
          </cell>
          <cell r="N1984" t="str">
            <v xml:space="preserve">71-73 Lenox avenue </v>
          </cell>
          <cell r="O1984" t="str">
            <v xml:space="preserve">New York </v>
          </cell>
          <cell r="P1984" t="str">
            <v xml:space="preserve">New York </v>
          </cell>
          <cell r="Q1984" t="str">
            <v>10026</v>
          </cell>
          <cell r="AC1984" t="str">
            <v>M</v>
          </cell>
          <cell r="AD1984" t="str">
            <v>No</v>
          </cell>
          <cell r="AE1984" t="str">
            <v>No NPI or MMIS</v>
          </cell>
          <cell r="AG1984" t="str">
            <v>P</v>
          </cell>
        </row>
        <row r="1985">
          <cell r="A1985" t="str">
            <v>1942612213</v>
          </cell>
          <cell r="C1985" t="str">
            <v xml:space="preserve">Dennis Smalls  CASAC </v>
          </cell>
          <cell r="G1985" t="str">
            <v xml:space="preserve">Jacques Nir, LCSW </v>
          </cell>
          <cell r="H1985" t="str">
            <v>(212) 663-1975</v>
          </cell>
          <cell r="I1985">
            <v>328</v>
          </cell>
          <cell r="J1985" t="str">
            <v xml:space="preserve">jnir@createinc.org </v>
          </cell>
          <cell r="K1985" t="str">
            <v>Unknown</v>
          </cell>
          <cell r="L1985" t="str">
            <v>Uncategorized</v>
          </cell>
          <cell r="M1985" t="str">
            <v>No</v>
          </cell>
          <cell r="R1985" t="str">
            <v>SMALLS DENNIS MR.</v>
          </cell>
          <cell r="S1985" t="str">
            <v>73 LENOX AVE</v>
          </cell>
          <cell r="T1985" t="str">
            <v>NEW YORK</v>
          </cell>
          <cell r="U1985" t="str">
            <v>NY</v>
          </cell>
          <cell r="V1985" t="str">
            <v>100263007</v>
          </cell>
          <cell r="AC1985" t="str">
            <v>M</v>
          </cell>
          <cell r="AD1985" t="str">
            <v>No</v>
          </cell>
          <cell r="AE1985" t="str">
            <v>NPI only</v>
          </cell>
          <cell r="AG1985" t="str">
            <v>P</v>
          </cell>
        </row>
        <row r="1986">
          <cell r="A1986" t="str">
            <v>1053731034</v>
          </cell>
          <cell r="C1986" t="str">
            <v xml:space="preserve">Reggie Johnson CASAC </v>
          </cell>
          <cell r="G1986" t="str">
            <v xml:space="preserve">Jacques Nir, LCSW </v>
          </cell>
          <cell r="H1986" t="str">
            <v>(212) 663-1975</v>
          </cell>
          <cell r="I1986">
            <v>328</v>
          </cell>
          <cell r="J1986" t="str">
            <v xml:space="preserve">jnir@createinc.org </v>
          </cell>
          <cell r="K1986" t="str">
            <v>Unknown</v>
          </cell>
          <cell r="L1986" t="str">
            <v>Uncategorized</v>
          </cell>
          <cell r="M1986" t="str">
            <v>No</v>
          </cell>
          <cell r="R1986" t="str">
            <v>JOHNSON REGGIE</v>
          </cell>
          <cell r="S1986" t="str">
            <v>177 EAST 122ND STREET</v>
          </cell>
          <cell r="T1986" t="str">
            <v>NY</v>
          </cell>
          <cell r="U1986" t="str">
            <v>NY</v>
          </cell>
          <cell r="V1986" t="str">
            <v>10035</v>
          </cell>
          <cell r="AC1986" t="str">
            <v>M</v>
          </cell>
          <cell r="AD1986" t="str">
            <v>No</v>
          </cell>
          <cell r="AE1986" t="str">
            <v>NPI only</v>
          </cell>
          <cell r="AG1986" t="str">
            <v>P</v>
          </cell>
        </row>
        <row r="1987">
          <cell r="A1987" t="str">
            <v>1518387190</v>
          </cell>
          <cell r="C1987" t="str">
            <v xml:space="preserve">Philip Kierstedt MA; CASAC-T </v>
          </cell>
          <cell r="G1987" t="str">
            <v xml:space="preserve">Jacques Nir, LCSW </v>
          </cell>
          <cell r="H1987" t="str">
            <v>(212) 663-1975</v>
          </cell>
          <cell r="I1987">
            <v>328</v>
          </cell>
          <cell r="J1987" t="str">
            <v xml:space="preserve">jnir@createinc.org </v>
          </cell>
          <cell r="K1987" t="str">
            <v>Unknown</v>
          </cell>
          <cell r="L1987" t="str">
            <v>Uncategorized</v>
          </cell>
          <cell r="M1987" t="str">
            <v>No</v>
          </cell>
          <cell r="R1987" t="str">
            <v>KIERSTEDT PHILIP MR.</v>
          </cell>
          <cell r="S1987" t="str">
            <v>150 EAST LAKE AVE</v>
          </cell>
          <cell r="T1987" t="str">
            <v>RAHWAY</v>
          </cell>
          <cell r="U1987" t="str">
            <v>NJ</v>
          </cell>
          <cell r="V1987" t="str">
            <v>07065</v>
          </cell>
          <cell r="AC1987" t="str">
            <v>M</v>
          </cell>
          <cell r="AD1987" t="str">
            <v>No</v>
          </cell>
          <cell r="AE1987" t="str">
            <v>NPI only</v>
          </cell>
          <cell r="AG1987" t="str">
            <v>P</v>
          </cell>
        </row>
        <row r="1988">
          <cell r="A1988" t="str">
            <v>1952714180</v>
          </cell>
          <cell r="C1988" t="str">
            <v xml:space="preserve">Rezbi Monnan MHC </v>
          </cell>
          <cell r="G1988" t="str">
            <v xml:space="preserve">Jacques Nir, LCSW </v>
          </cell>
          <cell r="H1988" t="str">
            <v>(212) 663-1975</v>
          </cell>
          <cell r="I1988">
            <v>328</v>
          </cell>
          <cell r="J1988" t="str">
            <v xml:space="preserve">jnir@createinc.org </v>
          </cell>
          <cell r="K1988" t="str">
            <v>Unknown</v>
          </cell>
          <cell r="L1988" t="str">
            <v>Uncategorized</v>
          </cell>
          <cell r="M1988" t="str">
            <v>No</v>
          </cell>
          <cell r="R1988" t="str">
            <v>MONNAN REZBI MS.</v>
          </cell>
          <cell r="S1988" t="str">
            <v>73-75 LENOX AVENUE</v>
          </cell>
          <cell r="T1988" t="str">
            <v>NEW YORK</v>
          </cell>
          <cell r="U1988" t="str">
            <v>NY</v>
          </cell>
          <cell r="V1988" t="str">
            <v>10026</v>
          </cell>
          <cell r="AC1988" t="str">
            <v>M</v>
          </cell>
          <cell r="AD1988" t="str">
            <v>No</v>
          </cell>
          <cell r="AE1988" t="str">
            <v>NPI only</v>
          </cell>
          <cell r="AG1988" t="str">
            <v>P</v>
          </cell>
        </row>
        <row r="1989">
          <cell r="A1989" t="str">
            <v>1245642479</v>
          </cell>
          <cell r="C1989" t="str">
            <v xml:space="preserve">Sidney Hargrave CASAC </v>
          </cell>
          <cell r="G1989" t="str">
            <v xml:space="preserve">Jacques Nir, LCSW </v>
          </cell>
          <cell r="H1989" t="str">
            <v>(212) 663-1975</v>
          </cell>
          <cell r="I1989">
            <v>328</v>
          </cell>
          <cell r="J1989" t="str">
            <v xml:space="preserve">jnir@createinc.org </v>
          </cell>
          <cell r="K1989" t="str">
            <v>Unknown</v>
          </cell>
          <cell r="L1989" t="str">
            <v>Uncategorized</v>
          </cell>
          <cell r="M1989" t="str">
            <v>No</v>
          </cell>
          <cell r="R1989" t="str">
            <v>HARGRAVE SIDNEY</v>
          </cell>
          <cell r="S1989" t="str">
            <v>73 LENOX AVE</v>
          </cell>
          <cell r="T1989" t="str">
            <v>NEW YORK</v>
          </cell>
          <cell r="U1989" t="str">
            <v>NY</v>
          </cell>
          <cell r="V1989" t="str">
            <v>100263007</v>
          </cell>
          <cell r="AC1989" t="str">
            <v>M</v>
          </cell>
          <cell r="AD1989" t="str">
            <v>No</v>
          </cell>
          <cell r="AE1989" t="str">
            <v>NPI only</v>
          </cell>
          <cell r="AG1989" t="str">
            <v>P</v>
          </cell>
        </row>
        <row r="1990">
          <cell r="C1990" t="str">
            <v xml:space="preserve">Jessica Prichett MHC </v>
          </cell>
          <cell r="G1990" t="str">
            <v xml:space="preserve">Jacques Nir, LCSW </v>
          </cell>
          <cell r="H1990" t="str">
            <v>(212) 663-1975</v>
          </cell>
          <cell r="I1990">
            <v>328</v>
          </cell>
          <cell r="J1990" t="str">
            <v xml:space="preserve">jnir@createinc.org </v>
          </cell>
          <cell r="K1990" t="str">
            <v>Unknown</v>
          </cell>
          <cell r="L1990" t="str">
            <v>CBO</v>
          </cell>
          <cell r="M1990" t="str">
            <v>No</v>
          </cell>
          <cell r="N1990" t="str">
            <v xml:space="preserve">71-73 Lenox avenue </v>
          </cell>
          <cell r="O1990" t="str">
            <v xml:space="preserve">New York </v>
          </cell>
          <cell r="P1990" t="str">
            <v xml:space="preserve">New York </v>
          </cell>
          <cell r="Q1990" t="str">
            <v>10026</v>
          </cell>
          <cell r="AC1990" t="str">
            <v>M</v>
          </cell>
          <cell r="AD1990" t="str">
            <v>No</v>
          </cell>
          <cell r="AE1990" t="str">
            <v>No NPI or MMIS</v>
          </cell>
          <cell r="AG1990" t="str">
            <v>P</v>
          </cell>
        </row>
        <row r="1991">
          <cell r="C1991" t="str">
            <v xml:space="preserve">Samantha Sudano MHC </v>
          </cell>
          <cell r="G1991" t="str">
            <v xml:space="preserve">Jacques Nir, LCSW </v>
          </cell>
          <cell r="H1991" t="str">
            <v>(212) 663-1975</v>
          </cell>
          <cell r="I1991">
            <v>328</v>
          </cell>
          <cell r="J1991" t="str">
            <v xml:space="preserve">jnir@createinc.org </v>
          </cell>
          <cell r="K1991" t="str">
            <v>Unknown</v>
          </cell>
          <cell r="L1991" t="str">
            <v>CBO</v>
          </cell>
          <cell r="M1991" t="str">
            <v>No</v>
          </cell>
          <cell r="N1991" t="str">
            <v xml:space="preserve">71-73 Lenox avenue </v>
          </cell>
          <cell r="O1991" t="str">
            <v xml:space="preserve">New York </v>
          </cell>
          <cell r="P1991" t="str">
            <v xml:space="preserve">New York </v>
          </cell>
          <cell r="Q1991" t="str">
            <v>10026</v>
          </cell>
          <cell r="AC1991" t="str">
            <v>M</v>
          </cell>
          <cell r="AD1991" t="str">
            <v>No</v>
          </cell>
          <cell r="AE1991" t="str">
            <v>No NPI or MMIS</v>
          </cell>
          <cell r="AG1991" t="str">
            <v>P</v>
          </cell>
        </row>
        <row r="1992">
          <cell r="C1992" t="str">
            <v xml:space="preserve">Renee De Lyon CRC </v>
          </cell>
          <cell r="G1992" t="str">
            <v xml:space="preserve">Jacques Nir, LCSW </v>
          </cell>
          <cell r="H1992" t="str">
            <v>(212) 663-1975</v>
          </cell>
          <cell r="I1992">
            <v>328</v>
          </cell>
          <cell r="J1992" t="str">
            <v xml:space="preserve">jnir@createinc.org </v>
          </cell>
          <cell r="K1992" t="str">
            <v>Unknown</v>
          </cell>
          <cell r="L1992" t="str">
            <v>CBO</v>
          </cell>
          <cell r="M1992" t="str">
            <v>No</v>
          </cell>
          <cell r="N1992" t="str">
            <v xml:space="preserve">71-73 Lenox avenue </v>
          </cell>
          <cell r="O1992" t="str">
            <v xml:space="preserve">New York </v>
          </cell>
          <cell r="P1992" t="str">
            <v xml:space="preserve">New York </v>
          </cell>
          <cell r="Q1992" t="str">
            <v>10026</v>
          </cell>
          <cell r="AC1992" t="str">
            <v>M</v>
          </cell>
          <cell r="AD1992" t="str">
            <v>No</v>
          </cell>
          <cell r="AE1992" t="str">
            <v>No NPI or MMIS</v>
          </cell>
          <cell r="AG1992" t="str">
            <v>P</v>
          </cell>
        </row>
        <row r="1993">
          <cell r="A1993" t="str">
            <v>1881777464</v>
          </cell>
          <cell r="B1993" t="str">
            <v>01018079</v>
          </cell>
          <cell r="C1993" t="str">
            <v>Dr. Neil Berlinder: CAQH 10502503</v>
          </cell>
          <cell r="D1993" t="str">
            <v>E0198055</v>
          </cell>
          <cell r="E1993" t="str">
            <v>BERLINER NEIL EVAN</v>
          </cell>
          <cell r="G1993" t="str">
            <v xml:space="preserve">Jacques Nir, LCSW </v>
          </cell>
          <cell r="H1993" t="str">
            <v>(212) 663-1975</v>
          </cell>
          <cell r="I1993">
            <v>328</v>
          </cell>
          <cell r="J1993" t="str">
            <v xml:space="preserve">jnir@createinc.org </v>
          </cell>
          <cell r="L1993" t="str">
            <v>Practitioner - Non-Primary Care Provider (PCP)</v>
          </cell>
          <cell r="M1993" t="str">
            <v>Yes</v>
          </cell>
          <cell r="R1993" t="str">
            <v>BERLINER NEIL DR.</v>
          </cell>
          <cell r="W1993" t="str">
            <v>BERLINER NEIL EVAN</v>
          </cell>
          <cell r="X1993" t="str">
            <v>73 LENOX AVE # 75</v>
          </cell>
          <cell r="Y1993" t="str">
            <v>NEW YORK</v>
          </cell>
          <cell r="Z1993" t="str">
            <v>NY</v>
          </cell>
          <cell r="AA1993" t="str">
            <v>10026-3007</v>
          </cell>
          <cell r="AB1993" t="str">
            <v>PHYSICIAN</v>
          </cell>
          <cell r="AC1993" t="str">
            <v>M</v>
          </cell>
          <cell r="AD1993" t="str">
            <v>No</v>
          </cell>
          <cell r="AE1993" t="str">
            <v>MMIS</v>
          </cell>
          <cell r="AG1993" t="str">
            <v>P</v>
          </cell>
        </row>
        <row r="1994">
          <cell r="A1994" t="str">
            <v>1255442513</v>
          </cell>
          <cell r="B1994" t="str">
            <v>01701431</v>
          </cell>
          <cell r="C1994" t="str">
            <v xml:space="preserve">Dr. Guy Pean: CAQH 12344773 </v>
          </cell>
          <cell r="D1994" t="str">
            <v>E0129878</v>
          </cell>
          <cell r="E1994" t="str">
            <v>PEAN GUY JEAN MD</v>
          </cell>
          <cell r="G1994" t="str">
            <v xml:space="preserve">Jacques Nir, LCSW </v>
          </cell>
          <cell r="H1994" t="str">
            <v>(212) 663-1975</v>
          </cell>
          <cell r="I1994">
            <v>328</v>
          </cell>
          <cell r="J1994" t="str">
            <v xml:space="preserve">jnir@createinc.org </v>
          </cell>
          <cell r="L1994" t="str">
            <v>Practitioner - Non-Primary Care Provider (PCP)</v>
          </cell>
          <cell r="M1994" t="str">
            <v>Yes</v>
          </cell>
          <cell r="R1994" t="str">
            <v>PEAN GUY</v>
          </cell>
          <cell r="W1994" t="str">
            <v>PEAN GUY</v>
          </cell>
          <cell r="X1994" t="str">
            <v>177 E 122ND ST</v>
          </cell>
          <cell r="Y1994" t="str">
            <v>NEW YORK</v>
          </cell>
          <cell r="Z1994" t="str">
            <v>NY</v>
          </cell>
          <cell r="AA1994" t="str">
            <v>10035-2906</v>
          </cell>
          <cell r="AB1994" t="str">
            <v>PHYSICIAN</v>
          </cell>
          <cell r="AC1994" t="str">
            <v>M</v>
          </cell>
          <cell r="AD1994" t="str">
            <v>No</v>
          </cell>
          <cell r="AE1994" t="str">
            <v>MMIS</v>
          </cell>
          <cell r="AG1994" t="str">
            <v>P</v>
          </cell>
        </row>
        <row r="1995">
          <cell r="A1995" t="str">
            <v>1992116644</v>
          </cell>
          <cell r="C1995" t="str">
            <v xml:space="preserve">Sara Brickman-Lipson RN </v>
          </cell>
          <cell r="G1995" t="str">
            <v xml:space="preserve">Jacques Nir, LCSW </v>
          </cell>
          <cell r="H1995" t="str">
            <v>(212) 663-1975</v>
          </cell>
          <cell r="I1995">
            <v>328</v>
          </cell>
          <cell r="J1995" t="str">
            <v xml:space="preserve">jnir@createinc.org </v>
          </cell>
          <cell r="K1995" t="str">
            <v>Unknown</v>
          </cell>
          <cell r="L1995" t="str">
            <v>Uncategorized</v>
          </cell>
          <cell r="M1995" t="str">
            <v>No</v>
          </cell>
          <cell r="R1995" t="str">
            <v>BRICKMAN-LIPSON SARA</v>
          </cell>
          <cell r="S1995" t="str">
            <v>73 LENOX AVE</v>
          </cell>
          <cell r="T1995" t="str">
            <v>NEW YORK</v>
          </cell>
          <cell r="U1995" t="str">
            <v>NY</v>
          </cell>
          <cell r="V1995" t="str">
            <v>100263007</v>
          </cell>
          <cell r="AC1995" t="str">
            <v>M</v>
          </cell>
          <cell r="AD1995" t="str">
            <v>No</v>
          </cell>
          <cell r="AE1995" t="str">
            <v>NPI only</v>
          </cell>
          <cell r="AG1995" t="str">
            <v>P</v>
          </cell>
        </row>
        <row r="1996">
          <cell r="A1996" t="str">
            <v>1730348780</v>
          </cell>
          <cell r="B1996" t="str">
            <v>03892748</v>
          </cell>
          <cell r="C1996" t="str">
            <v>NIVEE AMIN</v>
          </cell>
          <cell r="D1996" t="str">
            <v>E0380372</v>
          </cell>
          <cell r="E1996" t="str">
            <v>AMIN NIVEE PRADIP</v>
          </cell>
          <cell r="G1996" t="str">
            <v>Kathryn Spaziani</v>
          </cell>
          <cell r="H1996" t="str">
            <v>(212) 305-1190</v>
          </cell>
          <cell r="J1996" t="str">
            <v>kas9171@nyp.org</v>
          </cell>
          <cell r="L1996" t="str">
            <v>All Other:: Practitioner - Non-Primary Care Provider (PCP)</v>
          </cell>
          <cell r="M1996" t="str">
            <v>No</v>
          </cell>
          <cell r="R1996" t="str">
            <v>AMIN NIVEE DR.</v>
          </cell>
          <cell r="W1996" t="str">
            <v>AMIN NIVEE PRADIP</v>
          </cell>
          <cell r="X1996" t="str">
            <v>520 E 70TH ST</v>
          </cell>
          <cell r="Y1996" t="str">
            <v>NEW YORK</v>
          </cell>
          <cell r="Z1996" t="str">
            <v>NY</v>
          </cell>
          <cell r="AA1996" t="str">
            <v>10021-9800</v>
          </cell>
          <cell r="AB1996" t="str">
            <v>PHYSICIAN</v>
          </cell>
          <cell r="AC1996" t="str">
            <v>M</v>
          </cell>
          <cell r="AD1996" t="str">
            <v>No</v>
          </cell>
          <cell r="AE1996" t="str">
            <v>MMIS</v>
          </cell>
          <cell r="AF1996" t="str">
            <v>nypeastacn</v>
          </cell>
          <cell r="AG1996" t="str">
            <v>P</v>
          </cell>
        </row>
        <row r="1997">
          <cell r="A1997" t="str">
            <v>1396946232</v>
          </cell>
          <cell r="B1997" t="str">
            <v>03991788</v>
          </cell>
          <cell r="C1997" t="str">
            <v>STACY BAIRD</v>
          </cell>
          <cell r="D1997" t="str">
            <v>E0385483</v>
          </cell>
          <cell r="E1997" t="str">
            <v>BAIRD STACY WANG</v>
          </cell>
          <cell r="G1997" t="str">
            <v>Kathryn Spaziani</v>
          </cell>
          <cell r="H1997" t="str">
            <v>(212) 305-1190</v>
          </cell>
          <cell r="J1997" t="str">
            <v>kas9171@nyp.org</v>
          </cell>
          <cell r="L1997" t="str">
            <v>All Other:: Practitioner - Non-Primary Care Provider (PCP)</v>
          </cell>
          <cell r="M1997" t="str">
            <v>No</v>
          </cell>
          <cell r="R1997" t="str">
            <v>BAIRD STACY DR.</v>
          </cell>
          <cell r="W1997" t="str">
            <v>BAIRD STACY WANG</v>
          </cell>
          <cell r="X1997" t="str">
            <v>622 W 168TH ST</v>
          </cell>
          <cell r="Y1997" t="str">
            <v>NEW YORK</v>
          </cell>
          <cell r="Z1997" t="str">
            <v>NY</v>
          </cell>
          <cell r="AA1997" t="str">
            <v>10032-3720</v>
          </cell>
          <cell r="AB1997" t="str">
            <v>PHYSICIAN</v>
          </cell>
          <cell r="AC1997" t="str">
            <v>M</v>
          </cell>
          <cell r="AD1997" t="str">
            <v>No</v>
          </cell>
          <cell r="AE1997" t="str">
            <v>MMIS</v>
          </cell>
          <cell r="AF1997" t="str">
            <v>nypwestacn</v>
          </cell>
          <cell r="AG1997" t="str">
            <v>P</v>
          </cell>
        </row>
        <row r="1998">
          <cell r="A1998" t="str">
            <v>1306160213</v>
          </cell>
          <cell r="B1998" t="str">
            <v>03920376</v>
          </cell>
          <cell r="C1998" t="str">
            <v>YANINA BARBALAT</v>
          </cell>
          <cell r="D1998" t="str">
            <v>E0383205</v>
          </cell>
          <cell r="E1998" t="str">
            <v>BARBALAT YANINA</v>
          </cell>
          <cell r="G1998" t="str">
            <v>Kathryn Spaziani</v>
          </cell>
          <cell r="H1998" t="str">
            <v>(212) 305-1190</v>
          </cell>
          <cell r="J1998" t="str">
            <v>kas9171@nyp.org</v>
          </cell>
          <cell r="L1998" t="str">
            <v>All Other:: Practitioner - Non-Primary Care Provider (PCP)</v>
          </cell>
          <cell r="M1998" t="str">
            <v>No</v>
          </cell>
          <cell r="R1998" t="str">
            <v>BARBALAT YANINA</v>
          </cell>
          <cell r="W1998" t="str">
            <v>BARBALAT YANINA</v>
          </cell>
          <cell r="X1998" t="str">
            <v>5141 BROADWAY</v>
          </cell>
          <cell r="Y1998" t="str">
            <v>NEW YORK</v>
          </cell>
          <cell r="Z1998" t="str">
            <v>NY</v>
          </cell>
          <cell r="AA1998" t="str">
            <v>10034-1159</v>
          </cell>
          <cell r="AB1998" t="str">
            <v>PHYSICIAN</v>
          </cell>
          <cell r="AC1998" t="str">
            <v>M</v>
          </cell>
          <cell r="AD1998" t="str">
            <v>No</v>
          </cell>
          <cell r="AE1998" t="str">
            <v>MMIS</v>
          </cell>
          <cell r="AF1998" t="str">
            <v>nypother</v>
          </cell>
          <cell r="AG1998" t="str">
            <v>P</v>
          </cell>
        </row>
        <row r="1999">
          <cell r="A1999" t="str">
            <v>1851428379</v>
          </cell>
          <cell r="B1999" t="str">
            <v>01644733</v>
          </cell>
          <cell r="C1999" t="str">
            <v>RUTH BARROW</v>
          </cell>
          <cell r="D1999" t="str">
            <v>E0135541</v>
          </cell>
          <cell r="E1999" t="str">
            <v>BARROW RUTH M MD</v>
          </cell>
          <cell r="G1999" t="str">
            <v>Kathryn Spaziani</v>
          </cell>
          <cell r="H1999" t="str">
            <v>(212) 305-1190</v>
          </cell>
          <cell r="J1999" t="str">
            <v>kas9171@nyp.org</v>
          </cell>
          <cell r="L1999" t="str">
            <v>Practitioner - Non-Primary Care Provider (PCP)</v>
          </cell>
          <cell r="M1999" t="str">
            <v>Yes</v>
          </cell>
          <cell r="R1999" t="str">
            <v>BARROW RUTH</v>
          </cell>
          <cell r="W1999" t="str">
            <v>BARROW RUTH M MD</v>
          </cell>
          <cell r="X1999" t="str">
            <v>NY PRESBY.ALLEN PAVI</v>
          </cell>
          <cell r="Y1999" t="str">
            <v>NEW YORK</v>
          </cell>
          <cell r="Z1999" t="str">
            <v>NY</v>
          </cell>
          <cell r="AA1999" t="str">
            <v>10032-3720</v>
          </cell>
          <cell r="AB1999" t="str">
            <v>PHYSICIAN</v>
          </cell>
          <cell r="AC1999" t="str">
            <v>M</v>
          </cell>
          <cell r="AD1999" t="str">
            <v>No</v>
          </cell>
          <cell r="AE1999" t="str">
            <v>MMIS</v>
          </cell>
          <cell r="AF1999" t="str">
            <v>nypwestacn</v>
          </cell>
          <cell r="AG1999" t="str">
            <v>P</v>
          </cell>
        </row>
        <row r="2000">
          <cell r="A2000" t="str">
            <v>1932362472</v>
          </cell>
          <cell r="B2000" t="str">
            <v>03485421</v>
          </cell>
          <cell r="C2000" t="str">
            <v>ANNA BENDER</v>
          </cell>
          <cell r="D2000" t="str">
            <v>E0337974</v>
          </cell>
          <cell r="E2000" t="str">
            <v>BENDER ANNA MARGARET</v>
          </cell>
          <cell r="G2000" t="str">
            <v>Kathryn Spaziani</v>
          </cell>
          <cell r="H2000" t="str">
            <v>(212) 305-1190</v>
          </cell>
          <cell r="J2000" t="str">
            <v>kas9171@nyp.org</v>
          </cell>
          <cell r="L2000" t="str">
            <v>Practitioner - Non-Primary Care Provider (PCP)</v>
          </cell>
          <cell r="M2000" t="str">
            <v>No</v>
          </cell>
          <cell r="R2000" t="str">
            <v>BENDER ANNA DR.</v>
          </cell>
          <cell r="W2000" t="str">
            <v>BENDER ANNA MARGARET</v>
          </cell>
          <cell r="X2000" t="str">
            <v>1305 YORK AVE FL 9</v>
          </cell>
          <cell r="Y2000" t="str">
            <v>NEW YORK</v>
          </cell>
          <cell r="Z2000" t="str">
            <v>NY</v>
          </cell>
          <cell r="AA2000" t="str">
            <v>10021-5663</v>
          </cell>
          <cell r="AB2000" t="str">
            <v>PHYSICIAN</v>
          </cell>
          <cell r="AC2000" t="str">
            <v>M</v>
          </cell>
          <cell r="AD2000" t="str">
            <v>No</v>
          </cell>
          <cell r="AE2000" t="str">
            <v>MMIS</v>
          </cell>
          <cell r="AF2000" t="str">
            <v>nypeastacn</v>
          </cell>
          <cell r="AG2000" t="str">
            <v>P</v>
          </cell>
        </row>
        <row r="2001">
          <cell r="A2001" t="str">
            <v>1649327362</v>
          </cell>
          <cell r="B2001" t="str">
            <v>01929657</v>
          </cell>
          <cell r="C2001" t="str">
            <v>BARBARA BENHAMROUN</v>
          </cell>
          <cell r="D2001" t="str">
            <v>E0107085</v>
          </cell>
          <cell r="E2001" t="str">
            <v>BENHAMROUN BARBARA</v>
          </cell>
          <cell r="G2001" t="str">
            <v>Kathryn Spaziani</v>
          </cell>
          <cell r="H2001" t="str">
            <v>(212) 305-1190</v>
          </cell>
          <cell r="J2001" t="str">
            <v>kas9171@nyp.org</v>
          </cell>
          <cell r="L2001" t="str">
            <v>Practitioner - Non-Primary Care Provider (PCP)</v>
          </cell>
          <cell r="M2001" t="str">
            <v>No</v>
          </cell>
          <cell r="R2001" t="str">
            <v>BENHAMROUN BARBARA</v>
          </cell>
          <cell r="W2001" t="str">
            <v>BENHAMROUN BARBARA LYNN</v>
          </cell>
          <cell r="X2001" t="str">
            <v>21 AUDUBON AVENUE</v>
          </cell>
          <cell r="Y2001" t="str">
            <v>NEW YORK</v>
          </cell>
          <cell r="Z2001" t="str">
            <v>NY</v>
          </cell>
          <cell r="AA2001" t="str">
            <v>10032-0001</v>
          </cell>
          <cell r="AB2001" t="str">
            <v>PHYSICIAN</v>
          </cell>
          <cell r="AC2001" t="str">
            <v>M</v>
          </cell>
          <cell r="AD2001" t="str">
            <v>No</v>
          </cell>
          <cell r="AE2001" t="str">
            <v>MMIS</v>
          </cell>
          <cell r="AF2001" t="str">
            <v>nypwestcampus</v>
          </cell>
          <cell r="AG2001" t="str">
            <v>P</v>
          </cell>
        </row>
        <row r="2002">
          <cell r="A2002" t="str">
            <v>1235334764</v>
          </cell>
          <cell r="B2002" t="str">
            <v>03776652</v>
          </cell>
          <cell r="C2002" t="str">
            <v>ELANA BERNSTEIN</v>
          </cell>
          <cell r="D2002" t="str">
            <v>E0368389</v>
          </cell>
          <cell r="E2002" t="str">
            <v>BERNSTEIN ELANA JAYE</v>
          </cell>
          <cell r="G2002" t="str">
            <v>Kathryn Spaziani</v>
          </cell>
          <cell r="H2002" t="str">
            <v>(212) 305-1190</v>
          </cell>
          <cell r="J2002" t="str">
            <v>kas9171@nyp.org</v>
          </cell>
          <cell r="L2002" t="str">
            <v>Practitioner - Non-Primary Care Provider (PCP)</v>
          </cell>
          <cell r="M2002" t="str">
            <v>No</v>
          </cell>
          <cell r="R2002" t="str">
            <v>BERNSTEIN ELANA</v>
          </cell>
          <cell r="W2002" t="str">
            <v>BERNSTEIN ELANA JAYE</v>
          </cell>
          <cell r="X2002" t="str">
            <v>622 W 168TH ST</v>
          </cell>
          <cell r="Y2002" t="str">
            <v>NEW YORK</v>
          </cell>
          <cell r="Z2002" t="str">
            <v>NY</v>
          </cell>
          <cell r="AA2002" t="str">
            <v>10032-3720</v>
          </cell>
          <cell r="AB2002" t="str">
            <v>PHYSICIAN</v>
          </cell>
          <cell r="AC2002" t="str">
            <v>M</v>
          </cell>
          <cell r="AD2002" t="str">
            <v>No</v>
          </cell>
          <cell r="AE2002" t="str">
            <v>MMIS</v>
          </cell>
          <cell r="AF2002" t="str">
            <v>nypwestcampus</v>
          </cell>
          <cell r="AG2002" t="str">
            <v>P</v>
          </cell>
        </row>
        <row r="2003">
          <cell r="A2003" t="str">
            <v>1780603191</v>
          </cell>
          <cell r="B2003" t="str">
            <v>00997640</v>
          </cell>
          <cell r="C2003" t="str">
            <v>JODY BLANCO</v>
          </cell>
          <cell r="D2003" t="str">
            <v>E0200035</v>
          </cell>
          <cell r="E2003" t="str">
            <v>BLANCO JODY MD</v>
          </cell>
          <cell r="G2003" t="str">
            <v>Kathryn Spaziani</v>
          </cell>
          <cell r="H2003" t="str">
            <v>(212) 305-1190</v>
          </cell>
          <cell r="J2003" t="str">
            <v>kas9171@nyp.org</v>
          </cell>
          <cell r="L2003" t="str">
            <v>Practitioner - Non-Primary Care Provider (PCP)</v>
          </cell>
          <cell r="M2003" t="str">
            <v>No</v>
          </cell>
          <cell r="R2003" t="str">
            <v>BLANCO JODY</v>
          </cell>
          <cell r="W2003" t="str">
            <v>BLANCO JODY MD</v>
          </cell>
          <cell r="Y2003" t="str">
            <v>NEW YORK</v>
          </cell>
          <cell r="Z2003" t="str">
            <v>NY</v>
          </cell>
          <cell r="AA2003" t="str">
            <v>10032-3720</v>
          </cell>
          <cell r="AB2003" t="str">
            <v>PHYSICIAN</v>
          </cell>
          <cell r="AC2003" t="str">
            <v>M</v>
          </cell>
          <cell r="AD2003" t="str">
            <v>No</v>
          </cell>
          <cell r="AE2003" t="str">
            <v>MMIS</v>
          </cell>
          <cell r="AF2003" t="str">
            <v>nypwestcampus</v>
          </cell>
          <cell r="AG2003" t="str">
            <v>P</v>
          </cell>
        </row>
        <row r="2004">
          <cell r="A2004" t="str">
            <v>1639195209</v>
          </cell>
          <cell r="B2004" t="str">
            <v>02408973</v>
          </cell>
          <cell r="C2004" t="str">
            <v>ANNA BURGANSKY</v>
          </cell>
          <cell r="D2004" t="str">
            <v>E0059230</v>
          </cell>
          <cell r="E2004" t="str">
            <v>BURGANSKY ANNA MD</v>
          </cell>
          <cell r="G2004" t="str">
            <v>Kathryn Spaziani</v>
          </cell>
          <cell r="H2004" t="str">
            <v>(212) 305-1190</v>
          </cell>
          <cell r="J2004" t="str">
            <v>kas9171@nyp.org</v>
          </cell>
          <cell r="L2004" t="str">
            <v>All Other:: Practitioner - Non-Primary Care Provider (PCP)</v>
          </cell>
          <cell r="M2004" t="str">
            <v>Yes</v>
          </cell>
          <cell r="R2004" t="str">
            <v>BURGANSKY ANNA</v>
          </cell>
          <cell r="W2004" t="str">
            <v>BURGANSKY ANNA MD</v>
          </cell>
          <cell r="X2004" t="str">
            <v>PH 12</v>
          </cell>
          <cell r="Y2004" t="str">
            <v>NEW YORK</v>
          </cell>
          <cell r="Z2004" t="str">
            <v>NY</v>
          </cell>
          <cell r="AA2004" t="str">
            <v>10032-3720</v>
          </cell>
          <cell r="AB2004" t="str">
            <v>PHYSICIAN</v>
          </cell>
          <cell r="AC2004" t="str">
            <v>M</v>
          </cell>
          <cell r="AD2004" t="str">
            <v>No</v>
          </cell>
          <cell r="AE2004" t="str">
            <v>MMIS</v>
          </cell>
          <cell r="AF2004" t="str">
            <v>nypwestcampus</v>
          </cell>
          <cell r="AG2004" t="str">
            <v>P</v>
          </cell>
        </row>
        <row r="2005">
          <cell r="A2005" t="str">
            <v>1245393875</v>
          </cell>
          <cell r="B2005" t="str">
            <v>02831758</v>
          </cell>
          <cell r="C2005" t="str">
            <v>ANDREA CARD</v>
          </cell>
          <cell r="D2005" t="str">
            <v>E0017020</v>
          </cell>
          <cell r="E2005" t="str">
            <v>CARD ANDREA DIONE MD</v>
          </cell>
          <cell r="G2005" t="str">
            <v>Kathryn Spaziani</v>
          </cell>
          <cell r="H2005" t="str">
            <v>(212) 305-1190</v>
          </cell>
          <cell r="J2005" t="str">
            <v>kas9171@nyp.org</v>
          </cell>
          <cell r="L2005" t="str">
            <v>All Other:: Practitioner - Primary Care Provider (PCP)</v>
          </cell>
          <cell r="M2005" t="str">
            <v>Yes</v>
          </cell>
          <cell r="R2005" t="str">
            <v>CARD ANDREA DR.</v>
          </cell>
          <cell r="W2005" t="str">
            <v>CARD ANDREA DIONE MD</v>
          </cell>
          <cell r="X2005" t="str">
            <v>622 W 168TH ST</v>
          </cell>
          <cell r="Y2005" t="str">
            <v>NEW YORK</v>
          </cell>
          <cell r="Z2005" t="str">
            <v>NY</v>
          </cell>
          <cell r="AA2005" t="str">
            <v>10032-3720</v>
          </cell>
          <cell r="AB2005" t="str">
            <v>PHYSICIAN</v>
          </cell>
          <cell r="AC2005" t="str">
            <v>M</v>
          </cell>
          <cell r="AD2005" t="str">
            <v>No</v>
          </cell>
          <cell r="AE2005" t="str">
            <v>MMIS</v>
          </cell>
          <cell r="AF2005" t="str">
            <v>nypeastacn</v>
          </cell>
          <cell r="AG2005" t="str">
            <v>P</v>
          </cell>
        </row>
        <row r="2006">
          <cell r="A2006" t="str">
            <v>1609104314</v>
          </cell>
          <cell r="B2006" t="str">
            <v>03252600</v>
          </cell>
          <cell r="C2006" t="str">
            <v>SHREE CHANCHANI</v>
          </cell>
          <cell r="D2006" t="str">
            <v>E0310368</v>
          </cell>
          <cell r="E2006" t="str">
            <v>CHANCHANI SHREE</v>
          </cell>
          <cell r="G2006" t="str">
            <v>Kathryn Spaziani</v>
          </cell>
          <cell r="H2006" t="str">
            <v>(212) 305-1190</v>
          </cell>
          <cell r="J2006" t="str">
            <v>kas9171@nyp.org</v>
          </cell>
          <cell r="L2006" t="str">
            <v>All Other:: Practitioner - Non-Primary Care Provider (PCP)</v>
          </cell>
          <cell r="M2006" t="str">
            <v>Yes</v>
          </cell>
          <cell r="R2006" t="str">
            <v>CHANCHANI SHREE</v>
          </cell>
          <cell r="W2006" t="str">
            <v>CHANCHANI SHREE</v>
          </cell>
          <cell r="X2006" t="str">
            <v>5141 BROADWAY</v>
          </cell>
          <cell r="Y2006" t="str">
            <v>NEW YORK</v>
          </cell>
          <cell r="Z2006" t="str">
            <v>NY</v>
          </cell>
          <cell r="AA2006" t="str">
            <v>10034-1159</v>
          </cell>
          <cell r="AB2006" t="str">
            <v>PHYSICIAN</v>
          </cell>
          <cell r="AC2006" t="str">
            <v>M</v>
          </cell>
          <cell r="AD2006" t="str">
            <v>No</v>
          </cell>
          <cell r="AE2006" t="str">
            <v>MMIS</v>
          </cell>
          <cell r="AF2006" t="str">
            <v>nypother</v>
          </cell>
          <cell r="AG2006" t="str">
            <v>P</v>
          </cell>
        </row>
        <row r="2007">
          <cell r="A2007" t="str">
            <v>1346403961</v>
          </cell>
          <cell r="B2007" t="str">
            <v>03922209</v>
          </cell>
          <cell r="C2007" t="str">
            <v>JONATHAN CHANG</v>
          </cell>
          <cell r="D2007" t="str">
            <v>E0383388</v>
          </cell>
          <cell r="E2007" t="str">
            <v>CHANG JONATHAN</v>
          </cell>
          <cell r="G2007" t="str">
            <v>Kathryn Spaziani</v>
          </cell>
          <cell r="H2007" t="str">
            <v>(212) 305-1190</v>
          </cell>
          <cell r="J2007" t="str">
            <v>kas9171@nyp.org</v>
          </cell>
          <cell r="L2007" t="str">
            <v>All Other:: Practitioner - Non-Primary Care Provider (PCP)</v>
          </cell>
          <cell r="M2007" t="str">
            <v>No</v>
          </cell>
          <cell r="R2007" t="str">
            <v>CHANG JONATHAN DR.</v>
          </cell>
          <cell r="W2007" t="str">
            <v>CHANG JONATHAN</v>
          </cell>
          <cell r="X2007" t="str">
            <v>635 WEST 165TH ST FLANZER</v>
          </cell>
          <cell r="Y2007" t="str">
            <v>NEW YORK</v>
          </cell>
          <cell r="Z2007" t="str">
            <v>NY</v>
          </cell>
          <cell r="AA2007" t="str">
            <v>10032-0000</v>
          </cell>
          <cell r="AB2007" t="str">
            <v>PHYSICIAN</v>
          </cell>
          <cell r="AC2007" t="str">
            <v>M</v>
          </cell>
          <cell r="AD2007" t="str">
            <v>No</v>
          </cell>
          <cell r="AE2007" t="str">
            <v>MMIS</v>
          </cell>
          <cell r="AF2007" t="str">
            <v>nypwestacn</v>
          </cell>
          <cell r="AG2007" t="str">
            <v>P</v>
          </cell>
        </row>
        <row r="2008">
          <cell r="A2008" t="str">
            <v>1063468429</v>
          </cell>
          <cell r="B2008" t="str">
            <v>01862688</v>
          </cell>
          <cell r="C2008" t="str">
            <v>STEPHEN CHASEN</v>
          </cell>
          <cell r="D2008" t="str">
            <v>E0113774</v>
          </cell>
          <cell r="E2008" t="str">
            <v>CHASEN STEPHEN T MD</v>
          </cell>
          <cell r="G2008" t="str">
            <v>Kathryn Spaziani</v>
          </cell>
          <cell r="H2008" t="str">
            <v>(212) 305-1190</v>
          </cell>
          <cell r="J2008" t="str">
            <v>kas9171@nyp.org</v>
          </cell>
          <cell r="L2008" t="str">
            <v>All Other:: Practitioner - Non-Primary Care Provider (PCP)</v>
          </cell>
          <cell r="M2008" t="str">
            <v>Yes</v>
          </cell>
          <cell r="R2008" t="str">
            <v>CHASEN STEPHEN</v>
          </cell>
          <cell r="W2008" t="str">
            <v>CHASEN STEPHEN T MD</v>
          </cell>
          <cell r="X2008" t="str">
            <v>LILLIAN LAVALLE</v>
          </cell>
          <cell r="Y2008" t="str">
            <v>NEW YORK</v>
          </cell>
          <cell r="Z2008" t="str">
            <v>NY</v>
          </cell>
          <cell r="AA2008" t="str">
            <v>10065-4870</v>
          </cell>
          <cell r="AB2008" t="str">
            <v>PHYSICIAN</v>
          </cell>
          <cell r="AC2008" t="str">
            <v>M</v>
          </cell>
          <cell r="AD2008" t="str">
            <v>No</v>
          </cell>
          <cell r="AE2008" t="str">
            <v>MMIS</v>
          </cell>
          <cell r="AF2008" t="str">
            <v>nypeastacn</v>
          </cell>
          <cell r="AG2008" t="str">
            <v>P</v>
          </cell>
        </row>
        <row r="2009">
          <cell r="A2009" t="str">
            <v>1023257672</v>
          </cell>
          <cell r="B2009" t="str">
            <v>03949153</v>
          </cell>
          <cell r="C2009" t="str">
            <v>ROYCE CHEN</v>
          </cell>
          <cell r="D2009" t="str">
            <v>E0386189</v>
          </cell>
          <cell r="E2009" t="str">
            <v>CHEN ROYCE</v>
          </cell>
          <cell r="G2009" t="str">
            <v>Kathryn Spaziani</v>
          </cell>
          <cell r="H2009" t="str">
            <v>(212) 305-1190</v>
          </cell>
          <cell r="J2009" t="str">
            <v>kas9171@nyp.org</v>
          </cell>
          <cell r="L2009" t="str">
            <v>All Other:: Practitioner - Non-Primary Care Provider (PCP)</v>
          </cell>
          <cell r="M2009" t="str">
            <v>No</v>
          </cell>
          <cell r="R2009" t="str">
            <v>CHEN ROYCE DR.</v>
          </cell>
          <cell r="W2009" t="str">
            <v>CHEN ROYCE</v>
          </cell>
          <cell r="X2009" t="str">
            <v>635 W 165TH ST</v>
          </cell>
          <cell r="Y2009" t="str">
            <v>NEW YORK</v>
          </cell>
          <cell r="Z2009" t="str">
            <v>NY</v>
          </cell>
          <cell r="AA2009" t="str">
            <v>10032-3724</v>
          </cell>
          <cell r="AB2009" t="str">
            <v>PHYSICIAN</v>
          </cell>
          <cell r="AC2009" t="str">
            <v>M</v>
          </cell>
          <cell r="AD2009" t="str">
            <v>No</v>
          </cell>
          <cell r="AE2009" t="str">
            <v>MMIS</v>
          </cell>
          <cell r="AF2009" t="str">
            <v>nypwestacn</v>
          </cell>
          <cell r="AG2009" t="str">
            <v>P</v>
          </cell>
        </row>
        <row r="2010">
          <cell r="A2010" t="str">
            <v>1982846812</v>
          </cell>
          <cell r="B2010" t="str">
            <v>03921946</v>
          </cell>
          <cell r="C2010" t="str">
            <v>KAREN CHERNOFF</v>
          </cell>
          <cell r="D2010" t="str">
            <v>E0383362</v>
          </cell>
          <cell r="E2010" t="str">
            <v>CHERNOFF KAREN</v>
          </cell>
          <cell r="G2010" t="str">
            <v>Kathryn Spaziani</v>
          </cell>
          <cell r="H2010" t="str">
            <v>(212) 305-1190</v>
          </cell>
          <cell r="J2010" t="str">
            <v>kas9171@nyp.org</v>
          </cell>
          <cell r="L2010" t="str">
            <v>Practitioner - Non-Primary Care Provider (PCP)</v>
          </cell>
          <cell r="M2010" t="str">
            <v>No</v>
          </cell>
          <cell r="R2010" t="str">
            <v>CHERNOFF KAREN</v>
          </cell>
          <cell r="W2010" t="str">
            <v>CHERNOFF KAREN</v>
          </cell>
          <cell r="X2010" t="str">
            <v>157 WILLIAM ST FL 11</v>
          </cell>
          <cell r="Y2010" t="str">
            <v>NEW YORK</v>
          </cell>
          <cell r="Z2010" t="str">
            <v>NY</v>
          </cell>
          <cell r="AA2010" t="str">
            <v>10038-2602</v>
          </cell>
          <cell r="AB2010" t="str">
            <v>PHYSICIAN</v>
          </cell>
          <cell r="AC2010" t="str">
            <v>M</v>
          </cell>
          <cell r="AD2010" t="str">
            <v>No</v>
          </cell>
          <cell r="AE2010" t="str">
            <v>MMIS</v>
          </cell>
          <cell r="AF2010" t="str">
            <v>nypeastacn</v>
          </cell>
          <cell r="AG2010" t="str">
            <v>P</v>
          </cell>
        </row>
        <row r="2011">
          <cell r="A2011" t="str">
            <v>1376702407</v>
          </cell>
          <cell r="B2011" t="str">
            <v>03152150</v>
          </cell>
          <cell r="C2011" t="str">
            <v>NATAKI DOUGLAS</v>
          </cell>
          <cell r="D2011" t="str">
            <v>E0298966</v>
          </cell>
          <cell r="E2011" t="str">
            <v>DOUGLAS NATAKI</v>
          </cell>
          <cell r="G2011" t="str">
            <v>Kathryn Spaziani</v>
          </cell>
          <cell r="H2011" t="str">
            <v>(212) 305-1190</v>
          </cell>
          <cell r="J2011" t="str">
            <v>kas9171@nyp.org</v>
          </cell>
          <cell r="L2011" t="str">
            <v>All Other:: Practitioner - Non-Primary Care Provider (PCP)</v>
          </cell>
          <cell r="M2011" t="str">
            <v>No</v>
          </cell>
          <cell r="R2011" t="str">
            <v>DOUGLAS NATAKI DR.</v>
          </cell>
          <cell r="W2011" t="str">
            <v>DOUGLAS NATAKI</v>
          </cell>
          <cell r="X2011" t="str">
            <v>21 AUDUBON AVE</v>
          </cell>
          <cell r="Y2011" t="str">
            <v>NEW YORK</v>
          </cell>
          <cell r="Z2011" t="str">
            <v>NY</v>
          </cell>
          <cell r="AA2011" t="str">
            <v>10032-4220</v>
          </cell>
          <cell r="AB2011" t="str">
            <v>PHYSICIAN</v>
          </cell>
          <cell r="AC2011" t="str">
            <v>M</v>
          </cell>
          <cell r="AD2011" t="str">
            <v>No</v>
          </cell>
          <cell r="AE2011" t="str">
            <v>MMIS</v>
          </cell>
          <cell r="AF2011" t="str">
            <v>nypwestacn</v>
          </cell>
          <cell r="AG2011" t="str">
            <v>P</v>
          </cell>
        </row>
        <row r="2012">
          <cell r="A2012" t="str">
            <v>1437582988</v>
          </cell>
          <cell r="B2012" t="str">
            <v>03688240</v>
          </cell>
          <cell r="C2012" t="str">
            <v>HIMABINDU EKANADHAM</v>
          </cell>
          <cell r="D2012" t="str">
            <v>E0359316</v>
          </cell>
          <cell r="E2012" t="str">
            <v>EKANADHAM HIMABINDU</v>
          </cell>
          <cell r="G2012" t="str">
            <v>Kathryn Spaziani</v>
          </cell>
          <cell r="H2012" t="str">
            <v>(212) 305-1190</v>
          </cell>
          <cell r="J2012" t="str">
            <v>kas9171@nyp.org</v>
          </cell>
          <cell r="L2012" t="str">
            <v>All Other:: Practitioner - Primary Care Provider (PCP)</v>
          </cell>
          <cell r="M2012" t="str">
            <v>No</v>
          </cell>
          <cell r="R2012" t="str">
            <v>EKANADHAM HIMABINDU</v>
          </cell>
          <cell r="W2012" t="str">
            <v>EKANADHAM HIMABINDU</v>
          </cell>
          <cell r="X2012" t="str">
            <v>111 E 210TH ST</v>
          </cell>
          <cell r="Y2012" t="str">
            <v>BRONX</v>
          </cell>
          <cell r="Z2012" t="str">
            <v>NY</v>
          </cell>
          <cell r="AA2012" t="str">
            <v>10467-2401</v>
          </cell>
          <cell r="AB2012" t="str">
            <v>PHYSICIAN</v>
          </cell>
          <cell r="AC2012" t="str">
            <v>M</v>
          </cell>
          <cell r="AD2012" t="str">
            <v>No</v>
          </cell>
          <cell r="AE2012" t="str">
            <v>MMIS</v>
          </cell>
          <cell r="AF2012" t="str">
            <v>nypwestacn</v>
          </cell>
          <cell r="AG2012" t="str">
            <v>P</v>
          </cell>
        </row>
        <row r="2013">
          <cell r="A2013" t="str">
            <v>1316946916</v>
          </cell>
          <cell r="B2013" t="str">
            <v>01342350</v>
          </cell>
          <cell r="C2013" t="str">
            <v>PAMELA ELIACH</v>
          </cell>
          <cell r="D2013" t="str">
            <v>E0165707</v>
          </cell>
          <cell r="E2013" t="str">
            <v>ELIACH PAMELA G MD</v>
          </cell>
          <cell r="G2013" t="str">
            <v>Kathryn Spaziani</v>
          </cell>
          <cell r="H2013" t="str">
            <v>(212) 305-1190</v>
          </cell>
          <cell r="J2013" t="str">
            <v>kas9171@nyp.org</v>
          </cell>
          <cell r="L2013" t="str">
            <v>All Other:: Practitioner - Primary Care Provider (PCP)</v>
          </cell>
          <cell r="M2013" t="str">
            <v>No</v>
          </cell>
          <cell r="R2013" t="str">
            <v>ELIACH PAMELA DR.</v>
          </cell>
          <cell r="W2013" t="str">
            <v>ELIACH PAMELA G MD</v>
          </cell>
          <cell r="X2013" t="str">
            <v>GISMONDI PAGLIA SHER</v>
          </cell>
          <cell r="Y2013" t="str">
            <v>MAMARONECK</v>
          </cell>
          <cell r="Z2013" t="str">
            <v>NY</v>
          </cell>
          <cell r="AA2013" t="str">
            <v>10543-4106</v>
          </cell>
          <cell r="AB2013" t="str">
            <v>PHYSICIAN</v>
          </cell>
          <cell r="AC2013" t="str">
            <v>M</v>
          </cell>
          <cell r="AD2013" t="str">
            <v>No</v>
          </cell>
          <cell r="AE2013" t="str">
            <v>MMIS</v>
          </cell>
          <cell r="AF2013" t="str">
            <v>nypeastacn</v>
          </cell>
          <cell r="AG2013" t="str">
            <v>P</v>
          </cell>
        </row>
        <row r="2014">
          <cell r="A2014" t="str">
            <v>1245556901</v>
          </cell>
          <cell r="B2014" t="str">
            <v>03922185</v>
          </cell>
          <cell r="C2014" t="str">
            <v>CHARLES ESENWA</v>
          </cell>
          <cell r="D2014" t="str">
            <v>E0383386</v>
          </cell>
          <cell r="E2014" t="str">
            <v>ESENWA CHARLES</v>
          </cell>
          <cell r="G2014" t="str">
            <v>Kathryn Spaziani</v>
          </cell>
          <cell r="H2014" t="str">
            <v>(212) 305-1190</v>
          </cell>
          <cell r="J2014" t="str">
            <v>kas9171@nyp.org</v>
          </cell>
          <cell r="L2014" t="str">
            <v>Practitioner - Non-Primary Care Provider (PCP)</v>
          </cell>
          <cell r="M2014" t="str">
            <v>No</v>
          </cell>
          <cell r="R2014" t="str">
            <v>ESENWA CHARLES</v>
          </cell>
          <cell r="W2014" t="str">
            <v>ESENWA CHARLES CHUCK</v>
          </cell>
          <cell r="X2014" t="str">
            <v>710 W 168TH ST</v>
          </cell>
          <cell r="Y2014" t="str">
            <v>NEW YORK</v>
          </cell>
          <cell r="Z2014" t="str">
            <v>NY</v>
          </cell>
          <cell r="AA2014" t="str">
            <v>10032-3726</v>
          </cell>
          <cell r="AB2014" t="str">
            <v>PHYSICIAN</v>
          </cell>
          <cell r="AC2014" t="str">
            <v>M</v>
          </cell>
          <cell r="AD2014" t="str">
            <v>No</v>
          </cell>
          <cell r="AE2014" t="str">
            <v>MMIS</v>
          </cell>
          <cell r="AF2014" t="str">
            <v>nypwestacn</v>
          </cell>
          <cell r="AG2014" t="str">
            <v>P</v>
          </cell>
        </row>
        <row r="2015">
          <cell r="A2015" t="str">
            <v>1285926402</v>
          </cell>
          <cell r="B2015" t="str">
            <v>03912521</v>
          </cell>
          <cell r="C2015" t="str">
            <v>CRISTINA FERNANDEZ</v>
          </cell>
          <cell r="D2015" t="str">
            <v>E0382405</v>
          </cell>
          <cell r="E2015" t="str">
            <v>FERNANDEZ CRISTINA RAQUEL</v>
          </cell>
          <cell r="G2015" t="str">
            <v>Kathryn Spaziani</v>
          </cell>
          <cell r="H2015" t="str">
            <v>(212) 305-1190</v>
          </cell>
          <cell r="J2015" t="str">
            <v>kas9171@nyp.org</v>
          </cell>
          <cell r="L2015" t="str">
            <v>Practitioner - Primary Care Provider (PCP)</v>
          </cell>
          <cell r="M2015" t="str">
            <v>No</v>
          </cell>
          <cell r="R2015" t="str">
            <v>FERNANDEZ CRISTINA DR.</v>
          </cell>
          <cell r="W2015" t="str">
            <v>FERNANDEZ CRISTINA RAQUEL</v>
          </cell>
          <cell r="X2015" t="str">
            <v>3959 BROADWAY</v>
          </cell>
          <cell r="Y2015" t="str">
            <v>NEW YORK</v>
          </cell>
          <cell r="Z2015" t="str">
            <v>NY</v>
          </cell>
          <cell r="AA2015" t="str">
            <v>10032-1559</v>
          </cell>
          <cell r="AB2015" t="str">
            <v>PHYSICIAN</v>
          </cell>
          <cell r="AC2015" t="str">
            <v>M</v>
          </cell>
          <cell r="AD2015" t="str">
            <v>No</v>
          </cell>
          <cell r="AE2015" t="str">
            <v>MMIS</v>
          </cell>
          <cell r="AF2015" t="str">
            <v>nypwestacn</v>
          </cell>
          <cell r="AG2015" t="str">
            <v>P</v>
          </cell>
        </row>
        <row r="2016">
          <cell r="A2016" t="str">
            <v>1316235666</v>
          </cell>
          <cell r="B2016" t="str">
            <v>03918889</v>
          </cell>
          <cell r="C2016" t="str">
            <v>JENNY FRANCIS</v>
          </cell>
          <cell r="D2016" t="str">
            <v>E0383056</v>
          </cell>
          <cell r="E2016" t="str">
            <v>FRANCIS JENNY</v>
          </cell>
          <cell r="G2016" t="str">
            <v>Kathryn Spaziani</v>
          </cell>
          <cell r="H2016" t="str">
            <v>(212) 305-1190</v>
          </cell>
          <cell r="J2016" t="str">
            <v>kas9171@nyp.org</v>
          </cell>
          <cell r="L2016" t="str">
            <v>Mental Health:: Practitioner - Primary Care Provider (PCP)</v>
          </cell>
          <cell r="M2016" t="str">
            <v>No</v>
          </cell>
          <cell r="R2016" t="str">
            <v>FRANCIS JENNY DR.</v>
          </cell>
          <cell r="W2016" t="str">
            <v>FRANCIS JENNY K RODRIGUEZ</v>
          </cell>
          <cell r="X2016" t="str">
            <v>3959 BROADWAY</v>
          </cell>
          <cell r="Y2016" t="str">
            <v>NEW YORK</v>
          </cell>
          <cell r="Z2016" t="str">
            <v>NY</v>
          </cell>
          <cell r="AA2016" t="str">
            <v>10032-1559</v>
          </cell>
          <cell r="AB2016" t="str">
            <v>PHYSICIAN</v>
          </cell>
          <cell r="AC2016" t="str">
            <v>M</v>
          </cell>
          <cell r="AD2016" t="str">
            <v>No</v>
          </cell>
          <cell r="AE2016" t="str">
            <v>MMIS</v>
          </cell>
          <cell r="AF2016" t="str">
            <v>nypwestacn</v>
          </cell>
          <cell r="AG2016" t="str">
            <v>P</v>
          </cell>
        </row>
        <row r="2017">
          <cell r="A2017" t="str">
            <v>1487815551</v>
          </cell>
          <cell r="B2017" t="str">
            <v>03866680</v>
          </cell>
          <cell r="C2017" t="str">
            <v>DANIEL FREEDBERG</v>
          </cell>
          <cell r="D2017" t="str">
            <v>E0377658</v>
          </cell>
          <cell r="E2017" t="str">
            <v>FREEDBERG DANIEL EZRA</v>
          </cell>
          <cell r="G2017" t="str">
            <v>Kathryn Spaziani</v>
          </cell>
          <cell r="H2017" t="str">
            <v>(212) 305-1190</v>
          </cell>
          <cell r="J2017" t="str">
            <v>kas9171@nyp.org</v>
          </cell>
          <cell r="L2017" t="str">
            <v>Practitioner - Non-Primary Care Provider (PCP)</v>
          </cell>
          <cell r="M2017" t="str">
            <v>No</v>
          </cell>
          <cell r="R2017" t="str">
            <v>FREEDBERG DANIEL DR.</v>
          </cell>
          <cell r="W2017" t="str">
            <v>FREEDBERG DANIEL EZRA</v>
          </cell>
          <cell r="X2017" t="str">
            <v>161 FORT WASHINGTON AVE</v>
          </cell>
          <cell r="Y2017" t="str">
            <v>NEW YORK</v>
          </cell>
          <cell r="Z2017" t="str">
            <v>NY</v>
          </cell>
          <cell r="AA2017" t="str">
            <v>10032-3729</v>
          </cell>
          <cell r="AB2017" t="str">
            <v>PHYSICIAN</v>
          </cell>
          <cell r="AC2017" t="str">
            <v>M</v>
          </cell>
          <cell r="AD2017" t="str">
            <v>No</v>
          </cell>
          <cell r="AE2017" t="str">
            <v>MMIS</v>
          </cell>
          <cell r="AF2017" t="str">
            <v>nypwestacn</v>
          </cell>
          <cell r="AG2017" t="str">
            <v>P</v>
          </cell>
        </row>
        <row r="2018">
          <cell r="A2018" t="str">
            <v>1487953162</v>
          </cell>
          <cell r="B2018" t="str">
            <v>03919326</v>
          </cell>
          <cell r="C2018" t="str">
            <v>SUZANNE FRIEDMAN</v>
          </cell>
          <cell r="D2018" t="str">
            <v>E0383100</v>
          </cell>
          <cell r="E2018" t="str">
            <v>FRIEDMAN SUZANNE</v>
          </cell>
          <cell r="G2018" t="str">
            <v>Kathryn Spaziani</v>
          </cell>
          <cell r="H2018" t="str">
            <v>(212) 305-1190</v>
          </cell>
          <cell r="J2018" t="str">
            <v>kas9171@nyp.org</v>
          </cell>
          <cell r="L2018" t="str">
            <v>Practitioner - Primary Care Provider (PCP)</v>
          </cell>
          <cell r="M2018" t="str">
            <v>No</v>
          </cell>
          <cell r="R2018" t="str">
            <v>FRIEDMAN SUZANNE</v>
          </cell>
          <cell r="W2018" t="str">
            <v>FRIEDMAN SUZANNE</v>
          </cell>
          <cell r="X2018" t="str">
            <v>3959 BROADWAY</v>
          </cell>
          <cell r="Y2018" t="str">
            <v>NEW YORK</v>
          </cell>
          <cell r="Z2018" t="str">
            <v>NY</v>
          </cell>
          <cell r="AA2018" t="str">
            <v>10032-1559</v>
          </cell>
          <cell r="AB2018" t="str">
            <v>PHYSICIAN</v>
          </cell>
          <cell r="AC2018" t="str">
            <v>M</v>
          </cell>
          <cell r="AD2018" t="str">
            <v>No</v>
          </cell>
          <cell r="AE2018" t="str">
            <v>MMIS</v>
          </cell>
          <cell r="AF2018" t="str">
            <v>nypwestacn</v>
          </cell>
          <cell r="AG2018" t="str">
            <v>P</v>
          </cell>
        </row>
        <row r="2019">
          <cell r="A2019" t="str">
            <v>1104910421</v>
          </cell>
          <cell r="B2019" t="str">
            <v>00465412</v>
          </cell>
          <cell r="C2019" t="str">
            <v>THOMASHOW, BYRON M</v>
          </cell>
          <cell r="D2019" t="str">
            <v>E0252965</v>
          </cell>
          <cell r="E2019" t="str">
            <v>THOMASHOW BYRON M          MD</v>
          </cell>
          <cell r="G2019" t="str">
            <v>Kathryn Spaziani</v>
          </cell>
          <cell r="H2019" t="str">
            <v>(212) 305-1190</v>
          </cell>
          <cell r="J2019" t="str">
            <v>kas9171@nyp.org</v>
          </cell>
          <cell r="L2019" t="str">
            <v>Practitioner - Non-Primary Care Provider (PCP)</v>
          </cell>
          <cell r="M2019" t="str">
            <v>No</v>
          </cell>
          <cell r="R2019" t="str">
            <v>THOMASHOW BYRON</v>
          </cell>
          <cell r="W2019" t="str">
            <v>THOMASHOW BYRON M MD</v>
          </cell>
          <cell r="X2019" t="str">
            <v>161 FORT WASHINGTON AVE</v>
          </cell>
          <cell r="Y2019" t="str">
            <v>NEW YORK</v>
          </cell>
          <cell r="Z2019" t="str">
            <v>NY</v>
          </cell>
          <cell r="AA2019" t="str">
            <v>10032-3729</v>
          </cell>
          <cell r="AB2019" t="str">
            <v>PHYSICIAN</v>
          </cell>
          <cell r="AC2019" t="str">
            <v>M</v>
          </cell>
          <cell r="AD2019" t="str">
            <v>No</v>
          </cell>
          <cell r="AE2019" t="str">
            <v>MMIS</v>
          </cell>
          <cell r="AF2019" t="str">
            <v>nypwestcampus</v>
          </cell>
          <cell r="AG2019" t="str">
            <v>P</v>
          </cell>
        </row>
        <row r="2020">
          <cell r="A2020" t="str">
            <v>1407006539</v>
          </cell>
          <cell r="B2020" t="str">
            <v>03042055</v>
          </cell>
          <cell r="C2020" t="str">
            <v>VELEZ-GRAU, CAROLINA M</v>
          </cell>
          <cell r="D2020" t="str">
            <v>E0286319</v>
          </cell>
          <cell r="E2020" t="str">
            <v>VELEZ-GRAU CAROLINA</v>
          </cell>
          <cell r="G2020" t="str">
            <v>Kathryn Spaziani</v>
          </cell>
          <cell r="H2020" t="str">
            <v>(212) 305-1190</v>
          </cell>
          <cell r="J2020" t="str">
            <v>kas9171@nyp.org</v>
          </cell>
          <cell r="L2020" t="str">
            <v>Practitioner - Non-Primary Care Provider (PCP)</v>
          </cell>
          <cell r="M2020" t="str">
            <v>No</v>
          </cell>
          <cell r="R2020" t="str">
            <v>VELEZ-GRAU CAROLINA</v>
          </cell>
          <cell r="W2020" t="str">
            <v>VELEZ-GRAU CAROLINA</v>
          </cell>
          <cell r="X2020" t="str">
            <v>622 WEST 168TH STREE</v>
          </cell>
          <cell r="Y2020" t="str">
            <v>NEW YORK</v>
          </cell>
          <cell r="Z2020" t="str">
            <v>NY</v>
          </cell>
          <cell r="AA2020" t="str">
            <v>10032</v>
          </cell>
          <cell r="AB2020" t="str">
            <v>CLINICAL SOCIAL WORKER (CSW)</v>
          </cell>
          <cell r="AC2020" t="str">
            <v>M</v>
          </cell>
          <cell r="AD2020" t="str">
            <v>No</v>
          </cell>
          <cell r="AE2020" t="str">
            <v>MMIS</v>
          </cell>
          <cell r="AF2020" t="str">
            <v>nypother</v>
          </cell>
          <cell r="AG2020" t="str">
            <v>P</v>
          </cell>
        </row>
        <row r="2021">
          <cell r="A2021" t="str">
            <v>1407018310</v>
          </cell>
          <cell r="B2021" t="str">
            <v>03918825</v>
          </cell>
          <cell r="C2021" t="str">
            <v>Barfield, Elaine B.</v>
          </cell>
          <cell r="D2021" t="str">
            <v>E0383050</v>
          </cell>
          <cell r="E2021" t="str">
            <v>BARFIELD ELAINE</v>
          </cell>
          <cell r="G2021" t="str">
            <v>Kathryn Spaziani</v>
          </cell>
          <cell r="H2021" t="str">
            <v>(212) 305-1190</v>
          </cell>
          <cell r="J2021" t="str">
            <v>kas9171@nyp.org</v>
          </cell>
          <cell r="L2021" t="str">
            <v>All Other:: Practitioner - Non-Primary Care Provider (PCP)</v>
          </cell>
          <cell r="M2021" t="str">
            <v>No</v>
          </cell>
          <cell r="R2021" t="str">
            <v>BARFIELD ELAINE DR.</v>
          </cell>
          <cell r="W2021" t="str">
            <v>BARFIELD ELAINE BETTY</v>
          </cell>
          <cell r="X2021" t="str">
            <v>525 E 68TH ST # 214</v>
          </cell>
          <cell r="Y2021" t="str">
            <v>NEW YORK</v>
          </cell>
          <cell r="Z2021" t="str">
            <v>NY</v>
          </cell>
          <cell r="AA2021" t="str">
            <v>10065-4870</v>
          </cell>
          <cell r="AB2021" t="str">
            <v>PHYSICIAN</v>
          </cell>
          <cell r="AC2021" t="str">
            <v>M</v>
          </cell>
          <cell r="AD2021" t="str">
            <v>No</v>
          </cell>
          <cell r="AE2021" t="str">
            <v>MMIS</v>
          </cell>
          <cell r="AF2021" t="str">
            <v>nypeastacn</v>
          </cell>
          <cell r="AG2021" t="str">
            <v>P</v>
          </cell>
        </row>
        <row r="2022">
          <cell r="A2022" t="str">
            <v>1538327788</v>
          </cell>
          <cell r="B2022" t="str">
            <v>02982236</v>
          </cell>
          <cell r="C2022" t="str">
            <v>Rumley Joseph</v>
          </cell>
          <cell r="D2022" t="str">
            <v>E0006716</v>
          </cell>
          <cell r="E2022" t="str">
            <v>RUMLEY JOSEPH JAMES MD</v>
          </cell>
          <cell r="L2022" t="str">
            <v>All Other:: Practitioner - Non-Primary Care Provider (PCP)</v>
          </cell>
          <cell r="M2022" t="str">
            <v>No</v>
          </cell>
          <cell r="R2022" t="str">
            <v>RUMLEY JOSEPH DR.</v>
          </cell>
          <cell r="W2022" t="str">
            <v>RUMLEY JOSEPH JAMES</v>
          </cell>
          <cell r="X2022" t="str">
            <v>622 W 168TH ST</v>
          </cell>
          <cell r="Y2022" t="str">
            <v>NEW YORK</v>
          </cell>
          <cell r="Z2022" t="str">
            <v>NY</v>
          </cell>
          <cell r="AA2022" t="str">
            <v>10032-3720</v>
          </cell>
          <cell r="AB2022" t="str">
            <v>PHYSICIAN</v>
          </cell>
          <cell r="AC2022" t="str">
            <v>M</v>
          </cell>
          <cell r="AD2022" t="str">
            <v>No</v>
          </cell>
          <cell r="AE2022" t="str">
            <v>MMIS</v>
          </cell>
          <cell r="AG2022" t="str">
            <v>P</v>
          </cell>
        </row>
        <row r="2023">
          <cell r="A2023" t="str">
            <v>1689728412</v>
          </cell>
          <cell r="B2023" t="str">
            <v>00590294</v>
          </cell>
          <cell r="C2023" t="str">
            <v>Salgo Peter</v>
          </cell>
          <cell r="D2023" t="str">
            <v>E0240651</v>
          </cell>
          <cell r="E2023" t="str">
            <v>SALGO PETER L              MD</v>
          </cell>
          <cell r="L2023" t="str">
            <v>All Other:: Practitioner - Non-Primary Care Provider (PCP)</v>
          </cell>
          <cell r="M2023" t="str">
            <v>No</v>
          </cell>
          <cell r="R2023" t="str">
            <v>SALGO PETER</v>
          </cell>
          <cell r="W2023" t="str">
            <v>SALGO PETER L              MD</v>
          </cell>
          <cell r="X2023" t="str">
            <v>622 W 168TH ST</v>
          </cell>
          <cell r="Y2023" t="str">
            <v>NEW YORK</v>
          </cell>
          <cell r="Z2023" t="str">
            <v>NY</v>
          </cell>
          <cell r="AA2023" t="str">
            <v>10032-3720</v>
          </cell>
          <cell r="AB2023" t="str">
            <v>PHYSICIAN</v>
          </cell>
          <cell r="AC2023" t="str">
            <v>M</v>
          </cell>
          <cell r="AD2023" t="str">
            <v>No</v>
          </cell>
          <cell r="AE2023" t="str">
            <v>MMIS</v>
          </cell>
          <cell r="AF2023" t="str">
            <v>nypwestcampus</v>
          </cell>
          <cell r="AG2023" t="str">
            <v>P</v>
          </cell>
        </row>
        <row r="2024">
          <cell r="A2024" t="str">
            <v>1023275104</v>
          </cell>
          <cell r="B2024" t="str">
            <v>03277007</v>
          </cell>
          <cell r="C2024" t="str">
            <v>Robinson Brian</v>
          </cell>
          <cell r="D2024" t="str">
            <v>E0313107</v>
          </cell>
          <cell r="E2024" t="str">
            <v>ROBINSON BRIAN</v>
          </cell>
          <cell r="G2024" t="str">
            <v>Kathryn Spaziani</v>
          </cell>
          <cell r="H2024" t="str">
            <v>(212) 305-1228</v>
          </cell>
          <cell r="J2024" t="str">
            <v>kas9171@nyp.org</v>
          </cell>
          <cell r="L2024" t="str">
            <v>All Other:: Practitioner - Non-Primary Care Provider (PCP)</v>
          </cell>
          <cell r="M2024" t="str">
            <v>No</v>
          </cell>
          <cell r="R2024" t="str">
            <v>ROBINSON BRIAN</v>
          </cell>
          <cell r="W2024" t="str">
            <v>ROBINSON BRIAN</v>
          </cell>
          <cell r="X2024" t="str">
            <v>525 E 68TH ST</v>
          </cell>
          <cell r="Y2024" t="str">
            <v>NEW YORK</v>
          </cell>
          <cell r="Z2024" t="str">
            <v>NY</v>
          </cell>
          <cell r="AA2024" t="str">
            <v>10065-4870</v>
          </cell>
          <cell r="AB2024" t="str">
            <v>PHYSICIAN</v>
          </cell>
          <cell r="AC2024" t="str">
            <v>M</v>
          </cell>
          <cell r="AD2024" t="str">
            <v>No</v>
          </cell>
          <cell r="AE2024" t="str">
            <v>MMIS</v>
          </cell>
          <cell r="AF2024" t="str">
            <v>nypeastcampus</v>
          </cell>
          <cell r="AG2024" t="str">
            <v>P</v>
          </cell>
        </row>
        <row r="2025">
          <cell r="A2025" t="str">
            <v>1508821521</v>
          </cell>
          <cell r="B2025" t="str">
            <v>02945320</v>
          </cell>
          <cell r="C2025" t="str">
            <v>Rubin Mark</v>
          </cell>
          <cell r="D2025" t="str">
            <v>E0002689</v>
          </cell>
          <cell r="E2025" t="str">
            <v>RUBIN MARK</v>
          </cell>
          <cell r="G2025" t="str">
            <v>Kathryn Spaziani</v>
          </cell>
          <cell r="H2025" t="str">
            <v>(212) 305-1229</v>
          </cell>
          <cell r="J2025" t="str">
            <v>kas9171@nyp.org</v>
          </cell>
          <cell r="L2025" t="str">
            <v>Practitioner - Non-Primary Care Provider (PCP)</v>
          </cell>
          <cell r="M2025" t="str">
            <v>No</v>
          </cell>
          <cell r="R2025" t="str">
            <v>RUBIN MARK</v>
          </cell>
          <cell r="W2025" t="str">
            <v>RUBIN MARK</v>
          </cell>
          <cell r="X2025" t="str">
            <v>525 E 68TH ST</v>
          </cell>
          <cell r="Y2025" t="str">
            <v>NEW YORK</v>
          </cell>
          <cell r="Z2025" t="str">
            <v>NY</v>
          </cell>
          <cell r="AA2025" t="str">
            <v>10065-4870</v>
          </cell>
          <cell r="AB2025" t="str">
            <v>PHYSICIAN</v>
          </cell>
          <cell r="AC2025" t="str">
            <v>M</v>
          </cell>
          <cell r="AD2025" t="str">
            <v>No</v>
          </cell>
          <cell r="AE2025" t="str">
            <v>MMIS</v>
          </cell>
          <cell r="AF2025" t="str">
            <v>nypeastcampus</v>
          </cell>
          <cell r="AG2025" t="str">
            <v>P</v>
          </cell>
        </row>
        <row r="2026">
          <cell r="A2026" t="str">
            <v>1710938048</v>
          </cell>
          <cell r="B2026" t="str">
            <v>02862848</v>
          </cell>
          <cell r="C2026" t="str">
            <v>Scognamiglio Theresa</v>
          </cell>
          <cell r="D2026" t="str">
            <v>E0013914</v>
          </cell>
          <cell r="E2026" t="str">
            <v>SCONGNAMIGLIO THERESA</v>
          </cell>
          <cell r="G2026" t="str">
            <v>Kathryn Spaziani</v>
          </cell>
          <cell r="H2026" t="str">
            <v>(212) 305-1230</v>
          </cell>
          <cell r="J2026" t="str">
            <v>kas9171@nyp.org</v>
          </cell>
          <cell r="L2026" t="str">
            <v>All Other:: Practitioner - Non-Primary Care Provider (PCP)</v>
          </cell>
          <cell r="M2026" t="str">
            <v>No</v>
          </cell>
          <cell r="R2026" t="str">
            <v>SCOGNAMIGLIO THERESA DR.</v>
          </cell>
          <cell r="W2026" t="str">
            <v>SCONGNAMIGLIO THERESA</v>
          </cell>
          <cell r="X2026" t="str">
            <v>525 E 68TH ST</v>
          </cell>
          <cell r="Y2026" t="str">
            <v>NEW YORK</v>
          </cell>
          <cell r="Z2026" t="str">
            <v>NY</v>
          </cell>
          <cell r="AA2026" t="str">
            <v>10065-4870</v>
          </cell>
          <cell r="AB2026" t="str">
            <v>PHYSICIAN</v>
          </cell>
          <cell r="AC2026" t="str">
            <v>M</v>
          </cell>
          <cell r="AD2026" t="str">
            <v>No</v>
          </cell>
          <cell r="AE2026" t="str">
            <v>MMIS</v>
          </cell>
          <cell r="AF2026" t="str">
            <v>nypeastcampus</v>
          </cell>
          <cell r="AG2026" t="str">
            <v>P</v>
          </cell>
        </row>
        <row r="2027">
          <cell r="A2027" t="str">
            <v>1972599322</v>
          </cell>
          <cell r="B2027" t="str">
            <v>01360636</v>
          </cell>
          <cell r="C2027" t="str">
            <v>ST. MARYS CENTER INC</v>
          </cell>
          <cell r="D2027" t="str">
            <v>E0163887</v>
          </cell>
          <cell r="E2027" t="str">
            <v>ST MARYS CENTER, INC</v>
          </cell>
          <cell r="L2027" t="str">
            <v>All Other:: Nursing Home</v>
          </cell>
          <cell r="M2027" t="str">
            <v>Yes</v>
          </cell>
          <cell r="R2027" t="str">
            <v>ST. MARYS CENTER INC</v>
          </cell>
          <cell r="W2027" t="str">
            <v>ST MARYS CENTER INC</v>
          </cell>
          <cell r="X2027" t="str">
            <v>516 W 126TH ST</v>
          </cell>
          <cell r="Y2027" t="str">
            <v>NEW YORK</v>
          </cell>
          <cell r="Z2027" t="str">
            <v>NY</v>
          </cell>
          <cell r="AA2027" t="str">
            <v>10027-2406</v>
          </cell>
          <cell r="AB2027" t="str">
            <v>LONG TERM CARE FACILITY</v>
          </cell>
          <cell r="AC2027" t="str">
            <v>M</v>
          </cell>
          <cell r="AD2027" t="str">
            <v>No</v>
          </cell>
          <cell r="AE2027" t="str">
            <v>MMIS</v>
          </cell>
          <cell r="AG2027" t="str">
            <v>P</v>
          </cell>
        </row>
        <row r="2028">
          <cell r="A2028" t="str">
            <v>1558707299</v>
          </cell>
          <cell r="B2028" t="str">
            <v>03941797</v>
          </cell>
          <cell r="C2028" t="str">
            <v>AJS BROOKLYN MEDICAL PRACTICE PC</v>
          </cell>
          <cell r="D2028" t="str">
            <v>E0385270</v>
          </cell>
          <cell r="E2028" t="str">
            <v>AJS BROOKLYN MEDICAL PRACTICE PC</v>
          </cell>
          <cell r="L2028" t="str">
            <v>All Other</v>
          </cell>
          <cell r="M2028" t="str">
            <v>No</v>
          </cell>
          <cell r="R2028" t="str">
            <v>AJS BROOKLYN MEDICAL PRACTICE PC</v>
          </cell>
          <cell r="W2028" t="str">
            <v>AJS BROOKLYN MEDICAL PRACTICE PC</v>
          </cell>
          <cell r="X2028" t="str">
            <v>348 13TH ST STE 201</v>
          </cell>
          <cell r="Y2028" t="str">
            <v>BROOKLYN</v>
          </cell>
          <cell r="Z2028" t="str">
            <v>NY</v>
          </cell>
          <cell r="AA2028" t="str">
            <v>11215-6179</v>
          </cell>
          <cell r="AB2028" t="str">
            <v>PHYSICIANS GROUP</v>
          </cell>
          <cell r="AC2028" t="str">
            <v>M</v>
          </cell>
          <cell r="AD2028" t="str">
            <v>No</v>
          </cell>
          <cell r="AE2028" t="str">
            <v>MMIS</v>
          </cell>
          <cell r="AG2028" t="str">
            <v>P</v>
          </cell>
        </row>
        <row r="2029">
          <cell r="A2029" t="str">
            <v>1831145648</v>
          </cell>
          <cell r="B2029" t="str">
            <v>00345946</v>
          </cell>
          <cell r="C2029" t="str">
            <v>STEIN ALAN</v>
          </cell>
          <cell r="D2029" t="str">
            <v>E0264570</v>
          </cell>
          <cell r="E2029" t="str">
            <v>STEIN ALAN J MD</v>
          </cell>
          <cell r="L2029" t="str">
            <v>All Other:: Practitioner - Primary Care Provider (PCP)</v>
          </cell>
          <cell r="M2029" t="str">
            <v>No</v>
          </cell>
          <cell r="R2029" t="str">
            <v>STEIN ALAN</v>
          </cell>
          <cell r="W2029" t="str">
            <v>STEIN ALAN J MD</v>
          </cell>
          <cell r="X2029" t="str">
            <v>348-13 STREET STE101</v>
          </cell>
          <cell r="Y2029" t="str">
            <v>BROOKLYN</v>
          </cell>
          <cell r="Z2029" t="str">
            <v>NY</v>
          </cell>
          <cell r="AA2029" t="str">
            <v>11215</v>
          </cell>
          <cell r="AB2029" t="str">
            <v>PHYSICIAN</v>
          </cell>
          <cell r="AC2029" t="str">
            <v>M</v>
          </cell>
          <cell r="AD2029" t="str">
            <v>No</v>
          </cell>
          <cell r="AE2029" t="str">
            <v>MMIS</v>
          </cell>
          <cell r="AG2029" t="str">
            <v>P</v>
          </cell>
        </row>
        <row r="2030">
          <cell r="A2030" t="str">
            <v>1871852772</v>
          </cell>
          <cell r="B2030" t="str">
            <v>03489998</v>
          </cell>
          <cell r="C2030" t="str">
            <v>AIDS HEALTHCARE FOUNDATION</v>
          </cell>
          <cell r="D2030" t="str">
            <v>E0338533</v>
          </cell>
          <cell r="E2030" t="str">
            <v>AIDS HEALTHCARE FOUNDATION</v>
          </cell>
          <cell r="L2030" t="str">
            <v>Pharmacy</v>
          </cell>
          <cell r="M2030" t="str">
            <v>Yes</v>
          </cell>
          <cell r="R2030" t="str">
            <v>AIDS HEALTHCARE FOUNDATION</v>
          </cell>
          <cell r="W2030" t="str">
            <v>AIDS HEALTHCARE FOUNDATION</v>
          </cell>
          <cell r="X2030" t="str">
            <v>45 MELVILLE PARK RD</v>
          </cell>
          <cell r="Y2030" t="str">
            <v>MELVILLE</v>
          </cell>
          <cell r="Z2030" t="str">
            <v>NY</v>
          </cell>
          <cell r="AA2030" t="str">
            <v>11747-3109</v>
          </cell>
          <cell r="AB2030" t="str">
            <v>PHARMACY</v>
          </cell>
          <cell r="AC2030" t="str">
            <v>M</v>
          </cell>
          <cell r="AD2030" t="str">
            <v>No</v>
          </cell>
          <cell r="AE2030" t="str">
            <v>MMIS</v>
          </cell>
          <cell r="AG2030" t="str">
            <v>P</v>
          </cell>
        </row>
        <row r="2031">
          <cell r="A2031" t="str">
            <v>1639197551</v>
          </cell>
          <cell r="B2031" t="str">
            <v>00273056</v>
          </cell>
          <cell r="C2031" t="str">
            <v>MEDICAL ARTS SANITARIUM, INC.</v>
          </cell>
          <cell r="D2031" t="str">
            <v>E0271763</v>
          </cell>
          <cell r="E2031" t="str">
            <v>MEDICAL ARTS SANITARIUM</v>
          </cell>
          <cell r="L2031" t="str">
            <v>All Other:: Substance Abuse</v>
          </cell>
          <cell r="M2031" t="str">
            <v>Yes</v>
          </cell>
          <cell r="R2031" t="str">
            <v>MEDICAL ARTS SANITARIUM, INC.</v>
          </cell>
          <cell r="W2031" t="str">
            <v>MEDICAL ARTS SANITARIUM</v>
          </cell>
          <cell r="X2031" t="str">
            <v>15905 UNION TPKE</v>
          </cell>
          <cell r="Y2031" t="str">
            <v>FRESH MEADOWS</v>
          </cell>
          <cell r="Z2031" t="str">
            <v>NY</v>
          </cell>
          <cell r="AA2031" t="str">
            <v>11366-1950</v>
          </cell>
          <cell r="AB2031" t="str">
            <v>HOSPITAL</v>
          </cell>
          <cell r="AC2031" t="str">
            <v>M</v>
          </cell>
          <cell r="AD2031" t="str">
            <v>No</v>
          </cell>
          <cell r="AE2031" t="str">
            <v>MMIS</v>
          </cell>
          <cell r="AG2031" t="str">
            <v>P</v>
          </cell>
        </row>
        <row r="2032">
          <cell r="A2032" t="str">
            <v>1659317030</v>
          </cell>
          <cell r="B2032" t="str">
            <v>02673210</v>
          </cell>
          <cell r="C2032" t="str">
            <v>MELBRAN DRUGS INC</v>
          </cell>
          <cell r="D2032" t="str">
            <v>E0032854</v>
          </cell>
          <cell r="E2032" t="str">
            <v>MELBRAN DRUGS INC</v>
          </cell>
          <cell r="L2032" t="str">
            <v>Pharmacy</v>
          </cell>
          <cell r="M2032" t="str">
            <v>Yes</v>
          </cell>
          <cell r="R2032" t="str">
            <v>MELBRAN DRUGS INC</v>
          </cell>
          <cell r="W2032" t="str">
            <v>MELBRAN DRUGS INC</v>
          </cell>
          <cell r="X2032" t="str">
            <v>605 W 168TH ST</v>
          </cell>
          <cell r="Y2032" t="str">
            <v>NEW YORK</v>
          </cell>
          <cell r="Z2032" t="str">
            <v>NY</v>
          </cell>
          <cell r="AA2032" t="str">
            <v>10032-3705</v>
          </cell>
          <cell r="AB2032" t="str">
            <v>PHARMACY</v>
          </cell>
          <cell r="AC2032" t="str">
            <v>M</v>
          </cell>
          <cell r="AD2032" t="str">
            <v>No</v>
          </cell>
          <cell r="AE2032" t="str">
            <v>MMIS</v>
          </cell>
          <cell r="AG2032" t="str">
            <v>P</v>
          </cell>
        </row>
        <row r="2033">
          <cell r="A2033" t="str">
            <v>1346589215</v>
          </cell>
          <cell r="C2033" t="str">
            <v>APPLIED BEHAVIORAL INTERVENTIONS, PSYCHOLOGY, PT, OT, SLP, LMSW, PLLC.</v>
          </cell>
          <cell r="K2033" t="str">
            <v>All Other</v>
          </cell>
          <cell r="L2033" t="str">
            <v>Uncategorized</v>
          </cell>
          <cell r="M2033" t="str">
            <v>No</v>
          </cell>
          <cell r="R2033" t="str">
            <v>APPLIED BEHAVIORAL INTERVENTIONS, PSYCHOLOGY, PT, OT, SLP, LMSW, PLLC.</v>
          </cell>
          <cell r="S2033" t="str">
            <v>2625 E 14TH ST, SUITE 200</v>
          </cell>
          <cell r="T2033" t="str">
            <v>BROOKLYN</v>
          </cell>
          <cell r="U2033" t="str">
            <v>NY</v>
          </cell>
          <cell r="V2033" t="str">
            <v>112353979</v>
          </cell>
          <cell r="AC2033" t="str">
            <v>M</v>
          </cell>
          <cell r="AD2033" t="str">
            <v>No</v>
          </cell>
          <cell r="AE2033" t="str">
            <v>NPI only</v>
          </cell>
          <cell r="AG2033" t="str">
            <v>P</v>
          </cell>
        </row>
        <row r="2034">
          <cell r="A2034" t="str">
            <v>1174611446</v>
          </cell>
          <cell r="B2034" t="str">
            <v>02152207</v>
          </cell>
          <cell r="C2034" t="str">
            <v>CHERIFF, ADAM D</v>
          </cell>
          <cell r="D2034" t="str">
            <v>E0084855</v>
          </cell>
          <cell r="E2034" t="str">
            <v>CHERIFF ADAM DAVID MD</v>
          </cell>
          <cell r="G2034" t="str">
            <v>Kathryn Spaziani</v>
          </cell>
          <cell r="H2034" t="str">
            <v>(212) 305-1190</v>
          </cell>
          <cell r="J2034" t="str">
            <v>kas9171@nyp.org</v>
          </cell>
          <cell r="L2034" t="str">
            <v>Practitioner - Primary Care Provider (PCP)</v>
          </cell>
          <cell r="M2034" t="str">
            <v>No</v>
          </cell>
          <cell r="R2034" t="str">
            <v>CHERIFF ADAM</v>
          </cell>
          <cell r="W2034" t="str">
            <v>CHERIFF ADAM DAVID MD</v>
          </cell>
          <cell r="X2034" t="str">
            <v>SUITE 2R</v>
          </cell>
          <cell r="Y2034" t="str">
            <v>NEW YORK</v>
          </cell>
          <cell r="Z2034" t="str">
            <v>NY</v>
          </cell>
          <cell r="AA2034" t="str">
            <v>10021</v>
          </cell>
          <cell r="AB2034" t="str">
            <v>PHYSICIAN</v>
          </cell>
          <cell r="AC2034" t="str">
            <v>M</v>
          </cell>
          <cell r="AD2034" t="str">
            <v>No</v>
          </cell>
          <cell r="AE2034" t="str">
            <v>MMIS</v>
          </cell>
          <cell r="AF2034" t="str">
            <v>nypeastacn</v>
          </cell>
          <cell r="AG2034" t="str">
            <v>P</v>
          </cell>
        </row>
        <row r="2035">
          <cell r="A2035" t="str">
            <v>1578652806</v>
          </cell>
          <cell r="B2035" t="str">
            <v>01348681</v>
          </cell>
          <cell r="C2035" t="str">
            <v xml:space="preserve">STULMAN, JAMES </v>
          </cell>
          <cell r="D2035" t="str">
            <v>E0165076</v>
          </cell>
          <cell r="E2035" t="str">
            <v>STULMAN JAMES K MD</v>
          </cell>
          <cell r="G2035" t="str">
            <v>Kathryn Spaziani</v>
          </cell>
          <cell r="H2035" t="str">
            <v>(212) 305-1190</v>
          </cell>
          <cell r="J2035" t="str">
            <v>kas9171@nyp.org</v>
          </cell>
          <cell r="L2035" t="str">
            <v>All Other:: Practitioner - Primary Care Provider (PCP)</v>
          </cell>
          <cell r="M2035" t="str">
            <v>Yes</v>
          </cell>
          <cell r="R2035" t="str">
            <v>STULMAN JAMES DR.</v>
          </cell>
          <cell r="W2035" t="str">
            <v>STULMAN JAMES K MD</v>
          </cell>
          <cell r="X2035" t="str">
            <v>MOTEFIORE MED CTR</v>
          </cell>
          <cell r="Y2035" t="str">
            <v>BRONX</v>
          </cell>
          <cell r="Z2035" t="str">
            <v>NY</v>
          </cell>
          <cell r="AA2035" t="str">
            <v>10467-2401</v>
          </cell>
          <cell r="AB2035" t="str">
            <v>PHYSICIAN</v>
          </cell>
          <cell r="AC2035" t="str">
            <v>M</v>
          </cell>
          <cell r="AD2035" t="str">
            <v>No</v>
          </cell>
          <cell r="AE2035" t="str">
            <v>MMIS</v>
          </cell>
          <cell r="AF2035" t="str">
            <v>nypeastcampus</v>
          </cell>
          <cell r="AG2035" t="str">
            <v>P</v>
          </cell>
        </row>
        <row r="2036">
          <cell r="A2036" t="str">
            <v>1588631527</v>
          </cell>
          <cell r="B2036" t="str">
            <v>00708470</v>
          </cell>
          <cell r="C2036" t="str">
            <v>TIMKO, NIKKI L</v>
          </cell>
          <cell r="D2036" t="str">
            <v>E0228857</v>
          </cell>
          <cell r="E2036" t="str">
            <v>TIMKO NIKKI LYNN           MD</v>
          </cell>
          <cell r="G2036" t="str">
            <v>Kathryn Spaziani</v>
          </cell>
          <cell r="H2036" t="str">
            <v>(212) 305-1190</v>
          </cell>
          <cell r="J2036" t="str">
            <v>kas9171@nyp.org</v>
          </cell>
          <cell r="L2036" t="str">
            <v>All Other:: Practitioner - Primary Care Provider (PCP)</v>
          </cell>
          <cell r="M2036" t="str">
            <v>Yes</v>
          </cell>
          <cell r="R2036" t="str">
            <v>TIMKO NIKKI DR.</v>
          </cell>
          <cell r="W2036" t="str">
            <v>TIMKO NIKKI LYNN           MD</v>
          </cell>
          <cell r="Y2036" t="str">
            <v>NEW YORK</v>
          </cell>
          <cell r="Z2036" t="str">
            <v>NY</v>
          </cell>
          <cell r="AA2036" t="str">
            <v>10032-1559</v>
          </cell>
          <cell r="AB2036" t="str">
            <v>PHYSICIAN</v>
          </cell>
          <cell r="AC2036" t="str">
            <v>M</v>
          </cell>
          <cell r="AD2036" t="str">
            <v>No</v>
          </cell>
          <cell r="AE2036" t="str">
            <v>MMIS</v>
          </cell>
          <cell r="AF2036" t="str">
            <v>nypwestcampus</v>
          </cell>
          <cell r="AG2036" t="str">
            <v>P</v>
          </cell>
        </row>
        <row r="2037">
          <cell r="C2037" t="str">
            <v>Lenox Hill Neighborhood House</v>
          </cell>
          <cell r="G2037" t="str">
            <v>Mia Kandel</v>
          </cell>
          <cell r="H2037" t="str">
            <v>(212) 218-0423</v>
          </cell>
          <cell r="J2037" t="str">
            <v>mkandel@lenoxhill.org</v>
          </cell>
          <cell r="K2037" t="str">
            <v>Residential Supports in Community Settings</v>
          </cell>
          <cell r="L2037" t="str">
            <v>CBO</v>
          </cell>
          <cell r="M2037" t="str">
            <v>No</v>
          </cell>
          <cell r="N2037" t="str">
            <v>331 E 70th Street</v>
          </cell>
          <cell r="O2037" t="str">
            <v>New york</v>
          </cell>
          <cell r="P2037" t="str">
            <v>NY</v>
          </cell>
          <cell r="Q2037" t="str">
            <v>10021</v>
          </cell>
          <cell r="AC2037" t="str">
            <v>M</v>
          </cell>
          <cell r="AD2037" t="str">
            <v>No</v>
          </cell>
          <cell r="AE2037" t="str">
            <v>No NPI or MMIS</v>
          </cell>
          <cell r="AG2037" t="str">
            <v>P</v>
          </cell>
        </row>
        <row r="2038">
          <cell r="A2038" t="str">
            <v>1225172265</v>
          </cell>
          <cell r="B2038" t="str">
            <v>02838833</v>
          </cell>
          <cell r="C2038" t="str">
            <v>JOINER, GAIL M</v>
          </cell>
          <cell r="D2038" t="str">
            <v>E0016313</v>
          </cell>
          <cell r="E2038" t="str">
            <v>JOINER GAIL MARINE DDS</v>
          </cell>
          <cell r="G2038" t="str">
            <v>Kathryn Spaziani</v>
          </cell>
          <cell r="H2038" t="str">
            <v>(212) 305-1190</v>
          </cell>
          <cell r="J2038" t="str">
            <v>kas9171@nyp.org</v>
          </cell>
          <cell r="L2038" t="str">
            <v>Practitioner - Non-Primary Care Provider (PCP)</v>
          </cell>
          <cell r="M2038" t="str">
            <v>No</v>
          </cell>
          <cell r="R2038" t="str">
            <v>JOINER GAIL DR.</v>
          </cell>
          <cell r="W2038" t="str">
            <v>JOINER GAIL MARINE DDS</v>
          </cell>
          <cell r="X2038" t="str">
            <v>432 E 116TH ST</v>
          </cell>
          <cell r="Y2038" t="str">
            <v>NEW YORK</v>
          </cell>
          <cell r="Z2038" t="str">
            <v>NY</v>
          </cell>
          <cell r="AA2038" t="str">
            <v>10029-1620</v>
          </cell>
          <cell r="AB2038" t="str">
            <v>DENTIST</v>
          </cell>
          <cell r="AC2038" t="str">
            <v>M</v>
          </cell>
          <cell r="AD2038" t="str">
            <v>No</v>
          </cell>
          <cell r="AE2038" t="str">
            <v>MMIS</v>
          </cell>
          <cell r="AF2038" t="str">
            <v>nypother</v>
          </cell>
          <cell r="AG2038" t="str">
            <v>P</v>
          </cell>
        </row>
        <row r="2039">
          <cell r="A2039" t="str">
            <v>1871868679</v>
          </cell>
          <cell r="C2039" t="str">
            <v>Furusawa-Stratton Lance</v>
          </cell>
          <cell r="G2039" t="str">
            <v>Kathryn Spaziani</v>
          </cell>
          <cell r="H2039" t="str">
            <v>(212) 305-1255</v>
          </cell>
          <cell r="J2039" t="str">
            <v>kas9171@nyp.org</v>
          </cell>
          <cell r="K2039" t="str">
            <v>Physician</v>
          </cell>
          <cell r="L2039" t="str">
            <v>Uncategorized</v>
          </cell>
          <cell r="M2039" t="str">
            <v>No</v>
          </cell>
          <cell r="R2039" t="str">
            <v>FURUSAWA-STRATTON LANCE</v>
          </cell>
          <cell r="S2039" t="str">
            <v>622 W 168TH ST</v>
          </cell>
          <cell r="T2039" t="str">
            <v>NEW YORK</v>
          </cell>
          <cell r="U2039" t="str">
            <v>NY</v>
          </cell>
          <cell r="V2039" t="str">
            <v>100323720</v>
          </cell>
          <cell r="AC2039" t="str">
            <v>M</v>
          </cell>
          <cell r="AD2039" t="str">
            <v>No</v>
          </cell>
          <cell r="AE2039" t="str">
            <v>NPI only</v>
          </cell>
          <cell r="AF2039" t="str">
            <v>nypwestcampus</v>
          </cell>
          <cell r="AG2039" t="str">
            <v>P</v>
          </cell>
        </row>
        <row r="2040">
          <cell r="A2040" t="str">
            <v>1902846132</v>
          </cell>
          <cell r="B2040" t="str">
            <v>02863005</v>
          </cell>
          <cell r="C2040" t="str">
            <v>Crapanzano John</v>
          </cell>
          <cell r="D2040" t="str">
            <v>E0013898</v>
          </cell>
          <cell r="E2040" t="str">
            <v>CRAPANZANO JOHN</v>
          </cell>
          <cell r="L2040" t="str">
            <v>All Other:: Practitioner - Non-Primary Care Provider (PCP)</v>
          </cell>
          <cell r="M2040" t="str">
            <v>No</v>
          </cell>
          <cell r="R2040" t="str">
            <v>CRAPANZANO JOHN DR.</v>
          </cell>
          <cell r="W2040" t="str">
            <v>CRAPANZANO JOHN</v>
          </cell>
          <cell r="X2040" t="str">
            <v>525 E 68TH ST</v>
          </cell>
          <cell r="Y2040" t="str">
            <v>NEW YORK</v>
          </cell>
          <cell r="Z2040" t="str">
            <v>NY</v>
          </cell>
          <cell r="AA2040" t="str">
            <v>10065-4870</v>
          </cell>
          <cell r="AB2040" t="str">
            <v>PHYSICIAN</v>
          </cell>
          <cell r="AC2040" t="str">
            <v>M</v>
          </cell>
          <cell r="AD2040" t="str">
            <v>No</v>
          </cell>
          <cell r="AE2040" t="str">
            <v>MMIS</v>
          </cell>
          <cell r="AF2040" t="str">
            <v>nypwestcampus</v>
          </cell>
          <cell r="AG2040" t="str">
            <v>P</v>
          </cell>
        </row>
        <row r="2041">
          <cell r="A2041" t="str">
            <v>1659462323</v>
          </cell>
          <cell r="B2041" t="str">
            <v>03296366</v>
          </cell>
          <cell r="C2041" t="str">
            <v>Madoff David</v>
          </cell>
          <cell r="D2041" t="str">
            <v>E0315289</v>
          </cell>
          <cell r="E2041" t="str">
            <v>MADOFF DAVID CRAIG</v>
          </cell>
          <cell r="L2041" t="str">
            <v>All Other:: Practitioner - Non-Primary Care Provider (PCP)</v>
          </cell>
          <cell r="M2041" t="str">
            <v>No</v>
          </cell>
          <cell r="R2041" t="str">
            <v>MADOFF DAVID</v>
          </cell>
          <cell r="W2041" t="str">
            <v>MADOFF DAVID CRAIG</v>
          </cell>
          <cell r="X2041" t="str">
            <v>525 E 68TH ST BOX 585</v>
          </cell>
          <cell r="Y2041" t="str">
            <v>NEW YORK</v>
          </cell>
          <cell r="Z2041" t="str">
            <v>NY</v>
          </cell>
          <cell r="AA2041" t="str">
            <v>10065-4870</v>
          </cell>
          <cell r="AB2041" t="str">
            <v>PHYSICIAN</v>
          </cell>
          <cell r="AC2041" t="str">
            <v>M</v>
          </cell>
          <cell r="AD2041" t="str">
            <v>No</v>
          </cell>
          <cell r="AE2041" t="str">
            <v>MMIS</v>
          </cell>
          <cell r="AF2041" t="str">
            <v>nypeastcampus</v>
          </cell>
          <cell r="AG2041" t="str">
            <v>P</v>
          </cell>
        </row>
        <row r="2042">
          <cell r="A2042" t="str">
            <v>1205056447</v>
          </cell>
          <cell r="B2042" t="str">
            <v>02737593</v>
          </cell>
          <cell r="C2042" t="str">
            <v xml:space="preserve">KANDULA, PADMAJA </v>
          </cell>
          <cell r="D2042" t="str">
            <v>E0026428</v>
          </cell>
          <cell r="E2042" t="str">
            <v>KANDULA PADMAJA MD</v>
          </cell>
          <cell r="G2042" t="str">
            <v>Kathryn Spaziani</v>
          </cell>
          <cell r="H2042" t="str">
            <v>(212) 305-1190</v>
          </cell>
          <cell r="J2042" t="str">
            <v>kas9171@nyp.org</v>
          </cell>
          <cell r="L2042" t="str">
            <v>All Other:: Practitioner - Non-Primary Care Provider (PCP)</v>
          </cell>
          <cell r="M2042" t="str">
            <v>No</v>
          </cell>
          <cell r="R2042" t="str">
            <v>KANDULA PADMAJA DR.</v>
          </cell>
          <cell r="W2042" t="str">
            <v>KANDULA PADMAJA MD</v>
          </cell>
          <cell r="X2042" t="str">
            <v>520 E 70TH ST</v>
          </cell>
          <cell r="Y2042" t="str">
            <v>NEW YORK</v>
          </cell>
          <cell r="Z2042" t="str">
            <v>NY</v>
          </cell>
          <cell r="AA2042" t="str">
            <v>10021-9800</v>
          </cell>
          <cell r="AB2042" t="str">
            <v>PHYSICIAN</v>
          </cell>
          <cell r="AC2042" t="str">
            <v>M</v>
          </cell>
          <cell r="AD2042" t="str">
            <v>No</v>
          </cell>
          <cell r="AE2042" t="str">
            <v>MMIS</v>
          </cell>
          <cell r="AF2042" t="str">
            <v>nypeastacn</v>
          </cell>
          <cell r="AG2042" t="str">
            <v>P</v>
          </cell>
        </row>
        <row r="2043">
          <cell r="A2043" t="str">
            <v>1205058187</v>
          </cell>
          <cell r="B2043" t="str">
            <v>03279518</v>
          </cell>
          <cell r="C2043" t="str">
            <v>Lekarev, Oksana</v>
          </cell>
          <cell r="D2043" t="str">
            <v>E0313394</v>
          </cell>
          <cell r="E2043" t="str">
            <v>LEKAREV OKSANA</v>
          </cell>
          <cell r="G2043" t="str">
            <v>Kathryn Spaziani</v>
          </cell>
          <cell r="H2043" t="str">
            <v>(212) 305-1190</v>
          </cell>
          <cell r="J2043" t="str">
            <v>kas9171@nyp.org</v>
          </cell>
          <cell r="L2043" t="str">
            <v>All Other:: Practitioner - Non-Primary Care Provider (PCP)</v>
          </cell>
          <cell r="M2043" t="str">
            <v>No</v>
          </cell>
          <cell r="R2043" t="str">
            <v>LEKAREV OKSANA</v>
          </cell>
          <cell r="W2043" t="str">
            <v>LEKAREV OKSANA</v>
          </cell>
          <cell r="X2043" t="str">
            <v>1 GUSTAVE L LEVY PL</v>
          </cell>
          <cell r="Y2043" t="str">
            <v>NEW YORK</v>
          </cell>
          <cell r="Z2043" t="str">
            <v>NY</v>
          </cell>
          <cell r="AA2043" t="str">
            <v>10029-6500</v>
          </cell>
          <cell r="AB2043" t="str">
            <v>PHYSICIAN</v>
          </cell>
          <cell r="AC2043" t="str">
            <v>M</v>
          </cell>
          <cell r="AD2043" t="str">
            <v>No</v>
          </cell>
          <cell r="AE2043" t="str">
            <v>MMIS</v>
          </cell>
          <cell r="AF2043" t="str">
            <v>nypeastcampus</v>
          </cell>
          <cell r="AG2043" t="str">
            <v>P</v>
          </cell>
        </row>
        <row r="2044">
          <cell r="A2044" t="str">
            <v>1205145075</v>
          </cell>
          <cell r="B2044" t="str">
            <v>03347371</v>
          </cell>
          <cell r="C2044" t="str">
            <v xml:space="preserve">OSCAR, SWEENE </v>
          </cell>
          <cell r="D2044" t="str">
            <v>E0321114</v>
          </cell>
          <cell r="E2044" t="str">
            <v>OSCAR SWEENE COLLEEN</v>
          </cell>
          <cell r="G2044" t="str">
            <v>Kathryn Spaziani</v>
          </cell>
          <cell r="H2044" t="str">
            <v>(212) 305-1190</v>
          </cell>
          <cell r="J2044" t="str">
            <v>kas9171@nyp.org</v>
          </cell>
          <cell r="L2044" t="str">
            <v>Practitioner - Non-Primary Care Provider (PCP)</v>
          </cell>
          <cell r="M2044" t="str">
            <v>No</v>
          </cell>
          <cell r="R2044" t="str">
            <v>OSCAR SWEENE DR.</v>
          </cell>
          <cell r="W2044" t="str">
            <v>OSCAR SWEENE COLLEEN</v>
          </cell>
          <cell r="X2044" t="str">
            <v>3959 BROADWAY</v>
          </cell>
          <cell r="Y2044" t="str">
            <v>NEW YORK</v>
          </cell>
          <cell r="Z2044" t="str">
            <v>NY</v>
          </cell>
          <cell r="AA2044" t="str">
            <v>10032-1559</v>
          </cell>
          <cell r="AB2044" t="str">
            <v>CLINICAL PSYCHOLOGIST</v>
          </cell>
          <cell r="AC2044" t="str">
            <v>M</v>
          </cell>
          <cell r="AD2044" t="str">
            <v>No</v>
          </cell>
          <cell r="AE2044" t="str">
            <v>MMIS</v>
          </cell>
          <cell r="AF2044" t="str">
            <v>nypwestcampus</v>
          </cell>
          <cell r="AG2044" t="str">
            <v>P</v>
          </cell>
        </row>
        <row r="2045">
          <cell r="A2045" t="str">
            <v>1164519237</v>
          </cell>
          <cell r="B2045" t="str">
            <v>02384825</v>
          </cell>
          <cell r="C2045" t="str">
            <v>PHILLIPS, ERICA G</v>
          </cell>
          <cell r="D2045" t="str">
            <v>E0061638</v>
          </cell>
          <cell r="E2045" t="str">
            <v>PHILLIPS ERICA GWENDOLYN MD</v>
          </cell>
          <cell r="G2045" t="str">
            <v>Kathryn Spaziani</v>
          </cell>
          <cell r="H2045" t="str">
            <v>(212) 305-1190</v>
          </cell>
          <cell r="J2045" t="str">
            <v>kas9171@nyp.org</v>
          </cell>
          <cell r="L2045" t="str">
            <v>All Other:: Practitioner - Primary Care Provider (PCP)</v>
          </cell>
          <cell r="M2045" t="str">
            <v>No</v>
          </cell>
          <cell r="R2045" t="str">
            <v>PHILLIPS ERICA DR.</v>
          </cell>
          <cell r="W2045" t="str">
            <v>PHILLIPS ERICA GWENDOLYN MD</v>
          </cell>
          <cell r="X2045" t="str">
            <v>CORNELL INTERNAL MED</v>
          </cell>
          <cell r="Y2045" t="str">
            <v>LONG ISLND CITY</v>
          </cell>
          <cell r="Z2045" t="str">
            <v>NY</v>
          </cell>
          <cell r="AA2045" t="str">
            <v>11106</v>
          </cell>
          <cell r="AB2045" t="str">
            <v>PHYSICIAN</v>
          </cell>
          <cell r="AC2045" t="str">
            <v>M</v>
          </cell>
          <cell r="AD2045" t="str">
            <v>No</v>
          </cell>
          <cell r="AE2045" t="str">
            <v>MMIS</v>
          </cell>
          <cell r="AF2045" t="str">
            <v>nypeastcampus</v>
          </cell>
          <cell r="AG2045" t="str">
            <v>P</v>
          </cell>
        </row>
        <row r="2046">
          <cell r="A2046" t="str">
            <v>1598923161</v>
          </cell>
          <cell r="B2046" t="str">
            <v>03026684</v>
          </cell>
          <cell r="C2046" t="str">
            <v>Weinberg Roniel</v>
          </cell>
          <cell r="D2046" t="str">
            <v>E0284586</v>
          </cell>
          <cell r="E2046" t="str">
            <v>RONIEL YEHUDA WEINBERG MD</v>
          </cell>
          <cell r="L2046" t="str">
            <v>All Other:: Practitioner - Non-Primary Care Provider (PCP)</v>
          </cell>
          <cell r="M2046" t="str">
            <v>No</v>
          </cell>
          <cell r="R2046" t="str">
            <v>WEINBERG RONIEL</v>
          </cell>
          <cell r="W2046" t="str">
            <v>WEINBERG RONIEL YEHUDA MD</v>
          </cell>
          <cell r="X2046" t="str">
            <v>1305 YORK AVE FL 10</v>
          </cell>
          <cell r="Y2046" t="str">
            <v>NEW YORK</v>
          </cell>
          <cell r="Z2046" t="str">
            <v>NY</v>
          </cell>
          <cell r="AA2046" t="str">
            <v>10021-5663</v>
          </cell>
          <cell r="AB2046" t="str">
            <v>PHYSICIAN</v>
          </cell>
          <cell r="AC2046" t="str">
            <v>M</v>
          </cell>
          <cell r="AD2046" t="str">
            <v>No</v>
          </cell>
          <cell r="AE2046" t="str">
            <v>MMIS</v>
          </cell>
          <cell r="AF2046" t="str">
            <v>nypeastcampus</v>
          </cell>
          <cell r="AG2046" t="str">
            <v>P</v>
          </cell>
        </row>
        <row r="2047">
          <cell r="A2047" t="str">
            <v>1912029232</v>
          </cell>
          <cell r="C2047" t="str">
            <v>Kitikova-Arslanov Luiza</v>
          </cell>
          <cell r="G2047" t="str">
            <v>Kathryn Spaziani</v>
          </cell>
          <cell r="H2047" t="str">
            <v>(212) 305-1255</v>
          </cell>
          <cell r="J2047" t="str">
            <v>kas9171@nyp.org</v>
          </cell>
          <cell r="K2047" t="str">
            <v>Physician</v>
          </cell>
          <cell r="L2047" t="str">
            <v>Uncategorized</v>
          </cell>
          <cell r="M2047" t="str">
            <v>No</v>
          </cell>
          <cell r="R2047" t="str">
            <v>NEW YORK PRESBYTERIAN HOSPITAL</v>
          </cell>
          <cell r="S2047" t="str">
            <v>3959 BROADWAY</v>
          </cell>
          <cell r="T2047" t="str">
            <v>NEW YORK</v>
          </cell>
          <cell r="U2047" t="str">
            <v>NY</v>
          </cell>
          <cell r="V2047" t="str">
            <v>100321559</v>
          </cell>
          <cell r="AC2047" t="str">
            <v>M</v>
          </cell>
          <cell r="AD2047" t="str">
            <v>No</v>
          </cell>
          <cell r="AE2047" t="str">
            <v>NPI only</v>
          </cell>
          <cell r="AF2047" t="str">
            <v>nypwestcampus</v>
          </cell>
          <cell r="AG2047" t="str">
            <v>P</v>
          </cell>
        </row>
        <row r="2048">
          <cell r="A2048" t="str">
            <v>1821269937</v>
          </cell>
          <cell r="B2048" t="str">
            <v>02426731</v>
          </cell>
          <cell r="C2048" t="str">
            <v>Gregory Taddeo</v>
          </cell>
          <cell r="D2048" t="str">
            <v>E0057457</v>
          </cell>
          <cell r="E2048" t="str">
            <v>TADDEO GREGORY DDS</v>
          </cell>
          <cell r="L2048" t="str">
            <v>All Other:: Practitioner - Non-Primary Care Provider (PCP)</v>
          </cell>
          <cell r="M2048" t="str">
            <v>Yes</v>
          </cell>
          <cell r="R2048" t="str">
            <v>TADDEO GREGORY DR.</v>
          </cell>
          <cell r="W2048" t="str">
            <v>TADDEO GREGORY ROBERT</v>
          </cell>
          <cell r="X2048" t="str">
            <v>221 W 21ST ST APT 4A</v>
          </cell>
          <cell r="Y2048" t="str">
            <v>NEW YORK</v>
          </cell>
          <cell r="Z2048" t="str">
            <v>NY</v>
          </cell>
          <cell r="AA2048" t="str">
            <v>10011-3126</v>
          </cell>
          <cell r="AB2048" t="str">
            <v>DENTIST</v>
          </cell>
          <cell r="AC2048" t="str">
            <v>M</v>
          </cell>
          <cell r="AD2048" t="str">
            <v>No</v>
          </cell>
          <cell r="AE2048" t="str">
            <v>MMIS</v>
          </cell>
          <cell r="AG2048" t="str">
            <v>P</v>
          </cell>
        </row>
        <row r="2049">
          <cell r="A2049" t="str">
            <v>1043224009</v>
          </cell>
          <cell r="B2049" t="str">
            <v>02621709</v>
          </cell>
          <cell r="C2049" t="str">
            <v xml:space="preserve">CAPPELL, JOSHUA </v>
          </cell>
          <cell r="D2049" t="str">
            <v>E0037990</v>
          </cell>
          <cell r="E2049" t="str">
            <v>CAPPELL JOSHUA MD</v>
          </cell>
          <cell r="G2049" t="str">
            <v>Kathryn Spaziani</v>
          </cell>
          <cell r="H2049" t="str">
            <v>(212) 305-1190</v>
          </cell>
          <cell r="J2049" t="str">
            <v>kas9171@nyp.org</v>
          </cell>
          <cell r="L2049" t="str">
            <v>Practitioner - Non-Primary Care Provider (PCP)</v>
          </cell>
          <cell r="M2049" t="str">
            <v>No</v>
          </cell>
          <cell r="R2049" t="str">
            <v>CAPPELL JOSHUA DR.</v>
          </cell>
          <cell r="W2049" t="str">
            <v>CAPPELL JOSHUA MD</v>
          </cell>
          <cell r="X2049" t="str">
            <v>180 FORT WASHINGTON AVE</v>
          </cell>
          <cell r="Y2049" t="str">
            <v>NEW YORK</v>
          </cell>
          <cell r="Z2049" t="str">
            <v>NY</v>
          </cell>
          <cell r="AA2049" t="str">
            <v>10032-3735</v>
          </cell>
          <cell r="AB2049" t="str">
            <v>PHYSICIAN</v>
          </cell>
          <cell r="AC2049" t="str">
            <v>M</v>
          </cell>
          <cell r="AD2049" t="str">
            <v>No</v>
          </cell>
          <cell r="AE2049" t="str">
            <v>MMIS</v>
          </cell>
          <cell r="AF2049" t="str">
            <v>nypwestacn</v>
          </cell>
          <cell r="AG2049" t="str">
            <v>P</v>
          </cell>
        </row>
        <row r="2050">
          <cell r="A2050" t="str">
            <v>1043233166</v>
          </cell>
          <cell r="B2050" t="str">
            <v>01836979</v>
          </cell>
          <cell r="C2050" t="str">
            <v>WALCZYK, JOHN S</v>
          </cell>
          <cell r="D2050" t="str">
            <v>E0116343</v>
          </cell>
          <cell r="E2050" t="str">
            <v>WALCZYK JOHN</v>
          </cell>
          <cell r="G2050" t="str">
            <v>Kathryn Spaziani</v>
          </cell>
          <cell r="H2050" t="str">
            <v>(212) 305-1190</v>
          </cell>
          <cell r="J2050" t="str">
            <v>kas9171@nyp.org</v>
          </cell>
          <cell r="L2050" t="str">
            <v>Practitioner - Non-Primary Care Provider (PCP)</v>
          </cell>
          <cell r="M2050" t="str">
            <v>No</v>
          </cell>
          <cell r="R2050" t="str">
            <v>WALCZYK JOHN</v>
          </cell>
          <cell r="W2050" t="str">
            <v>WALCZYK JOHN</v>
          </cell>
          <cell r="X2050" t="str">
            <v>WALCZYK JOHN</v>
          </cell>
          <cell r="Y2050" t="str">
            <v>GARDEN CITY</v>
          </cell>
          <cell r="Z2050" t="str">
            <v>NY</v>
          </cell>
          <cell r="AA2050" t="str">
            <v>11530-5806</v>
          </cell>
          <cell r="AB2050" t="str">
            <v>PHYSICIAN</v>
          </cell>
          <cell r="AC2050" t="str">
            <v>M</v>
          </cell>
          <cell r="AD2050" t="str">
            <v>No</v>
          </cell>
          <cell r="AE2050" t="str">
            <v>MMIS</v>
          </cell>
          <cell r="AF2050" t="str">
            <v>nypwestcampus</v>
          </cell>
          <cell r="AG2050" t="str">
            <v>P</v>
          </cell>
        </row>
        <row r="2051">
          <cell r="A2051" t="str">
            <v>1548577208</v>
          </cell>
          <cell r="C2051" t="str">
            <v>Waga Patrick</v>
          </cell>
          <cell r="G2051" t="str">
            <v>Kathryn Spaziani</v>
          </cell>
          <cell r="H2051" t="str">
            <v>(212) 305-1255</v>
          </cell>
          <cell r="J2051" t="str">
            <v>kas9171@nyp.org</v>
          </cell>
          <cell r="K2051" t="str">
            <v>Physician</v>
          </cell>
          <cell r="L2051" t="str">
            <v>Uncategorized</v>
          </cell>
          <cell r="M2051" t="str">
            <v>No</v>
          </cell>
          <cell r="R2051" t="str">
            <v>WAGA PATRICKPAUL MR.</v>
          </cell>
          <cell r="S2051" t="str">
            <v>345 E 94TH ST APT 21G</v>
          </cell>
          <cell r="T2051" t="str">
            <v>NEW YORK</v>
          </cell>
          <cell r="U2051" t="str">
            <v>NY</v>
          </cell>
          <cell r="V2051" t="str">
            <v>101285696</v>
          </cell>
          <cell r="AC2051" t="str">
            <v>M</v>
          </cell>
          <cell r="AD2051" t="str">
            <v>No</v>
          </cell>
          <cell r="AE2051" t="str">
            <v>NPI only</v>
          </cell>
          <cell r="AF2051" t="str">
            <v>nypeastcampus</v>
          </cell>
          <cell r="AG2051" t="str">
            <v>P</v>
          </cell>
        </row>
        <row r="2052">
          <cell r="A2052" t="str">
            <v>1679980494</v>
          </cell>
          <cell r="C2052" t="str">
            <v>Wallhauser Emily</v>
          </cell>
          <cell r="G2052" t="str">
            <v>Kathryn Spaziani</v>
          </cell>
          <cell r="H2052" t="str">
            <v>(212) 305-1255</v>
          </cell>
          <cell r="J2052" t="str">
            <v>kas9171@nyp.org</v>
          </cell>
          <cell r="K2052" t="str">
            <v>Physician</v>
          </cell>
          <cell r="L2052" t="str">
            <v>Uncategorized</v>
          </cell>
          <cell r="M2052" t="str">
            <v>No</v>
          </cell>
          <cell r="R2052" t="str">
            <v>WALLHAUSER EMILY</v>
          </cell>
          <cell r="S2052" t="str">
            <v>525 E 68TH ST, BOX 124</v>
          </cell>
          <cell r="T2052" t="str">
            <v>NEW YORK</v>
          </cell>
          <cell r="U2052" t="str">
            <v>NY</v>
          </cell>
          <cell r="V2052" t="str">
            <v>100654870</v>
          </cell>
          <cell r="AC2052" t="str">
            <v>M</v>
          </cell>
          <cell r="AD2052" t="str">
            <v>No</v>
          </cell>
          <cell r="AE2052" t="str">
            <v>NPI only</v>
          </cell>
          <cell r="AF2052" t="str">
            <v>nypeastcampus</v>
          </cell>
          <cell r="AG2052" t="str">
            <v>P</v>
          </cell>
        </row>
        <row r="2053">
          <cell r="A2053" t="str">
            <v>1962639286</v>
          </cell>
          <cell r="B2053" t="str">
            <v>04166758</v>
          </cell>
          <cell r="C2053" t="str">
            <v>Wang Cindy</v>
          </cell>
          <cell r="D2053" t="str">
            <v>E0408482</v>
          </cell>
          <cell r="E2053" t="str">
            <v>WANG CINDY J</v>
          </cell>
          <cell r="G2053" t="str">
            <v>Kathryn Spaziani</v>
          </cell>
          <cell r="H2053" t="str">
            <v>(212) 305-1255</v>
          </cell>
          <cell r="J2053" t="str">
            <v>kas9171@nyp.org</v>
          </cell>
          <cell r="L2053" t="str">
            <v>All Other:: Practitioner - Non-Primary Care Provider (PCP)</v>
          </cell>
          <cell r="M2053" t="str">
            <v>No</v>
          </cell>
          <cell r="R2053" t="str">
            <v>WANG CINDY DR.</v>
          </cell>
          <cell r="W2053" t="str">
            <v>WANG CINDY J</v>
          </cell>
          <cell r="X2053" t="str">
            <v>525 E 68TH ST</v>
          </cell>
          <cell r="Y2053" t="str">
            <v>NEW YORK</v>
          </cell>
          <cell r="Z2053" t="str">
            <v>NY</v>
          </cell>
          <cell r="AA2053" t="str">
            <v>10065-4870</v>
          </cell>
          <cell r="AB2053" t="str">
            <v>PHYSICIAN</v>
          </cell>
          <cell r="AC2053" t="str">
            <v>M</v>
          </cell>
          <cell r="AD2053" t="str">
            <v>No</v>
          </cell>
          <cell r="AE2053" t="str">
            <v>MMIS</v>
          </cell>
          <cell r="AF2053" t="str">
            <v>nypeastcampus</v>
          </cell>
          <cell r="AG2053" t="str">
            <v>P</v>
          </cell>
        </row>
        <row r="2054">
          <cell r="A2054" t="str">
            <v>1700819208</v>
          </cell>
          <cell r="B2054" t="str">
            <v>01663583</v>
          </cell>
          <cell r="C2054" t="str">
            <v>PAVON, ALEX R</v>
          </cell>
          <cell r="D2054" t="str">
            <v>E0133658</v>
          </cell>
          <cell r="E2054" t="str">
            <v>PAVON ALEX RODRIGO MD</v>
          </cell>
          <cell r="G2054" t="str">
            <v>Kathryn Spaziani</v>
          </cell>
          <cell r="H2054" t="str">
            <v>(212) 305-1190</v>
          </cell>
          <cell r="J2054" t="str">
            <v>kas9171@nyp.org</v>
          </cell>
          <cell r="L2054" t="str">
            <v>All Other:: Practitioner - Primary Care Provider (PCP)</v>
          </cell>
          <cell r="M2054" t="str">
            <v>Yes</v>
          </cell>
          <cell r="R2054" t="str">
            <v>PAVON ALEX MR.</v>
          </cell>
          <cell r="W2054" t="str">
            <v>PAVON ALEX RODRIGO MD</v>
          </cell>
          <cell r="X2054" t="str">
            <v>58 E 116TH ST</v>
          </cell>
          <cell r="Y2054" t="str">
            <v>NEW YORK</v>
          </cell>
          <cell r="Z2054" t="str">
            <v>NY</v>
          </cell>
          <cell r="AA2054" t="str">
            <v>10029-1147</v>
          </cell>
          <cell r="AB2054" t="str">
            <v>PHYSICIAN</v>
          </cell>
          <cell r="AC2054" t="str">
            <v>M</v>
          </cell>
          <cell r="AD2054" t="str">
            <v>No</v>
          </cell>
          <cell r="AE2054" t="str">
            <v>MMIS</v>
          </cell>
          <cell r="AF2054" t="str">
            <v>nypwestcampus</v>
          </cell>
          <cell r="AG2054" t="str">
            <v>P</v>
          </cell>
        </row>
        <row r="2055">
          <cell r="A2055" t="str">
            <v>1700984648</v>
          </cell>
          <cell r="B2055" t="str">
            <v>01749471</v>
          </cell>
          <cell r="C2055" t="str">
            <v>MACKEY, STEVEN L</v>
          </cell>
          <cell r="D2055" t="str">
            <v>E0125079</v>
          </cell>
          <cell r="E2055" t="str">
            <v>MACKEY STEVEN LEE MD</v>
          </cell>
          <cell r="G2055" t="str">
            <v>Kathryn Spaziani</v>
          </cell>
          <cell r="H2055" t="str">
            <v>(212) 305-1190</v>
          </cell>
          <cell r="J2055" t="str">
            <v>kas9171@nyp.org</v>
          </cell>
          <cell r="L2055" t="str">
            <v>All Other:: Practitioner - Primary Care Provider (PCP)</v>
          </cell>
          <cell r="M2055" t="str">
            <v>Yes</v>
          </cell>
          <cell r="R2055" t="str">
            <v>MACKEY STEVEN DR.</v>
          </cell>
          <cell r="W2055" t="str">
            <v>MACKEY STEVEN LEE MD</v>
          </cell>
          <cell r="Y2055" t="str">
            <v>NEW YORK</v>
          </cell>
          <cell r="Z2055" t="str">
            <v>NY</v>
          </cell>
          <cell r="AA2055" t="str">
            <v>10032-3720</v>
          </cell>
          <cell r="AB2055" t="str">
            <v>PHYSICIAN</v>
          </cell>
          <cell r="AC2055" t="str">
            <v>M</v>
          </cell>
          <cell r="AD2055" t="str">
            <v>No</v>
          </cell>
          <cell r="AE2055" t="str">
            <v>MMIS</v>
          </cell>
          <cell r="AF2055" t="str">
            <v>nypwestcampus</v>
          </cell>
          <cell r="AG2055" t="str">
            <v>P</v>
          </cell>
        </row>
        <row r="2056">
          <cell r="A2056" t="str">
            <v>1578726386</v>
          </cell>
          <cell r="B2056" t="str">
            <v>03918930</v>
          </cell>
          <cell r="C2056" t="str">
            <v>Jayaraman Arun</v>
          </cell>
          <cell r="D2056" t="str">
            <v>E0383061</v>
          </cell>
          <cell r="E2056" t="str">
            <v>JAYARAMAN ARUN</v>
          </cell>
          <cell r="L2056" t="str">
            <v>All Other:: Practitioner - Non-Primary Care Provider (PCP)</v>
          </cell>
          <cell r="M2056" t="str">
            <v>No</v>
          </cell>
          <cell r="R2056" t="str">
            <v>JAYARAMAN ARUN DR.</v>
          </cell>
          <cell r="W2056" t="str">
            <v>JAYARAMAN ARUN</v>
          </cell>
          <cell r="X2056" t="str">
            <v>525 E 68TH ST</v>
          </cell>
          <cell r="Y2056" t="str">
            <v>NEW YORK</v>
          </cell>
          <cell r="Z2056" t="str">
            <v>NY</v>
          </cell>
          <cell r="AA2056" t="str">
            <v>10065-4870</v>
          </cell>
          <cell r="AB2056" t="str">
            <v>PHYSICIAN</v>
          </cell>
          <cell r="AC2056" t="str">
            <v>M</v>
          </cell>
          <cell r="AD2056" t="str">
            <v>No</v>
          </cell>
          <cell r="AE2056" t="str">
            <v>MMIS</v>
          </cell>
          <cell r="AG2056" t="str">
            <v>P</v>
          </cell>
        </row>
        <row r="2057">
          <cell r="A2057" t="str">
            <v>1548328586</v>
          </cell>
          <cell r="B2057" t="str">
            <v>03128705</v>
          </cell>
          <cell r="C2057" t="str">
            <v>Poppers Jeremy</v>
          </cell>
          <cell r="D2057" t="str">
            <v>E0296407</v>
          </cell>
          <cell r="E2057" t="str">
            <v>JEREMY SAMUEL POPPERS MD</v>
          </cell>
          <cell r="L2057" t="str">
            <v>All Other:: Practitioner - Non-Primary Care Provider (PCP)</v>
          </cell>
          <cell r="M2057" t="str">
            <v>No</v>
          </cell>
          <cell r="R2057" t="str">
            <v>POPPERS JEREMY DR.</v>
          </cell>
          <cell r="W2057" t="str">
            <v>POPPERS JEREMY SAMUEL MD</v>
          </cell>
          <cell r="X2057" t="str">
            <v>622 W 168TH ST</v>
          </cell>
          <cell r="Y2057" t="str">
            <v>NEW YORK</v>
          </cell>
          <cell r="Z2057" t="str">
            <v>NY</v>
          </cell>
          <cell r="AA2057" t="str">
            <v>10032-3720</v>
          </cell>
          <cell r="AB2057" t="str">
            <v>PHYSICIAN</v>
          </cell>
          <cell r="AC2057" t="str">
            <v>M</v>
          </cell>
          <cell r="AD2057" t="str">
            <v>No</v>
          </cell>
          <cell r="AE2057" t="str">
            <v>MMIS</v>
          </cell>
          <cell r="AG2057" t="str">
            <v>P</v>
          </cell>
        </row>
        <row r="2058">
          <cell r="A2058" t="str">
            <v>1467506162</v>
          </cell>
          <cell r="B2058" t="str">
            <v>02631758</v>
          </cell>
          <cell r="C2058" t="str">
            <v>Shanewise Jack</v>
          </cell>
          <cell r="D2058" t="str">
            <v>E0036985</v>
          </cell>
          <cell r="E2058" t="str">
            <v>SHANEWISE JACK MD</v>
          </cell>
          <cell r="L2058" t="str">
            <v>Practitioner - Non-Primary Care Provider (PCP)</v>
          </cell>
          <cell r="M2058" t="str">
            <v>No</v>
          </cell>
          <cell r="R2058" t="str">
            <v>SHANEWISE JACK DR.</v>
          </cell>
          <cell r="W2058" t="str">
            <v>SHANEWISE JACK MD</v>
          </cell>
          <cell r="X2058" t="str">
            <v>NEW YORK PRESBY HOSP</v>
          </cell>
          <cell r="Y2058" t="str">
            <v>NEW YORK</v>
          </cell>
          <cell r="Z2058" t="str">
            <v>NY</v>
          </cell>
          <cell r="AA2058" t="str">
            <v>10032-3720</v>
          </cell>
          <cell r="AB2058" t="str">
            <v>PHYSICIAN</v>
          </cell>
          <cell r="AC2058" t="str">
            <v>M</v>
          </cell>
          <cell r="AD2058" t="str">
            <v>No</v>
          </cell>
          <cell r="AE2058" t="str">
            <v>MMIS</v>
          </cell>
          <cell r="AF2058" t="str">
            <v>nypwestcampus</v>
          </cell>
          <cell r="AG2058" t="str">
            <v>P</v>
          </cell>
        </row>
        <row r="2059">
          <cell r="A2059" t="str">
            <v>1508009010</v>
          </cell>
          <cell r="B2059" t="str">
            <v>03579348</v>
          </cell>
          <cell r="C2059" t="str">
            <v>DESAI, URMI A</v>
          </cell>
          <cell r="D2059" t="str">
            <v>E0348028</v>
          </cell>
          <cell r="E2059" t="str">
            <v>DESAI URMI A</v>
          </cell>
          <cell r="G2059" t="str">
            <v>Kathryn Spaziani</v>
          </cell>
          <cell r="H2059" t="str">
            <v>(212) 305-1190</v>
          </cell>
          <cell r="J2059" t="str">
            <v>kas9171@nyp.org</v>
          </cell>
          <cell r="L2059" t="str">
            <v>Practitioner - Primary Care Provider (PCP)</v>
          </cell>
          <cell r="M2059" t="str">
            <v>No</v>
          </cell>
          <cell r="R2059" t="str">
            <v>DESAI URMI DR.</v>
          </cell>
          <cell r="W2059" t="str">
            <v>DESAI URMI A</v>
          </cell>
          <cell r="X2059" t="str">
            <v>610 W 158TH ST FL 2</v>
          </cell>
          <cell r="Y2059" t="str">
            <v>NEW YORK</v>
          </cell>
          <cell r="Z2059" t="str">
            <v>NY</v>
          </cell>
          <cell r="AA2059" t="str">
            <v>10032-7104</v>
          </cell>
          <cell r="AB2059" t="str">
            <v>PHYSICIAN</v>
          </cell>
          <cell r="AC2059" t="str">
            <v>M</v>
          </cell>
          <cell r="AD2059" t="str">
            <v>No</v>
          </cell>
          <cell r="AE2059" t="str">
            <v>MMIS</v>
          </cell>
          <cell r="AF2059" t="str">
            <v>nypwestacn</v>
          </cell>
          <cell r="AG2059" t="str">
            <v>P</v>
          </cell>
        </row>
        <row r="2060">
          <cell r="A2060" t="str">
            <v>1508023573</v>
          </cell>
          <cell r="B2060" t="str">
            <v>03102283</v>
          </cell>
          <cell r="C2060" t="str">
            <v>FINKELSTEIN, EMILY S</v>
          </cell>
          <cell r="D2060" t="str">
            <v>E0293237</v>
          </cell>
          <cell r="E2060" t="str">
            <v>FINKELSTEIN EMILY SAMUEL MD</v>
          </cell>
          <cell r="G2060" t="str">
            <v>Kathryn Spaziani</v>
          </cell>
          <cell r="H2060" t="str">
            <v>(212) 305-1190</v>
          </cell>
          <cell r="J2060" t="str">
            <v>kas9171@nyp.org</v>
          </cell>
          <cell r="L2060" t="str">
            <v>Practitioner - Primary Care Provider (PCP)</v>
          </cell>
          <cell r="M2060" t="str">
            <v>No</v>
          </cell>
          <cell r="R2060" t="str">
            <v>FINKELSTEIN EMILY</v>
          </cell>
          <cell r="W2060" t="str">
            <v>FINKELSTEIN EMILY SAMUEL MD</v>
          </cell>
          <cell r="X2060" t="str">
            <v>525 E 68TH ST</v>
          </cell>
          <cell r="Y2060" t="str">
            <v>NEW YORK</v>
          </cell>
          <cell r="Z2060" t="str">
            <v>NY</v>
          </cell>
          <cell r="AA2060" t="str">
            <v>10065-4885</v>
          </cell>
          <cell r="AB2060" t="str">
            <v>PHYSICIAN</v>
          </cell>
          <cell r="AC2060" t="str">
            <v>M</v>
          </cell>
          <cell r="AD2060" t="str">
            <v>No</v>
          </cell>
          <cell r="AE2060" t="str">
            <v>MMIS</v>
          </cell>
          <cell r="AF2060" t="str">
            <v>nypeastacn</v>
          </cell>
          <cell r="AG2060" t="str">
            <v>P</v>
          </cell>
        </row>
        <row r="2061">
          <cell r="A2061" t="str">
            <v>1770705634</v>
          </cell>
          <cell r="B2061" t="str">
            <v>03254377</v>
          </cell>
          <cell r="C2061" t="str">
            <v>Sheree Morgan</v>
          </cell>
          <cell r="D2061" t="str">
            <v>E0310577</v>
          </cell>
          <cell r="E2061" t="str">
            <v>MORGAN SHEREE</v>
          </cell>
          <cell r="L2061" t="str">
            <v>Practitioner - Non-Primary Care Provider (PCP)</v>
          </cell>
          <cell r="M2061" t="str">
            <v>Yes</v>
          </cell>
          <cell r="R2061" t="str">
            <v>MORGAN SHEREE DR.</v>
          </cell>
          <cell r="W2061" t="str">
            <v>MORGAN SHEREE</v>
          </cell>
          <cell r="X2061" t="str">
            <v>81 W 115TH ST</v>
          </cell>
          <cell r="Y2061" t="str">
            <v>NEW YORK</v>
          </cell>
          <cell r="Z2061" t="str">
            <v>NY</v>
          </cell>
          <cell r="AA2061" t="str">
            <v>10026-3138</v>
          </cell>
          <cell r="AB2061" t="str">
            <v>DENTIST</v>
          </cell>
          <cell r="AC2061" t="str">
            <v>M</v>
          </cell>
          <cell r="AD2061" t="str">
            <v>No</v>
          </cell>
          <cell r="AE2061" t="str">
            <v>MMIS</v>
          </cell>
          <cell r="AG2061" t="str">
            <v>P</v>
          </cell>
        </row>
        <row r="2062">
          <cell r="A2062" t="str">
            <v>1548693211</v>
          </cell>
          <cell r="C2062" t="str">
            <v xml:space="preserve">Stacy K. Leung </v>
          </cell>
          <cell r="G2062" t="str">
            <v>Kathryn Spaziani</v>
          </cell>
          <cell r="H2062" t="str">
            <v>(212) 305-1255</v>
          </cell>
          <cell r="J2062" t="str">
            <v>kas9171@nyp.org</v>
          </cell>
          <cell r="K2062" t="str">
            <v>Physician</v>
          </cell>
          <cell r="L2062" t="str">
            <v>Practitioner - Non-Primary Care Provider (PCP)</v>
          </cell>
          <cell r="M2062" t="str">
            <v>No</v>
          </cell>
          <cell r="R2062" t="str">
            <v>LEUNG STACY</v>
          </cell>
          <cell r="S2062" t="str">
            <v>3611 21ST ST</v>
          </cell>
          <cell r="T2062" t="str">
            <v>LONG ISLAND CITY</v>
          </cell>
          <cell r="U2062" t="str">
            <v>NY</v>
          </cell>
          <cell r="V2062" t="str">
            <v>111064705</v>
          </cell>
          <cell r="AC2062" t="str">
            <v>M</v>
          </cell>
          <cell r="AD2062" t="str">
            <v>No</v>
          </cell>
          <cell r="AE2062" t="str">
            <v>NPI only</v>
          </cell>
          <cell r="AF2062" t="str">
            <v>nypother</v>
          </cell>
          <cell r="AG2062" t="str">
            <v>P</v>
          </cell>
        </row>
        <row r="2063">
          <cell r="A2063" t="str">
            <v>1750435731</v>
          </cell>
          <cell r="B2063" t="str">
            <v>03462613</v>
          </cell>
          <cell r="C2063" t="str">
            <v>Guerra Rodney</v>
          </cell>
          <cell r="D2063" t="str">
            <v>E0335324</v>
          </cell>
          <cell r="E2063" t="str">
            <v>GUERRA RODNEY</v>
          </cell>
          <cell r="L2063" t="str">
            <v>Practitioner - Non-Primary Care Provider (PCP)</v>
          </cell>
          <cell r="M2063" t="str">
            <v>No</v>
          </cell>
          <cell r="R2063" t="str">
            <v>GUERRA RODNEY MR.</v>
          </cell>
          <cell r="W2063" t="str">
            <v>GUERRA RODNEY</v>
          </cell>
          <cell r="X2063" t="str">
            <v>622 W 168TH ST</v>
          </cell>
          <cell r="Y2063" t="str">
            <v>NEW YORK</v>
          </cell>
          <cell r="Z2063" t="str">
            <v>NY</v>
          </cell>
          <cell r="AA2063" t="str">
            <v>10032-3720</v>
          </cell>
          <cell r="AB2063" t="str">
            <v>PHYSICIAN</v>
          </cell>
          <cell r="AC2063" t="str">
            <v>M</v>
          </cell>
          <cell r="AD2063" t="str">
            <v>No</v>
          </cell>
          <cell r="AE2063" t="str">
            <v>MMIS</v>
          </cell>
          <cell r="AF2063" t="str">
            <v>nypwestacn</v>
          </cell>
          <cell r="AG2063" t="str">
            <v>P</v>
          </cell>
        </row>
        <row r="2064">
          <cell r="A2064" t="str">
            <v>1356500219</v>
          </cell>
          <cell r="C2064" t="str">
            <v>Francis Richard</v>
          </cell>
          <cell r="G2064" t="str">
            <v>Kathryn Spaziani</v>
          </cell>
          <cell r="H2064" t="str">
            <v>(212) 305-1255</v>
          </cell>
          <cell r="J2064" t="str">
            <v>kas9171@nyp.org</v>
          </cell>
          <cell r="K2064" t="str">
            <v>Physician</v>
          </cell>
          <cell r="L2064" t="str">
            <v>Uncategorized</v>
          </cell>
          <cell r="M2064" t="str">
            <v>No</v>
          </cell>
          <cell r="R2064" t="str">
            <v>FRANCIS RICHARD</v>
          </cell>
          <cell r="S2064" t="str">
            <v>622 WEST 168TH ST, PH 1564W</v>
          </cell>
          <cell r="T2064" t="str">
            <v>NEW YORK</v>
          </cell>
          <cell r="U2064" t="str">
            <v>NY</v>
          </cell>
          <cell r="V2064" t="str">
            <v>10032</v>
          </cell>
          <cell r="AC2064" t="str">
            <v>M</v>
          </cell>
          <cell r="AD2064" t="str">
            <v>No</v>
          </cell>
          <cell r="AE2064" t="str">
            <v>NPI only</v>
          </cell>
          <cell r="AF2064" t="str">
            <v>nypwestcampus</v>
          </cell>
          <cell r="AG2064" t="str">
            <v>P</v>
          </cell>
        </row>
        <row r="2065">
          <cell r="A2065" t="str">
            <v>1093949166</v>
          </cell>
          <cell r="B2065" t="str">
            <v>03122869</v>
          </cell>
          <cell r="C2065" t="str">
            <v>Spellman Jessica</v>
          </cell>
          <cell r="D2065" t="str">
            <v>E0295729</v>
          </cell>
          <cell r="E2065" t="str">
            <v>SPELLMAN JESSICA LEIA STANLEY MD</v>
          </cell>
          <cell r="L2065" t="str">
            <v>All Other:: Practitioner - Non-Primary Care Provider (PCP)</v>
          </cell>
          <cell r="M2065" t="str">
            <v>No</v>
          </cell>
          <cell r="R2065" t="str">
            <v>STANLEY SPELLMAN JESSICA</v>
          </cell>
          <cell r="W2065" t="str">
            <v>SPELLMAN JESSICA LEIA STANLEY MD</v>
          </cell>
          <cell r="X2065" t="str">
            <v>622 W 168TH ST</v>
          </cell>
          <cell r="Y2065" t="str">
            <v>NEW YORK</v>
          </cell>
          <cell r="Z2065" t="str">
            <v>NY</v>
          </cell>
          <cell r="AA2065" t="str">
            <v>10032-3720</v>
          </cell>
          <cell r="AB2065" t="str">
            <v>PHYSICIAN</v>
          </cell>
          <cell r="AC2065" t="str">
            <v>M</v>
          </cell>
          <cell r="AD2065" t="str">
            <v>No</v>
          </cell>
          <cell r="AE2065" t="str">
            <v>MMIS</v>
          </cell>
          <cell r="AF2065" t="str">
            <v>nypwestcampus</v>
          </cell>
          <cell r="AG2065" t="str">
            <v>P</v>
          </cell>
        </row>
        <row r="2066">
          <cell r="A2066" t="str">
            <v>1063532984</v>
          </cell>
          <cell r="B2066" t="str">
            <v>03096173</v>
          </cell>
          <cell r="C2066" t="str">
            <v>Leung David</v>
          </cell>
          <cell r="D2066" t="str">
            <v>E0292647</v>
          </cell>
          <cell r="E2066" t="str">
            <v>DAVID K LEUNG</v>
          </cell>
          <cell r="L2066" t="str">
            <v>All Other:: Practitioner - Non-Primary Care Provider (PCP)</v>
          </cell>
          <cell r="M2066" t="str">
            <v>No</v>
          </cell>
          <cell r="R2066" t="str">
            <v>LEUNG DAVID</v>
          </cell>
          <cell r="W2066" t="str">
            <v>LEUNG DAVID K MD</v>
          </cell>
          <cell r="X2066" t="str">
            <v>622 W 168TH ST</v>
          </cell>
          <cell r="Y2066" t="str">
            <v>NEW YORK</v>
          </cell>
          <cell r="Z2066" t="str">
            <v>NY</v>
          </cell>
          <cell r="AA2066" t="str">
            <v>10032-3720</v>
          </cell>
          <cell r="AB2066" t="str">
            <v>PHYSICIAN</v>
          </cell>
          <cell r="AC2066" t="str">
            <v>M</v>
          </cell>
          <cell r="AD2066" t="str">
            <v>No</v>
          </cell>
          <cell r="AE2066" t="str">
            <v>MMIS</v>
          </cell>
          <cell r="AG2066" t="str">
            <v>P</v>
          </cell>
        </row>
        <row r="2067">
          <cell r="A2067" t="str">
            <v>1710138615</v>
          </cell>
          <cell r="B2067" t="str">
            <v>03109840</v>
          </cell>
          <cell r="C2067" t="str">
            <v>Arleo Elizabeth</v>
          </cell>
          <cell r="D2067" t="str">
            <v>E0294159</v>
          </cell>
          <cell r="E2067" t="str">
            <v>ARLEO ELIZABETH KAGAN MD</v>
          </cell>
          <cell r="L2067" t="str">
            <v>All Other:: Practitioner - Non-Primary Care Provider (PCP)</v>
          </cell>
          <cell r="M2067" t="str">
            <v>No</v>
          </cell>
          <cell r="R2067" t="str">
            <v>ARLEO ELIZABETH DR.</v>
          </cell>
          <cell r="W2067" t="str">
            <v>ARLEO ELIZABETH KAGAN MD</v>
          </cell>
          <cell r="X2067" t="str">
            <v>525 E 68TH ST</v>
          </cell>
          <cell r="Y2067" t="str">
            <v>NEW YORK</v>
          </cell>
          <cell r="Z2067" t="str">
            <v>NY</v>
          </cell>
          <cell r="AA2067" t="str">
            <v>10065-4870</v>
          </cell>
          <cell r="AB2067" t="str">
            <v>PHYSICIAN</v>
          </cell>
          <cell r="AC2067" t="str">
            <v>M</v>
          </cell>
          <cell r="AD2067" t="str">
            <v>No</v>
          </cell>
          <cell r="AE2067" t="str">
            <v>MMIS</v>
          </cell>
          <cell r="AF2067" t="str">
            <v>nypeastcampus</v>
          </cell>
          <cell r="AG2067" t="str">
            <v>P</v>
          </cell>
        </row>
        <row r="2068">
          <cell r="A2068" t="str">
            <v>1447245097</v>
          </cell>
          <cell r="B2068" t="str">
            <v>02822122</v>
          </cell>
          <cell r="C2068" t="str">
            <v>Babagbemi Kemi</v>
          </cell>
          <cell r="D2068" t="str">
            <v>E0017983</v>
          </cell>
          <cell r="E2068" t="str">
            <v>BABAGBEMI T-KEMI MD</v>
          </cell>
          <cell r="L2068" t="str">
            <v>All Other:: Practitioner - Non-Primary Care Provider (PCP)</v>
          </cell>
          <cell r="M2068" t="str">
            <v>No</v>
          </cell>
          <cell r="R2068" t="str">
            <v>BABAGBEMI TOKUNBO</v>
          </cell>
          <cell r="W2068" t="str">
            <v>BABAGBEMI T-KEMI MD</v>
          </cell>
          <cell r="X2068" t="str">
            <v>525 E 68TH ST</v>
          </cell>
          <cell r="Y2068" t="str">
            <v>NEW YORK</v>
          </cell>
          <cell r="Z2068" t="str">
            <v>NY</v>
          </cell>
          <cell r="AA2068" t="str">
            <v>10065-4870</v>
          </cell>
          <cell r="AB2068" t="str">
            <v>PHYSICIAN</v>
          </cell>
          <cell r="AC2068" t="str">
            <v>M</v>
          </cell>
          <cell r="AD2068" t="str">
            <v>No</v>
          </cell>
          <cell r="AE2068" t="str">
            <v>MMIS</v>
          </cell>
          <cell r="AF2068" t="str">
            <v>nypeastcampus</v>
          </cell>
          <cell r="AG2068" t="str">
            <v>P</v>
          </cell>
        </row>
        <row r="2069">
          <cell r="A2069" t="str">
            <v>1396786398</v>
          </cell>
          <cell r="B2069" t="str">
            <v>03589228</v>
          </cell>
          <cell r="C2069" t="str">
            <v>Massimi Gregory</v>
          </cell>
          <cell r="D2069" t="str">
            <v>E0349074</v>
          </cell>
          <cell r="E2069" t="str">
            <v>MASSIMI GREGORY</v>
          </cell>
          <cell r="G2069" t="str">
            <v>Kathryn Spaziani</v>
          </cell>
          <cell r="H2069" t="str">
            <v>(212) 305-1252</v>
          </cell>
          <cell r="J2069" t="str">
            <v>kas9171@nyp.org</v>
          </cell>
          <cell r="L2069" t="str">
            <v>All Other:: Practitioner - Non-Primary Care Provider (PCP)</v>
          </cell>
          <cell r="M2069" t="str">
            <v>No</v>
          </cell>
          <cell r="R2069" t="str">
            <v>MASSIMI GREGORY</v>
          </cell>
          <cell r="W2069" t="str">
            <v>MASSIMI GREGORY</v>
          </cell>
          <cell r="X2069" t="str">
            <v>170 WILLIAM ST</v>
          </cell>
          <cell r="Y2069" t="str">
            <v>NEW YORK</v>
          </cell>
          <cell r="Z2069" t="str">
            <v>NY</v>
          </cell>
          <cell r="AA2069" t="str">
            <v>10038-2612</v>
          </cell>
          <cell r="AB2069" t="str">
            <v>PHYSICIAN</v>
          </cell>
          <cell r="AC2069" t="str">
            <v>M</v>
          </cell>
          <cell r="AD2069" t="str">
            <v>No</v>
          </cell>
          <cell r="AE2069" t="str">
            <v>MMIS</v>
          </cell>
          <cell r="AF2069" t="str">
            <v>nypeastcampus</v>
          </cell>
          <cell r="AG2069" t="str">
            <v>P</v>
          </cell>
        </row>
        <row r="2070">
          <cell r="A2070" t="str">
            <v>1427374081</v>
          </cell>
          <cell r="B2070" t="str">
            <v>03599002</v>
          </cell>
          <cell r="C2070" t="str">
            <v>Santiago Miguel</v>
          </cell>
          <cell r="D2070" t="str">
            <v>E0350047</v>
          </cell>
          <cell r="E2070" t="str">
            <v>SANTIAGO MIGUEL</v>
          </cell>
          <cell r="L2070" t="str">
            <v>Practitioner - Non-Primary Care Provider (PCP)</v>
          </cell>
          <cell r="M2070" t="str">
            <v>No</v>
          </cell>
          <cell r="R2070" t="str">
            <v>SANTIAGO MIGUEL MR.</v>
          </cell>
          <cell r="W2070" t="str">
            <v>SANTIAGO MIGUEL ANTONIO</v>
          </cell>
          <cell r="X2070" t="str">
            <v>600 E 233RD ST</v>
          </cell>
          <cell r="Y2070" t="str">
            <v>BRONX</v>
          </cell>
          <cell r="Z2070" t="str">
            <v>NY</v>
          </cell>
          <cell r="AA2070" t="str">
            <v>10466-2604</v>
          </cell>
          <cell r="AB2070" t="str">
            <v>PHYSICIAN</v>
          </cell>
          <cell r="AC2070" t="str">
            <v>M</v>
          </cell>
          <cell r="AD2070" t="str">
            <v>No</v>
          </cell>
          <cell r="AE2070" t="str">
            <v>MMIS</v>
          </cell>
          <cell r="AF2070" t="str">
            <v>nypwestcampus</v>
          </cell>
          <cell r="AG2070" t="str">
            <v>P</v>
          </cell>
        </row>
        <row r="2071">
          <cell r="A2071" t="str">
            <v>1902979289</v>
          </cell>
          <cell r="B2071" t="str">
            <v>01421690</v>
          </cell>
          <cell r="C2071" t="str">
            <v>Sayan Osman</v>
          </cell>
          <cell r="D2071" t="str">
            <v>E0157805</v>
          </cell>
          <cell r="E2071" t="str">
            <v>SAYAN OSMAN RAFAEL MD</v>
          </cell>
          <cell r="L2071" t="str">
            <v>Practitioner - Non-Primary Care Provider (PCP)</v>
          </cell>
          <cell r="M2071" t="str">
            <v>No</v>
          </cell>
          <cell r="R2071" t="str">
            <v>SAYAN OSMAN</v>
          </cell>
          <cell r="W2071" t="str">
            <v>SAYAN OSMAN RAFAEL MD</v>
          </cell>
          <cell r="X2071" t="str">
            <v>622 W 168TH ST</v>
          </cell>
          <cell r="Y2071" t="str">
            <v>NEW YORK</v>
          </cell>
          <cell r="Z2071" t="str">
            <v>NY</v>
          </cell>
          <cell r="AA2071" t="str">
            <v>10032-3720</v>
          </cell>
          <cell r="AB2071" t="str">
            <v>PHYSICIAN</v>
          </cell>
          <cell r="AC2071" t="str">
            <v>M</v>
          </cell>
          <cell r="AD2071" t="str">
            <v>No</v>
          </cell>
          <cell r="AE2071" t="str">
            <v>MMIS</v>
          </cell>
          <cell r="AF2071" t="str">
            <v>nypwestcampus</v>
          </cell>
          <cell r="AG2071" t="str">
            <v>P</v>
          </cell>
        </row>
        <row r="2072">
          <cell r="A2072" t="str">
            <v>1033499157</v>
          </cell>
          <cell r="C2072" t="str">
            <v>Maietta Pauline</v>
          </cell>
          <cell r="G2072" t="str">
            <v>Kathryn Spaziani</v>
          </cell>
          <cell r="H2072" t="str">
            <v>(212) 305-1255</v>
          </cell>
          <cell r="J2072" t="str">
            <v>kas9171@nyp.org</v>
          </cell>
          <cell r="K2072" t="str">
            <v>Physician</v>
          </cell>
          <cell r="L2072" t="str">
            <v>Uncategorized</v>
          </cell>
          <cell r="M2072" t="str">
            <v>No</v>
          </cell>
          <cell r="R2072" t="str">
            <v>MAIETTA PAULINE</v>
          </cell>
          <cell r="S2072" t="str">
            <v>525 E 68TH ST</v>
          </cell>
          <cell r="T2072" t="str">
            <v>NEW YORK</v>
          </cell>
          <cell r="U2072" t="str">
            <v>NY</v>
          </cell>
          <cell r="V2072" t="str">
            <v>100654870</v>
          </cell>
          <cell r="AC2072" t="str">
            <v>M</v>
          </cell>
          <cell r="AD2072" t="str">
            <v>No</v>
          </cell>
          <cell r="AE2072" t="str">
            <v>NPI only</v>
          </cell>
          <cell r="AF2072" t="str">
            <v>nypeastcampus</v>
          </cell>
          <cell r="AG2072" t="str">
            <v>P</v>
          </cell>
        </row>
        <row r="2073">
          <cell r="A2073" t="str">
            <v>1275746596</v>
          </cell>
          <cell r="B2073" t="str">
            <v>02870560</v>
          </cell>
          <cell r="C2073" t="str">
            <v>RACHANA GAVARA</v>
          </cell>
          <cell r="D2073" t="str">
            <v>E0013145</v>
          </cell>
          <cell r="E2073" t="str">
            <v>GAVARA RACHANA MD</v>
          </cell>
          <cell r="G2073" t="str">
            <v>Kathryn Spaziani</v>
          </cell>
          <cell r="H2073" t="str">
            <v>(212) 305-1190</v>
          </cell>
          <cell r="J2073" t="str">
            <v>kas9171@nyp.org</v>
          </cell>
          <cell r="L2073" t="str">
            <v>All Other:: Practitioner - Non-Primary Care Provider (PCP)</v>
          </cell>
          <cell r="M2073" t="str">
            <v>Yes</v>
          </cell>
          <cell r="R2073" t="str">
            <v>GAVARA RACHANA</v>
          </cell>
          <cell r="W2073" t="str">
            <v>GAVARA RACHANA MD</v>
          </cell>
          <cell r="X2073" t="str">
            <v>5141 BROADWAY</v>
          </cell>
          <cell r="Y2073" t="str">
            <v>NEW YORK</v>
          </cell>
          <cell r="Z2073" t="str">
            <v>NY</v>
          </cell>
          <cell r="AA2073" t="str">
            <v>10034-1159</v>
          </cell>
          <cell r="AB2073" t="str">
            <v>PHYSICIAN</v>
          </cell>
          <cell r="AC2073" t="str">
            <v>M</v>
          </cell>
          <cell r="AD2073" t="str">
            <v>No</v>
          </cell>
          <cell r="AE2073" t="str">
            <v>MMIS</v>
          </cell>
          <cell r="AF2073" t="str">
            <v>nypwestacn</v>
          </cell>
          <cell r="AG2073" t="str">
            <v>P</v>
          </cell>
        </row>
        <row r="2074">
          <cell r="A2074" t="str">
            <v>1336110378</v>
          </cell>
          <cell r="B2074" t="str">
            <v>03421932</v>
          </cell>
          <cell r="C2074" t="str">
            <v>LASSMAN, ANDREW B</v>
          </cell>
          <cell r="D2074" t="str">
            <v>E0330476</v>
          </cell>
          <cell r="E2074" t="str">
            <v>LASSMAN ANDREW</v>
          </cell>
          <cell r="G2074" t="str">
            <v>Kathryn Spaziani</v>
          </cell>
          <cell r="H2074" t="str">
            <v>(212) 305-1190</v>
          </cell>
          <cell r="J2074" t="str">
            <v>kas9171@nyp.org</v>
          </cell>
          <cell r="L2074" t="str">
            <v>Practitioner - Non-Primary Care Provider (PCP)</v>
          </cell>
          <cell r="M2074" t="str">
            <v>No</v>
          </cell>
          <cell r="R2074" t="str">
            <v>LASSMAN ANDREW DR.</v>
          </cell>
          <cell r="W2074" t="str">
            <v>LASSMAN ANDREW</v>
          </cell>
          <cell r="X2074" t="str">
            <v>710 W 168TH ST</v>
          </cell>
          <cell r="Y2074" t="str">
            <v>NEW YORK</v>
          </cell>
          <cell r="Z2074" t="str">
            <v>NY</v>
          </cell>
          <cell r="AA2074" t="str">
            <v>10032-3726</v>
          </cell>
          <cell r="AB2074" t="str">
            <v>PHYSICIAN</v>
          </cell>
          <cell r="AC2074" t="str">
            <v>M</v>
          </cell>
          <cell r="AD2074" t="str">
            <v>No</v>
          </cell>
          <cell r="AE2074" t="str">
            <v>MMIS</v>
          </cell>
          <cell r="AF2074" t="str">
            <v>nypwestcampus</v>
          </cell>
          <cell r="AG2074" t="str">
            <v>P</v>
          </cell>
        </row>
        <row r="2075">
          <cell r="A2075" t="str">
            <v>1952618399</v>
          </cell>
          <cell r="B2075" t="str">
            <v>03972218</v>
          </cell>
          <cell r="C2075" t="str">
            <v>Siegel, Brooke L.</v>
          </cell>
          <cell r="D2075" t="str">
            <v>E0388588</v>
          </cell>
          <cell r="E2075" t="str">
            <v>SIEGEL BROOKE ILANA</v>
          </cell>
          <cell r="G2075" t="str">
            <v>Kathryn Spaziani</v>
          </cell>
          <cell r="H2075" t="str">
            <v>(212) 305-1190</v>
          </cell>
          <cell r="J2075" t="str">
            <v>kas9171@nyp.org</v>
          </cell>
          <cell r="L2075" t="str">
            <v>All Other:: Practitioner - Non-Primary Care Provider (PCP)</v>
          </cell>
          <cell r="M2075" t="str">
            <v>No</v>
          </cell>
          <cell r="R2075" t="str">
            <v>SPECTOR BROOKE</v>
          </cell>
          <cell r="W2075" t="str">
            <v>SPECTOR BROOKE ILANA</v>
          </cell>
          <cell r="X2075" t="str">
            <v>525 E 68TH ST</v>
          </cell>
          <cell r="Y2075" t="str">
            <v>NEW YORK</v>
          </cell>
          <cell r="Z2075" t="str">
            <v>NY</v>
          </cell>
          <cell r="AA2075" t="str">
            <v>10065-4870</v>
          </cell>
          <cell r="AB2075" t="str">
            <v>PHYSICIAN</v>
          </cell>
          <cell r="AC2075" t="str">
            <v>M</v>
          </cell>
          <cell r="AD2075" t="str">
            <v>No</v>
          </cell>
          <cell r="AE2075" t="str">
            <v>MMIS</v>
          </cell>
          <cell r="AF2075" t="str">
            <v>nypeastcampus</v>
          </cell>
          <cell r="AG2075" t="str">
            <v>P</v>
          </cell>
        </row>
        <row r="2076">
          <cell r="A2076" t="str">
            <v>1427148691</v>
          </cell>
          <cell r="B2076" t="str">
            <v>02490453</v>
          </cell>
          <cell r="C2076" t="str">
            <v>Perlman, Jeffrey M.</v>
          </cell>
          <cell r="D2076" t="str">
            <v>E0051090</v>
          </cell>
          <cell r="E2076" t="str">
            <v>PERLMAN JEFFREY M MD</v>
          </cell>
          <cell r="G2076" t="str">
            <v>Kathryn Spaziani</v>
          </cell>
          <cell r="H2076" t="str">
            <v>(212) 305-1190</v>
          </cell>
          <cell r="J2076" t="str">
            <v>kas9171@nyp.org</v>
          </cell>
          <cell r="L2076" t="str">
            <v>Practitioner - Non-Primary Care Provider (PCP)</v>
          </cell>
          <cell r="M2076" t="str">
            <v>No</v>
          </cell>
          <cell r="R2076" t="str">
            <v>PERLMAN JEFFREY</v>
          </cell>
          <cell r="W2076" t="str">
            <v>PERLMAN JEFFREY M MD</v>
          </cell>
          <cell r="X2076" t="str">
            <v>NY PRSBYT HSP WMC</v>
          </cell>
          <cell r="Y2076" t="str">
            <v>NEW YORK</v>
          </cell>
          <cell r="Z2076" t="str">
            <v>NY</v>
          </cell>
          <cell r="AA2076" t="str">
            <v>10021</v>
          </cell>
          <cell r="AB2076" t="str">
            <v>PHYSICIAN</v>
          </cell>
          <cell r="AC2076" t="str">
            <v>M</v>
          </cell>
          <cell r="AD2076" t="str">
            <v>No</v>
          </cell>
          <cell r="AE2076" t="str">
            <v>MMIS</v>
          </cell>
          <cell r="AF2076" t="str">
            <v>nypeastcampus</v>
          </cell>
          <cell r="AG2076" t="str">
            <v>P</v>
          </cell>
        </row>
        <row r="2077">
          <cell r="A2077" t="str">
            <v>1164685699</v>
          </cell>
          <cell r="B2077" t="str">
            <v>03374641</v>
          </cell>
          <cell r="C2077" t="str">
            <v>Wu, Duchu</v>
          </cell>
          <cell r="D2077" t="str">
            <v>E0324394</v>
          </cell>
          <cell r="E2077" t="str">
            <v>WU DUCHU</v>
          </cell>
          <cell r="G2077" t="str">
            <v>Betty Cheng</v>
          </cell>
          <cell r="H2077" t="str">
            <v>(212) 379-6988</v>
          </cell>
          <cell r="I2077">
            <v>2604</v>
          </cell>
          <cell r="J2077" t="str">
            <v>bcheng@cbwchc.org</v>
          </cell>
          <cell r="L2077" t="str">
            <v>All Other:: Practitioner - Primary Care Provider (PCP)</v>
          </cell>
          <cell r="M2077" t="str">
            <v>Yes</v>
          </cell>
          <cell r="R2077" t="str">
            <v>WU DUCHU DR.</v>
          </cell>
          <cell r="W2077" t="str">
            <v>WU DUCHU</v>
          </cell>
          <cell r="X2077" t="str">
            <v>268 CANAL ST</v>
          </cell>
          <cell r="Y2077" t="str">
            <v>NEW YORK</v>
          </cell>
          <cell r="Z2077" t="str">
            <v>NY</v>
          </cell>
          <cell r="AA2077" t="str">
            <v>10013-3599</v>
          </cell>
          <cell r="AB2077" t="str">
            <v>PHYSICIAN</v>
          </cell>
          <cell r="AC2077" t="str">
            <v>M</v>
          </cell>
          <cell r="AD2077" t="str">
            <v>No</v>
          </cell>
          <cell r="AE2077" t="str">
            <v>MMIS</v>
          </cell>
          <cell r="AF2077" t="str">
            <v>cbwchc</v>
          </cell>
          <cell r="AG2077" t="str">
            <v>P</v>
          </cell>
        </row>
        <row r="2078">
          <cell r="A2078" t="str">
            <v>1285737536</v>
          </cell>
          <cell r="B2078" t="str">
            <v>01421049</v>
          </cell>
          <cell r="C2078" t="str">
            <v>FINK, MARY J</v>
          </cell>
          <cell r="D2078" t="str">
            <v>E0157869</v>
          </cell>
          <cell r="E2078" t="str">
            <v>FINK MARY JOHANNA MD</v>
          </cell>
          <cell r="G2078" t="str">
            <v>Kathryn Spaziani</v>
          </cell>
          <cell r="H2078" t="str">
            <v>(212) 305-1190</v>
          </cell>
          <cell r="J2078" t="str">
            <v>kas9171@nyp.org</v>
          </cell>
          <cell r="L2078" t="str">
            <v>Practitioner - Primary Care Provider (PCP)</v>
          </cell>
          <cell r="M2078" t="str">
            <v>Yes</v>
          </cell>
          <cell r="R2078" t="str">
            <v>FINK MARY JOHANNA DR.</v>
          </cell>
          <cell r="W2078" t="str">
            <v>FINK MARY JOHANNA MD</v>
          </cell>
          <cell r="X2078" t="str">
            <v>AMC DEPT FAMILY PRAC</v>
          </cell>
          <cell r="Y2078" t="str">
            <v>ALBANY</v>
          </cell>
          <cell r="Z2078" t="str">
            <v>NY</v>
          </cell>
          <cell r="AA2078" t="str">
            <v>12208-3401</v>
          </cell>
          <cell r="AB2078" t="str">
            <v>PHYSICIAN</v>
          </cell>
          <cell r="AC2078" t="str">
            <v>M</v>
          </cell>
          <cell r="AD2078" t="str">
            <v>No</v>
          </cell>
          <cell r="AE2078" t="str">
            <v>MMIS</v>
          </cell>
          <cell r="AF2078" t="str">
            <v>nypwestacn</v>
          </cell>
          <cell r="AG2078" t="str">
            <v>P</v>
          </cell>
        </row>
        <row r="2079">
          <cell r="A2079" t="str">
            <v>1750575155</v>
          </cell>
          <cell r="C2079" t="str">
            <v>WEILL MEDICAL COLLEGE OF CORNELL</v>
          </cell>
          <cell r="K2079" t="str">
            <v>All Other</v>
          </cell>
          <cell r="L2079" t="str">
            <v>Uncategorized</v>
          </cell>
          <cell r="M2079" t="str">
            <v>No</v>
          </cell>
          <cell r="R2079" t="str">
            <v>WEILL MEDICAL COLLEGE OF CORNELL</v>
          </cell>
          <cell r="S2079" t="str">
            <v>5645 MAIN ST</v>
          </cell>
          <cell r="T2079" t="str">
            <v>FLUSHING</v>
          </cell>
          <cell r="U2079" t="str">
            <v>NY</v>
          </cell>
          <cell r="V2079" t="str">
            <v>113555045</v>
          </cell>
          <cell r="AC2079" t="str">
            <v>M</v>
          </cell>
          <cell r="AD2079" t="str">
            <v>No</v>
          </cell>
          <cell r="AE2079" t="str">
            <v>NPI only</v>
          </cell>
          <cell r="AG2079" t="str">
            <v>P</v>
          </cell>
        </row>
        <row r="2080">
          <cell r="C2080" t="str">
            <v>Service program for older people - Outpatient mental health clinic - Carter Burden Center</v>
          </cell>
          <cell r="G2080" t="str">
            <v>Dan Del Bene, LCSW</v>
          </cell>
          <cell r="H2080" t="str">
            <v>(212) 787-7120</v>
          </cell>
          <cell r="I2080">
            <v>528</v>
          </cell>
          <cell r="J2080" t="str">
            <v>ddelbene@spop.org</v>
          </cell>
          <cell r="K2080" t="str">
            <v>Unknown</v>
          </cell>
          <cell r="L2080" t="str">
            <v>CBO</v>
          </cell>
          <cell r="M2080" t="str">
            <v>No</v>
          </cell>
          <cell r="AC2080" t="str">
            <v>M</v>
          </cell>
          <cell r="AD2080" t="str">
            <v>No</v>
          </cell>
          <cell r="AE2080" t="str">
            <v>No NPI or MMIS</v>
          </cell>
          <cell r="AG2080" t="str">
            <v>P</v>
          </cell>
        </row>
        <row r="2081">
          <cell r="C2081" t="str">
            <v>Service program for older people - Outpatient mental health clinic - Health and Wellness</v>
          </cell>
          <cell r="G2081" t="str">
            <v>Dan Del Bene, LCSW</v>
          </cell>
          <cell r="H2081" t="str">
            <v>(212) 787-7120</v>
          </cell>
          <cell r="I2081">
            <v>528</v>
          </cell>
          <cell r="J2081" t="str">
            <v>ddelbene@spop.org</v>
          </cell>
          <cell r="K2081" t="str">
            <v>Unknown</v>
          </cell>
          <cell r="L2081" t="str">
            <v>CBO</v>
          </cell>
          <cell r="M2081" t="str">
            <v>No</v>
          </cell>
          <cell r="AC2081" t="str">
            <v>M</v>
          </cell>
          <cell r="AD2081" t="str">
            <v>No</v>
          </cell>
          <cell r="AE2081" t="str">
            <v>No NPI or MMIS</v>
          </cell>
          <cell r="AG2081" t="str">
            <v>P</v>
          </cell>
        </row>
        <row r="2082">
          <cell r="A2082" t="str">
            <v>1609876671</v>
          </cell>
          <cell r="B2082" t="str">
            <v>00837105</v>
          </cell>
          <cell r="C2082" t="str">
            <v>BEHRMAN, DAVID A</v>
          </cell>
          <cell r="D2082" t="str">
            <v>E0216027</v>
          </cell>
          <cell r="E2082" t="str">
            <v>BEHRMAN DAVID A           DDS</v>
          </cell>
          <cell r="G2082" t="str">
            <v>Kathryn Spaziani</v>
          </cell>
          <cell r="H2082" t="str">
            <v>(212) 305-1190</v>
          </cell>
          <cell r="J2082" t="str">
            <v>kas9171@nyp.org</v>
          </cell>
          <cell r="L2082" t="str">
            <v>Practitioner - Non-Primary Care Provider (PCP)</v>
          </cell>
          <cell r="M2082" t="str">
            <v>No</v>
          </cell>
          <cell r="R2082" t="str">
            <v>BEHRMAN DAVID</v>
          </cell>
          <cell r="W2082" t="str">
            <v>BEHRMAN DAVID A           DDS</v>
          </cell>
          <cell r="X2082" t="str">
            <v>525 E 68TH ST</v>
          </cell>
          <cell r="Y2082" t="str">
            <v>NEW YORK</v>
          </cell>
          <cell r="Z2082" t="str">
            <v>NY</v>
          </cell>
          <cell r="AA2082" t="str">
            <v>10065-4870</v>
          </cell>
          <cell r="AB2082" t="str">
            <v>DENTIST</v>
          </cell>
          <cell r="AC2082" t="str">
            <v>M</v>
          </cell>
          <cell r="AD2082" t="str">
            <v>No</v>
          </cell>
          <cell r="AE2082" t="str">
            <v>MMIS</v>
          </cell>
          <cell r="AF2082" t="str">
            <v>nypeastacn</v>
          </cell>
          <cell r="AG2082" t="str">
            <v>P</v>
          </cell>
        </row>
        <row r="2083">
          <cell r="A2083" t="str">
            <v>1306105820</v>
          </cell>
          <cell r="B2083" t="str">
            <v>03923017</v>
          </cell>
          <cell r="C2083" t="str">
            <v>Desai, Bhumika</v>
          </cell>
          <cell r="D2083" t="str">
            <v>E0383469</v>
          </cell>
          <cell r="E2083" t="str">
            <v>DESAI BHUMIKA</v>
          </cell>
          <cell r="G2083" t="str">
            <v>Kathryn Spaziani</v>
          </cell>
          <cell r="H2083" t="str">
            <v>(212) 305-1190</v>
          </cell>
          <cell r="J2083" t="str">
            <v>kas9171@nyp.org</v>
          </cell>
          <cell r="L2083" t="str">
            <v>Practitioner - Non-Primary Care Provider (PCP)</v>
          </cell>
          <cell r="M2083" t="str">
            <v>No</v>
          </cell>
          <cell r="R2083" t="str">
            <v>DESAI BHUMIKA</v>
          </cell>
          <cell r="W2083" t="str">
            <v>DESAI BHUMIKA</v>
          </cell>
          <cell r="X2083" t="str">
            <v>525 E 68TH ST</v>
          </cell>
          <cell r="Y2083" t="str">
            <v>NEW YORK</v>
          </cell>
          <cell r="Z2083" t="str">
            <v>NY</v>
          </cell>
          <cell r="AA2083" t="str">
            <v>10065-4870</v>
          </cell>
          <cell r="AB2083" t="str">
            <v>PHYSICIAN</v>
          </cell>
          <cell r="AC2083" t="str">
            <v>M</v>
          </cell>
          <cell r="AD2083" t="str">
            <v>No</v>
          </cell>
          <cell r="AE2083" t="str">
            <v>MMIS</v>
          </cell>
          <cell r="AF2083" t="str">
            <v>nypeastcampus</v>
          </cell>
          <cell r="AG2083" t="str">
            <v>P</v>
          </cell>
        </row>
        <row r="2084">
          <cell r="A2084" t="str">
            <v>1316226707</v>
          </cell>
          <cell r="B2084" t="str">
            <v>03370541</v>
          </cell>
          <cell r="C2084" t="str">
            <v>HERBST, KENNETH J</v>
          </cell>
          <cell r="D2084" t="str">
            <v>E0323883</v>
          </cell>
          <cell r="E2084" t="str">
            <v>HERBST KENNETH JAMES</v>
          </cell>
          <cell r="G2084" t="str">
            <v>Kathryn Spaziani</v>
          </cell>
          <cell r="H2084" t="str">
            <v>(212) 305-1190</v>
          </cell>
          <cell r="J2084" t="str">
            <v>kas9171@nyp.org</v>
          </cell>
          <cell r="L2084" t="str">
            <v>All Other:: Practitioner - Primary Care Provider (PCP)</v>
          </cell>
          <cell r="M2084" t="str">
            <v>No</v>
          </cell>
          <cell r="R2084" t="str">
            <v>HERBST KENNETH MR.</v>
          </cell>
          <cell r="W2084" t="str">
            <v>HERBST KENNETH JAMES</v>
          </cell>
          <cell r="X2084" t="str">
            <v>505 E 70TH ST</v>
          </cell>
          <cell r="Y2084" t="str">
            <v>NEW YORK</v>
          </cell>
          <cell r="Z2084" t="str">
            <v>NY</v>
          </cell>
          <cell r="AA2084" t="str">
            <v>10021-4872</v>
          </cell>
          <cell r="AB2084" t="str">
            <v>PHYSICIAN</v>
          </cell>
          <cell r="AC2084" t="str">
            <v>M</v>
          </cell>
          <cell r="AD2084" t="str">
            <v>No</v>
          </cell>
          <cell r="AE2084" t="str">
            <v>MMIS</v>
          </cell>
          <cell r="AF2084" t="str">
            <v>nypeastacn</v>
          </cell>
          <cell r="AG2084" t="str">
            <v>P</v>
          </cell>
        </row>
        <row r="2085">
          <cell r="A2085" t="str">
            <v>1477720977</v>
          </cell>
          <cell r="B2085" t="str">
            <v>03569028</v>
          </cell>
          <cell r="C2085" t="str">
            <v>TLOUGAN, BROOK E</v>
          </cell>
          <cell r="D2085" t="str">
            <v>E0346959</v>
          </cell>
          <cell r="E2085" t="str">
            <v>TLOUGAN BROOK</v>
          </cell>
          <cell r="G2085" t="str">
            <v>Kathryn Spaziani</v>
          </cell>
          <cell r="H2085" t="str">
            <v>(212) 305-1190</v>
          </cell>
          <cell r="J2085" t="str">
            <v>kas9171@nyp.org</v>
          </cell>
          <cell r="L2085" t="str">
            <v>Practitioner - Non-Primary Care Provider (PCP)</v>
          </cell>
          <cell r="M2085" t="str">
            <v>No</v>
          </cell>
          <cell r="R2085" t="str">
            <v>TLOUGAN BROOK DR.</v>
          </cell>
          <cell r="W2085" t="str">
            <v>TLOUGAN BROOK ALAN</v>
          </cell>
          <cell r="X2085" t="str">
            <v>2 OVERHILL RD STE 330</v>
          </cell>
          <cell r="Y2085" t="str">
            <v>SCARSDALE</v>
          </cell>
          <cell r="Z2085" t="str">
            <v>NY</v>
          </cell>
          <cell r="AA2085" t="str">
            <v>10583-5326</v>
          </cell>
          <cell r="AB2085" t="str">
            <v>PHYSICIAN</v>
          </cell>
          <cell r="AC2085" t="str">
            <v>M</v>
          </cell>
          <cell r="AD2085" t="str">
            <v>No</v>
          </cell>
          <cell r="AE2085" t="str">
            <v>MMIS</v>
          </cell>
          <cell r="AF2085" t="str">
            <v>nypwestcampus</v>
          </cell>
          <cell r="AG2085" t="str">
            <v>P</v>
          </cell>
        </row>
        <row r="2086">
          <cell r="A2086" t="str">
            <v>1639110307</v>
          </cell>
          <cell r="B2086" t="str">
            <v>00627716</v>
          </cell>
          <cell r="C2086" t="str">
            <v xml:space="preserve">CHANG, STANLEY </v>
          </cell>
          <cell r="D2086" t="str">
            <v>E0236911</v>
          </cell>
          <cell r="E2086" t="str">
            <v>CHANG STANLEY              MD</v>
          </cell>
          <cell r="G2086" t="str">
            <v>Kathryn Spaziani</v>
          </cell>
          <cell r="H2086" t="str">
            <v>(212) 305-1190</v>
          </cell>
          <cell r="J2086" t="str">
            <v>kas9171@nyp.org</v>
          </cell>
          <cell r="L2086" t="str">
            <v>All Other:: Practitioner - Non-Primary Care Provider (PCP)</v>
          </cell>
          <cell r="M2086" t="str">
            <v>No</v>
          </cell>
          <cell r="R2086" t="str">
            <v>CHANG STANLEY DR.</v>
          </cell>
          <cell r="W2086" t="str">
            <v>CHANG STANLEY</v>
          </cell>
          <cell r="X2086" t="str">
            <v>STE 3B</v>
          </cell>
          <cell r="Y2086" t="str">
            <v>NEW YORK</v>
          </cell>
          <cell r="Z2086" t="str">
            <v>NY</v>
          </cell>
          <cell r="AA2086" t="str">
            <v>10019-1104</v>
          </cell>
          <cell r="AB2086" t="str">
            <v>PHYSICIAN</v>
          </cell>
          <cell r="AC2086" t="str">
            <v>M</v>
          </cell>
          <cell r="AD2086" t="str">
            <v>No</v>
          </cell>
          <cell r="AE2086" t="str">
            <v>MMIS</v>
          </cell>
          <cell r="AF2086" t="str">
            <v>nypwestacn</v>
          </cell>
          <cell r="AG2086" t="str">
            <v>P</v>
          </cell>
        </row>
        <row r="2087">
          <cell r="A2087" t="str">
            <v>1851416879</v>
          </cell>
          <cell r="B2087" t="str">
            <v>01457047</v>
          </cell>
          <cell r="C2087" t="str">
            <v>Bauchman, Gail Beth</v>
          </cell>
          <cell r="D2087" t="str">
            <v>E0154278</v>
          </cell>
          <cell r="E2087" t="str">
            <v>BAUCHMAN GAIL MD</v>
          </cell>
          <cell r="G2087" t="str">
            <v>Betty Cheng</v>
          </cell>
          <cell r="H2087" t="str">
            <v>(212) 379-6988</v>
          </cell>
          <cell r="I2087">
            <v>2604</v>
          </cell>
          <cell r="J2087" t="str">
            <v>bcheng@cbwchc.org</v>
          </cell>
          <cell r="L2087" t="str">
            <v>All Other:: Practitioner - Non-Primary Care Provider (PCP)</v>
          </cell>
          <cell r="M2087" t="str">
            <v>Yes</v>
          </cell>
          <cell r="R2087" t="str">
            <v>BAUCHMAN GAIL DR.</v>
          </cell>
          <cell r="W2087" t="str">
            <v>BAUCHMAN GAIL MD</v>
          </cell>
          <cell r="X2087" t="str">
            <v>INST FOR URB FAM HLT</v>
          </cell>
          <cell r="Y2087" t="str">
            <v>NEW YORK</v>
          </cell>
          <cell r="Z2087" t="str">
            <v>NY</v>
          </cell>
          <cell r="AA2087" t="str">
            <v>10003-3105</v>
          </cell>
          <cell r="AB2087" t="str">
            <v>PHYSICIAN</v>
          </cell>
          <cell r="AC2087" t="str">
            <v>M</v>
          </cell>
          <cell r="AD2087" t="str">
            <v>No</v>
          </cell>
          <cell r="AE2087" t="str">
            <v>MMIS</v>
          </cell>
          <cell r="AF2087" t="str">
            <v>cbwchc</v>
          </cell>
          <cell r="AG2087" t="str">
            <v>P</v>
          </cell>
        </row>
        <row r="2088">
          <cell r="A2088" t="str">
            <v>1669459392</v>
          </cell>
          <cell r="B2088" t="str">
            <v>01848553</v>
          </cell>
          <cell r="C2088" t="str">
            <v>Haimes Alison</v>
          </cell>
          <cell r="D2088" t="str">
            <v>E0115185</v>
          </cell>
          <cell r="E2088" t="str">
            <v>HAIMES ALISON B MD</v>
          </cell>
          <cell r="L2088" t="str">
            <v>All Other:: Practitioner - Non-Primary Care Provider (PCP)</v>
          </cell>
          <cell r="M2088" t="str">
            <v>No</v>
          </cell>
          <cell r="R2088" t="str">
            <v>HAIMES ALISON</v>
          </cell>
          <cell r="W2088" t="str">
            <v>HAIMES ALISON B MD</v>
          </cell>
          <cell r="X2088" t="str">
            <v>NYH-CUMC RADIOLOGY</v>
          </cell>
          <cell r="Y2088" t="str">
            <v>NEW YORK</v>
          </cell>
          <cell r="Z2088" t="str">
            <v>NY</v>
          </cell>
          <cell r="AA2088" t="str">
            <v>10065-4870</v>
          </cell>
          <cell r="AB2088" t="str">
            <v>PHYSICIAN</v>
          </cell>
          <cell r="AC2088" t="str">
            <v>M</v>
          </cell>
          <cell r="AD2088" t="str">
            <v>No</v>
          </cell>
          <cell r="AE2088" t="str">
            <v>MMIS</v>
          </cell>
          <cell r="AF2088" t="str">
            <v>nypeastcampus</v>
          </cell>
          <cell r="AG2088" t="str">
            <v>P</v>
          </cell>
        </row>
        <row r="2089">
          <cell r="A2089" t="str">
            <v>1801950480</v>
          </cell>
          <cell r="B2089" t="str">
            <v>02819854</v>
          </cell>
          <cell r="C2089" t="str">
            <v>CARDULLO, ALICE C</v>
          </cell>
          <cell r="D2089" t="str">
            <v>E0018210</v>
          </cell>
          <cell r="E2089" t="str">
            <v>CARDULLO ALICE</v>
          </cell>
          <cell r="G2089" t="str">
            <v>Kathryn Spaziani</v>
          </cell>
          <cell r="H2089" t="str">
            <v>(212) 305-1190</v>
          </cell>
          <cell r="J2089" t="str">
            <v>kas9171@nyp.org</v>
          </cell>
          <cell r="L2089" t="str">
            <v>Practitioner - Non-Primary Care Provider (PCP)</v>
          </cell>
          <cell r="M2089" t="str">
            <v>No</v>
          </cell>
          <cell r="R2089" t="str">
            <v>CARDULLO ALICE DR.</v>
          </cell>
          <cell r="W2089" t="str">
            <v>CARDULLO ALICE</v>
          </cell>
          <cell r="X2089" t="str">
            <v>161 FORT WASHINGTON AVE</v>
          </cell>
          <cell r="Y2089" t="str">
            <v>NEW YORK</v>
          </cell>
          <cell r="Z2089" t="str">
            <v>NY</v>
          </cell>
          <cell r="AA2089" t="str">
            <v>10032-3729</v>
          </cell>
          <cell r="AB2089" t="str">
            <v>PHYSICIAN</v>
          </cell>
          <cell r="AC2089" t="str">
            <v>M</v>
          </cell>
          <cell r="AD2089" t="str">
            <v>No</v>
          </cell>
          <cell r="AE2089" t="str">
            <v>MMIS</v>
          </cell>
          <cell r="AF2089" t="str">
            <v>nypwestacn</v>
          </cell>
          <cell r="AG2089" t="str">
            <v>P</v>
          </cell>
        </row>
        <row r="2090">
          <cell r="A2090" t="str">
            <v>1801983986</v>
          </cell>
          <cell r="B2090" t="str">
            <v>01172458</v>
          </cell>
          <cell r="C2090" t="str">
            <v>LERMAN, BRUCE B</v>
          </cell>
          <cell r="D2090" t="str">
            <v>E0182642</v>
          </cell>
          <cell r="E2090" t="str">
            <v>LERMAN BRUCE B MD</v>
          </cell>
          <cell r="G2090" t="str">
            <v>Kathryn Spaziani</v>
          </cell>
          <cell r="H2090" t="str">
            <v>(212) 305-1190</v>
          </cell>
          <cell r="J2090" t="str">
            <v>kas9171@nyp.org</v>
          </cell>
          <cell r="L2090" t="str">
            <v>All Other:: Practitioner - Non-Primary Care Provider (PCP)</v>
          </cell>
          <cell r="M2090" t="str">
            <v>No</v>
          </cell>
          <cell r="R2090" t="str">
            <v>LERMAN BRUCE</v>
          </cell>
          <cell r="W2090" t="str">
            <v>LERMAN BRUCE B MD</v>
          </cell>
          <cell r="X2090" t="str">
            <v>NY HOSP ST 4</v>
          </cell>
          <cell r="Y2090" t="str">
            <v>NEW YORK</v>
          </cell>
          <cell r="Z2090" t="str">
            <v>NY</v>
          </cell>
          <cell r="AA2090" t="str">
            <v>10065-4870</v>
          </cell>
          <cell r="AB2090" t="str">
            <v>PHYSICIAN</v>
          </cell>
          <cell r="AC2090" t="str">
            <v>M</v>
          </cell>
          <cell r="AD2090" t="str">
            <v>No</v>
          </cell>
          <cell r="AE2090" t="str">
            <v>MMIS</v>
          </cell>
          <cell r="AF2090" t="str">
            <v>nypeastcampus</v>
          </cell>
          <cell r="AG2090" t="str">
            <v>P</v>
          </cell>
        </row>
        <row r="2091">
          <cell r="A2091" t="str">
            <v>1427123652</v>
          </cell>
          <cell r="B2091" t="str">
            <v>02311879</v>
          </cell>
          <cell r="C2091" t="str">
            <v xml:space="preserve">JELIC, SANJA </v>
          </cell>
          <cell r="D2091" t="str">
            <v>E0068914</v>
          </cell>
          <cell r="E2091" t="str">
            <v>JELIC SANJA MD</v>
          </cell>
          <cell r="G2091" t="str">
            <v>Kathryn Spaziani</v>
          </cell>
          <cell r="H2091" t="str">
            <v>(212) 305-1190</v>
          </cell>
          <cell r="J2091" t="str">
            <v>kas9171@nyp.org</v>
          </cell>
          <cell r="L2091" t="str">
            <v>Practitioner - Non-Primary Care Provider (PCP)</v>
          </cell>
          <cell r="M2091" t="str">
            <v>No</v>
          </cell>
          <cell r="R2091" t="str">
            <v>JELIC SANJA DR.</v>
          </cell>
          <cell r="W2091" t="str">
            <v>JELIC SANJA MD</v>
          </cell>
          <cell r="X2091" t="str">
            <v>622 W 168TH ST</v>
          </cell>
          <cell r="Y2091" t="str">
            <v>NEW YORK</v>
          </cell>
          <cell r="Z2091" t="str">
            <v>NY</v>
          </cell>
          <cell r="AA2091" t="str">
            <v>10032-3720</v>
          </cell>
          <cell r="AB2091" t="str">
            <v>PHYSICIAN</v>
          </cell>
          <cell r="AC2091" t="str">
            <v>M</v>
          </cell>
          <cell r="AD2091" t="str">
            <v>No</v>
          </cell>
          <cell r="AE2091" t="str">
            <v>MMIS</v>
          </cell>
          <cell r="AF2091" t="str">
            <v>nypwestacn</v>
          </cell>
          <cell r="AG2091" t="str">
            <v>P</v>
          </cell>
        </row>
        <row r="2092">
          <cell r="A2092" t="str">
            <v>1306083472</v>
          </cell>
          <cell r="B2092" t="str">
            <v>03090159</v>
          </cell>
          <cell r="C2092" t="str">
            <v>PUDIL, JOANNA L</v>
          </cell>
          <cell r="D2092" t="str">
            <v>E0291874</v>
          </cell>
          <cell r="E2092" t="str">
            <v>PUDIL JOANNA</v>
          </cell>
          <cell r="G2092" t="str">
            <v>Kathryn Spaziani</v>
          </cell>
          <cell r="H2092" t="str">
            <v>(212) 305-1190</v>
          </cell>
          <cell r="J2092" t="str">
            <v>kas9171@nyp.org</v>
          </cell>
          <cell r="L2092" t="str">
            <v>Practitioner - Non-Primary Care Provider (PCP)</v>
          </cell>
          <cell r="M2092" t="str">
            <v>No</v>
          </cell>
          <cell r="R2092" t="str">
            <v>PUDIL JOANNA</v>
          </cell>
          <cell r="W2092" t="str">
            <v>PUDIL JOANNA L.</v>
          </cell>
          <cell r="X2092" t="str">
            <v>622 W 168TH ST</v>
          </cell>
          <cell r="Y2092" t="str">
            <v>NEW YORK</v>
          </cell>
          <cell r="Z2092" t="str">
            <v>NY</v>
          </cell>
          <cell r="AA2092" t="str">
            <v>10032-3720</v>
          </cell>
          <cell r="AB2092" t="str">
            <v>CLINICAL SOCIAL WORKER (CSW)</v>
          </cell>
          <cell r="AC2092" t="str">
            <v>M</v>
          </cell>
          <cell r="AD2092" t="str">
            <v>No</v>
          </cell>
          <cell r="AE2092" t="str">
            <v>MMIS</v>
          </cell>
          <cell r="AF2092" t="str">
            <v>nypother</v>
          </cell>
          <cell r="AG2092" t="str">
            <v>P</v>
          </cell>
        </row>
        <row r="2093">
          <cell r="A2093" t="str">
            <v>1306155544</v>
          </cell>
          <cell r="B2093" t="str">
            <v>03696279</v>
          </cell>
          <cell r="C2093" t="str">
            <v>TOMB, MEGHAN F</v>
          </cell>
          <cell r="D2093" t="str">
            <v>E0360080</v>
          </cell>
          <cell r="E2093" t="str">
            <v>TOMB MEGHAN FARRELL</v>
          </cell>
          <cell r="G2093" t="str">
            <v>Kathryn Spaziani</v>
          </cell>
          <cell r="H2093" t="str">
            <v>(212) 305-1190</v>
          </cell>
          <cell r="J2093" t="str">
            <v>kas9171@nyp.org</v>
          </cell>
          <cell r="L2093" t="str">
            <v>Practitioner - Non-Primary Care Provider (PCP)</v>
          </cell>
          <cell r="M2093" t="str">
            <v>No</v>
          </cell>
          <cell r="R2093" t="str">
            <v>TOMB MEGHAN</v>
          </cell>
          <cell r="W2093" t="str">
            <v>TOMB MEGHAN FARRELL</v>
          </cell>
          <cell r="X2093" t="str">
            <v>3959 BROADWAY</v>
          </cell>
          <cell r="Y2093" t="str">
            <v>NEW YORK</v>
          </cell>
          <cell r="Z2093" t="str">
            <v>NY</v>
          </cell>
          <cell r="AA2093" t="str">
            <v>10032-1559</v>
          </cell>
          <cell r="AB2093" t="str">
            <v>CLINICAL PSYCHOLOGIST</v>
          </cell>
          <cell r="AC2093" t="str">
            <v>M</v>
          </cell>
          <cell r="AD2093" t="str">
            <v>No</v>
          </cell>
          <cell r="AE2093" t="str">
            <v>MMIS</v>
          </cell>
          <cell r="AF2093" t="str">
            <v>nypwestcampus</v>
          </cell>
          <cell r="AG2093" t="str">
            <v>P</v>
          </cell>
        </row>
        <row r="2094">
          <cell r="A2094" t="str">
            <v>1356503155</v>
          </cell>
          <cell r="B2094" t="str">
            <v>03406008</v>
          </cell>
          <cell r="C2094" t="str">
            <v>SPENCER, CRAIG</v>
          </cell>
          <cell r="D2094" t="str">
            <v>E0328503</v>
          </cell>
          <cell r="E2094" t="str">
            <v>SPENCER CRAIG A</v>
          </cell>
          <cell r="G2094" t="str">
            <v>Kathryn Spaziani</v>
          </cell>
          <cell r="H2094" t="str">
            <v>(212) 305-1339</v>
          </cell>
          <cell r="J2094" t="str">
            <v>kas9171@nyp.org</v>
          </cell>
          <cell r="L2094" t="str">
            <v>Practitioner - Non-Primary Care Provider (PCP)</v>
          </cell>
          <cell r="M2094" t="str">
            <v>No</v>
          </cell>
          <cell r="R2094" t="str">
            <v>SPENCER CRAIG DR.</v>
          </cell>
          <cell r="W2094" t="str">
            <v>SPENCER CRAIG A</v>
          </cell>
          <cell r="X2094" t="str">
            <v>622 W 168TH ST PH 1-137</v>
          </cell>
          <cell r="Y2094" t="str">
            <v>NEW YORK</v>
          </cell>
          <cell r="Z2094" t="str">
            <v>NY</v>
          </cell>
          <cell r="AA2094" t="str">
            <v>10032-3720</v>
          </cell>
          <cell r="AB2094" t="str">
            <v>PHYSICIAN</v>
          </cell>
          <cell r="AC2094" t="str">
            <v>M</v>
          </cell>
          <cell r="AD2094" t="str">
            <v>No</v>
          </cell>
          <cell r="AE2094" t="str">
            <v>MMIS</v>
          </cell>
          <cell r="AF2094" t="str">
            <v>nypwestcampus</v>
          </cell>
          <cell r="AG2094" t="str">
            <v>P</v>
          </cell>
        </row>
        <row r="2095">
          <cell r="A2095" t="str">
            <v>1144203498</v>
          </cell>
          <cell r="B2095" t="str">
            <v>00356318</v>
          </cell>
          <cell r="C2095" t="str">
            <v>Charles B. Wang Community Health Center</v>
          </cell>
          <cell r="D2095" t="str">
            <v>E0263565</v>
          </cell>
          <cell r="E2095" t="str">
            <v>CHARLES B WANG COMM HTH CTR I</v>
          </cell>
          <cell r="G2095" t="str">
            <v>Betty Cheng, COO</v>
          </cell>
          <cell r="H2095" t="str">
            <v>(212) 379-6988</v>
          </cell>
          <cell r="I2095">
            <v>2604</v>
          </cell>
          <cell r="J2095" t="str">
            <v>bcheng@cbwchc.org</v>
          </cell>
          <cell r="L2095" t="str">
            <v>All Other:: Clinic</v>
          </cell>
          <cell r="M2095" t="str">
            <v>Yes</v>
          </cell>
          <cell r="R2095" t="str">
            <v>CHARLES B. WANG COMMUNITY HEALTH CENTER, INC.</v>
          </cell>
          <cell r="W2095" t="str">
            <v>CHARLES B WANG COMM HTH CTR I</v>
          </cell>
          <cell r="X2095" t="str">
            <v>125 WALKER ST FL 2</v>
          </cell>
          <cell r="Y2095" t="str">
            <v>NEW YORK</v>
          </cell>
          <cell r="Z2095" t="str">
            <v>NY</v>
          </cell>
          <cell r="AA2095" t="str">
            <v>10013-4135</v>
          </cell>
          <cell r="AB2095" t="str">
            <v>DIAGNOSTIC AND TREATMENT CENTER</v>
          </cell>
          <cell r="AC2095" t="str">
            <v>M</v>
          </cell>
          <cell r="AD2095" t="str">
            <v>No</v>
          </cell>
          <cell r="AE2095" t="str">
            <v>MMIS</v>
          </cell>
          <cell r="AF2095" t="str">
            <v>cbwchc</v>
          </cell>
          <cell r="AG2095" t="str">
            <v>P</v>
          </cell>
        </row>
        <row r="2096">
          <cell r="A2096" t="str">
            <v>1013982586</v>
          </cell>
          <cell r="B2096" t="str">
            <v>03441063</v>
          </cell>
          <cell r="C2096" t="str">
            <v>NYCHAY, STEPHEN G</v>
          </cell>
          <cell r="D2096" t="str">
            <v>E0332809</v>
          </cell>
          <cell r="E2096" t="str">
            <v>NYCHAY STEPHEN</v>
          </cell>
          <cell r="G2096" t="str">
            <v>Kathryn Spaziani</v>
          </cell>
          <cell r="H2096" t="str">
            <v>(212) 305-1190</v>
          </cell>
          <cell r="J2096" t="str">
            <v>kas9171@nyp.org</v>
          </cell>
          <cell r="L2096" t="str">
            <v>Practitioner - Non-Primary Care Provider (PCP)</v>
          </cell>
          <cell r="M2096" t="str">
            <v>No</v>
          </cell>
          <cell r="R2096" t="str">
            <v>NYCHAY STEPHEN DR.</v>
          </cell>
          <cell r="W2096" t="str">
            <v>NYCHAY STEPHEN</v>
          </cell>
          <cell r="X2096" t="str">
            <v>161 FORT WASHINGTON AVE</v>
          </cell>
          <cell r="Y2096" t="str">
            <v>NEW YORK</v>
          </cell>
          <cell r="Z2096" t="str">
            <v>NY</v>
          </cell>
          <cell r="AA2096" t="str">
            <v>10032-3729</v>
          </cell>
          <cell r="AB2096" t="str">
            <v>PHYSICIAN</v>
          </cell>
          <cell r="AC2096" t="str">
            <v>M</v>
          </cell>
          <cell r="AD2096" t="str">
            <v>No</v>
          </cell>
          <cell r="AE2096" t="str">
            <v>MMIS</v>
          </cell>
          <cell r="AF2096" t="str">
            <v>nypwestcampus</v>
          </cell>
          <cell r="AG2096" t="str">
            <v>P</v>
          </cell>
        </row>
        <row r="2097">
          <cell r="A2097" t="str">
            <v>1578570073</v>
          </cell>
          <cell r="B2097" t="str">
            <v>02803607</v>
          </cell>
          <cell r="C2097" t="str">
            <v>Traube, Chani S.</v>
          </cell>
          <cell r="D2097" t="str">
            <v>E0019835</v>
          </cell>
          <cell r="E2097" t="str">
            <v>TRAUBE CHANI MD</v>
          </cell>
          <cell r="G2097" t="str">
            <v>Kathryn Spaziani</v>
          </cell>
          <cell r="H2097" t="str">
            <v>(212) 305-1190</v>
          </cell>
          <cell r="J2097" t="str">
            <v>kas9171@nyp.org</v>
          </cell>
          <cell r="L2097" t="str">
            <v>All Other:: Practitioner - Non-Primary Care Provider (PCP)</v>
          </cell>
          <cell r="M2097" t="str">
            <v>No</v>
          </cell>
          <cell r="R2097" t="str">
            <v>TRAUBE CHANI</v>
          </cell>
          <cell r="W2097" t="str">
            <v>TRAUBE CHANI MD</v>
          </cell>
          <cell r="X2097" t="str">
            <v>525 E 68TH ST # M-6</v>
          </cell>
          <cell r="Y2097" t="str">
            <v>NEW YORK</v>
          </cell>
          <cell r="Z2097" t="str">
            <v>NY</v>
          </cell>
          <cell r="AA2097" t="str">
            <v>10065-4870</v>
          </cell>
          <cell r="AB2097" t="str">
            <v>PHYSICIAN</v>
          </cell>
          <cell r="AC2097" t="str">
            <v>M</v>
          </cell>
          <cell r="AD2097" t="str">
            <v>No</v>
          </cell>
          <cell r="AE2097" t="str">
            <v>MMIS</v>
          </cell>
          <cell r="AF2097" t="str">
            <v>nypeastcampus</v>
          </cell>
          <cell r="AG2097" t="str">
            <v>P</v>
          </cell>
        </row>
        <row r="2098">
          <cell r="A2098" t="str">
            <v>1982987327</v>
          </cell>
          <cell r="B2098" t="str">
            <v>03379004</v>
          </cell>
          <cell r="C2098" t="str">
            <v>Dena Hanna</v>
          </cell>
          <cell r="D2098" t="str">
            <v>E0324930</v>
          </cell>
          <cell r="E2098" t="str">
            <v>HANNA DENA SHERIF</v>
          </cell>
          <cell r="L2098" t="str">
            <v>All Other:: Practitioner - Non-Primary Care Provider (PCP)</v>
          </cell>
          <cell r="M2098" t="str">
            <v>Yes</v>
          </cell>
          <cell r="R2098" t="str">
            <v>HANNA DENA</v>
          </cell>
          <cell r="W2098" t="str">
            <v>HANNA DENA SHERIF</v>
          </cell>
          <cell r="X2098" t="str">
            <v>68 DEAN ST</v>
          </cell>
          <cell r="Y2098" t="str">
            <v>HICKSVILLE</v>
          </cell>
          <cell r="Z2098" t="str">
            <v>NY</v>
          </cell>
          <cell r="AA2098" t="str">
            <v>11801-5851</v>
          </cell>
          <cell r="AB2098" t="str">
            <v>DENTIST</v>
          </cell>
          <cell r="AC2098" t="str">
            <v>M</v>
          </cell>
          <cell r="AD2098" t="str">
            <v>No</v>
          </cell>
          <cell r="AE2098" t="str">
            <v>MMIS</v>
          </cell>
          <cell r="AG2098" t="str">
            <v>P</v>
          </cell>
        </row>
        <row r="2099">
          <cell r="A2099" t="str">
            <v>1275506297</v>
          </cell>
          <cell r="B2099" t="str">
            <v>01045192</v>
          </cell>
          <cell r="C2099" t="str">
            <v>Ludwig Robert</v>
          </cell>
          <cell r="D2099" t="str">
            <v>E0195348</v>
          </cell>
          <cell r="E2099" t="str">
            <v>LUDWIG ROBERT LEWIS        MD</v>
          </cell>
          <cell r="L2099" t="str">
            <v>All Other:: Practitioner - Non-Primary Care Provider (PCP)</v>
          </cell>
          <cell r="M2099" t="str">
            <v>No</v>
          </cell>
          <cell r="R2099" t="str">
            <v>LUDWIG ROBERT</v>
          </cell>
          <cell r="W2099" t="str">
            <v>LUDWIG ROBERT LEWIS        MD</v>
          </cell>
          <cell r="X2099" t="str">
            <v>NORTHERN WEST RADIOL</v>
          </cell>
          <cell r="Y2099" t="str">
            <v>MOUNT KISCO</v>
          </cell>
          <cell r="Z2099" t="str">
            <v>NY</v>
          </cell>
          <cell r="AA2099" t="str">
            <v>10549-3460</v>
          </cell>
          <cell r="AB2099" t="str">
            <v>PHYSICIAN</v>
          </cell>
          <cell r="AC2099" t="str">
            <v>M</v>
          </cell>
          <cell r="AD2099" t="str">
            <v>No</v>
          </cell>
          <cell r="AE2099" t="str">
            <v>MMIS</v>
          </cell>
          <cell r="AF2099" t="str">
            <v>nypeastcampus</v>
          </cell>
          <cell r="AG2099" t="str">
            <v>P</v>
          </cell>
        </row>
        <row r="2100">
          <cell r="A2100" t="str">
            <v>1881678100</v>
          </cell>
          <cell r="B2100" t="str">
            <v>01472444</v>
          </cell>
          <cell r="C2100" t="str">
            <v>Minken Todd</v>
          </cell>
          <cell r="D2100" t="str">
            <v>E0152741</v>
          </cell>
          <cell r="E2100" t="str">
            <v>MINKEN TODD JEFFREY MD</v>
          </cell>
          <cell r="L2100" t="str">
            <v>All Other:: Practitioner - Non-Primary Care Provider (PCP)</v>
          </cell>
          <cell r="M2100" t="str">
            <v>No</v>
          </cell>
          <cell r="R2100" t="str">
            <v>MINKEN TODD DR.</v>
          </cell>
          <cell r="W2100" t="str">
            <v>MINKEN TODD JEFFREY MD</v>
          </cell>
          <cell r="Y2100" t="str">
            <v>NEW YORK</v>
          </cell>
          <cell r="Z2100" t="str">
            <v>NY</v>
          </cell>
          <cell r="AA2100" t="str">
            <v>10032-3720</v>
          </cell>
          <cell r="AB2100" t="str">
            <v>PHYSICIAN</v>
          </cell>
          <cell r="AC2100" t="str">
            <v>M</v>
          </cell>
          <cell r="AD2100" t="str">
            <v>No</v>
          </cell>
          <cell r="AE2100" t="str">
            <v>MMIS</v>
          </cell>
          <cell r="AF2100" t="str">
            <v>nypeastcampus</v>
          </cell>
          <cell r="AG2100" t="str">
            <v>P</v>
          </cell>
        </row>
        <row r="2101">
          <cell r="A2101" t="str">
            <v>1609991058</v>
          </cell>
          <cell r="B2101" t="str">
            <v>02381262</v>
          </cell>
          <cell r="C2101" t="str">
            <v xml:space="preserve">INFANTINO, SANDRA </v>
          </cell>
          <cell r="D2101" t="str">
            <v>E0061989</v>
          </cell>
          <cell r="E2101" t="str">
            <v>INFANTINO SANDRA</v>
          </cell>
          <cell r="G2101" t="str">
            <v>Kathryn Spaziani</v>
          </cell>
          <cell r="H2101" t="str">
            <v>(212) 305-1190</v>
          </cell>
          <cell r="J2101" t="str">
            <v>kas9171@nyp.org</v>
          </cell>
          <cell r="L2101" t="str">
            <v>All Other:: Practitioner - Non-Primary Care Provider (PCP)</v>
          </cell>
          <cell r="M2101" t="str">
            <v>Yes</v>
          </cell>
          <cell r="R2101" t="str">
            <v>INFANTINO SANDRA MS.</v>
          </cell>
          <cell r="W2101" t="str">
            <v>INFANTINO SANDRA</v>
          </cell>
          <cell r="X2101" t="str">
            <v>21 W 86TH ST</v>
          </cell>
          <cell r="Y2101" t="str">
            <v>NEW YORK</v>
          </cell>
          <cell r="Z2101" t="str">
            <v>NY</v>
          </cell>
          <cell r="AA2101" t="str">
            <v>10024-3671</v>
          </cell>
          <cell r="AB2101" t="str">
            <v>PHYSICIAN</v>
          </cell>
          <cell r="AC2101" t="str">
            <v>M</v>
          </cell>
          <cell r="AD2101" t="str">
            <v>No</v>
          </cell>
          <cell r="AE2101" t="str">
            <v>MMIS</v>
          </cell>
          <cell r="AF2101" t="str">
            <v>nypwestacn</v>
          </cell>
          <cell r="AG2101" t="str">
            <v>P</v>
          </cell>
        </row>
        <row r="2102">
          <cell r="A2102" t="str">
            <v>1619061652</v>
          </cell>
          <cell r="B2102" t="str">
            <v>02663129</v>
          </cell>
          <cell r="C2102" t="str">
            <v>D'ALESSANDRO, ANGELA M</v>
          </cell>
          <cell r="D2102" t="str">
            <v>E0033858</v>
          </cell>
          <cell r="E2102" t="str">
            <v>D'ALESSANDRO ANGELA MARIE</v>
          </cell>
          <cell r="G2102" t="str">
            <v>Kathryn Spaziani</v>
          </cell>
          <cell r="H2102" t="str">
            <v>(212) 305-1190</v>
          </cell>
          <cell r="J2102" t="str">
            <v>kas9171@nyp.org</v>
          </cell>
          <cell r="L2102" t="str">
            <v>Practitioner - Non-Primary Care Provider (PCP)</v>
          </cell>
          <cell r="M2102" t="str">
            <v>No</v>
          </cell>
          <cell r="R2102" t="str">
            <v>D'ALESSANDRO ANGELA</v>
          </cell>
          <cell r="W2102" t="str">
            <v>D'ALESSANDRO ANGELA MARIE</v>
          </cell>
          <cell r="X2102" t="str">
            <v>606 OLD ROUTE 17</v>
          </cell>
          <cell r="Y2102" t="str">
            <v>MONTICELLO</v>
          </cell>
          <cell r="Z2102" t="str">
            <v>NY</v>
          </cell>
          <cell r="AA2102" t="str">
            <v>12701-7013</v>
          </cell>
          <cell r="AB2102" t="str">
            <v>PHYSICIAN</v>
          </cell>
          <cell r="AC2102" t="str">
            <v>M</v>
          </cell>
          <cell r="AD2102" t="str">
            <v>No</v>
          </cell>
          <cell r="AE2102" t="str">
            <v>MMIS</v>
          </cell>
          <cell r="AF2102" t="str">
            <v>nypwestacn</v>
          </cell>
          <cell r="AG2102" t="str">
            <v>P</v>
          </cell>
        </row>
        <row r="2103">
          <cell r="A2103" t="str">
            <v>1225066368</v>
          </cell>
          <cell r="B2103" t="str">
            <v>03510345</v>
          </cell>
          <cell r="C2103" t="str">
            <v>WU, YU-HSIN</v>
          </cell>
          <cell r="D2103" t="str">
            <v>E0340717</v>
          </cell>
          <cell r="E2103" t="str">
            <v>WU YU-HSIN</v>
          </cell>
          <cell r="G2103" t="str">
            <v>Kathryn Spaziani</v>
          </cell>
          <cell r="H2103" t="str">
            <v>(212) 305-1358</v>
          </cell>
          <cell r="J2103" t="str">
            <v>kas9171@nyp.org</v>
          </cell>
          <cell r="L2103" t="str">
            <v>All Other:: Practitioner - Non-Primary Care Provider (PCP)</v>
          </cell>
          <cell r="M2103" t="str">
            <v>No</v>
          </cell>
          <cell r="R2103" t="str">
            <v>WU YU-HSIN</v>
          </cell>
          <cell r="W2103" t="str">
            <v>WU YU-HSIN</v>
          </cell>
          <cell r="X2103" t="str">
            <v>2315 BROADWAY</v>
          </cell>
          <cell r="Y2103" t="str">
            <v>NEW YORK</v>
          </cell>
          <cell r="Z2103" t="str">
            <v>NY</v>
          </cell>
          <cell r="AA2103" t="str">
            <v>10024-4332</v>
          </cell>
          <cell r="AB2103" t="str">
            <v>PHYSICIAN</v>
          </cell>
          <cell r="AC2103" t="str">
            <v>M</v>
          </cell>
          <cell r="AD2103" t="str">
            <v>No</v>
          </cell>
          <cell r="AE2103" t="str">
            <v>MMIS</v>
          </cell>
          <cell r="AF2103" t="str">
            <v>nypeastcampus</v>
          </cell>
          <cell r="AG2103" t="str">
            <v>P</v>
          </cell>
        </row>
        <row r="2104">
          <cell r="A2104" t="str">
            <v>1003074311</v>
          </cell>
          <cell r="B2104" t="str">
            <v>03056860</v>
          </cell>
          <cell r="C2104" t="str">
            <v>Singh Vishwas</v>
          </cell>
          <cell r="D2104" t="str">
            <v>E0287964</v>
          </cell>
          <cell r="E2104" t="str">
            <v>SINGH VISHWAS ANAND</v>
          </cell>
          <cell r="L2104" t="str">
            <v>Practitioner - Non-Primary Care Provider (PCP)</v>
          </cell>
          <cell r="M2104" t="str">
            <v>No</v>
          </cell>
          <cell r="R2104" t="str">
            <v>SINGH VISHWAS DR.</v>
          </cell>
          <cell r="W2104" t="str">
            <v>SINGH VISHWAS ANAND</v>
          </cell>
          <cell r="X2104" t="str">
            <v>505 E 70TH ST</v>
          </cell>
          <cell r="Y2104" t="str">
            <v>NEW YORK</v>
          </cell>
          <cell r="Z2104" t="str">
            <v>NY</v>
          </cell>
          <cell r="AA2104" t="str">
            <v>10021-4872</v>
          </cell>
          <cell r="AB2104" t="str">
            <v>PHYSICIAN</v>
          </cell>
          <cell r="AC2104" t="str">
            <v>M</v>
          </cell>
          <cell r="AD2104" t="str">
            <v>No</v>
          </cell>
          <cell r="AE2104" t="str">
            <v>MMIS</v>
          </cell>
          <cell r="AF2104" t="str">
            <v>nypeastcampus</v>
          </cell>
          <cell r="AG2104" t="str">
            <v>P</v>
          </cell>
        </row>
        <row r="2105">
          <cell r="A2105" t="str">
            <v>1710927868</v>
          </cell>
          <cell r="B2105" t="str">
            <v>02236217</v>
          </cell>
          <cell r="C2105" t="str">
            <v>Shin Sandra</v>
          </cell>
          <cell r="D2105" t="str">
            <v>E0076468</v>
          </cell>
          <cell r="E2105" t="str">
            <v>SHIN SANDRA J</v>
          </cell>
          <cell r="G2105" t="str">
            <v>Kathryn Spaziani</v>
          </cell>
          <cell r="H2105" t="str">
            <v>(212) 305-1232</v>
          </cell>
          <cell r="J2105" t="str">
            <v>kas9171@nyp.org</v>
          </cell>
          <cell r="L2105" t="str">
            <v>All Other:: Practitioner - Non-Primary Care Provider (PCP)</v>
          </cell>
          <cell r="M2105" t="str">
            <v>No</v>
          </cell>
          <cell r="R2105" t="str">
            <v>SHIN SANDRA DR.</v>
          </cell>
          <cell r="W2105" t="str">
            <v>SHIN SANDRA J</v>
          </cell>
          <cell r="X2105" t="str">
            <v>SHIN SANDRA J</v>
          </cell>
          <cell r="Y2105" t="str">
            <v>NEW YORK</v>
          </cell>
          <cell r="Z2105" t="str">
            <v>NY</v>
          </cell>
          <cell r="AA2105" t="str">
            <v>10065-4870</v>
          </cell>
          <cell r="AB2105" t="str">
            <v>PHYSICIAN</v>
          </cell>
          <cell r="AC2105" t="str">
            <v>M</v>
          </cell>
          <cell r="AD2105" t="str">
            <v>No</v>
          </cell>
          <cell r="AE2105" t="str">
            <v>MMIS</v>
          </cell>
          <cell r="AF2105" t="str">
            <v>nypeastcampus</v>
          </cell>
          <cell r="AG2105" t="str">
            <v>P</v>
          </cell>
        </row>
        <row r="2106">
          <cell r="A2106" t="str">
            <v>1295725430</v>
          </cell>
          <cell r="B2106" t="str">
            <v>02863261</v>
          </cell>
          <cell r="C2106" t="str">
            <v>Yantiss Rhonda</v>
          </cell>
          <cell r="D2106" t="str">
            <v>E0013872</v>
          </cell>
          <cell r="E2106" t="str">
            <v>YANTISS RHONDA</v>
          </cell>
          <cell r="G2106" t="str">
            <v>Kathryn Spaziani</v>
          </cell>
          <cell r="H2106" t="str">
            <v>(212) 305-1233</v>
          </cell>
          <cell r="J2106" t="str">
            <v>kas9171@nyp.org</v>
          </cell>
          <cell r="L2106" t="str">
            <v>All Other:: Practitioner - Non-Primary Care Provider (PCP)</v>
          </cell>
          <cell r="M2106" t="str">
            <v>No</v>
          </cell>
          <cell r="R2106" t="str">
            <v>YANTISS RHONDA DR.</v>
          </cell>
          <cell r="W2106" t="str">
            <v>YANTISS RHONDA</v>
          </cell>
          <cell r="X2106" t="str">
            <v>525 E 68TH ST</v>
          </cell>
          <cell r="Y2106" t="str">
            <v>NEW YORK</v>
          </cell>
          <cell r="Z2106" t="str">
            <v>NY</v>
          </cell>
          <cell r="AA2106" t="str">
            <v>10065-4870</v>
          </cell>
          <cell r="AB2106" t="str">
            <v>PHYSICIAN</v>
          </cell>
          <cell r="AC2106" t="str">
            <v>M</v>
          </cell>
          <cell r="AD2106" t="str">
            <v>No</v>
          </cell>
          <cell r="AE2106" t="str">
            <v>MMIS</v>
          </cell>
          <cell r="AF2106" t="str">
            <v>nypeastcampus</v>
          </cell>
          <cell r="AG2106" t="str">
            <v>P</v>
          </cell>
        </row>
        <row r="2107">
          <cell r="A2107" t="str">
            <v>1376523746</v>
          </cell>
          <cell r="B2107" t="str">
            <v>03142725</v>
          </cell>
          <cell r="C2107" t="str">
            <v>Schwartz Lawrence</v>
          </cell>
          <cell r="D2107" t="str">
            <v>E0297952</v>
          </cell>
          <cell r="E2107" t="str">
            <v>SCHWARTZ LAWRENCE HOWARD</v>
          </cell>
          <cell r="L2107" t="str">
            <v>All Other:: Practitioner - Non-Primary Care Provider (PCP)</v>
          </cell>
          <cell r="M2107" t="str">
            <v>No</v>
          </cell>
          <cell r="R2107" t="str">
            <v>SCHWARTZ LAWRENCE</v>
          </cell>
          <cell r="W2107" t="str">
            <v>SCHWARTZ LAWRENCE HOWARD</v>
          </cell>
          <cell r="X2107" t="str">
            <v>622 W 168TH ST</v>
          </cell>
          <cell r="Y2107" t="str">
            <v>NEW YORK</v>
          </cell>
          <cell r="Z2107" t="str">
            <v>NY</v>
          </cell>
          <cell r="AA2107" t="str">
            <v>10032-3720</v>
          </cell>
          <cell r="AB2107" t="str">
            <v>PHYSICIAN</v>
          </cell>
          <cell r="AC2107" t="str">
            <v>M</v>
          </cell>
          <cell r="AD2107" t="str">
            <v>No</v>
          </cell>
          <cell r="AE2107" t="str">
            <v>MMIS</v>
          </cell>
          <cell r="AF2107" t="str">
            <v>nypwestcampus</v>
          </cell>
          <cell r="AG2107" t="str">
            <v>P</v>
          </cell>
        </row>
        <row r="2108">
          <cell r="A2108" t="str">
            <v>1194760108</v>
          </cell>
          <cell r="B2108" t="str">
            <v>01424666</v>
          </cell>
          <cell r="C2108" t="str">
            <v>Gandolfo Lisa</v>
          </cell>
          <cell r="D2108" t="str">
            <v>E0157508</v>
          </cell>
          <cell r="E2108" t="str">
            <v>CIMINO-GANDOLFO LISA HILARY</v>
          </cell>
          <cell r="L2108" t="str">
            <v>All Other:: Practitioner - Non-Primary Care Provider (PCP)</v>
          </cell>
          <cell r="M2108" t="str">
            <v>No</v>
          </cell>
          <cell r="R2108" t="str">
            <v>GANDOLFO LISA</v>
          </cell>
          <cell r="W2108" t="str">
            <v>CIMINO-GANDOLFO LISA HILARY</v>
          </cell>
          <cell r="X2108" t="str">
            <v>PRESYTERIAN HOSP</v>
          </cell>
          <cell r="Y2108" t="str">
            <v>NEW YORK</v>
          </cell>
          <cell r="Z2108" t="str">
            <v>NY</v>
          </cell>
          <cell r="AA2108" t="str">
            <v>10032-3720</v>
          </cell>
          <cell r="AB2108" t="str">
            <v>PHYSICIAN</v>
          </cell>
          <cell r="AC2108" t="str">
            <v>M</v>
          </cell>
          <cell r="AD2108" t="str">
            <v>No</v>
          </cell>
          <cell r="AE2108" t="str">
            <v>MMIS</v>
          </cell>
          <cell r="AF2108" t="str">
            <v>nypwestcampus</v>
          </cell>
          <cell r="AG2108" t="str">
            <v>P</v>
          </cell>
        </row>
        <row r="2109">
          <cell r="A2109" t="str">
            <v>1184669004</v>
          </cell>
          <cell r="B2109" t="str">
            <v>01252271</v>
          </cell>
          <cell r="C2109" t="str">
            <v>Gruss Leah</v>
          </cell>
          <cell r="D2109" t="str">
            <v>E0174678</v>
          </cell>
          <cell r="E2109" t="str">
            <v>GRUSS LEAH P MD</v>
          </cell>
          <cell r="L2109" t="str">
            <v>All Other:: Practitioner - Non-Primary Care Provider (PCP)</v>
          </cell>
          <cell r="M2109" t="str">
            <v>No</v>
          </cell>
          <cell r="R2109" t="str">
            <v>GRUSS LEAH</v>
          </cell>
          <cell r="W2109" t="str">
            <v>GRUSS LEAH P MD</v>
          </cell>
          <cell r="Y2109" t="str">
            <v>NEW YORK</v>
          </cell>
          <cell r="Z2109" t="str">
            <v>NY</v>
          </cell>
          <cell r="AA2109" t="str">
            <v>10032-3720</v>
          </cell>
          <cell r="AB2109" t="str">
            <v>PHYSICIAN</v>
          </cell>
          <cell r="AC2109" t="str">
            <v>M</v>
          </cell>
          <cell r="AD2109" t="str">
            <v>No</v>
          </cell>
          <cell r="AE2109" t="str">
            <v>MMIS</v>
          </cell>
          <cell r="AF2109" t="str">
            <v>nypwestcampus</v>
          </cell>
          <cell r="AG2109" t="str">
            <v>P</v>
          </cell>
        </row>
        <row r="2110">
          <cell r="A2110" t="str">
            <v>1407884133</v>
          </cell>
          <cell r="B2110" t="str">
            <v>01670153</v>
          </cell>
          <cell r="C2110" t="str">
            <v>Brown Marc</v>
          </cell>
          <cell r="D2110" t="str">
            <v>E0133001</v>
          </cell>
          <cell r="E2110" t="str">
            <v>BROWN MARC MD</v>
          </cell>
          <cell r="L2110" t="str">
            <v>All Other:: Practitioner - Non-Primary Care Provider (PCP)</v>
          </cell>
          <cell r="M2110" t="str">
            <v>No</v>
          </cell>
          <cell r="R2110" t="str">
            <v>BROWN MARC</v>
          </cell>
          <cell r="W2110" t="str">
            <v>BROWN MARC MD</v>
          </cell>
          <cell r="X2110" t="str">
            <v>622 W 168TH ST</v>
          </cell>
          <cell r="Y2110" t="str">
            <v>NEW YORK</v>
          </cell>
          <cell r="Z2110" t="str">
            <v>NY</v>
          </cell>
          <cell r="AA2110" t="str">
            <v>10032-3720</v>
          </cell>
          <cell r="AB2110" t="str">
            <v>PHYSICIAN</v>
          </cell>
          <cell r="AC2110" t="str">
            <v>M</v>
          </cell>
          <cell r="AD2110" t="str">
            <v>No</v>
          </cell>
          <cell r="AE2110" t="str">
            <v>MMIS</v>
          </cell>
          <cell r="AF2110" t="str">
            <v>nypwestcampus</v>
          </cell>
          <cell r="AG2110" t="str">
            <v>P</v>
          </cell>
        </row>
        <row r="2111">
          <cell r="A2111" t="str">
            <v>1962555896</v>
          </cell>
          <cell r="B2111" t="str">
            <v>00727440</v>
          </cell>
          <cell r="C2111" t="str">
            <v>Ornstein Eugene</v>
          </cell>
          <cell r="D2111" t="str">
            <v>E0226963</v>
          </cell>
          <cell r="E2111" t="str">
            <v>ORNSTEIN EUGENE            MD</v>
          </cell>
          <cell r="L2111" t="str">
            <v>All Other:: Practitioner - Non-Primary Care Provider (PCP)</v>
          </cell>
          <cell r="M2111" t="str">
            <v>No</v>
          </cell>
          <cell r="R2111" t="str">
            <v>ORNSTEIN EUGENE DR.</v>
          </cell>
          <cell r="W2111" t="str">
            <v>ORNSTEIN EUGENE</v>
          </cell>
          <cell r="X2111" t="str">
            <v>622 W 168TH ST</v>
          </cell>
          <cell r="Y2111" t="str">
            <v>NEW YORK</v>
          </cell>
          <cell r="Z2111" t="str">
            <v>NY</v>
          </cell>
          <cell r="AA2111" t="str">
            <v>10032-3720</v>
          </cell>
          <cell r="AB2111" t="str">
            <v>PHYSICIAN</v>
          </cell>
          <cell r="AC2111" t="str">
            <v>M</v>
          </cell>
          <cell r="AD2111" t="str">
            <v>No</v>
          </cell>
          <cell r="AE2111" t="str">
            <v>MMIS</v>
          </cell>
          <cell r="AF2111" t="str">
            <v>nypwestcampus</v>
          </cell>
          <cell r="AG2111" t="str">
            <v>P</v>
          </cell>
        </row>
        <row r="2112">
          <cell r="A2112" t="str">
            <v>1750554861</v>
          </cell>
          <cell r="B2112" t="str">
            <v>02982245</v>
          </cell>
          <cell r="C2112" t="str">
            <v>Gallos George</v>
          </cell>
          <cell r="D2112" t="str">
            <v>E0006718</v>
          </cell>
          <cell r="E2112" t="str">
            <v>GEORGE GALLOS MD</v>
          </cell>
          <cell r="L2112" t="str">
            <v>All Other:: Practitioner - Non-Primary Care Provider (PCP)</v>
          </cell>
          <cell r="M2112" t="str">
            <v>No</v>
          </cell>
          <cell r="R2112" t="str">
            <v>GALLOS GEORGE DR.</v>
          </cell>
          <cell r="W2112" t="str">
            <v>GALLOS GEORGE MD</v>
          </cell>
          <cell r="X2112" t="str">
            <v>622 W 168TH ST</v>
          </cell>
          <cell r="Y2112" t="str">
            <v>NEW YORK</v>
          </cell>
          <cell r="Z2112" t="str">
            <v>NY</v>
          </cell>
          <cell r="AA2112" t="str">
            <v>10032-3720</v>
          </cell>
          <cell r="AB2112" t="str">
            <v>PHYSICIAN</v>
          </cell>
          <cell r="AC2112" t="str">
            <v>M</v>
          </cell>
          <cell r="AD2112" t="str">
            <v>No</v>
          </cell>
          <cell r="AE2112" t="str">
            <v>MMIS</v>
          </cell>
          <cell r="AF2112" t="str">
            <v>nypwestcampus</v>
          </cell>
          <cell r="AG2112" t="str">
            <v>P</v>
          </cell>
        </row>
        <row r="2113">
          <cell r="A2113" t="str">
            <v>1730487554</v>
          </cell>
          <cell r="C2113" t="str">
            <v>Dixon-Banks Sharese</v>
          </cell>
          <cell r="G2113" t="str">
            <v>Kathryn Spaziani</v>
          </cell>
          <cell r="H2113" t="str">
            <v>(212) 305-1255</v>
          </cell>
          <cell r="J2113" t="str">
            <v>kas9171@nyp.org</v>
          </cell>
          <cell r="K2113" t="str">
            <v>Physician</v>
          </cell>
          <cell r="L2113" t="str">
            <v>Practitioner - Non-Primary Care Provider (PCP)</v>
          </cell>
          <cell r="M2113" t="str">
            <v>No</v>
          </cell>
          <cell r="R2113" t="str">
            <v>DIXON-BANKS SHARESE MS.</v>
          </cell>
          <cell r="S2113" t="str">
            <v>622 W 168TH ST</v>
          </cell>
          <cell r="T2113" t="str">
            <v>NEW YORK</v>
          </cell>
          <cell r="U2113" t="str">
            <v>NY</v>
          </cell>
          <cell r="V2113" t="str">
            <v>100323720</v>
          </cell>
          <cell r="AC2113" t="str">
            <v>M</v>
          </cell>
          <cell r="AD2113" t="str">
            <v>No</v>
          </cell>
          <cell r="AE2113" t="str">
            <v>NPI only</v>
          </cell>
          <cell r="AF2113" t="str">
            <v>nypwestcampus</v>
          </cell>
          <cell r="AG2113" t="str">
            <v>P</v>
          </cell>
        </row>
        <row r="2114">
          <cell r="A2114" t="str">
            <v>1750542999</v>
          </cell>
          <cell r="B2114" t="str">
            <v>03623690</v>
          </cell>
          <cell r="C2114" t="str">
            <v xml:space="preserve">TOLANI, SONIA </v>
          </cell>
          <cell r="D2114" t="str">
            <v>E0352627</v>
          </cell>
          <cell r="E2114" t="str">
            <v>TOLANI SONIA N</v>
          </cell>
          <cell r="G2114" t="str">
            <v>Kathryn Spaziani</v>
          </cell>
          <cell r="H2114" t="str">
            <v>(212) 305-1190</v>
          </cell>
          <cell r="J2114" t="str">
            <v>kas9171@nyp.org</v>
          </cell>
          <cell r="L2114" t="str">
            <v>All Other:: Practitioner - Primary Care Provider (PCP)</v>
          </cell>
          <cell r="M2114" t="str">
            <v>No</v>
          </cell>
          <cell r="R2114" t="str">
            <v>TOLANI SONIA DR.</v>
          </cell>
          <cell r="W2114" t="str">
            <v>TOLANI SONIA N</v>
          </cell>
          <cell r="X2114" t="str">
            <v>622 W 168TH ST</v>
          </cell>
          <cell r="Y2114" t="str">
            <v>NEW YORK</v>
          </cell>
          <cell r="Z2114" t="str">
            <v>NY</v>
          </cell>
          <cell r="AA2114" t="str">
            <v>10032-3720</v>
          </cell>
          <cell r="AB2114" t="str">
            <v>PHYSICIAN</v>
          </cell>
          <cell r="AC2114" t="str">
            <v>M</v>
          </cell>
          <cell r="AD2114" t="str">
            <v>No</v>
          </cell>
          <cell r="AE2114" t="str">
            <v>MMIS</v>
          </cell>
          <cell r="AF2114" t="str">
            <v>nypwestcampus</v>
          </cell>
          <cell r="AG2114" t="str">
            <v>P</v>
          </cell>
        </row>
        <row r="2115">
          <cell r="A2115" t="str">
            <v>1750548210</v>
          </cell>
          <cell r="B2115" t="str">
            <v>03576854</v>
          </cell>
          <cell r="C2115" t="str">
            <v>KARAS, MARIA G</v>
          </cell>
          <cell r="D2115" t="str">
            <v>E0347776</v>
          </cell>
          <cell r="E2115" t="str">
            <v>KARAS MARIA G</v>
          </cell>
          <cell r="G2115" t="str">
            <v>Kathryn Spaziani</v>
          </cell>
          <cell r="H2115" t="str">
            <v>(212) 305-1190</v>
          </cell>
          <cell r="J2115" t="str">
            <v>kas9171@nyp.org</v>
          </cell>
          <cell r="L2115" t="str">
            <v>All Other:: Practitioner - Non-Primary Care Provider (PCP)</v>
          </cell>
          <cell r="M2115" t="str">
            <v>No</v>
          </cell>
          <cell r="R2115" t="str">
            <v>KARAS MARIA DR.</v>
          </cell>
          <cell r="W2115" t="str">
            <v>KARAS MARIA G</v>
          </cell>
          <cell r="X2115" t="str">
            <v>520 E 70TH ST</v>
          </cell>
          <cell r="Y2115" t="str">
            <v>NEW YORK</v>
          </cell>
          <cell r="Z2115" t="str">
            <v>NY</v>
          </cell>
          <cell r="AA2115" t="str">
            <v>10021-9800</v>
          </cell>
          <cell r="AB2115" t="str">
            <v>PHYSICIAN</v>
          </cell>
          <cell r="AC2115" t="str">
            <v>M</v>
          </cell>
          <cell r="AD2115" t="str">
            <v>No</v>
          </cell>
          <cell r="AE2115" t="str">
            <v>MMIS</v>
          </cell>
          <cell r="AF2115" t="str">
            <v>nypeastacn</v>
          </cell>
          <cell r="AG2115" t="str">
            <v>P</v>
          </cell>
        </row>
        <row r="2116">
          <cell r="A2116" t="str">
            <v>1750566469</v>
          </cell>
          <cell r="B2116" t="str">
            <v>03367228</v>
          </cell>
          <cell r="C2116" t="str">
            <v>GREEBEL, GENNIFER J</v>
          </cell>
          <cell r="D2116" t="str">
            <v>E0323406</v>
          </cell>
          <cell r="E2116" t="str">
            <v>GREEBEL GENNIFER J MD</v>
          </cell>
          <cell r="G2116" t="str">
            <v>Kathryn Spaziani</v>
          </cell>
          <cell r="H2116" t="str">
            <v>(212) 305-1190</v>
          </cell>
          <cell r="J2116" t="str">
            <v>kas9171@nyp.org</v>
          </cell>
          <cell r="L2116" t="str">
            <v>Practitioner - Non-Primary Care Provider (PCP)</v>
          </cell>
          <cell r="M2116" t="str">
            <v>No</v>
          </cell>
          <cell r="R2116" t="str">
            <v>GREEBEL GENNIFER DR.</v>
          </cell>
          <cell r="W2116" t="str">
            <v>GREEBEL GENNIFER J MD</v>
          </cell>
          <cell r="X2116" t="str">
            <v>3020 WESTCHESTER AVE STE 402</v>
          </cell>
          <cell r="Y2116" t="str">
            <v>PURCHASE</v>
          </cell>
          <cell r="Z2116" t="str">
            <v>NY</v>
          </cell>
          <cell r="AA2116" t="str">
            <v>10577-2561</v>
          </cell>
          <cell r="AB2116" t="str">
            <v>PHYSICIAN</v>
          </cell>
          <cell r="AC2116" t="str">
            <v>M</v>
          </cell>
          <cell r="AD2116" t="str">
            <v>No</v>
          </cell>
          <cell r="AE2116" t="str">
            <v>MMIS</v>
          </cell>
          <cell r="AF2116" t="str">
            <v>nypwestacn</v>
          </cell>
          <cell r="AG2116" t="str">
            <v>P</v>
          </cell>
        </row>
        <row r="2117">
          <cell r="A2117" t="str">
            <v>1407806664</v>
          </cell>
          <cell r="B2117" t="str">
            <v>03244846</v>
          </cell>
          <cell r="C2117" t="str">
            <v xml:space="preserve">ZAHARAKIS, YVONNE </v>
          </cell>
          <cell r="D2117" t="str">
            <v>E0309458</v>
          </cell>
          <cell r="E2117" t="str">
            <v>ZAHARAKIS YVONNE</v>
          </cell>
          <cell r="G2117" t="str">
            <v>Kathryn Spaziani</v>
          </cell>
          <cell r="H2117" t="str">
            <v>(212) 305-1190</v>
          </cell>
          <cell r="J2117" t="str">
            <v>kas9171@nyp.org</v>
          </cell>
          <cell r="L2117" t="str">
            <v>Practitioner - Non-Primary Care Provider (PCP)</v>
          </cell>
          <cell r="M2117" t="str">
            <v>No</v>
          </cell>
          <cell r="R2117" t="str">
            <v>ZAHARAKIS YVONNE MISS</v>
          </cell>
          <cell r="W2117" t="str">
            <v>ZAHARAKIS YVONNE</v>
          </cell>
          <cell r="X2117" t="str">
            <v>2510 30TH AVE</v>
          </cell>
          <cell r="Y2117" t="str">
            <v>LONG ISLAND CITY</v>
          </cell>
          <cell r="Z2117" t="str">
            <v>NY</v>
          </cell>
          <cell r="AA2117" t="str">
            <v>11102-2448</v>
          </cell>
          <cell r="AB2117" t="str">
            <v>PHYSICIAN</v>
          </cell>
          <cell r="AC2117" t="str">
            <v>M</v>
          </cell>
          <cell r="AD2117" t="str">
            <v>No</v>
          </cell>
          <cell r="AE2117" t="str">
            <v>MMIS</v>
          </cell>
          <cell r="AF2117" t="str">
            <v>nypeastcampus</v>
          </cell>
          <cell r="AG2117" t="str">
            <v>P</v>
          </cell>
        </row>
        <row r="2118">
          <cell r="A2118" t="str">
            <v>1174634406</v>
          </cell>
          <cell r="B2118" t="str">
            <v>03448611</v>
          </cell>
          <cell r="C2118" t="str">
            <v>WEILL MEDICAL COLLEGE OF CORNELL</v>
          </cell>
          <cell r="D2118" t="str">
            <v>E0333601</v>
          </cell>
          <cell r="E2118" t="str">
            <v>WEILL MEDICAL COLLEGE OF CORNELL UN</v>
          </cell>
          <cell r="L2118" t="str">
            <v>All Other</v>
          </cell>
          <cell r="M2118" t="str">
            <v>No</v>
          </cell>
          <cell r="R2118" t="str">
            <v>WEILL MEDICAL COLLEGE OF CORNELL</v>
          </cell>
          <cell r="W2118" t="str">
            <v>WEILL MEDICAL COLLEGE OF CORNELL UN</v>
          </cell>
          <cell r="X2118" t="str">
            <v>520 E 70TH ST</v>
          </cell>
          <cell r="Y2118" t="str">
            <v>NEW YORK</v>
          </cell>
          <cell r="Z2118" t="str">
            <v>NY</v>
          </cell>
          <cell r="AA2118" t="str">
            <v>10021-9800</v>
          </cell>
          <cell r="AB2118" t="str">
            <v>PHYSICIANS GROUP</v>
          </cell>
          <cell r="AC2118" t="str">
            <v>M</v>
          </cell>
          <cell r="AD2118" t="str">
            <v>No</v>
          </cell>
          <cell r="AE2118" t="str">
            <v>MMIS</v>
          </cell>
          <cell r="AG2118" t="str">
            <v>P</v>
          </cell>
        </row>
        <row r="2119">
          <cell r="A2119" t="str">
            <v>1730304270</v>
          </cell>
          <cell r="B2119" t="str">
            <v>03014317</v>
          </cell>
          <cell r="C2119" t="str">
            <v>THEODORE C.DOCU MD, PC</v>
          </cell>
          <cell r="D2119" t="str">
            <v>E0007888</v>
          </cell>
          <cell r="E2119" t="str">
            <v>THEODORE C DOCU MD PC</v>
          </cell>
          <cell r="L2119" t="str">
            <v>All Other:: Practitioner - Primary Care Provider (PCP)</v>
          </cell>
          <cell r="M2119" t="str">
            <v>No</v>
          </cell>
          <cell r="R2119" t="str">
            <v>THEODORE C.DOCU MD, PC</v>
          </cell>
          <cell r="W2119" t="str">
            <v>THEODORE C DOCU MD PC</v>
          </cell>
          <cell r="X2119" t="str">
            <v>506 FORT WASHINGTON AVE 1F</v>
          </cell>
          <cell r="Y2119" t="str">
            <v>NEW YORK</v>
          </cell>
          <cell r="Z2119" t="str">
            <v>NY</v>
          </cell>
          <cell r="AA2119" t="str">
            <v>10033-2081</v>
          </cell>
          <cell r="AB2119" t="str">
            <v>PHYSICIANS GROUP</v>
          </cell>
          <cell r="AC2119" t="str">
            <v>M</v>
          </cell>
          <cell r="AD2119" t="str">
            <v>No</v>
          </cell>
          <cell r="AE2119" t="str">
            <v>MMIS</v>
          </cell>
          <cell r="AF2119" t="str">
            <v>nypwestcampus</v>
          </cell>
          <cell r="AG2119" t="str">
            <v>P</v>
          </cell>
        </row>
        <row r="2120">
          <cell r="A2120" t="str">
            <v>1033323522</v>
          </cell>
          <cell r="B2120" t="str">
            <v>02889114</v>
          </cell>
          <cell r="C2120" t="str">
            <v>1875 LEXINGTON AVENUE CORP OF NEW YORK</v>
          </cell>
          <cell r="D2120" t="str">
            <v>E0011295</v>
          </cell>
          <cell r="E2120" t="str">
            <v>1875 LEXINGTON AVENUE CORP OF NEW Y</v>
          </cell>
          <cell r="L2120" t="str">
            <v>Pharmacy</v>
          </cell>
          <cell r="M2120" t="str">
            <v>Yes</v>
          </cell>
          <cell r="R2120" t="str">
            <v>1875 LEXINGTON AVENUE CORP OF NEW YORK</v>
          </cell>
          <cell r="W2120" t="str">
            <v>1875 LEXINGTON AVENUE CORP OF NEW Y</v>
          </cell>
          <cell r="X2120" t="str">
            <v>1875 LEXINGTON AVE</v>
          </cell>
          <cell r="Y2120" t="str">
            <v>NEW YORK</v>
          </cell>
          <cell r="Z2120" t="str">
            <v>NY</v>
          </cell>
          <cell r="AA2120" t="str">
            <v>10035-4733</v>
          </cell>
          <cell r="AB2120" t="str">
            <v>PHARMACY</v>
          </cell>
          <cell r="AC2120" t="str">
            <v>M</v>
          </cell>
          <cell r="AD2120" t="str">
            <v>No</v>
          </cell>
          <cell r="AE2120" t="str">
            <v>MMIS</v>
          </cell>
          <cell r="AG2120" t="str">
            <v>P</v>
          </cell>
        </row>
        <row r="2121">
          <cell r="A2121" t="str">
            <v>1669559753</v>
          </cell>
          <cell r="B2121" t="str">
            <v>02428191</v>
          </cell>
          <cell r="C2121" t="str">
            <v>QUICK RX DRUGS INC</v>
          </cell>
          <cell r="D2121" t="str">
            <v>E0057311</v>
          </cell>
          <cell r="E2121" t="str">
            <v>QUICK RX DRUGS INC</v>
          </cell>
          <cell r="L2121" t="str">
            <v>Pharmacy</v>
          </cell>
          <cell r="M2121" t="str">
            <v>No</v>
          </cell>
          <cell r="R2121" t="str">
            <v>QUICK RX DRUGS INC</v>
          </cell>
          <cell r="W2121" t="str">
            <v>QUICK RX DRUGS INC</v>
          </cell>
          <cell r="X2121" t="str">
            <v>516 US HIGHWAY 80 W</v>
          </cell>
          <cell r="Y2121" t="str">
            <v>GARDEN CITY</v>
          </cell>
          <cell r="Z2121" t="str">
            <v>GA</v>
          </cell>
          <cell r="AA2121" t="str">
            <v>31408-3108</v>
          </cell>
          <cell r="AB2121" t="str">
            <v>PHARMACY</v>
          </cell>
          <cell r="AC2121" t="str">
            <v>M</v>
          </cell>
          <cell r="AD2121" t="str">
            <v>No</v>
          </cell>
          <cell r="AE2121" t="str">
            <v>MMIS</v>
          </cell>
          <cell r="AG2121" t="str">
            <v>P</v>
          </cell>
        </row>
        <row r="2122">
          <cell r="A2122" t="str">
            <v>1538320940</v>
          </cell>
          <cell r="B2122" t="str">
            <v>04328745</v>
          </cell>
          <cell r="C2122" t="str">
            <v>RIVERSTONE SENIOR LIFE SERVICES, INC.</v>
          </cell>
          <cell r="D2122" t="str">
            <v>E0424460</v>
          </cell>
          <cell r="E2122" t="str">
            <v>RIVERSTONE SENIOR LIFE SERVICES</v>
          </cell>
          <cell r="L2122" t="str">
            <v>All Other</v>
          </cell>
          <cell r="M2122" t="str">
            <v>No</v>
          </cell>
          <cell r="R2122" t="str">
            <v>RIVERSTONE SENIOR LIFE SERVICES</v>
          </cell>
          <cell r="W2122" t="str">
            <v>RIVERSTONE SENIOR LIFE SERVICES</v>
          </cell>
          <cell r="X2122" t="str">
            <v>99 FORT WASHINGTON AVE BSMT</v>
          </cell>
          <cell r="Y2122" t="str">
            <v>NEW YORK</v>
          </cell>
          <cell r="Z2122" t="str">
            <v>NY</v>
          </cell>
          <cell r="AA2122" t="str">
            <v>10032-0422</v>
          </cell>
          <cell r="AB2122" t="str">
            <v>HOME HEALTH AGENCY</v>
          </cell>
          <cell r="AC2122" t="str">
            <v>M</v>
          </cell>
          <cell r="AD2122" t="str">
            <v>No</v>
          </cell>
          <cell r="AE2122" t="str">
            <v>MMIS</v>
          </cell>
          <cell r="AG2122" t="str">
            <v>P</v>
          </cell>
        </row>
        <row r="2123">
          <cell r="A2123" t="str">
            <v>1881609428</v>
          </cell>
          <cell r="B2123" t="str">
            <v>02700609</v>
          </cell>
          <cell r="C2123" t="str">
            <v>31ST &amp; 3RD PHARMACY INC</v>
          </cell>
          <cell r="D2123" t="str">
            <v>E0030121</v>
          </cell>
          <cell r="E2123" t="str">
            <v>31ST AND 3RD PHARMACY INC</v>
          </cell>
          <cell r="L2123" t="str">
            <v>Pharmacy</v>
          </cell>
          <cell r="M2123" t="str">
            <v>No</v>
          </cell>
          <cell r="R2123" t="str">
            <v>31ST &amp; 3RD PHARMACY INC</v>
          </cell>
          <cell r="W2123" t="str">
            <v>31ST AND 3RD PHARMACY INC</v>
          </cell>
          <cell r="X2123" t="str">
            <v>1860 WALT WHITMAN RD STE 700</v>
          </cell>
          <cell r="Y2123" t="str">
            <v>MELVILLE</v>
          </cell>
          <cell r="Z2123" t="str">
            <v>NY</v>
          </cell>
          <cell r="AA2123" t="str">
            <v>11747-3098</v>
          </cell>
          <cell r="AB2123" t="str">
            <v>PHARMACY</v>
          </cell>
          <cell r="AC2123" t="str">
            <v>M</v>
          </cell>
          <cell r="AD2123" t="str">
            <v>No</v>
          </cell>
          <cell r="AE2123" t="str">
            <v>MMIS</v>
          </cell>
          <cell r="AG2123" t="str">
            <v>P</v>
          </cell>
        </row>
        <row r="2124">
          <cell r="A2124" t="str">
            <v>1578656708</v>
          </cell>
          <cell r="B2124" t="str">
            <v>03447812</v>
          </cell>
          <cell r="C2124" t="str">
            <v>Bogdanov Emil</v>
          </cell>
          <cell r="D2124" t="str">
            <v>E0333561</v>
          </cell>
          <cell r="E2124" t="str">
            <v>BOGDANOV EMIL NIKOLAEV</v>
          </cell>
          <cell r="L2124" t="str">
            <v>All Other:: Practitioner - Non-Primary Care Provider (PCP)</v>
          </cell>
          <cell r="M2124" t="str">
            <v>No</v>
          </cell>
          <cell r="R2124" t="str">
            <v>BOGDANOV EMIL</v>
          </cell>
          <cell r="W2124" t="str">
            <v>BOGDANOV EMIL NIKOLAEV</v>
          </cell>
          <cell r="X2124" t="str">
            <v>525 E 68TH ST</v>
          </cell>
          <cell r="Y2124" t="str">
            <v>NEW YORK</v>
          </cell>
          <cell r="Z2124" t="str">
            <v>NY</v>
          </cell>
          <cell r="AA2124" t="str">
            <v>10065-4870</v>
          </cell>
          <cell r="AB2124" t="str">
            <v>PHYSICIAN</v>
          </cell>
          <cell r="AC2124" t="str">
            <v>M</v>
          </cell>
          <cell r="AD2124" t="str">
            <v>No</v>
          </cell>
          <cell r="AE2124" t="str">
            <v>MMIS</v>
          </cell>
          <cell r="AG2124" t="str">
            <v>P</v>
          </cell>
        </row>
        <row r="2125">
          <cell r="A2125" t="str">
            <v>1851544001</v>
          </cell>
          <cell r="B2125" t="str">
            <v>03152292</v>
          </cell>
          <cell r="C2125" t="str">
            <v>Brumberger Eric</v>
          </cell>
          <cell r="D2125" t="str">
            <v>E0298980</v>
          </cell>
          <cell r="E2125" t="str">
            <v>BRUMBERGER ERIC DARREN</v>
          </cell>
          <cell r="L2125" t="str">
            <v>All Other:: Practitioner - Non-Primary Care Provider (PCP)</v>
          </cell>
          <cell r="M2125" t="str">
            <v>No</v>
          </cell>
          <cell r="R2125" t="str">
            <v>BRUMBERGER ERIC DR.</v>
          </cell>
          <cell r="W2125" t="str">
            <v>BRUMBERGER ERIC DARREN</v>
          </cell>
          <cell r="X2125" t="str">
            <v>525 E 68TH ST</v>
          </cell>
          <cell r="Y2125" t="str">
            <v>NEW YORK</v>
          </cell>
          <cell r="Z2125" t="str">
            <v>NY</v>
          </cell>
          <cell r="AA2125" t="str">
            <v>10065-4870</v>
          </cell>
          <cell r="AB2125" t="str">
            <v>PHYSICIAN</v>
          </cell>
          <cell r="AC2125" t="str">
            <v>M</v>
          </cell>
          <cell r="AD2125" t="str">
            <v>No</v>
          </cell>
          <cell r="AE2125" t="str">
            <v>MMIS</v>
          </cell>
          <cell r="AF2125" t="str">
            <v>nypeastcampus</v>
          </cell>
          <cell r="AG2125" t="str">
            <v>P</v>
          </cell>
        </row>
        <row r="2126">
          <cell r="A2126" t="str">
            <v>1538451950</v>
          </cell>
          <cell r="C2126" t="str">
            <v>Choxi Sarah</v>
          </cell>
          <cell r="G2126" t="str">
            <v>Kathryn Spaziani</v>
          </cell>
          <cell r="H2126" t="str">
            <v>(212) 305-1255</v>
          </cell>
          <cell r="J2126" t="str">
            <v>kas9171@nyp.org</v>
          </cell>
          <cell r="K2126" t="str">
            <v>Physician</v>
          </cell>
          <cell r="L2126" t="str">
            <v>Uncategorized</v>
          </cell>
          <cell r="M2126" t="str">
            <v>No</v>
          </cell>
          <cell r="R2126" t="str">
            <v>CHOXI SARAH</v>
          </cell>
          <cell r="S2126" t="str">
            <v>525 E 68TH ST, M312</v>
          </cell>
          <cell r="T2126" t="str">
            <v>NEW YORK</v>
          </cell>
          <cell r="U2126" t="str">
            <v>NY</v>
          </cell>
          <cell r="V2126" t="str">
            <v>100654870</v>
          </cell>
          <cell r="AC2126" t="str">
            <v>M</v>
          </cell>
          <cell r="AD2126" t="str">
            <v>No</v>
          </cell>
          <cell r="AE2126" t="str">
            <v>NPI only</v>
          </cell>
          <cell r="AF2126" t="str">
            <v>nypother</v>
          </cell>
          <cell r="AG2126" t="str">
            <v>P</v>
          </cell>
        </row>
        <row r="2127">
          <cell r="A2127" t="str">
            <v>1285977827</v>
          </cell>
          <cell r="C2127" t="str">
            <v>Cui Yan</v>
          </cell>
          <cell r="G2127" t="str">
            <v>Kathryn Spaziani</v>
          </cell>
          <cell r="H2127" t="str">
            <v>(212) 305-1255</v>
          </cell>
          <cell r="J2127" t="str">
            <v>kas9171@nyp.org</v>
          </cell>
          <cell r="K2127" t="str">
            <v>Physician</v>
          </cell>
          <cell r="L2127" t="str">
            <v>Uncategorized</v>
          </cell>
          <cell r="M2127" t="str">
            <v>No</v>
          </cell>
          <cell r="R2127" t="str">
            <v>CUI YAN</v>
          </cell>
          <cell r="S2127" t="str">
            <v>525 E 68TH ST, DEPT OF ANESTHESIOLOGY</v>
          </cell>
          <cell r="T2127" t="str">
            <v>NEW YORK</v>
          </cell>
          <cell r="U2127" t="str">
            <v>NY</v>
          </cell>
          <cell r="V2127" t="str">
            <v>100654870</v>
          </cell>
          <cell r="AC2127" t="str">
            <v>M</v>
          </cell>
          <cell r="AD2127" t="str">
            <v>No</v>
          </cell>
          <cell r="AE2127" t="str">
            <v>NPI only</v>
          </cell>
          <cell r="AF2127" t="str">
            <v>nypeastcampus</v>
          </cell>
          <cell r="AG2127" t="str">
            <v>P</v>
          </cell>
        </row>
        <row r="2128">
          <cell r="A2128" t="str">
            <v>1174967822</v>
          </cell>
          <cell r="C2128" t="str">
            <v>Dharmappa Ajay</v>
          </cell>
          <cell r="G2128" t="str">
            <v>Kathryn Spaziani</v>
          </cell>
          <cell r="H2128" t="str">
            <v>(212) 305-1255</v>
          </cell>
          <cell r="J2128" t="str">
            <v>kas9171@nyp.org</v>
          </cell>
          <cell r="K2128" t="str">
            <v>Physician</v>
          </cell>
          <cell r="L2128" t="str">
            <v>Uncategorized</v>
          </cell>
          <cell r="M2128" t="str">
            <v>No</v>
          </cell>
          <cell r="R2128" t="str">
            <v>DHARMAPPA AJAY DR.</v>
          </cell>
          <cell r="S2128" t="str">
            <v>525 E 68TH ST</v>
          </cell>
          <cell r="T2128" t="str">
            <v>NEW YORK</v>
          </cell>
          <cell r="U2128" t="str">
            <v>NY</v>
          </cell>
          <cell r="V2128" t="str">
            <v>100654870</v>
          </cell>
          <cell r="AC2128" t="str">
            <v>M</v>
          </cell>
          <cell r="AD2128" t="str">
            <v>No</v>
          </cell>
          <cell r="AE2128" t="str">
            <v>NPI only</v>
          </cell>
          <cell r="AF2128" t="str">
            <v>nypeastcampus</v>
          </cell>
          <cell r="AG2128" t="str">
            <v>P</v>
          </cell>
        </row>
        <row r="2129">
          <cell r="A2129" t="str">
            <v>1245573500</v>
          </cell>
          <cell r="C2129" t="str">
            <v>Diskina Dina</v>
          </cell>
          <cell r="G2129" t="str">
            <v>Kathryn Spaziani</v>
          </cell>
          <cell r="H2129" t="str">
            <v>(212) 305-1255</v>
          </cell>
          <cell r="J2129" t="str">
            <v>kas9171@nyp.org</v>
          </cell>
          <cell r="K2129" t="str">
            <v>Physician</v>
          </cell>
          <cell r="L2129" t="str">
            <v>Uncategorized</v>
          </cell>
          <cell r="M2129" t="str">
            <v>No</v>
          </cell>
          <cell r="R2129" t="str">
            <v>DISKINA DINA DR.</v>
          </cell>
          <cell r="S2129" t="str">
            <v>525 E 68TH ST, ROOM M312</v>
          </cell>
          <cell r="T2129" t="str">
            <v>NEW YORK</v>
          </cell>
          <cell r="U2129" t="str">
            <v>NY</v>
          </cell>
          <cell r="V2129" t="str">
            <v>100654870</v>
          </cell>
          <cell r="AC2129" t="str">
            <v>M</v>
          </cell>
          <cell r="AD2129" t="str">
            <v>No</v>
          </cell>
          <cell r="AE2129" t="str">
            <v>NPI only</v>
          </cell>
          <cell r="AF2129" t="str">
            <v>nypeastcampus</v>
          </cell>
          <cell r="AG2129" t="str">
            <v>P</v>
          </cell>
        </row>
        <row r="2130">
          <cell r="A2130" t="str">
            <v>1780028571</v>
          </cell>
          <cell r="C2130" t="str">
            <v>Fardelmann Kristen</v>
          </cell>
          <cell r="G2130" t="str">
            <v>Kathryn Spaziani</v>
          </cell>
          <cell r="H2130" t="str">
            <v>(212) 305-1255</v>
          </cell>
          <cell r="J2130" t="str">
            <v>kas9171@nyp.org</v>
          </cell>
          <cell r="K2130" t="str">
            <v>Physician</v>
          </cell>
          <cell r="L2130" t="str">
            <v>Uncategorized</v>
          </cell>
          <cell r="M2130" t="str">
            <v>No</v>
          </cell>
          <cell r="R2130" t="str">
            <v>FARDELMANN KRISTEN</v>
          </cell>
          <cell r="S2130" t="str">
            <v>525 E 68TH ST, BOX 124</v>
          </cell>
          <cell r="T2130" t="str">
            <v>NEW YORK</v>
          </cell>
          <cell r="U2130" t="str">
            <v>NY</v>
          </cell>
          <cell r="V2130" t="str">
            <v>100654870</v>
          </cell>
          <cell r="AC2130" t="str">
            <v>M</v>
          </cell>
          <cell r="AD2130" t="str">
            <v>No</v>
          </cell>
          <cell r="AE2130" t="str">
            <v>NPI only</v>
          </cell>
          <cell r="AF2130" t="str">
            <v>nypeastcampus</v>
          </cell>
          <cell r="AG2130" t="str">
            <v>P</v>
          </cell>
        </row>
        <row r="2131">
          <cell r="A2131" t="str">
            <v>1548408404</v>
          </cell>
          <cell r="B2131" t="str">
            <v>03254097</v>
          </cell>
          <cell r="C2131" t="str">
            <v>Casciano Mary</v>
          </cell>
          <cell r="D2131" t="str">
            <v>E0310532</v>
          </cell>
          <cell r="E2131" t="str">
            <v>MARY CASCIANO</v>
          </cell>
          <cell r="L2131" t="str">
            <v>All Other:: Practitioner - Non-Primary Care Provider (PCP)</v>
          </cell>
          <cell r="M2131" t="str">
            <v>No</v>
          </cell>
          <cell r="R2131" t="str">
            <v>GENEVE MARY DR.</v>
          </cell>
          <cell r="W2131" t="str">
            <v>CASCIANO MARY</v>
          </cell>
          <cell r="X2131" t="str">
            <v>525 E 68TH ST</v>
          </cell>
          <cell r="Y2131" t="str">
            <v>NEW YORK</v>
          </cell>
          <cell r="Z2131" t="str">
            <v>NY</v>
          </cell>
          <cell r="AA2131" t="str">
            <v>10065-4870</v>
          </cell>
          <cell r="AB2131" t="str">
            <v>PHYSICIAN</v>
          </cell>
          <cell r="AC2131" t="str">
            <v>M</v>
          </cell>
          <cell r="AD2131" t="str">
            <v>No</v>
          </cell>
          <cell r="AE2131" t="str">
            <v>MMIS</v>
          </cell>
          <cell r="AF2131" t="str">
            <v>nypeastcampus</v>
          </cell>
          <cell r="AG2131" t="str">
            <v>P</v>
          </cell>
        </row>
        <row r="2132">
          <cell r="A2132" t="str">
            <v>1457440745</v>
          </cell>
          <cell r="B2132" t="str">
            <v>03377084</v>
          </cell>
          <cell r="C2132" t="str">
            <v>KIPP, CLAUDINE</v>
          </cell>
          <cell r="D2132" t="str">
            <v>E0324696</v>
          </cell>
          <cell r="E2132" t="str">
            <v>CLAUDINE KIPP</v>
          </cell>
          <cell r="G2132" t="str">
            <v>Kathryn Spaziani</v>
          </cell>
          <cell r="H2132" t="str">
            <v>(212) 305-1274</v>
          </cell>
          <cell r="J2132" t="str">
            <v>kas9171@nyp.org</v>
          </cell>
          <cell r="L2132" t="str">
            <v>Practitioner - Non-Primary Care Provider (PCP)</v>
          </cell>
          <cell r="M2132" t="str">
            <v>No</v>
          </cell>
          <cell r="R2132" t="str">
            <v>KIPP CLAUDINE</v>
          </cell>
          <cell r="W2132" t="str">
            <v>KIPP CLAUDINE</v>
          </cell>
          <cell r="X2132" t="str">
            <v>161 FORT WASHINGTON AVE</v>
          </cell>
          <cell r="Y2132" t="str">
            <v>NEW YORK</v>
          </cell>
          <cell r="Z2132" t="str">
            <v>NY</v>
          </cell>
          <cell r="AA2132" t="str">
            <v>10032-3729</v>
          </cell>
          <cell r="AB2132" t="str">
            <v>PHYSICIAN</v>
          </cell>
          <cell r="AC2132" t="str">
            <v>M</v>
          </cell>
          <cell r="AD2132" t="str">
            <v>No</v>
          </cell>
          <cell r="AE2132" t="str">
            <v>MMIS</v>
          </cell>
          <cell r="AF2132" t="str">
            <v>nypwestcampus</v>
          </cell>
          <cell r="AG2132" t="str">
            <v>P</v>
          </cell>
        </row>
        <row r="2133">
          <cell r="A2133" t="str">
            <v>1215196928</v>
          </cell>
          <cell r="B2133" t="str">
            <v>03261254</v>
          </cell>
          <cell r="C2133" t="str">
            <v>DEL CARMEN, TESSA MARIE L</v>
          </cell>
          <cell r="D2133" t="str">
            <v>E0311353</v>
          </cell>
          <cell r="E2133" t="str">
            <v>DEL CARMEN TESSA MARIE LOPEZ MD</v>
          </cell>
          <cell r="G2133" t="str">
            <v>Kathryn Spaziani</v>
          </cell>
          <cell r="H2133" t="str">
            <v>(212) 305-1190</v>
          </cell>
          <cell r="J2133" t="str">
            <v>kas9171@nyp.org</v>
          </cell>
          <cell r="L2133" t="str">
            <v>Practitioner - Non-Primary Care Provider (PCP)</v>
          </cell>
          <cell r="M2133" t="str">
            <v>No</v>
          </cell>
          <cell r="R2133" t="str">
            <v>DELCARMEN TESSA MARIE DR.</v>
          </cell>
          <cell r="W2133" t="str">
            <v>DEL CARMEN TESSA MARIE LOPEZ MD</v>
          </cell>
          <cell r="X2133" t="str">
            <v>110 HENDERSON AVE</v>
          </cell>
          <cell r="Y2133" t="str">
            <v>STATEN ISLAND</v>
          </cell>
          <cell r="Z2133" t="str">
            <v>NY</v>
          </cell>
          <cell r="AA2133" t="str">
            <v>10301-2108</v>
          </cell>
          <cell r="AB2133" t="str">
            <v>PHYSICIAN</v>
          </cell>
          <cell r="AC2133" t="str">
            <v>M</v>
          </cell>
          <cell r="AD2133" t="str">
            <v>No</v>
          </cell>
          <cell r="AE2133" t="str">
            <v>MMIS</v>
          </cell>
          <cell r="AF2133" t="str">
            <v>nypeastacn</v>
          </cell>
          <cell r="AG2133" t="str">
            <v>P</v>
          </cell>
        </row>
        <row r="2134">
          <cell r="A2134" t="str">
            <v>1548278773</v>
          </cell>
          <cell r="B2134" t="str">
            <v>02781753</v>
          </cell>
          <cell r="C2134" t="str">
            <v>Veloria Evangeline</v>
          </cell>
          <cell r="D2134" t="str">
            <v>E0022017</v>
          </cell>
          <cell r="E2134" t="str">
            <v>VELORIA EVANGELINE N NP</v>
          </cell>
          <cell r="L2134" t="str">
            <v>Practitioner - Non-Primary Care Provider (PCP)</v>
          </cell>
          <cell r="M2134" t="str">
            <v>No</v>
          </cell>
          <cell r="R2134" t="str">
            <v>VELORIA EVANGELINE MS.</v>
          </cell>
          <cell r="W2134" t="str">
            <v>VELORIA EVANGELINE NATIVIDAD NP</v>
          </cell>
          <cell r="X2134" t="str">
            <v>622 W 168TH ST</v>
          </cell>
          <cell r="Y2134" t="str">
            <v>NEW YORK</v>
          </cell>
          <cell r="Z2134" t="str">
            <v>NY</v>
          </cell>
          <cell r="AA2134" t="str">
            <v>10032-3720</v>
          </cell>
          <cell r="AB2134" t="str">
            <v>PHYSICIAN</v>
          </cell>
          <cell r="AC2134" t="str">
            <v>M</v>
          </cell>
          <cell r="AD2134" t="str">
            <v>No</v>
          </cell>
          <cell r="AE2134" t="str">
            <v>MMIS</v>
          </cell>
          <cell r="AF2134" t="str">
            <v>nypwestcampus</v>
          </cell>
          <cell r="AG2134" t="str">
            <v>P</v>
          </cell>
        </row>
        <row r="2135">
          <cell r="A2135" t="str">
            <v>1902873227</v>
          </cell>
          <cell r="C2135" t="str">
            <v>Volek Allyson</v>
          </cell>
          <cell r="G2135" t="str">
            <v>Kathryn Spaziani</v>
          </cell>
          <cell r="H2135" t="str">
            <v>(212) 305-1255</v>
          </cell>
          <cell r="J2135" t="str">
            <v>kas9171@nyp.org</v>
          </cell>
          <cell r="K2135" t="str">
            <v>Physician</v>
          </cell>
          <cell r="L2135" t="str">
            <v>Uncategorized</v>
          </cell>
          <cell r="M2135" t="str">
            <v>No</v>
          </cell>
          <cell r="R2135" t="str">
            <v>VOLEK ALLYSON</v>
          </cell>
          <cell r="S2135" t="str">
            <v>6231 PGA BLVD, SUITE 104 - 303</v>
          </cell>
          <cell r="T2135" t="str">
            <v>PALM BEACH GARDENS</v>
          </cell>
          <cell r="U2135" t="str">
            <v>FL</v>
          </cell>
          <cell r="V2135" t="str">
            <v>334184033</v>
          </cell>
          <cell r="AC2135" t="str">
            <v>M</v>
          </cell>
          <cell r="AD2135" t="str">
            <v>No</v>
          </cell>
          <cell r="AE2135" t="str">
            <v>NPI only</v>
          </cell>
          <cell r="AF2135" t="str">
            <v>nypwestcampus</v>
          </cell>
          <cell r="AG2135" t="str">
            <v>P</v>
          </cell>
        </row>
        <row r="2136">
          <cell r="A2136" t="str">
            <v>1407900756</v>
          </cell>
          <cell r="B2136" t="str">
            <v>01652271</v>
          </cell>
          <cell r="C2136" t="str">
            <v>Wood Margaret</v>
          </cell>
          <cell r="D2136" t="str">
            <v>E0134788</v>
          </cell>
          <cell r="E2136" t="str">
            <v>WOOD MARGARET HICKS MD</v>
          </cell>
          <cell r="L2136" t="str">
            <v>Uncategorized</v>
          </cell>
          <cell r="M2136" t="str">
            <v>No</v>
          </cell>
          <cell r="R2136" t="str">
            <v>WOOD MARGARET DR.</v>
          </cell>
          <cell r="W2136" t="str">
            <v>WOOD MARGARET HICKS MD</v>
          </cell>
          <cell r="Y2136" t="str">
            <v>NEW YORK</v>
          </cell>
          <cell r="Z2136" t="str">
            <v>NY</v>
          </cell>
          <cell r="AA2136" t="str">
            <v>10032-3720</v>
          </cell>
          <cell r="AB2136" t="str">
            <v>PHYSICIAN</v>
          </cell>
          <cell r="AC2136" t="str">
            <v>M</v>
          </cell>
          <cell r="AD2136" t="str">
            <v>No</v>
          </cell>
          <cell r="AE2136" t="str">
            <v>MMIS</v>
          </cell>
          <cell r="AF2136" t="str">
            <v>nypwestcampus</v>
          </cell>
          <cell r="AG2136" t="str">
            <v>P</v>
          </cell>
        </row>
        <row r="2137">
          <cell r="A2137" t="str">
            <v>1740336874</v>
          </cell>
          <cell r="B2137" t="str">
            <v>02643694</v>
          </cell>
          <cell r="C2137" t="str">
            <v>Wuhrman Elsa</v>
          </cell>
          <cell r="D2137" t="str">
            <v>E0035795</v>
          </cell>
          <cell r="E2137" t="str">
            <v>WUHRMAN  ELSA</v>
          </cell>
          <cell r="L2137" t="str">
            <v>All Other:: Practitioner - Non-Primary Care Provider (PCP)</v>
          </cell>
          <cell r="M2137" t="str">
            <v>No</v>
          </cell>
          <cell r="R2137" t="str">
            <v>WUHRMAN ELSA MS.</v>
          </cell>
          <cell r="W2137" t="str">
            <v>WUHRMAN  ELSA H</v>
          </cell>
          <cell r="X2137" t="str">
            <v>622 W 168TH ST</v>
          </cell>
          <cell r="Y2137" t="str">
            <v>NEW YORK</v>
          </cell>
          <cell r="Z2137" t="str">
            <v>NY</v>
          </cell>
          <cell r="AA2137" t="str">
            <v>10032-3720</v>
          </cell>
          <cell r="AB2137" t="str">
            <v>PHYSICIAN</v>
          </cell>
          <cell r="AC2137" t="str">
            <v>M</v>
          </cell>
          <cell r="AD2137" t="str">
            <v>No</v>
          </cell>
          <cell r="AE2137" t="str">
            <v>MMIS</v>
          </cell>
          <cell r="AF2137" t="str">
            <v>nypwestcampus</v>
          </cell>
          <cell r="AG2137" t="str">
            <v>P</v>
          </cell>
        </row>
        <row r="2138">
          <cell r="A2138" t="str">
            <v>1841478732</v>
          </cell>
          <cell r="B2138" t="str">
            <v>03286317</v>
          </cell>
          <cell r="C2138" t="str">
            <v>POSNER, JONATHAN E</v>
          </cell>
          <cell r="D2138" t="str">
            <v>E0314166</v>
          </cell>
          <cell r="E2138" t="str">
            <v>POSNER JONATHAN</v>
          </cell>
          <cell r="G2138" t="str">
            <v>Kathryn Spaziani</v>
          </cell>
          <cell r="H2138" t="str">
            <v>(212) 305-1190</v>
          </cell>
          <cell r="J2138" t="str">
            <v>kas9171@nyp.org</v>
          </cell>
          <cell r="L2138" t="str">
            <v>Practitioner - Non-Primary Care Provider (PCP)</v>
          </cell>
          <cell r="M2138" t="str">
            <v>No</v>
          </cell>
          <cell r="R2138" t="str">
            <v>POSNER JONATHAN</v>
          </cell>
          <cell r="W2138" t="str">
            <v>POSNER JONATHAN</v>
          </cell>
          <cell r="X2138" t="str">
            <v>3959 BROADWAY</v>
          </cell>
          <cell r="Y2138" t="str">
            <v>NEW YORK</v>
          </cell>
          <cell r="Z2138" t="str">
            <v>NY</v>
          </cell>
          <cell r="AA2138" t="str">
            <v>10032-1559</v>
          </cell>
          <cell r="AB2138" t="str">
            <v>PHYSICIAN</v>
          </cell>
          <cell r="AC2138" t="str">
            <v>M</v>
          </cell>
          <cell r="AD2138" t="str">
            <v>No</v>
          </cell>
          <cell r="AE2138" t="str">
            <v>MMIS</v>
          </cell>
          <cell r="AF2138" t="str">
            <v>nypwestcampus</v>
          </cell>
          <cell r="AG2138" t="str">
            <v>P</v>
          </cell>
        </row>
        <row r="2139">
          <cell r="A2139" t="str">
            <v>1487694691</v>
          </cell>
          <cell r="C2139" t="str">
            <v>Baergen Rebecca</v>
          </cell>
          <cell r="G2139" t="str">
            <v>Kathryn Spaziani</v>
          </cell>
          <cell r="H2139" t="str">
            <v>(212) 305-1217</v>
          </cell>
          <cell r="J2139" t="str">
            <v>kas9171@nyp.org</v>
          </cell>
          <cell r="K2139" t="str">
            <v>Physician</v>
          </cell>
          <cell r="L2139" t="str">
            <v>Uncategorized</v>
          </cell>
          <cell r="M2139" t="str">
            <v>No</v>
          </cell>
          <cell r="R2139" t="str">
            <v>BAERGEN REBECCA DR.</v>
          </cell>
          <cell r="S2139" t="str">
            <v>525 EAST 68TH STREET, BOX 69</v>
          </cell>
          <cell r="T2139" t="str">
            <v>NEW YORK</v>
          </cell>
          <cell r="U2139" t="str">
            <v>NY</v>
          </cell>
          <cell r="V2139" t="str">
            <v>100214805</v>
          </cell>
          <cell r="AC2139" t="str">
            <v>M</v>
          </cell>
          <cell r="AD2139" t="str">
            <v>No</v>
          </cell>
          <cell r="AE2139" t="str">
            <v>NPI only</v>
          </cell>
          <cell r="AF2139" t="str">
            <v>nypeastcampus</v>
          </cell>
          <cell r="AG2139" t="str">
            <v>P</v>
          </cell>
        </row>
        <row r="2140">
          <cell r="A2140" t="str">
            <v>1083654602</v>
          </cell>
          <cell r="B2140" t="str">
            <v>01890977</v>
          </cell>
          <cell r="C2140" t="str">
            <v>Beneck Debra</v>
          </cell>
          <cell r="D2140" t="str">
            <v>E0110947</v>
          </cell>
          <cell r="E2140" t="str">
            <v>BENECK DEBRA</v>
          </cell>
          <cell r="G2140" t="str">
            <v>Kathryn Spaziani</v>
          </cell>
          <cell r="H2140" t="str">
            <v>(212) 305-1218</v>
          </cell>
          <cell r="J2140" t="str">
            <v>kas9171@nyp.org</v>
          </cell>
          <cell r="L2140" t="str">
            <v>All Other:: Practitioner - Non-Primary Care Provider (PCP)</v>
          </cell>
          <cell r="M2140" t="str">
            <v>No</v>
          </cell>
          <cell r="R2140" t="str">
            <v>BENECK DEBRA DR.</v>
          </cell>
          <cell r="W2140" t="str">
            <v>BENECK DEBRA</v>
          </cell>
          <cell r="X2140" t="str">
            <v>BENECK DEBRA</v>
          </cell>
          <cell r="Y2140" t="str">
            <v>VALHALLA</v>
          </cell>
          <cell r="Z2140" t="str">
            <v>NY</v>
          </cell>
          <cell r="AA2140" t="str">
            <v>10595</v>
          </cell>
          <cell r="AB2140" t="str">
            <v>PHYSICIAN</v>
          </cell>
          <cell r="AC2140" t="str">
            <v>M</v>
          </cell>
          <cell r="AD2140" t="str">
            <v>No</v>
          </cell>
          <cell r="AE2140" t="str">
            <v>MMIS</v>
          </cell>
          <cell r="AF2140" t="str">
            <v>nypeastcampus</v>
          </cell>
          <cell r="AG2140" t="str">
            <v>P</v>
          </cell>
        </row>
        <row r="2141">
          <cell r="A2141" t="str">
            <v>1770523987</v>
          </cell>
          <cell r="B2141" t="str">
            <v>01833370</v>
          </cell>
          <cell r="C2141" t="str">
            <v>Cesarman Ethel</v>
          </cell>
          <cell r="D2141" t="str">
            <v>E0116703</v>
          </cell>
          <cell r="E2141" t="str">
            <v>CESARMAN ETHEL</v>
          </cell>
          <cell r="G2141" t="str">
            <v>Kathryn Spaziani</v>
          </cell>
          <cell r="H2141" t="str">
            <v>(212) 305-1219</v>
          </cell>
          <cell r="J2141" t="str">
            <v>kas9171@nyp.org</v>
          </cell>
          <cell r="L2141" t="str">
            <v>All Other:: Practitioner - Non-Primary Care Provider (PCP)</v>
          </cell>
          <cell r="M2141" t="str">
            <v>No</v>
          </cell>
          <cell r="R2141" t="str">
            <v>CESARMAN ETHEL DR.</v>
          </cell>
          <cell r="W2141" t="str">
            <v>CESARMAN ETHEL</v>
          </cell>
          <cell r="X2141" t="str">
            <v>CESARMAN ETHEL</v>
          </cell>
          <cell r="Y2141" t="str">
            <v>NEW YORK</v>
          </cell>
          <cell r="Z2141" t="str">
            <v>NY</v>
          </cell>
          <cell r="AA2141" t="str">
            <v>10065-4805</v>
          </cell>
          <cell r="AB2141" t="str">
            <v>PHYSICIAN</v>
          </cell>
          <cell r="AC2141" t="str">
            <v>M</v>
          </cell>
          <cell r="AD2141" t="str">
            <v>No</v>
          </cell>
          <cell r="AE2141" t="str">
            <v>MMIS</v>
          </cell>
          <cell r="AF2141" t="str">
            <v>nypeastcampus</v>
          </cell>
          <cell r="AG2141" t="str">
            <v>P</v>
          </cell>
        </row>
        <row r="2142">
          <cell r="A2142" t="str">
            <v>1518907674</v>
          </cell>
          <cell r="B2142" t="str">
            <v>01833283</v>
          </cell>
          <cell r="C2142" t="str">
            <v>Chen Yao-Tseng</v>
          </cell>
          <cell r="D2142" t="str">
            <v>E0116712</v>
          </cell>
          <cell r="E2142" t="str">
            <v>CHEN YAO-TSENG</v>
          </cell>
          <cell r="G2142" t="str">
            <v>Kathryn Spaziani</v>
          </cell>
          <cell r="H2142" t="str">
            <v>(212) 305-1220</v>
          </cell>
          <cell r="J2142" t="str">
            <v>kas9171@nyp.org</v>
          </cell>
          <cell r="L2142" t="str">
            <v>All Other:: Practitioner - Non-Primary Care Provider (PCP)</v>
          </cell>
          <cell r="M2142" t="str">
            <v>No</v>
          </cell>
          <cell r="R2142" t="str">
            <v>CHEN YAO-TSENG DR.</v>
          </cell>
          <cell r="W2142" t="str">
            <v>CHEN YAO-TSENG</v>
          </cell>
          <cell r="X2142" t="str">
            <v>CHEN YAO-TSENG</v>
          </cell>
          <cell r="Y2142" t="str">
            <v>NEW YORK</v>
          </cell>
          <cell r="Z2142" t="str">
            <v>NY</v>
          </cell>
          <cell r="AA2142" t="str">
            <v>10065-4870</v>
          </cell>
          <cell r="AB2142" t="str">
            <v>PHYSICIAN</v>
          </cell>
          <cell r="AC2142" t="str">
            <v>M</v>
          </cell>
          <cell r="AD2142" t="str">
            <v>No</v>
          </cell>
          <cell r="AE2142" t="str">
            <v>MMIS</v>
          </cell>
          <cell r="AF2142" t="str">
            <v>nypeastcampus</v>
          </cell>
          <cell r="AG2142" t="str">
            <v>P</v>
          </cell>
        </row>
        <row r="2143">
          <cell r="A2143" t="str">
            <v>1245270487</v>
          </cell>
          <cell r="B2143" t="str">
            <v>02762696</v>
          </cell>
          <cell r="C2143" t="str">
            <v>Ellenson Lora</v>
          </cell>
          <cell r="D2143" t="str">
            <v>E0023923</v>
          </cell>
          <cell r="E2143" t="str">
            <v>ELLENSON LORA</v>
          </cell>
          <cell r="G2143" t="str">
            <v>Kathryn Spaziani</v>
          </cell>
          <cell r="H2143" t="str">
            <v>(212) 305-1221</v>
          </cell>
          <cell r="J2143" t="str">
            <v>kas9171@nyp.org</v>
          </cell>
          <cell r="L2143" t="str">
            <v>All Other:: Practitioner - Non-Primary Care Provider (PCP)</v>
          </cell>
          <cell r="M2143" t="str">
            <v>No</v>
          </cell>
          <cell r="R2143" t="str">
            <v>ELLENSON LORA DR.</v>
          </cell>
          <cell r="W2143" t="str">
            <v>ELLENSON LORA</v>
          </cell>
          <cell r="X2143" t="str">
            <v>525 E 68TH ST</v>
          </cell>
          <cell r="Y2143" t="str">
            <v>NEW YORK</v>
          </cell>
          <cell r="Z2143" t="str">
            <v>NY</v>
          </cell>
          <cell r="AA2143" t="str">
            <v>10065-4870</v>
          </cell>
          <cell r="AB2143" t="str">
            <v>PHYSICIAN</v>
          </cell>
          <cell r="AC2143" t="str">
            <v>M</v>
          </cell>
          <cell r="AD2143" t="str">
            <v>No</v>
          </cell>
          <cell r="AE2143" t="str">
            <v>MMIS</v>
          </cell>
          <cell r="AF2143" t="str">
            <v>nypeastcampus</v>
          </cell>
          <cell r="AG2143" t="str">
            <v>P</v>
          </cell>
        </row>
        <row r="2144">
          <cell r="A2144" t="str">
            <v>1346280583</v>
          </cell>
          <cell r="B2144" t="str">
            <v>01707377</v>
          </cell>
          <cell r="C2144" t="str">
            <v>Hoda Syed</v>
          </cell>
          <cell r="D2144" t="str">
            <v>E0129285</v>
          </cell>
          <cell r="E2144" t="str">
            <v>HODA SYED A</v>
          </cell>
          <cell r="G2144" t="str">
            <v>Kathryn Spaziani</v>
          </cell>
          <cell r="H2144" t="str">
            <v>(212) 305-1222</v>
          </cell>
          <cell r="J2144" t="str">
            <v>kas9171@nyp.org</v>
          </cell>
          <cell r="L2144" t="str">
            <v>All Other:: Practitioner - Non-Primary Care Provider (PCP)</v>
          </cell>
          <cell r="M2144" t="str">
            <v>No</v>
          </cell>
          <cell r="R2144" t="str">
            <v>HODA SYED DR.</v>
          </cell>
          <cell r="W2144" t="str">
            <v>HODA SYED A</v>
          </cell>
          <cell r="X2144" t="str">
            <v>HODA SYED A</v>
          </cell>
          <cell r="Y2144" t="str">
            <v>NEW YORK</v>
          </cell>
          <cell r="Z2144" t="str">
            <v>NY</v>
          </cell>
          <cell r="AA2144" t="str">
            <v>10065-4870</v>
          </cell>
          <cell r="AB2144" t="str">
            <v>PHYSICIAN</v>
          </cell>
          <cell r="AC2144" t="str">
            <v>M</v>
          </cell>
          <cell r="AD2144" t="str">
            <v>No</v>
          </cell>
          <cell r="AE2144" t="str">
            <v>MMIS</v>
          </cell>
          <cell r="AF2144" t="str">
            <v>nypeastcampus</v>
          </cell>
          <cell r="AG2144" t="str">
            <v>P</v>
          </cell>
        </row>
        <row r="2145">
          <cell r="A2145" t="str">
            <v>1972693158</v>
          </cell>
          <cell r="B2145" t="str">
            <v>02863165</v>
          </cell>
          <cell r="C2145" t="str">
            <v>Lavi Ehud</v>
          </cell>
          <cell r="D2145" t="str">
            <v>E0013882</v>
          </cell>
          <cell r="E2145" t="str">
            <v>LAVI EHUD</v>
          </cell>
          <cell r="G2145" t="str">
            <v>Kathryn Spaziani</v>
          </cell>
          <cell r="H2145" t="str">
            <v>(212) 305-1223</v>
          </cell>
          <cell r="J2145" t="str">
            <v>kas9171@nyp.org</v>
          </cell>
          <cell r="L2145" t="str">
            <v>All Other:: Practitioner - Non-Primary Care Provider (PCP)</v>
          </cell>
          <cell r="M2145" t="str">
            <v>No</v>
          </cell>
          <cell r="R2145" t="str">
            <v>LAVI EHUD</v>
          </cell>
          <cell r="W2145" t="str">
            <v>LAVI EHUD</v>
          </cell>
          <cell r="X2145" t="str">
            <v>525 E 68TH ST</v>
          </cell>
          <cell r="Y2145" t="str">
            <v>NEW YORK</v>
          </cell>
          <cell r="Z2145" t="str">
            <v>NY</v>
          </cell>
          <cell r="AA2145" t="str">
            <v>10065-4870</v>
          </cell>
          <cell r="AB2145" t="str">
            <v>PHYSICIAN</v>
          </cell>
          <cell r="AC2145" t="str">
            <v>M</v>
          </cell>
          <cell r="AD2145" t="str">
            <v>No</v>
          </cell>
          <cell r="AE2145" t="str">
            <v>MMIS</v>
          </cell>
          <cell r="AF2145" t="str">
            <v>nypeastcampus</v>
          </cell>
          <cell r="AG2145" t="str">
            <v>P</v>
          </cell>
        </row>
        <row r="2146">
          <cell r="A2146" t="str">
            <v>1871549279</v>
          </cell>
          <cell r="B2146" t="str">
            <v>02863087</v>
          </cell>
          <cell r="C2146" t="str">
            <v>Magro Cynthia</v>
          </cell>
          <cell r="D2146" t="str">
            <v>E0013890</v>
          </cell>
          <cell r="E2146" t="str">
            <v>MAGRO CYNTHIA</v>
          </cell>
          <cell r="G2146" t="str">
            <v>Kathryn Spaziani</v>
          </cell>
          <cell r="H2146" t="str">
            <v>(212) 305-1224</v>
          </cell>
          <cell r="J2146" t="str">
            <v>kas9171@nyp.org</v>
          </cell>
          <cell r="L2146" t="str">
            <v>All Other:: Practitioner - Non-Primary Care Provider (PCP)</v>
          </cell>
          <cell r="M2146" t="str">
            <v>No</v>
          </cell>
          <cell r="R2146" t="str">
            <v>MAGRO CYNTHIA DR.</v>
          </cell>
          <cell r="W2146" t="str">
            <v>MAGRO CYNTHIA</v>
          </cell>
          <cell r="X2146" t="str">
            <v>525 E 68TH ST</v>
          </cell>
          <cell r="Y2146" t="str">
            <v>NEW YORK</v>
          </cell>
          <cell r="Z2146" t="str">
            <v>NY</v>
          </cell>
          <cell r="AA2146" t="str">
            <v>10065-4870</v>
          </cell>
          <cell r="AB2146" t="str">
            <v>PHYSICIAN</v>
          </cell>
          <cell r="AC2146" t="str">
            <v>M</v>
          </cell>
          <cell r="AD2146" t="str">
            <v>No</v>
          </cell>
          <cell r="AE2146" t="str">
            <v>MMIS</v>
          </cell>
          <cell r="AF2146" t="str">
            <v>nypeastcampus</v>
          </cell>
          <cell r="AG2146" t="str">
            <v>P</v>
          </cell>
        </row>
        <row r="2147">
          <cell r="C2147" t="str">
            <v>Terrence Cardinal Cooke Health Cente</v>
          </cell>
          <cell r="K2147" t="str">
            <v>Residential Supports in Community Settings</v>
          </cell>
          <cell r="L2147" t="str">
            <v>CBO</v>
          </cell>
          <cell r="M2147" t="str">
            <v>No</v>
          </cell>
          <cell r="P2147" t="str">
            <v>NY</v>
          </cell>
          <cell r="AC2147" t="str">
            <v>M</v>
          </cell>
          <cell r="AD2147" t="str">
            <v>No</v>
          </cell>
          <cell r="AE2147" t="str">
            <v>No NPI or MMIS</v>
          </cell>
          <cell r="AG2147" t="str">
            <v>P</v>
          </cell>
        </row>
        <row r="2148">
          <cell r="A2148" t="str">
            <v>1982838017</v>
          </cell>
          <cell r="B2148" t="str">
            <v>03174774</v>
          </cell>
          <cell r="C2148" t="str">
            <v xml:space="preserve">PEREZ, ROSALIE </v>
          </cell>
          <cell r="D2148" t="str">
            <v>E0301577</v>
          </cell>
          <cell r="E2148" t="str">
            <v>PEREZ ROSALIE</v>
          </cell>
          <cell r="G2148" t="str">
            <v>Kathryn Spaziani</v>
          </cell>
          <cell r="H2148" t="str">
            <v>(212) 305-1190</v>
          </cell>
          <cell r="J2148" t="str">
            <v>kas9171@nyp.org</v>
          </cell>
          <cell r="L2148" t="str">
            <v>Practitioner - Non-Primary Care Provider (PCP)</v>
          </cell>
          <cell r="M2148" t="str">
            <v>No</v>
          </cell>
          <cell r="R2148" t="str">
            <v>INGRASSIA ROSALIE MRS.</v>
          </cell>
          <cell r="W2148" t="str">
            <v>INGRASSIA ROSALIE</v>
          </cell>
          <cell r="X2148" t="str">
            <v>622 W 168TH ST</v>
          </cell>
          <cell r="Y2148" t="str">
            <v>NEW YORK</v>
          </cell>
          <cell r="Z2148" t="str">
            <v>NY</v>
          </cell>
          <cell r="AA2148" t="str">
            <v>10032-3720</v>
          </cell>
          <cell r="AB2148" t="str">
            <v>PHYSICIAN</v>
          </cell>
          <cell r="AC2148" t="str">
            <v>M</v>
          </cell>
          <cell r="AD2148" t="str">
            <v>No</v>
          </cell>
          <cell r="AE2148" t="str">
            <v>MMIS</v>
          </cell>
          <cell r="AF2148" t="str">
            <v>nypwestcampus</v>
          </cell>
          <cell r="AG2148" t="str">
            <v>P</v>
          </cell>
        </row>
        <row r="2149">
          <cell r="A2149" t="str">
            <v>1629217898</v>
          </cell>
          <cell r="B2149" t="str">
            <v>03347142</v>
          </cell>
          <cell r="C2149" t="str">
            <v xml:space="preserve">RILLERA-PLAN, VICTRINA </v>
          </cell>
          <cell r="D2149" t="str">
            <v>E0321091</v>
          </cell>
          <cell r="E2149" t="str">
            <v>RILLERA-PLAN VICTRINA</v>
          </cell>
          <cell r="G2149" t="str">
            <v>Kathryn Spaziani</v>
          </cell>
          <cell r="H2149" t="str">
            <v>(212) 305-1190</v>
          </cell>
          <cell r="J2149" t="str">
            <v>kas9171@nyp.org</v>
          </cell>
          <cell r="L2149" t="str">
            <v>Practitioner - Non-Primary Care Provider (PCP)</v>
          </cell>
          <cell r="M2149" t="str">
            <v>No</v>
          </cell>
          <cell r="R2149" t="str">
            <v>PLAN VICTRINA MS.</v>
          </cell>
          <cell r="W2149" t="str">
            <v>RILLERA-PLAN VICTRINA O</v>
          </cell>
          <cell r="X2149" t="str">
            <v>622 W 168TH ST FL 10</v>
          </cell>
          <cell r="Y2149" t="str">
            <v>NEW YORK</v>
          </cell>
          <cell r="Z2149" t="str">
            <v>NY</v>
          </cell>
          <cell r="AA2149" t="str">
            <v>10032-3720</v>
          </cell>
          <cell r="AB2149" t="str">
            <v>PHYSICIAN</v>
          </cell>
          <cell r="AC2149" t="str">
            <v>M</v>
          </cell>
          <cell r="AD2149" t="str">
            <v>No</v>
          </cell>
          <cell r="AE2149" t="str">
            <v>MMIS</v>
          </cell>
          <cell r="AF2149" t="str">
            <v>nypwestcampus</v>
          </cell>
          <cell r="AG2149" t="str">
            <v>P</v>
          </cell>
        </row>
        <row r="2150">
          <cell r="A2150" t="str">
            <v>1710010103</v>
          </cell>
          <cell r="B2150" t="str">
            <v>03299474</v>
          </cell>
          <cell r="C2150" t="str">
            <v>MOCHE, JASON A</v>
          </cell>
          <cell r="D2150" t="str">
            <v>E0315671</v>
          </cell>
          <cell r="E2150" t="str">
            <v>MOCHE JASON ANDREW</v>
          </cell>
          <cell r="G2150" t="str">
            <v>Kathryn Spaziani</v>
          </cell>
          <cell r="H2150" t="str">
            <v>(212) 305-1190</v>
          </cell>
          <cell r="J2150" t="str">
            <v>kas9171@nyp.org</v>
          </cell>
          <cell r="L2150" t="str">
            <v>All Other:: Practitioner - Non-Primary Care Provider (PCP)</v>
          </cell>
          <cell r="M2150" t="str">
            <v>No</v>
          </cell>
          <cell r="R2150" t="str">
            <v>MOCHE JASON</v>
          </cell>
          <cell r="W2150" t="str">
            <v>MOCHE JASON ANDREW</v>
          </cell>
          <cell r="X2150" t="str">
            <v>506 LENOX AVE</v>
          </cell>
          <cell r="Y2150" t="str">
            <v>NEW YORK</v>
          </cell>
          <cell r="Z2150" t="str">
            <v>NY</v>
          </cell>
          <cell r="AA2150" t="str">
            <v>10037-1802</v>
          </cell>
          <cell r="AB2150" t="str">
            <v>PHYSICIAN</v>
          </cell>
          <cell r="AC2150" t="str">
            <v>M</v>
          </cell>
          <cell r="AD2150" t="str">
            <v>No</v>
          </cell>
          <cell r="AE2150" t="str">
            <v>MMIS</v>
          </cell>
          <cell r="AF2150" t="str">
            <v>nypwestcampus</v>
          </cell>
          <cell r="AG2150" t="str">
            <v>P</v>
          </cell>
        </row>
        <row r="2151">
          <cell r="A2151" t="str">
            <v>1275859209</v>
          </cell>
          <cell r="C2151" t="str">
            <v>Oliver-Krasinski Jennifer</v>
          </cell>
          <cell r="G2151" t="str">
            <v>Kathryn Spaziani</v>
          </cell>
          <cell r="H2151" t="str">
            <v>(212) 305-1190</v>
          </cell>
          <cell r="J2151" t="str">
            <v>kas9171@nyp.org</v>
          </cell>
          <cell r="K2151" t="str">
            <v>Physician</v>
          </cell>
          <cell r="L2151" t="str">
            <v>Uncategorized</v>
          </cell>
          <cell r="M2151" t="str">
            <v>No</v>
          </cell>
          <cell r="R2151" t="str">
            <v>OLIVER-KRASINSKI JENNIFER DR.</v>
          </cell>
          <cell r="S2151" t="str">
            <v>3401 CIVIC CENTER BLVD, DIVISION OF PATHOLOGY</v>
          </cell>
          <cell r="T2151" t="str">
            <v>PHILADELPHIA</v>
          </cell>
          <cell r="U2151" t="str">
            <v>PA</v>
          </cell>
          <cell r="V2151" t="str">
            <v>191044319</v>
          </cell>
          <cell r="AC2151" t="str">
            <v>M</v>
          </cell>
          <cell r="AD2151" t="str">
            <v>No</v>
          </cell>
          <cell r="AE2151" t="str">
            <v>NPI only</v>
          </cell>
          <cell r="AF2151" t="str">
            <v>nypother</v>
          </cell>
          <cell r="AG2151" t="str">
            <v>P</v>
          </cell>
        </row>
        <row r="2152">
          <cell r="A2152" t="str">
            <v>1821384215</v>
          </cell>
          <cell r="C2152" t="str">
            <v>Rosenstiel Paul</v>
          </cell>
          <cell r="G2152" t="str">
            <v>Kathryn Spaziani</v>
          </cell>
          <cell r="H2152" t="str">
            <v>(212) 305-1191</v>
          </cell>
          <cell r="J2152" t="str">
            <v>kas9171@nyp.org</v>
          </cell>
          <cell r="K2152" t="str">
            <v>Physician</v>
          </cell>
          <cell r="L2152" t="str">
            <v>Uncategorized</v>
          </cell>
          <cell r="M2152" t="str">
            <v>No</v>
          </cell>
          <cell r="R2152" t="str">
            <v>ROSENSTIEL PAUL DR.</v>
          </cell>
          <cell r="S2152" t="str">
            <v>630 W 168TH ST</v>
          </cell>
          <cell r="T2152" t="str">
            <v>NEW YORK</v>
          </cell>
          <cell r="U2152" t="str">
            <v>NY</v>
          </cell>
          <cell r="V2152" t="str">
            <v>100323725</v>
          </cell>
          <cell r="AC2152" t="str">
            <v>M</v>
          </cell>
          <cell r="AD2152" t="str">
            <v>No</v>
          </cell>
          <cell r="AE2152" t="str">
            <v>NPI only</v>
          </cell>
          <cell r="AF2152" t="str">
            <v>nypother</v>
          </cell>
          <cell r="AG2152" t="str">
            <v>P</v>
          </cell>
        </row>
        <row r="2153">
          <cell r="A2153" t="str">
            <v>1083032668</v>
          </cell>
          <cell r="C2153" t="str">
            <v>THOMAS NICHOLSON</v>
          </cell>
          <cell r="G2153" t="str">
            <v>Kathryn Spaziani</v>
          </cell>
          <cell r="H2153" t="str">
            <v>(212) 305-1190</v>
          </cell>
          <cell r="J2153" t="str">
            <v>kas9171@nyp.org</v>
          </cell>
          <cell r="K2153" t="str">
            <v>Unknown</v>
          </cell>
          <cell r="L2153" t="str">
            <v>Uncategorized</v>
          </cell>
          <cell r="M2153" t="str">
            <v>No</v>
          </cell>
          <cell r="R2153" t="str">
            <v>NICHOLSON THOMAS</v>
          </cell>
          <cell r="S2153" t="str">
            <v>505 EAST 70TH STREET, WEILL CORNELL INTERNAL MEDICINE ASSOCIATES</v>
          </cell>
          <cell r="T2153" t="str">
            <v>NEW YORK</v>
          </cell>
          <cell r="U2153" t="str">
            <v>NY</v>
          </cell>
          <cell r="V2153" t="str">
            <v>10021</v>
          </cell>
          <cell r="AC2153" t="str">
            <v>M</v>
          </cell>
          <cell r="AD2153" t="str">
            <v>No</v>
          </cell>
          <cell r="AE2153" t="str">
            <v>NPI only</v>
          </cell>
          <cell r="AF2153" t="str">
            <v>nypeastcampus</v>
          </cell>
          <cell r="AG2153" t="str">
            <v>P</v>
          </cell>
        </row>
        <row r="2154">
          <cell r="A2154" t="str">
            <v>1649546029</v>
          </cell>
          <cell r="C2154" t="str">
            <v>ALEKSEY NOVIKOV</v>
          </cell>
          <cell r="G2154" t="str">
            <v>Kathryn Spaziani</v>
          </cell>
          <cell r="H2154" t="str">
            <v>(212) 305-1190</v>
          </cell>
          <cell r="J2154" t="str">
            <v>kas9171@nyp.org</v>
          </cell>
          <cell r="K2154" t="str">
            <v>Unknown</v>
          </cell>
          <cell r="L2154" t="str">
            <v>Uncategorized</v>
          </cell>
          <cell r="M2154" t="str">
            <v>No</v>
          </cell>
          <cell r="R2154" t="str">
            <v>NOVIKOV ALEKSEY</v>
          </cell>
          <cell r="S2154" t="str">
            <v>505 EAST 70TH STREET, WEILL CORNELL INTERNAL MEDICINE ASSOCIATES</v>
          </cell>
          <cell r="T2154" t="str">
            <v>NEW YORK</v>
          </cell>
          <cell r="U2154" t="str">
            <v>NY</v>
          </cell>
          <cell r="V2154" t="str">
            <v>10021</v>
          </cell>
          <cell r="AC2154" t="str">
            <v>M</v>
          </cell>
          <cell r="AD2154" t="str">
            <v>No</v>
          </cell>
          <cell r="AE2154" t="str">
            <v>NPI only</v>
          </cell>
          <cell r="AF2154" t="str">
            <v>nypeastcampus</v>
          </cell>
          <cell r="AG2154" t="str">
            <v>P</v>
          </cell>
        </row>
        <row r="2155">
          <cell r="A2155" t="str">
            <v>1285990416</v>
          </cell>
          <cell r="C2155" t="str">
            <v>JULIE NUSBAUM</v>
          </cell>
          <cell r="G2155" t="str">
            <v>Kathryn Spaziani</v>
          </cell>
          <cell r="H2155" t="str">
            <v>(212) 305-1190</v>
          </cell>
          <cell r="J2155" t="str">
            <v>kas9171@nyp.org</v>
          </cell>
          <cell r="K2155" t="str">
            <v>Unknown</v>
          </cell>
          <cell r="L2155" t="str">
            <v>Uncategorized</v>
          </cell>
          <cell r="M2155" t="str">
            <v>No</v>
          </cell>
          <cell r="R2155" t="str">
            <v>NUSBAUM JULIE</v>
          </cell>
          <cell r="S2155" t="str">
            <v>550 1ST AVE</v>
          </cell>
          <cell r="T2155" t="str">
            <v>NEW YORK</v>
          </cell>
          <cell r="U2155" t="str">
            <v>NY</v>
          </cell>
          <cell r="V2155" t="str">
            <v>100166402</v>
          </cell>
          <cell r="AC2155" t="str">
            <v>M</v>
          </cell>
          <cell r="AD2155" t="str">
            <v>No</v>
          </cell>
          <cell r="AE2155" t="str">
            <v>NPI only</v>
          </cell>
          <cell r="AF2155" t="str">
            <v>nypeastcampus</v>
          </cell>
          <cell r="AG2155" t="str">
            <v>P</v>
          </cell>
        </row>
        <row r="2156">
          <cell r="A2156" t="str">
            <v>1245659259</v>
          </cell>
          <cell r="C2156" t="str">
            <v>RAYMOND PASHUN</v>
          </cell>
          <cell r="G2156" t="str">
            <v>Kathryn Spaziani</v>
          </cell>
          <cell r="H2156" t="str">
            <v>(212) 305-1190</v>
          </cell>
          <cell r="J2156" t="str">
            <v>kas9171@nyp.org</v>
          </cell>
          <cell r="K2156" t="str">
            <v>Unknown</v>
          </cell>
          <cell r="L2156" t="str">
            <v>Uncategorized</v>
          </cell>
          <cell r="M2156" t="str">
            <v>No</v>
          </cell>
          <cell r="R2156" t="str">
            <v>PASHUN RAYMOND</v>
          </cell>
          <cell r="S2156" t="str">
            <v>505 EAST 70TH STREET, WEILL CORNELL INTERNAL MEDICINE ASSOCIATES</v>
          </cell>
          <cell r="T2156" t="str">
            <v>NEW YORK</v>
          </cell>
          <cell r="U2156" t="str">
            <v>NY</v>
          </cell>
          <cell r="V2156" t="str">
            <v>10021</v>
          </cell>
          <cell r="AC2156" t="str">
            <v>M</v>
          </cell>
          <cell r="AD2156" t="str">
            <v>No</v>
          </cell>
          <cell r="AE2156" t="str">
            <v>NPI only</v>
          </cell>
          <cell r="AF2156" t="str">
            <v>nypeastcampus</v>
          </cell>
          <cell r="AG2156" t="str">
            <v>P</v>
          </cell>
        </row>
        <row r="2157">
          <cell r="A2157" t="str">
            <v>1629496484</v>
          </cell>
          <cell r="C2157" t="str">
            <v>AGAM PATEL</v>
          </cell>
          <cell r="G2157" t="str">
            <v>Kathryn Spaziani</v>
          </cell>
          <cell r="H2157" t="str">
            <v>(212) 305-1190</v>
          </cell>
          <cell r="J2157" t="str">
            <v>kas9171@nyp.org</v>
          </cell>
          <cell r="K2157" t="str">
            <v>Unknown</v>
          </cell>
          <cell r="L2157" t="str">
            <v>Uncategorized</v>
          </cell>
          <cell r="M2157" t="str">
            <v>No</v>
          </cell>
          <cell r="R2157" t="str">
            <v>PATEL AGAM</v>
          </cell>
          <cell r="S2157" t="str">
            <v>505 E 70TH ST, WEILL CORNELL INTERNAL MEDICINE ASSOCIATES</v>
          </cell>
          <cell r="T2157" t="str">
            <v>NEW YORK</v>
          </cell>
          <cell r="U2157" t="str">
            <v>NY</v>
          </cell>
          <cell r="V2157" t="str">
            <v>100214872</v>
          </cell>
          <cell r="AC2157" t="str">
            <v>M</v>
          </cell>
          <cell r="AD2157" t="str">
            <v>No</v>
          </cell>
          <cell r="AE2157" t="str">
            <v>NPI only</v>
          </cell>
          <cell r="AF2157" t="str">
            <v>nypeastcampus</v>
          </cell>
          <cell r="AG2157" t="str">
            <v>P</v>
          </cell>
        </row>
        <row r="2158">
          <cell r="A2158" t="str">
            <v>1871911651</v>
          </cell>
          <cell r="C2158" t="str">
            <v>PARIMAL PATEL</v>
          </cell>
          <cell r="G2158" t="str">
            <v>Kathryn Spaziani</v>
          </cell>
          <cell r="H2158" t="str">
            <v>(212) 305-1190</v>
          </cell>
          <cell r="J2158" t="str">
            <v>kas9171@nyp.org</v>
          </cell>
          <cell r="K2158" t="str">
            <v>Unknown</v>
          </cell>
          <cell r="L2158" t="str">
            <v>Uncategorized</v>
          </cell>
          <cell r="M2158" t="str">
            <v>No</v>
          </cell>
          <cell r="R2158" t="str">
            <v>PATEL PARIMAL</v>
          </cell>
          <cell r="S2158" t="str">
            <v>505 E 70TH ST, WEILL CORNELL INTERNAL MEDICINE ASSOCIATES</v>
          </cell>
          <cell r="T2158" t="str">
            <v>NEW YORK</v>
          </cell>
          <cell r="U2158" t="str">
            <v>NY</v>
          </cell>
          <cell r="V2158" t="str">
            <v>100214872</v>
          </cell>
          <cell r="AC2158" t="str">
            <v>M</v>
          </cell>
          <cell r="AD2158" t="str">
            <v>No</v>
          </cell>
          <cell r="AE2158" t="str">
            <v>NPI only</v>
          </cell>
          <cell r="AF2158" t="str">
            <v>nypeastcampus</v>
          </cell>
          <cell r="AG2158" t="str">
            <v>P</v>
          </cell>
        </row>
        <row r="2159">
          <cell r="A2159" t="str">
            <v>1891138798</v>
          </cell>
          <cell r="C2159" t="str">
            <v>ELIZABETH PENNER</v>
          </cell>
          <cell r="G2159" t="str">
            <v>Kathryn Spaziani</v>
          </cell>
          <cell r="H2159" t="str">
            <v>(212) 305-1190</v>
          </cell>
          <cell r="J2159" t="str">
            <v>kas9171@nyp.org</v>
          </cell>
          <cell r="K2159" t="str">
            <v>Unknown</v>
          </cell>
          <cell r="L2159" t="str">
            <v>Uncategorized</v>
          </cell>
          <cell r="M2159" t="str">
            <v>No</v>
          </cell>
          <cell r="R2159" t="str">
            <v>PENNER ELIZABETH</v>
          </cell>
          <cell r="S2159" t="str">
            <v>985582 NEBRASKA MEDICAL CTR, CU DEPARTMENT OF PSYCHIATRY</v>
          </cell>
          <cell r="T2159" t="str">
            <v>OMAHA</v>
          </cell>
          <cell r="U2159" t="str">
            <v>NE</v>
          </cell>
          <cell r="V2159" t="str">
            <v>681985582</v>
          </cell>
          <cell r="AC2159" t="str">
            <v>M</v>
          </cell>
          <cell r="AD2159" t="str">
            <v>No</v>
          </cell>
          <cell r="AE2159" t="str">
            <v>NPI only</v>
          </cell>
          <cell r="AF2159" t="str">
            <v>nypother</v>
          </cell>
          <cell r="AG2159" t="str">
            <v>P</v>
          </cell>
        </row>
        <row r="2160">
          <cell r="A2160" t="str">
            <v>1295092237</v>
          </cell>
          <cell r="B2160" t="str">
            <v>04171202</v>
          </cell>
          <cell r="C2160" t="str">
            <v>STEPHEN PERAZZELLI</v>
          </cell>
          <cell r="D2160" t="str">
            <v>E0408972</v>
          </cell>
          <cell r="E2160" t="str">
            <v>PERAZZELLI STEPHEN MICHAEL</v>
          </cell>
          <cell r="G2160" t="str">
            <v>Kathryn Spaziani</v>
          </cell>
          <cell r="H2160" t="str">
            <v>(212) 305-1190</v>
          </cell>
          <cell r="J2160" t="str">
            <v>kas9171@nyp.org</v>
          </cell>
          <cell r="L2160" t="str">
            <v>Practitioner - Non-Primary Care Provider (PCP)</v>
          </cell>
          <cell r="M2160" t="str">
            <v>No</v>
          </cell>
          <cell r="R2160" t="str">
            <v>PERAZZELLI STEPHEN</v>
          </cell>
          <cell r="W2160" t="str">
            <v>PERAZZELLI STEPHEN MICHAEL</v>
          </cell>
          <cell r="X2160" t="str">
            <v>100 PARK ST</v>
          </cell>
          <cell r="Y2160" t="str">
            <v>GLENS FALLS</v>
          </cell>
          <cell r="Z2160" t="str">
            <v>NY</v>
          </cell>
          <cell r="AA2160" t="str">
            <v>12801-4413</v>
          </cell>
          <cell r="AB2160" t="str">
            <v>PHYSICIAN</v>
          </cell>
          <cell r="AC2160" t="str">
            <v>M</v>
          </cell>
          <cell r="AD2160" t="str">
            <v>No</v>
          </cell>
          <cell r="AE2160" t="str">
            <v>MMIS</v>
          </cell>
          <cell r="AF2160" t="str">
            <v>nypother</v>
          </cell>
          <cell r="AG2160" t="str">
            <v>P</v>
          </cell>
        </row>
        <row r="2161">
          <cell r="A2161" t="str">
            <v>1982960746</v>
          </cell>
          <cell r="C2161" t="str">
            <v>DANIEL PU</v>
          </cell>
          <cell r="G2161" t="str">
            <v>Kathryn Spaziani</v>
          </cell>
          <cell r="H2161" t="str">
            <v>(212) 305-1190</v>
          </cell>
          <cell r="J2161" t="str">
            <v>kas9171@nyp.org</v>
          </cell>
          <cell r="K2161" t="str">
            <v>Unknown</v>
          </cell>
          <cell r="L2161" t="str">
            <v>Uncategorized</v>
          </cell>
          <cell r="M2161" t="str">
            <v>No</v>
          </cell>
          <cell r="R2161" t="str">
            <v>PU DANIEL</v>
          </cell>
          <cell r="S2161" t="str">
            <v>234 GOODMAN ST, ML 0781</v>
          </cell>
          <cell r="T2161" t="str">
            <v>CINCINNATI</v>
          </cell>
          <cell r="U2161" t="str">
            <v>OH</v>
          </cell>
          <cell r="V2161" t="str">
            <v>452192364</v>
          </cell>
          <cell r="AC2161" t="str">
            <v>M</v>
          </cell>
          <cell r="AD2161" t="str">
            <v>No</v>
          </cell>
          <cell r="AE2161" t="str">
            <v>NPI only</v>
          </cell>
          <cell r="AF2161" t="str">
            <v>nypother</v>
          </cell>
          <cell r="AG2161" t="str">
            <v>P</v>
          </cell>
        </row>
        <row r="2162">
          <cell r="A2162" t="str">
            <v>1790027050</v>
          </cell>
          <cell r="B2162" t="str">
            <v>04594496</v>
          </cell>
          <cell r="C2162" t="str">
            <v>SCOTT PURGA</v>
          </cell>
          <cell r="D2162" t="str">
            <v>E0452007</v>
          </cell>
          <cell r="E2162" t="str">
            <v>PURGA SCOTT LAWRENCE</v>
          </cell>
          <cell r="G2162" t="str">
            <v>Kathryn Spaziani</v>
          </cell>
          <cell r="H2162" t="str">
            <v>(212) 305-1190</v>
          </cell>
          <cell r="J2162" t="str">
            <v>kas9171@nyp.org</v>
          </cell>
          <cell r="L2162" t="str">
            <v>Uncategorized</v>
          </cell>
          <cell r="M2162" t="str">
            <v>No</v>
          </cell>
          <cell r="R2162" t="str">
            <v>PURGA SCOTT</v>
          </cell>
          <cell r="W2162" t="str">
            <v>PURGA SCOTT LAWRENCE</v>
          </cell>
          <cell r="AB2162" t="str">
            <v>PHYSICIAN</v>
          </cell>
          <cell r="AC2162" t="str">
            <v>M</v>
          </cell>
          <cell r="AD2162" t="str">
            <v>No</v>
          </cell>
          <cell r="AE2162" t="str">
            <v>MMIS</v>
          </cell>
          <cell r="AF2162" t="str">
            <v>nypeastcampus</v>
          </cell>
          <cell r="AG2162" t="str">
            <v>P</v>
          </cell>
        </row>
        <row r="2163">
          <cell r="A2163" t="str">
            <v>1043639065</v>
          </cell>
          <cell r="C2163" t="str">
            <v>COLIN RAELSON</v>
          </cell>
          <cell r="G2163" t="str">
            <v>Kathryn Spaziani</v>
          </cell>
          <cell r="H2163" t="str">
            <v>(212) 305-1190</v>
          </cell>
          <cell r="J2163" t="str">
            <v>kas9171@nyp.org</v>
          </cell>
          <cell r="K2163" t="str">
            <v>Unknown</v>
          </cell>
          <cell r="L2163" t="str">
            <v>Uncategorized</v>
          </cell>
          <cell r="M2163" t="str">
            <v>No</v>
          </cell>
          <cell r="R2163" t="str">
            <v>RAELSON COLIN</v>
          </cell>
          <cell r="S2163" t="str">
            <v>505 E 70TH ST, HELMSLEY TOWER 4TH FLOOR</v>
          </cell>
          <cell r="T2163" t="str">
            <v>NEW YORK</v>
          </cell>
          <cell r="U2163" t="str">
            <v>NY</v>
          </cell>
          <cell r="V2163" t="str">
            <v>100214872</v>
          </cell>
          <cell r="AC2163" t="str">
            <v>M</v>
          </cell>
          <cell r="AD2163" t="str">
            <v>No</v>
          </cell>
          <cell r="AE2163" t="str">
            <v>NPI only</v>
          </cell>
          <cell r="AF2163" t="str">
            <v>nypeastcampus</v>
          </cell>
          <cell r="AG2163" t="str">
            <v>P</v>
          </cell>
        </row>
        <row r="2164">
          <cell r="A2164" t="str">
            <v>1508108135</v>
          </cell>
          <cell r="C2164" t="str">
            <v>JOHANNA RHODES</v>
          </cell>
          <cell r="G2164" t="str">
            <v>Kathryn Spaziani</v>
          </cell>
          <cell r="H2164" t="str">
            <v>(212) 305-1190</v>
          </cell>
          <cell r="J2164" t="str">
            <v>kas9171@nyp.org</v>
          </cell>
          <cell r="K2164" t="str">
            <v>Unknown</v>
          </cell>
          <cell r="L2164" t="str">
            <v>Uncategorized</v>
          </cell>
          <cell r="M2164" t="str">
            <v>No</v>
          </cell>
          <cell r="R2164" t="str">
            <v>RHODES JOANNA</v>
          </cell>
          <cell r="S2164" t="str">
            <v>505 EAST 70TH STREET, WEILL CORNELL INTERNAL MEDICINE ASSOCIATES</v>
          </cell>
          <cell r="T2164" t="str">
            <v>NEW YORK</v>
          </cell>
          <cell r="U2164" t="str">
            <v>NY</v>
          </cell>
          <cell r="V2164" t="str">
            <v>10021</v>
          </cell>
          <cell r="AC2164" t="str">
            <v>M</v>
          </cell>
          <cell r="AD2164" t="str">
            <v>No</v>
          </cell>
          <cell r="AE2164" t="str">
            <v>NPI only</v>
          </cell>
          <cell r="AF2164" t="str">
            <v>nypeastcampus</v>
          </cell>
          <cell r="AG2164" t="str">
            <v>P</v>
          </cell>
        </row>
        <row r="2165">
          <cell r="A2165" t="str">
            <v>1679992416</v>
          </cell>
          <cell r="C2165" t="str">
            <v>OKTAY RIFKI</v>
          </cell>
          <cell r="G2165" t="str">
            <v>Kathryn Spaziani</v>
          </cell>
          <cell r="H2165" t="str">
            <v>(212) 305-1190</v>
          </cell>
          <cell r="J2165" t="str">
            <v>kas9171@nyp.org</v>
          </cell>
          <cell r="K2165" t="str">
            <v>Unknown</v>
          </cell>
          <cell r="L2165" t="str">
            <v>Uncategorized</v>
          </cell>
          <cell r="M2165" t="str">
            <v>No</v>
          </cell>
          <cell r="R2165" t="str">
            <v>RIFKI OKTAY DR.</v>
          </cell>
          <cell r="S2165" t="str">
            <v>505 EAST 70TH STREET, WEILL CORNELL INTERNAL MEDICINE ASSOCIATES</v>
          </cell>
          <cell r="T2165" t="str">
            <v>NEW YORK</v>
          </cell>
          <cell r="U2165" t="str">
            <v>NY</v>
          </cell>
          <cell r="V2165" t="str">
            <v>10021</v>
          </cell>
          <cell r="AC2165" t="str">
            <v>M</v>
          </cell>
          <cell r="AD2165" t="str">
            <v>No</v>
          </cell>
          <cell r="AE2165" t="str">
            <v>NPI only</v>
          </cell>
          <cell r="AF2165" t="str">
            <v>nypeastcampus</v>
          </cell>
          <cell r="AG2165" t="str">
            <v>P</v>
          </cell>
        </row>
        <row r="2166">
          <cell r="A2166" t="str">
            <v>1346507654</v>
          </cell>
          <cell r="B2166" t="str">
            <v>04274764</v>
          </cell>
          <cell r="C2166" t="str">
            <v>ARGELIS RIVERA</v>
          </cell>
          <cell r="D2166" t="str">
            <v>E0419543</v>
          </cell>
          <cell r="E2166" t="str">
            <v>RIVERA ARGELIS</v>
          </cell>
          <cell r="G2166" t="str">
            <v>Kathryn Spaziani</v>
          </cell>
          <cell r="H2166" t="str">
            <v>(212) 305-1190</v>
          </cell>
          <cell r="J2166" t="str">
            <v>kas9171@nyp.org</v>
          </cell>
          <cell r="L2166" t="str">
            <v>Practitioner - Primary Care Provider (PCP)</v>
          </cell>
          <cell r="M2166" t="str">
            <v>No</v>
          </cell>
          <cell r="R2166" t="str">
            <v>RIVERA ARGELIS</v>
          </cell>
          <cell r="W2166" t="str">
            <v>RIVERA ARGELIS</v>
          </cell>
          <cell r="X2166" t="str">
            <v>1111 AMSTERDAM AVE STE CLARK7</v>
          </cell>
          <cell r="Y2166" t="str">
            <v>NEW YORK</v>
          </cell>
          <cell r="Z2166" t="str">
            <v>NY</v>
          </cell>
          <cell r="AA2166" t="str">
            <v>10025-1716</v>
          </cell>
          <cell r="AB2166" t="str">
            <v>PHYSICIAN</v>
          </cell>
          <cell r="AC2166" t="str">
            <v>M</v>
          </cell>
          <cell r="AD2166" t="str">
            <v>No</v>
          </cell>
          <cell r="AE2166" t="str">
            <v>MMIS</v>
          </cell>
          <cell r="AF2166" t="str">
            <v>nypother</v>
          </cell>
          <cell r="AG2166" t="str">
            <v>P</v>
          </cell>
        </row>
        <row r="2167">
          <cell r="A2167" t="str">
            <v>1407122872</v>
          </cell>
          <cell r="C2167" t="str">
            <v>JOHN RUFFINO</v>
          </cell>
          <cell r="G2167" t="str">
            <v>Kathryn Spaziani</v>
          </cell>
          <cell r="H2167" t="str">
            <v>(212) 305-1190</v>
          </cell>
          <cell r="J2167" t="str">
            <v>kas9171@nyp.org</v>
          </cell>
          <cell r="K2167" t="str">
            <v>Unknown</v>
          </cell>
          <cell r="L2167" t="str">
            <v>Uncategorized</v>
          </cell>
          <cell r="M2167" t="str">
            <v>No</v>
          </cell>
          <cell r="R2167" t="str">
            <v>RUFFINO JOHN DR.</v>
          </cell>
          <cell r="S2167" t="str">
            <v>5323 HARRY HINES BOULEVARD</v>
          </cell>
          <cell r="T2167" t="str">
            <v>DALLAS</v>
          </cell>
          <cell r="U2167" t="str">
            <v>TX</v>
          </cell>
          <cell r="V2167" t="str">
            <v>753907201</v>
          </cell>
          <cell r="AC2167" t="str">
            <v>M</v>
          </cell>
          <cell r="AD2167" t="str">
            <v>No</v>
          </cell>
          <cell r="AE2167" t="str">
            <v>NPI only</v>
          </cell>
          <cell r="AF2167" t="str">
            <v>nypother</v>
          </cell>
          <cell r="AG2167" t="str">
            <v>P</v>
          </cell>
        </row>
        <row r="2168">
          <cell r="A2168" t="str">
            <v>1811263361</v>
          </cell>
          <cell r="B2168" t="str">
            <v>04425958</v>
          </cell>
          <cell r="C2168" t="str">
            <v>DANIEL SANCHEZ</v>
          </cell>
          <cell r="D2168" t="str">
            <v>E0435163</v>
          </cell>
          <cell r="E2168" t="str">
            <v>SANCHEZ DANIEL</v>
          </cell>
          <cell r="G2168" t="str">
            <v>Kathryn Spaziani</v>
          </cell>
          <cell r="H2168" t="str">
            <v>(212) 305-1190</v>
          </cell>
          <cell r="J2168" t="str">
            <v>kas9171@nyp.org</v>
          </cell>
          <cell r="L2168" t="str">
            <v>Practitioner - Non-Primary Care Provider (PCP)</v>
          </cell>
          <cell r="M2168" t="str">
            <v>No</v>
          </cell>
          <cell r="R2168" t="str">
            <v>SANCHEZ DANIEL MR.</v>
          </cell>
          <cell r="W2168" t="str">
            <v>SANCHEZ DANIEL LUIS</v>
          </cell>
          <cell r="X2168" t="str">
            <v>622 W 168TH ST VC2 S</v>
          </cell>
          <cell r="Y2168" t="str">
            <v>NEW YORK</v>
          </cell>
          <cell r="Z2168" t="str">
            <v>NY</v>
          </cell>
          <cell r="AA2168" t="str">
            <v>10032</v>
          </cell>
          <cell r="AB2168" t="str">
            <v>PHYSICIAN</v>
          </cell>
          <cell r="AC2168" t="str">
            <v>M</v>
          </cell>
          <cell r="AD2168" t="str">
            <v>No</v>
          </cell>
          <cell r="AE2168" t="str">
            <v>MMIS</v>
          </cell>
          <cell r="AF2168" t="str">
            <v>nypeastcampus</v>
          </cell>
          <cell r="AG2168" t="str">
            <v>P</v>
          </cell>
        </row>
        <row r="2169">
          <cell r="A2169" t="str">
            <v>1730276817</v>
          </cell>
          <cell r="B2169" t="str">
            <v>02577580</v>
          </cell>
          <cell r="C2169" t="str">
            <v>Kosofsky, Barry E.</v>
          </cell>
          <cell r="D2169" t="str">
            <v>E0042395</v>
          </cell>
          <cell r="E2169" t="str">
            <v>KOSOFSKY BARRY E MD</v>
          </cell>
          <cell r="G2169" t="str">
            <v>Kathryn Spaziani</v>
          </cell>
          <cell r="H2169" t="str">
            <v>(212) 305-1190</v>
          </cell>
          <cell r="J2169" t="str">
            <v>kas9171@nyp.org</v>
          </cell>
          <cell r="L2169" t="str">
            <v>Practitioner - Non-Primary Care Provider (PCP)</v>
          </cell>
          <cell r="M2169" t="str">
            <v>No</v>
          </cell>
          <cell r="R2169" t="str">
            <v>KOSOFSKY BARRY</v>
          </cell>
          <cell r="W2169" t="str">
            <v>KOSOFSKY BARRY E MD</v>
          </cell>
          <cell r="X2169" t="str">
            <v>WEILL MED CORNELL</v>
          </cell>
          <cell r="Y2169" t="str">
            <v>NEW YORK</v>
          </cell>
          <cell r="Z2169" t="str">
            <v>NY</v>
          </cell>
          <cell r="AA2169" t="str">
            <v>10065-4870</v>
          </cell>
          <cell r="AB2169" t="str">
            <v>PHYSICIAN</v>
          </cell>
          <cell r="AC2169" t="str">
            <v>M</v>
          </cell>
          <cell r="AD2169" t="str">
            <v>No</v>
          </cell>
          <cell r="AE2169" t="str">
            <v>MMIS</v>
          </cell>
          <cell r="AF2169" t="str">
            <v>nypeastcampus</v>
          </cell>
          <cell r="AG2169" t="str">
            <v>P</v>
          </cell>
        </row>
        <row r="2170">
          <cell r="A2170" t="str">
            <v>1376605113</v>
          </cell>
          <cell r="B2170" t="str">
            <v>00825847</v>
          </cell>
          <cell r="C2170" t="str">
            <v>BRITTON, CAROLYN B</v>
          </cell>
          <cell r="D2170" t="str">
            <v>E0217150</v>
          </cell>
          <cell r="E2170" t="str">
            <v>BRITTON CAROLYN B          MD</v>
          </cell>
          <cell r="G2170" t="str">
            <v>Kathryn Spaziani</v>
          </cell>
          <cell r="H2170" t="str">
            <v>(212) 305-1190</v>
          </cell>
          <cell r="J2170" t="str">
            <v>kas9171@nyp.org</v>
          </cell>
          <cell r="L2170" t="str">
            <v>Practitioner - Non-Primary Care Provider (PCP)</v>
          </cell>
          <cell r="M2170" t="str">
            <v>No</v>
          </cell>
          <cell r="R2170" t="str">
            <v>BRITTON CAROLYN DR.</v>
          </cell>
          <cell r="W2170" t="str">
            <v>BRITTON CAROLYN B          MD</v>
          </cell>
          <cell r="X2170" t="str">
            <v>P &amp; S 8-453</v>
          </cell>
          <cell r="Y2170" t="str">
            <v>NEW YORK</v>
          </cell>
          <cell r="Z2170" t="str">
            <v>NY</v>
          </cell>
          <cell r="AA2170" t="str">
            <v>10032-3725</v>
          </cell>
          <cell r="AB2170" t="str">
            <v>PHYSICIAN</v>
          </cell>
          <cell r="AC2170" t="str">
            <v>M</v>
          </cell>
          <cell r="AD2170" t="str">
            <v>No</v>
          </cell>
          <cell r="AE2170" t="str">
            <v>MMIS</v>
          </cell>
          <cell r="AF2170" t="str">
            <v>nypwestacn</v>
          </cell>
          <cell r="AG2170" t="str">
            <v>P</v>
          </cell>
        </row>
        <row r="2171">
          <cell r="A2171" t="str">
            <v>1376677542</v>
          </cell>
          <cell r="B2171" t="str">
            <v>02963871</v>
          </cell>
          <cell r="C2171" t="str">
            <v xml:space="preserve">WILLHEIM, ERICA </v>
          </cell>
          <cell r="D2171" t="str">
            <v>E0004717</v>
          </cell>
          <cell r="E2171" t="str">
            <v>WILLHEIM ERICA</v>
          </cell>
          <cell r="G2171" t="str">
            <v>Kathryn Spaziani</v>
          </cell>
          <cell r="H2171" t="str">
            <v>(212) 305-1190</v>
          </cell>
          <cell r="J2171" t="str">
            <v>kas9171@nyp.org</v>
          </cell>
          <cell r="L2171" t="str">
            <v>Practitioner - Non-Primary Care Provider (PCP)</v>
          </cell>
          <cell r="M2171" t="str">
            <v>No</v>
          </cell>
          <cell r="R2171" t="str">
            <v>WILLHEIM ERICA DR.</v>
          </cell>
          <cell r="W2171" t="str">
            <v>WILLHEIM ERICA</v>
          </cell>
          <cell r="X2171" t="str">
            <v>99 FORT WASHINGTON AVE</v>
          </cell>
          <cell r="Y2171" t="str">
            <v>NEW YORK</v>
          </cell>
          <cell r="Z2171" t="str">
            <v>NY</v>
          </cell>
          <cell r="AA2171" t="str">
            <v>10032-4655</v>
          </cell>
          <cell r="AB2171" t="str">
            <v>CLINICAL PSYCHOLOGIST</v>
          </cell>
          <cell r="AC2171" t="str">
            <v>M</v>
          </cell>
          <cell r="AD2171" t="str">
            <v>No</v>
          </cell>
          <cell r="AE2171" t="str">
            <v>MMIS</v>
          </cell>
          <cell r="AF2171" t="str">
            <v>nypwestcampus</v>
          </cell>
          <cell r="AG2171" t="str">
            <v>P</v>
          </cell>
        </row>
        <row r="2172">
          <cell r="A2172" t="str">
            <v>1376696393</v>
          </cell>
          <cell r="B2172" t="str">
            <v>02706494</v>
          </cell>
          <cell r="C2172" t="str">
            <v>TOMLINSON, WILLIAM C</v>
          </cell>
          <cell r="D2172" t="str">
            <v>E0029535</v>
          </cell>
          <cell r="E2172" t="str">
            <v>TOMLINSON WILLIAM C</v>
          </cell>
          <cell r="G2172" t="str">
            <v>Kathryn Spaziani</v>
          </cell>
          <cell r="H2172" t="str">
            <v>(212) 305-1190</v>
          </cell>
          <cell r="J2172" t="str">
            <v>kas9171@nyp.org</v>
          </cell>
          <cell r="L2172" t="str">
            <v>Practitioner - Non-Primary Care Provider (PCP)</v>
          </cell>
          <cell r="M2172" t="str">
            <v>No</v>
          </cell>
          <cell r="R2172" t="str">
            <v>TOMLINSON W. DR.</v>
          </cell>
          <cell r="W2172" t="str">
            <v>TOMLINSON WILLIAM C</v>
          </cell>
          <cell r="X2172" t="str">
            <v>622 W 168TH ST</v>
          </cell>
          <cell r="Y2172" t="str">
            <v>NEW YORK</v>
          </cell>
          <cell r="Z2172" t="str">
            <v>NY</v>
          </cell>
          <cell r="AA2172" t="str">
            <v>10032-3720</v>
          </cell>
          <cell r="AB2172" t="str">
            <v>PHYSICIAN</v>
          </cell>
          <cell r="AC2172" t="str">
            <v>M</v>
          </cell>
          <cell r="AD2172" t="str">
            <v>No</v>
          </cell>
          <cell r="AE2172" t="str">
            <v>MMIS</v>
          </cell>
          <cell r="AF2172" t="str">
            <v>nypwestcampus</v>
          </cell>
          <cell r="AG2172" t="str">
            <v>P</v>
          </cell>
        </row>
        <row r="2173">
          <cell r="A2173" t="str">
            <v>1376702571</v>
          </cell>
          <cell r="B2173" t="str">
            <v>03404831</v>
          </cell>
          <cell r="C2173" t="str">
            <v>DOLDER, SARAH E</v>
          </cell>
          <cell r="D2173" t="str">
            <v>E0328348</v>
          </cell>
          <cell r="E2173" t="str">
            <v>DOLDER SARAH</v>
          </cell>
          <cell r="G2173" t="str">
            <v>Kathryn Spaziani</v>
          </cell>
          <cell r="H2173" t="str">
            <v>(212) 305-1190</v>
          </cell>
          <cell r="J2173" t="str">
            <v>kas9171@nyp.org</v>
          </cell>
          <cell r="L2173" t="str">
            <v>All Other:: Practitioner - Non-Primary Care Provider (PCP)</v>
          </cell>
          <cell r="M2173" t="str">
            <v>No</v>
          </cell>
          <cell r="R2173" t="str">
            <v>DOLDER SARAH</v>
          </cell>
          <cell r="W2173" t="str">
            <v>DOLDER SARAH</v>
          </cell>
          <cell r="X2173" t="str">
            <v>161 FORT WASHINGTON AVE</v>
          </cell>
          <cell r="Y2173" t="str">
            <v>NEW YORK</v>
          </cell>
          <cell r="Z2173" t="str">
            <v>NY</v>
          </cell>
          <cell r="AA2173" t="str">
            <v>10032-3729</v>
          </cell>
          <cell r="AB2173" t="str">
            <v>PHYSICIAN</v>
          </cell>
          <cell r="AC2173" t="str">
            <v>M</v>
          </cell>
          <cell r="AD2173" t="str">
            <v>No</v>
          </cell>
          <cell r="AE2173" t="str">
            <v>MMIS</v>
          </cell>
          <cell r="AF2173" t="str">
            <v>nypwestacn</v>
          </cell>
          <cell r="AG2173" t="str">
            <v>P</v>
          </cell>
        </row>
        <row r="2174">
          <cell r="A2174" t="str">
            <v>1093148504</v>
          </cell>
          <cell r="B2174" t="str">
            <v>03716570</v>
          </cell>
          <cell r="C2174" t="str">
            <v>Groves, Alan M.</v>
          </cell>
          <cell r="D2174" t="str">
            <v>E0362224</v>
          </cell>
          <cell r="E2174" t="str">
            <v>GROVES ALAN</v>
          </cell>
          <cell r="G2174" t="str">
            <v>Kathryn Spaziani</v>
          </cell>
          <cell r="H2174" t="str">
            <v>(212) 305-1190</v>
          </cell>
          <cell r="J2174" t="str">
            <v>kas9171@nyp.org</v>
          </cell>
          <cell r="L2174" t="str">
            <v>Practitioner - Non-Primary Care Provider (PCP)</v>
          </cell>
          <cell r="M2174" t="str">
            <v>No</v>
          </cell>
          <cell r="R2174" t="str">
            <v>GROVES ALAN DR.</v>
          </cell>
          <cell r="W2174" t="str">
            <v>GROVES ALAN MARTIN</v>
          </cell>
          <cell r="X2174" t="str">
            <v>525 E 68TH ST</v>
          </cell>
          <cell r="Y2174" t="str">
            <v>NEW YORK</v>
          </cell>
          <cell r="Z2174" t="str">
            <v>NY</v>
          </cell>
          <cell r="AA2174" t="str">
            <v>10065-4870</v>
          </cell>
          <cell r="AB2174" t="str">
            <v>PHYSICIAN</v>
          </cell>
          <cell r="AC2174" t="str">
            <v>M</v>
          </cell>
          <cell r="AD2174" t="str">
            <v>No</v>
          </cell>
          <cell r="AE2174" t="str">
            <v>MMIS</v>
          </cell>
          <cell r="AF2174" t="str">
            <v>nypeastcampus</v>
          </cell>
          <cell r="AG2174" t="str">
            <v>P</v>
          </cell>
        </row>
        <row r="2175">
          <cell r="A2175" t="str">
            <v>1396751020</v>
          </cell>
          <cell r="B2175" t="str">
            <v>02136776</v>
          </cell>
          <cell r="C2175" t="str">
            <v>EISENBERG, MARC S</v>
          </cell>
          <cell r="D2175" t="str">
            <v>E0086394</v>
          </cell>
          <cell r="E2175" t="str">
            <v>EISENBERG MARC SABIN MD</v>
          </cell>
          <cell r="G2175" t="str">
            <v>Kathryn Spaziani</v>
          </cell>
          <cell r="H2175" t="str">
            <v>(212) 305-1190</v>
          </cell>
          <cell r="J2175" t="str">
            <v>kas9171@nyp.org</v>
          </cell>
          <cell r="L2175" t="str">
            <v>Practitioner - Non-Primary Care Provider (PCP)</v>
          </cell>
          <cell r="M2175" t="str">
            <v>No</v>
          </cell>
          <cell r="R2175" t="str">
            <v>EISENBERG MARC DR.</v>
          </cell>
          <cell r="W2175" t="str">
            <v>EISENBERG MARC SABIN MD</v>
          </cell>
          <cell r="X2175" t="str">
            <v>NY PRESBYTERIAN HSP</v>
          </cell>
          <cell r="Y2175" t="str">
            <v>NEW YORK</v>
          </cell>
          <cell r="Z2175" t="str">
            <v>NY</v>
          </cell>
          <cell r="AA2175" t="str">
            <v>10032-3720</v>
          </cell>
          <cell r="AB2175" t="str">
            <v>PHYSICIAN</v>
          </cell>
          <cell r="AC2175" t="str">
            <v>M</v>
          </cell>
          <cell r="AD2175" t="str">
            <v>No</v>
          </cell>
          <cell r="AE2175" t="str">
            <v>MMIS</v>
          </cell>
          <cell r="AF2175" t="str">
            <v>nypwestacn</v>
          </cell>
          <cell r="AG2175" t="str">
            <v>P</v>
          </cell>
        </row>
        <row r="2176">
          <cell r="A2176" t="str">
            <v>1023077393</v>
          </cell>
          <cell r="B2176" t="str">
            <v>03174710</v>
          </cell>
          <cell r="C2176" t="str">
            <v>LEVY, KIRK J</v>
          </cell>
          <cell r="D2176" t="str">
            <v>E0301571</v>
          </cell>
          <cell r="E2176" t="str">
            <v>LEVY KIRK</v>
          </cell>
          <cell r="G2176" t="str">
            <v>Kathryn Spaziani</v>
          </cell>
          <cell r="H2176" t="str">
            <v>(212) 305-1190</v>
          </cell>
          <cell r="J2176" t="str">
            <v>kas9171@nyp.org</v>
          </cell>
          <cell r="L2176" t="str">
            <v>Practitioner - Non-Primary Care Provider (PCP)</v>
          </cell>
          <cell r="M2176" t="str">
            <v>No</v>
          </cell>
          <cell r="R2176" t="str">
            <v>LEVY KIRK DR.</v>
          </cell>
          <cell r="W2176" t="str">
            <v>LEVY KIRK</v>
          </cell>
          <cell r="X2176" t="str">
            <v>622 W 168TH ST # 10</v>
          </cell>
          <cell r="Y2176" t="str">
            <v>NEW YORK</v>
          </cell>
          <cell r="Z2176" t="str">
            <v>NY</v>
          </cell>
          <cell r="AA2176" t="str">
            <v>10032-3720</v>
          </cell>
          <cell r="AB2176" t="str">
            <v>PHYSICIAN</v>
          </cell>
          <cell r="AC2176" t="str">
            <v>M</v>
          </cell>
          <cell r="AD2176" t="str">
            <v>No</v>
          </cell>
          <cell r="AE2176" t="str">
            <v>MMIS</v>
          </cell>
          <cell r="AF2176" t="str">
            <v>nypwestcampus</v>
          </cell>
          <cell r="AG2176" t="str">
            <v>P</v>
          </cell>
        </row>
        <row r="2177">
          <cell r="A2177" t="str">
            <v>1194084699</v>
          </cell>
          <cell r="B2177" t="str">
            <v>03921473</v>
          </cell>
          <cell r="C2177" t="str">
            <v>Recio, Evita I.</v>
          </cell>
          <cell r="D2177" t="str">
            <v>E0383315</v>
          </cell>
          <cell r="E2177" t="str">
            <v>142866734RECIO EVITA</v>
          </cell>
          <cell r="G2177" t="str">
            <v>Kathryn Spaziani</v>
          </cell>
          <cell r="H2177" t="str">
            <v>(212) 305-1190</v>
          </cell>
          <cell r="J2177" t="str">
            <v>kas9171@nyp.org</v>
          </cell>
          <cell r="L2177" t="str">
            <v>Practitioner - Non-Primary Care Provider (PCP)</v>
          </cell>
          <cell r="M2177" t="str">
            <v>No</v>
          </cell>
          <cell r="R2177" t="str">
            <v>RECIO EVITA DR.</v>
          </cell>
          <cell r="W2177" t="str">
            <v>RECIO EVITA</v>
          </cell>
          <cell r="X2177" t="str">
            <v>170 WILLIAM ST</v>
          </cell>
          <cell r="Y2177" t="str">
            <v>NEW YORK</v>
          </cell>
          <cell r="Z2177" t="str">
            <v>NY</v>
          </cell>
          <cell r="AA2177" t="str">
            <v>10038-2612</v>
          </cell>
          <cell r="AB2177" t="str">
            <v>PHYSICIAN</v>
          </cell>
          <cell r="AC2177" t="str">
            <v>M</v>
          </cell>
          <cell r="AD2177" t="str">
            <v>No</v>
          </cell>
          <cell r="AE2177" t="str">
            <v>MMIS</v>
          </cell>
          <cell r="AF2177" t="str">
            <v>nypeastcampus</v>
          </cell>
          <cell r="AG2177" t="str">
            <v>P</v>
          </cell>
        </row>
        <row r="2178">
          <cell r="A2178" t="str">
            <v>1831112044</v>
          </cell>
          <cell r="B2178" t="str">
            <v>00504196</v>
          </cell>
          <cell r="C2178" t="str">
            <v>Auh Yong</v>
          </cell>
          <cell r="D2178" t="str">
            <v>E0249239</v>
          </cell>
          <cell r="E2178" t="str">
            <v>AUH YONG HO                MD</v>
          </cell>
          <cell r="L2178" t="str">
            <v>All Other:: Practitioner - Non-Primary Care Provider (PCP)</v>
          </cell>
          <cell r="M2178" t="str">
            <v>No</v>
          </cell>
          <cell r="R2178" t="str">
            <v>AUH YONG DR.</v>
          </cell>
          <cell r="W2178" t="str">
            <v>AUH YONG HO                MD</v>
          </cell>
          <cell r="Y2178" t="str">
            <v>NEW YORK</v>
          </cell>
          <cell r="Z2178" t="str">
            <v>NY</v>
          </cell>
          <cell r="AA2178" t="str">
            <v>10065-4885</v>
          </cell>
          <cell r="AB2178" t="str">
            <v>PHYSICIAN</v>
          </cell>
          <cell r="AC2178" t="str">
            <v>M</v>
          </cell>
          <cell r="AD2178" t="str">
            <v>No</v>
          </cell>
          <cell r="AE2178" t="str">
            <v>MMIS</v>
          </cell>
          <cell r="AF2178" t="str">
            <v>nypeastcampus</v>
          </cell>
          <cell r="AG2178" t="str">
            <v>P</v>
          </cell>
        </row>
        <row r="2179">
          <cell r="A2179" t="str">
            <v>1093972101</v>
          </cell>
          <cell r="B2179" t="str">
            <v>03111117</v>
          </cell>
          <cell r="C2179" t="str">
            <v>Boyajian David</v>
          </cell>
          <cell r="D2179" t="str">
            <v>E0294357</v>
          </cell>
          <cell r="E2179" t="str">
            <v>BOYAJIAN DAVID ASHOD</v>
          </cell>
          <cell r="L2179" t="str">
            <v>All Other:: Practitioner - Non-Primary Care Provider (PCP)</v>
          </cell>
          <cell r="M2179" t="str">
            <v>No</v>
          </cell>
          <cell r="R2179" t="str">
            <v>BOYAJIAN DAVID DR.</v>
          </cell>
          <cell r="W2179" t="str">
            <v>BOYAJIAN DAVID ASHOD</v>
          </cell>
          <cell r="X2179" t="str">
            <v>525 E 68TH ST</v>
          </cell>
          <cell r="Y2179" t="str">
            <v>NEW YORK</v>
          </cell>
          <cell r="Z2179" t="str">
            <v>NY</v>
          </cell>
          <cell r="AA2179" t="str">
            <v>10065-4885</v>
          </cell>
          <cell r="AB2179" t="str">
            <v>PHYSICIAN</v>
          </cell>
          <cell r="AC2179" t="str">
            <v>M</v>
          </cell>
          <cell r="AD2179" t="str">
            <v>No</v>
          </cell>
          <cell r="AE2179" t="str">
            <v>MMIS</v>
          </cell>
          <cell r="AF2179" t="str">
            <v>nypeastcampus</v>
          </cell>
          <cell r="AG2179" t="str">
            <v>P</v>
          </cell>
        </row>
        <row r="2180">
          <cell r="A2180" t="str">
            <v>1437309721</v>
          </cell>
          <cell r="C2180" t="str">
            <v xml:space="preserve">MONTALVO, JANE </v>
          </cell>
          <cell r="G2180" t="str">
            <v>Kathryn Spaziani</v>
          </cell>
          <cell r="H2180" t="str">
            <v>(212) 305-1190</v>
          </cell>
          <cell r="J2180" t="str">
            <v>kas9171@nyp.org</v>
          </cell>
          <cell r="K2180" t="str">
            <v>Physician</v>
          </cell>
          <cell r="L2180" t="str">
            <v>Practitioner - Non-Primary Care Provider (PCP)</v>
          </cell>
          <cell r="M2180" t="str">
            <v>No</v>
          </cell>
          <cell r="R2180" t="str">
            <v>MONTALVO JANE</v>
          </cell>
          <cell r="S2180" t="str">
            <v>99 FORTWASHINGTON AVE #1ST FLOOR, NYPH AMBULATORY CARE</v>
          </cell>
          <cell r="T2180" t="str">
            <v>NEW YORK</v>
          </cell>
          <cell r="U2180" t="str">
            <v>NY</v>
          </cell>
          <cell r="V2180" t="str">
            <v>10032</v>
          </cell>
          <cell r="AC2180" t="str">
            <v>M</v>
          </cell>
          <cell r="AD2180" t="str">
            <v>No</v>
          </cell>
          <cell r="AE2180" t="str">
            <v>NPI only</v>
          </cell>
          <cell r="AF2180" t="str">
            <v>nypother</v>
          </cell>
          <cell r="AG2180" t="str">
            <v>P</v>
          </cell>
        </row>
        <row r="2181">
          <cell r="A2181" t="str">
            <v>1093897282</v>
          </cell>
          <cell r="B2181" t="str">
            <v>00296520</v>
          </cell>
          <cell r="C2181" t="str">
            <v>So, Shiu Hung</v>
          </cell>
          <cell r="D2181" t="str">
            <v>E0269430</v>
          </cell>
          <cell r="E2181" t="str">
            <v>SO SHIU H                  MD</v>
          </cell>
          <cell r="G2181" t="str">
            <v>Betty Cheng</v>
          </cell>
          <cell r="H2181" t="str">
            <v>(212) 379-6988</v>
          </cell>
          <cell r="I2181">
            <v>2604</v>
          </cell>
          <cell r="J2181" t="str">
            <v>bcheng@cbwchc.org</v>
          </cell>
          <cell r="L2181" t="str">
            <v>All Other:: Practitioner - Non-Primary Care Provider (PCP)</v>
          </cell>
          <cell r="M2181" t="str">
            <v>Yes</v>
          </cell>
          <cell r="R2181" t="str">
            <v>SO SHIU HUNG</v>
          </cell>
          <cell r="W2181" t="str">
            <v>SO SHIU H                  MD</v>
          </cell>
          <cell r="Y2181" t="str">
            <v>BROOKLYN</v>
          </cell>
          <cell r="Z2181" t="str">
            <v>NY</v>
          </cell>
          <cell r="AA2181" t="str">
            <v>11201-5493</v>
          </cell>
          <cell r="AB2181" t="str">
            <v>PHYSICIAN</v>
          </cell>
          <cell r="AC2181" t="str">
            <v>M</v>
          </cell>
          <cell r="AD2181" t="str">
            <v>No</v>
          </cell>
          <cell r="AE2181" t="str">
            <v>MMIS</v>
          </cell>
          <cell r="AF2181" t="str">
            <v>cbwchc</v>
          </cell>
          <cell r="AG2181" t="str">
            <v>P</v>
          </cell>
        </row>
        <row r="2182">
          <cell r="A2182" t="str">
            <v>1073667101</v>
          </cell>
          <cell r="B2182" t="str">
            <v>02885596</v>
          </cell>
          <cell r="C2182" t="str">
            <v>WILLEY, JOSHUA Z</v>
          </cell>
          <cell r="D2182" t="str">
            <v>E0011645</v>
          </cell>
          <cell r="E2182" t="str">
            <v>WILLEY JOSHUA ZEBADIAH MD</v>
          </cell>
          <cell r="G2182" t="str">
            <v>Kathryn Spaziani</v>
          </cell>
          <cell r="H2182" t="str">
            <v>(212) 305-1190</v>
          </cell>
          <cell r="J2182" t="str">
            <v>kas9171@nyp.org</v>
          </cell>
          <cell r="L2182" t="str">
            <v>Practitioner - Non-Primary Care Provider (PCP)</v>
          </cell>
          <cell r="M2182" t="str">
            <v>No</v>
          </cell>
          <cell r="R2182" t="str">
            <v>WILLEY JOSHUA DR.</v>
          </cell>
          <cell r="W2182" t="str">
            <v>WILLEY JOSHUA ZEBADIAH MD</v>
          </cell>
          <cell r="X2182" t="str">
            <v>710 W 168TH ST</v>
          </cell>
          <cell r="Y2182" t="str">
            <v>NEW YORK</v>
          </cell>
          <cell r="Z2182" t="str">
            <v>NY</v>
          </cell>
          <cell r="AA2182" t="str">
            <v>10032-3726</v>
          </cell>
          <cell r="AB2182" t="str">
            <v>PHYSICIAN</v>
          </cell>
          <cell r="AC2182" t="str">
            <v>M</v>
          </cell>
          <cell r="AD2182" t="str">
            <v>No</v>
          </cell>
          <cell r="AE2182" t="str">
            <v>MMIS</v>
          </cell>
          <cell r="AF2182" t="str">
            <v>nypwestcampus</v>
          </cell>
          <cell r="AG2182" t="str">
            <v>P</v>
          </cell>
        </row>
        <row r="2183">
          <cell r="A2183" t="str">
            <v>1841304375</v>
          </cell>
          <cell r="B2183" t="str">
            <v>03192716</v>
          </cell>
          <cell r="C2183" t="str">
            <v>HICKEY, KATHLEEN</v>
          </cell>
          <cell r="D2183" t="str">
            <v>E0303588</v>
          </cell>
          <cell r="E2183" t="str">
            <v>HICKEY KATHLEEN THERESA</v>
          </cell>
          <cell r="G2183" t="str">
            <v>Kathryn Spaziani</v>
          </cell>
          <cell r="H2183" t="str">
            <v>(212) 305-1256</v>
          </cell>
          <cell r="J2183" t="str">
            <v>kas9171@nyp.org</v>
          </cell>
          <cell r="L2183" t="str">
            <v>Practitioner - Primary Care Provider (PCP)</v>
          </cell>
          <cell r="M2183" t="str">
            <v>No</v>
          </cell>
          <cell r="R2183" t="str">
            <v>HICKEY KATHLEEN</v>
          </cell>
          <cell r="W2183" t="str">
            <v>HICKEY KATHLEEN THERESA</v>
          </cell>
          <cell r="X2183" t="str">
            <v>622 W 168TH ST</v>
          </cell>
          <cell r="Y2183" t="str">
            <v>NEW YORK</v>
          </cell>
          <cell r="Z2183" t="str">
            <v>NY</v>
          </cell>
          <cell r="AA2183" t="str">
            <v>10032-3720</v>
          </cell>
          <cell r="AB2183" t="str">
            <v>PHYSICIAN</v>
          </cell>
          <cell r="AC2183" t="str">
            <v>M</v>
          </cell>
          <cell r="AD2183" t="str">
            <v>No</v>
          </cell>
          <cell r="AE2183" t="str">
            <v>MMIS</v>
          </cell>
          <cell r="AF2183" t="str">
            <v>nypwestcampus</v>
          </cell>
          <cell r="AG2183" t="str">
            <v>P</v>
          </cell>
        </row>
        <row r="2184">
          <cell r="A2184" t="str">
            <v>1720010374</v>
          </cell>
          <cell r="B2184" t="str">
            <v>01994114</v>
          </cell>
          <cell r="C2184" t="str">
            <v>SIMPSON, LYNN</v>
          </cell>
          <cell r="D2184" t="str">
            <v>E0100648</v>
          </cell>
          <cell r="E2184" t="str">
            <v>SIMPSON LYNN LOUISE MD</v>
          </cell>
          <cell r="G2184" t="str">
            <v>Kathryn Spaziani</v>
          </cell>
          <cell r="H2184" t="str">
            <v>(212) 305-1333</v>
          </cell>
          <cell r="J2184" t="str">
            <v>kas9171@nyp.org</v>
          </cell>
          <cell r="L2184" t="str">
            <v>All Other:: Practitioner - Non-Primary Care Provider (PCP)</v>
          </cell>
          <cell r="M2184" t="str">
            <v>Yes</v>
          </cell>
          <cell r="R2184" t="str">
            <v>SIMPSON LYNN</v>
          </cell>
          <cell r="W2184" t="str">
            <v>SIMPSON LYNN LOUISE MD</v>
          </cell>
          <cell r="X2184" t="str">
            <v>622 W 168TH ST</v>
          </cell>
          <cell r="Y2184" t="str">
            <v>NEW YORK</v>
          </cell>
          <cell r="Z2184" t="str">
            <v>NY</v>
          </cell>
          <cell r="AA2184" t="str">
            <v>10032-3720</v>
          </cell>
          <cell r="AB2184" t="str">
            <v>PHYSICIAN</v>
          </cell>
          <cell r="AC2184" t="str">
            <v>M</v>
          </cell>
          <cell r="AD2184" t="str">
            <v>No</v>
          </cell>
          <cell r="AE2184" t="str">
            <v>MMIS</v>
          </cell>
          <cell r="AF2184" t="str">
            <v>nypwestcampus</v>
          </cell>
          <cell r="AG2184" t="str">
            <v>P</v>
          </cell>
        </row>
        <row r="2185">
          <cell r="A2185" t="str">
            <v>1013209535</v>
          </cell>
          <cell r="C2185" t="str">
            <v>WEILL MEDICAL COLLEGE OF CORNELL UNIVERSITY</v>
          </cell>
          <cell r="K2185" t="str">
            <v>All Other</v>
          </cell>
          <cell r="L2185" t="str">
            <v>Uncategorized</v>
          </cell>
          <cell r="M2185" t="str">
            <v>No</v>
          </cell>
          <cell r="R2185" t="str">
            <v>WEILL MEDICAL COLLEGE OF CORNELL UNIVERSITY</v>
          </cell>
          <cell r="S2185" t="str">
            <v>170 WILLIAM ST</v>
          </cell>
          <cell r="T2185" t="str">
            <v>NEW YORK</v>
          </cell>
          <cell r="U2185" t="str">
            <v>NY</v>
          </cell>
          <cell r="V2185" t="str">
            <v>100382612</v>
          </cell>
          <cell r="AC2185" t="str">
            <v>M</v>
          </cell>
          <cell r="AD2185" t="str">
            <v>No</v>
          </cell>
          <cell r="AE2185" t="str">
            <v>NPI only</v>
          </cell>
          <cell r="AG2185" t="str">
            <v>P</v>
          </cell>
        </row>
        <row r="2186">
          <cell r="A2186" t="str">
            <v>1427135334</v>
          </cell>
          <cell r="B2186" t="str">
            <v>00883963</v>
          </cell>
          <cell r="C2186" t="str">
            <v xml:space="preserve">SHERMAN, WARREN </v>
          </cell>
          <cell r="D2186" t="str">
            <v>E0211352</v>
          </cell>
          <cell r="E2186" t="str">
            <v>SHERMAN WARREN             MD</v>
          </cell>
          <cell r="G2186" t="str">
            <v>Kathryn Spaziani</v>
          </cell>
          <cell r="H2186" t="str">
            <v>(212) 305-1190</v>
          </cell>
          <cell r="J2186" t="str">
            <v>kas9171@nyp.org</v>
          </cell>
          <cell r="L2186" t="str">
            <v>Practitioner - Non-Primary Care Provider (PCP)</v>
          </cell>
          <cell r="M2186" t="str">
            <v>No</v>
          </cell>
          <cell r="R2186" t="str">
            <v>SHERMAN WARREN DR.</v>
          </cell>
          <cell r="W2186" t="str">
            <v>SHERMAN WARREN             MD</v>
          </cell>
          <cell r="Y2186" t="str">
            <v>NEW YORK</v>
          </cell>
          <cell r="Z2186" t="str">
            <v>NY</v>
          </cell>
          <cell r="AA2186" t="str">
            <v>10029-6500</v>
          </cell>
          <cell r="AB2186" t="str">
            <v>PHYSICIAN</v>
          </cell>
          <cell r="AC2186" t="str">
            <v>M</v>
          </cell>
          <cell r="AD2186" t="str">
            <v>No</v>
          </cell>
          <cell r="AE2186" t="str">
            <v>MMIS</v>
          </cell>
          <cell r="AF2186" t="str">
            <v>nypother</v>
          </cell>
          <cell r="AG2186" t="str">
            <v>P</v>
          </cell>
        </row>
        <row r="2187">
          <cell r="A2187" t="str">
            <v>1437176047</v>
          </cell>
          <cell r="B2187" t="str">
            <v>02738801</v>
          </cell>
          <cell r="C2187" t="str">
            <v>TRUSTEES OF COLUMBIA UNIVERSITY IN THE CITY NEW YORK</v>
          </cell>
          <cell r="D2187" t="str">
            <v>E0026308</v>
          </cell>
          <cell r="E2187" t="str">
            <v>TRUSTEES OF COLUMBIA UNIVERSITY</v>
          </cell>
          <cell r="L2187" t="str">
            <v>All Other</v>
          </cell>
          <cell r="M2187" t="str">
            <v>No</v>
          </cell>
          <cell r="R2187" t="str">
            <v>TRUSTEES OF COLUMBIA UNIVERSITY IN THE CITY NEW YORK</v>
          </cell>
          <cell r="W2187" t="str">
            <v>TRUSTEES OF COLUMBIA UNIVERSITY</v>
          </cell>
          <cell r="X2187" t="str">
            <v>622 W 168TH ST</v>
          </cell>
          <cell r="Y2187" t="str">
            <v>NEW YORK</v>
          </cell>
          <cell r="Z2187" t="str">
            <v>NY</v>
          </cell>
          <cell r="AA2187" t="str">
            <v>10032-3720</v>
          </cell>
          <cell r="AB2187" t="str">
            <v>PHYSICIANS GROUP</v>
          </cell>
          <cell r="AC2187" t="str">
            <v>M</v>
          </cell>
          <cell r="AD2187" t="str">
            <v>No</v>
          </cell>
          <cell r="AE2187" t="str">
            <v>MMIS</v>
          </cell>
          <cell r="AG2187" t="str">
            <v>P</v>
          </cell>
        </row>
        <row r="2188">
          <cell r="A2188" t="str">
            <v>1750358123</v>
          </cell>
          <cell r="B2188" t="str">
            <v>00385039</v>
          </cell>
          <cell r="C2188" t="str">
            <v xml:space="preserve">GORMAN, B. DAVID </v>
          </cell>
          <cell r="D2188" t="str">
            <v>E0260732</v>
          </cell>
          <cell r="E2188" t="str">
            <v>GORMAN B DAVID MD</v>
          </cell>
          <cell r="G2188" t="str">
            <v>Kathryn Spaziani</v>
          </cell>
          <cell r="H2188" t="str">
            <v>(212) 305-1190</v>
          </cell>
          <cell r="J2188" t="str">
            <v>kas9171@nyp.org</v>
          </cell>
          <cell r="L2188" t="str">
            <v>All Other:: Practitioner - Non-Primary Care Provider (PCP)</v>
          </cell>
          <cell r="M2188" t="str">
            <v>Yes</v>
          </cell>
          <cell r="R2188" t="str">
            <v>GORMAN B.DAVID DR.</v>
          </cell>
          <cell r="W2188" t="str">
            <v>GORMAN B DAVID</v>
          </cell>
          <cell r="X2188" t="str">
            <v>1115 5TH AVE</v>
          </cell>
          <cell r="Y2188" t="str">
            <v>NEW YORK</v>
          </cell>
          <cell r="Z2188" t="str">
            <v>NY</v>
          </cell>
          <cell r="AA2188" t="str">
            <v>10128-0100</v>
          </cell>
          <cell r="AB2188" t="str">
            <v>PHYSICIAN</v>
          </cell>
          <cell r="AC2188" t="str">
            <v>M</v>
          </cell>
          <cell r="AD2188" t="str">
            <v>No</v>
          </cell>
          <cell r="AE2188" t="str">
            <v>MMIS</v>
          </cell>
          <cell r="AF2188" t="str">
            <v>nypwestacn</v>
          </cell>
          <cell r="AG2188" t="str">
            <v>P</v>
          </cell>
        </row>
        <row r="2189">
          <cell r="A2189" t="str">
            <v>1699878983</v>
          </cell>
          <cell r="B2189" t="str">
            <v>01810897</v>
          </cell>
          <cell r="C2189" t="str">
            <v>BOWERS-JOHNSON, SUSAN G</v>
          </cell>
          <cell r="D2189" t="str">
            <v>E0118948</v>
          </cell>
          <cell r="E2189" t="str">
            <v>BOWERS-JOHNSON SUSAN MD</v>
          </cell>
          <cell r="G2189" t="str">
            <v>Kathryn Spaziani</v>
          </cell>
          <cell r="H2189" t="str">
            <v>(212) 305-1190</v>
          </cell>
          <cell r="J2189" t="str">
            <v>kas9171@nyp.org</v>
          </cell>
          <cell r="L2189" t="str">
            <v>All Other:: Practitioner - Primary Care Provider (PCP)</v>
          </cell>
          <cell r="M2189" t="str">
            <v>No</v>
          </cell>
          <cell r="R2189" t="str">
            <v>BOWERS-JOHNSON SUSAN DR.</v>
          </cell>
          <cell r="W2189" t="str">
            <v>BOWERS-JOHNSON SUSAN MD</v>
          </cell>
          <cell r="X2189" t="str">
            <v>PRESBYTERIAN MED CAR</v>
          </cell>
          <cell r="Y2189" t="str">
            <v>NEW YORK</v>
          </cell>
          <cell r="Z2189" t="str">
            <v>NY</v>
          </cell>
          <cell r="AA2189" t="str">
            <v>10034-1159</v>
          </cell>
          <cell r="AB2189" t="str">
            <v>PHYSICIAN</v>
          </cell>
          <cell r="AC2189" t="str">
            <v>M</v>
          </cell>
          <cell r="AD2189" t="str">
            <v>No</v>
          </cell>
          <cell r="AE2189" t="str">
            <v>MMIS</v>
          </cell>
          <cell r="AF2189" t="str">
            <v>nypwestcampus</v>
          </cell>
          <cell r="AG2189" t="str">
            <v>P</v>
          </cell>
        </row>
        <row r="2190">
          <cell r="A2190" t="str">
            <v>1699895029</v>
          </cell>
          <cell r="B2190" t="str">
            <v>03078920</v>
          </cell>
          <cell r="C2190" t="str">
            <v>MCKEARNEY, KAREN R</v>
          </cell>
          <cell r="D2190" t="str">
            <v>E0290537</v>
          </cell>
          <cell r="E2190" t="str">
            <v>MCKEARNEY KAREN</v>
          </cell>
          <cell r="G2190" t="str">
            <v>Kathryn Spaziani</v>
          </cell>
          <cell r="H2190" t="str">
            <v>(212) 305-1190</v>
          </cell>
          <cell r="J2190" t="str">
            <v>kas9171@nyp.org</v>
          </cell>
          <cell r="L2190" t="str">
            <v>Practitioner - Non-Primary Care Provider (PCP)</v>
          </cell>
          <cell r="M2190" t="str">
            <v>Yes</v>
          </cell>
          <cell r="R2190" t="str">
            <v>MCKEARNEY KAREN MS.</v>
          </cell>
          <cell r="W2190" t="str">
            <v>MCKEARNEY KAREN</v>
          </cell>
          <cell r="X2190" t="str">
            <v>622 W 168TH ST</v>
          </cell>
          <cell r="Y2190" t="str">
            <v>NEW YORK</v>
          </cell>
          <cell r="Z2190" t="str">
            <v>NY</v>
          </cell>
          <cell r="AA2190" t="str">
            <v>10032-3720</v>
          </cell>
          <cell r="AB2190" t="str">
            <v>PHYSICIAN</v>
          </cell>
          <cell r="AC2190" t="str">
            <v>M</v>
          </cell>
          <cell r="AD2190" t="str">
            <v>No</v>
          </cell>
          <cell r="AE2190" t="str">
            <v>MMIS</v>
          </cell>
          <cell r="AF2190" t="str">
            <v>nypwestcampus</v>
          </cell>
          <cell r="AG2190" t="str">
            <v>P</v>
          </cell>
        </row>
        <row r="2191">
          <cell r="A2191" t="str">
            <v>1104990035</v>
          </cell>
          <cell r="B2191" t="str">
            <v>02827874</v>
          </cell>
          <cell r="C2191" t="str">
            <v>ANDEWS, ALAN D</v>
          </cell>
          <cell r="D2191" t="str">
            <v>E0017408</v>
          </cell>
          <cell r="E2191" t="str">
            <v>ANDREWS ALAN</v>
          </cell>
          <cell r="G2191" t="str">
            <v>Kathryn Spaziani</v>
          </cell>
          <cell r="H2191" t="str">
            <v>(212) 305-1190</v>
          </cell>
          <cell r="J2191" t="str">
            <v>kas9171@nyp.org</v>
          </cell>
          <cell r="L2191" t="str">
            <v>Practitioner - Non-Primary Care Provider (PCP)</v>
          </cell>
          <cell r="M2191" t="str">
            <v>No</v>
          </cell>
          <cell r="R2191" t="str">
            <v>ANDREWS ALAN DR.</v>
          </cell>
          <cell r="W2191" t="str">
            <v>ANDREWS ALAN</v>
          </cell>
          <cell r="X2191" t="str">
            <v>161 FORT WASHINGTON AVE</v>
          </cell>
          <cell r="Y2191" t="str">
            <v>NEW YORK</v>
          </cell>
          <cell r="Z2191" t="str">
            <v>NY</v>
          </cell>
          <cell r="AA2191" t="str">
            <v>10032-3729</v>
          </cell>
          <cell r="AB2191" t="str">
            <v>PHYSICIAN</v>
          </cell>
          <cell r="AC2191" t="str">
            <v>M</v>
          </cell>
          <cell r="AD2191" t="str">
            <v>No</v>
          </cell>
          <cell r="AE2191" t="str">
            <v>MMIS</v>
          </cell>
          <cell r="AF2191" t="str">
            <v>nypwestacn</v>
          </cell>
          <cell r="AG2191" t="str">
            <v>P</v>
          </cell>
        </row>
        <row r="2192">
          <cell r="A2192" t="str">
            <v>1114952512</v>
          </cell>
          <cell r="B2192" t="str">
            <v>01911857</v>
          </cell>
          <cell r="C2192" t="str">
            <v>Garcia Juan</v>
          </cell>
          <cell r="D2192" t="str">
            <v>E0108864</v>
          </cell>
          <cell r="E2192" t="str">
            <v>GARCIA JUAN CARLOS MD</v>
          </cell>
          <cell r="L2192" t="str">
            <v>Practitioner - Non-Primary Care Provider (PCP)</v>
          </cell>
          <cell r="M2192" t="str">
            <v>No</v>
          </cell>
          <cell r="R2192" t="str">
            <v>GARCIA JUAN</v>
          </cell>
          <cell r="W2192" t="str">
            <v>GARCIA JUAN CARLOS MD</v>
          </cell>
          <cell r="X2192" t="str">
            <v>ASSOC IN EMERG SVCS</v>
          </cell>
          <cell r="Y2192" t="str">
            <v>NEW YORK</v>
          </cell>
          <cell r="Z2192" t="str">
            <v>NY</v>
          </cell>
          <cell r="AA2192" t="str">
            <v>10032-3720</v>
          </cell>
          <cell r="AB2192" t="str">
            <v>PHYSICIAN</v>
          </cell>
          <cell r="AC2192" t="str">
            <v>M</v>
          </cell>
          <cell r="AD2192" t="str">
            <v>No</v>
          </cell>
          <cell r="AE2192" t="str">
            <v>MMIS</v>
          </cell>
          <cell r="AF2192" t="str">
            <v>nypwestcampus</v>
          </cell>
          <cell r="AG2192" t="str">
            <v>P</v>
          </cell>
        </row>
        <row r="2193">
          <cell r="A2193" t="str">
            <v>1821056201</v>
          </cell>
          <cell r="B2193" t="str">
            <v>02144030</v>
          </cell>
          <cell r="C2193" t="str">
            <v>Marthe Abraham</v>
          </cell>
          <cell r="D2193" t="str">
            <v>E0085670</v>
          </cell>
          <cell r="E2193" t="str">
            <v>ABRAHAM MARTHE MD</v>
          </cell>
          <cell r="G2193" t="str">
            <v>Corina Sharp</v>
          </cell>
          <cell r="H2193" t="str">
            <v>(212) 545-2441</v>
          </cell>
          <cell r="J2193" t="str">
            <v>csharp@chnnyc.org</v>
          </cell>
          <cell r="L2193" t="str">
            <v>All Other:: Mental Health:: Practitioner - Non-Primary Care Provider (PCP)</v>
          </cell>
          <cell r="M2193" t="str">
            <v>Yes</v>
          </cell>
          <cell r="R2193" t="str">
            <v>ABRAHAM MARTHE</v>
          </cell>
          <cell r="W2193" t="str">
            <v>ABRAHAM MARTHE MD</v>
          </cell>
          <cell r="X2193" t="str">
            <v>2277 GRAND AVE</v>
          </cell>
          <cell r="Y2193" t="str">
            <v>BALDWIN</v>
          </cell>
          <cell r="Z2193" t="str">
            <v>NY</v>
          </cell>
          <cell r="AA2193" t="str">
            <v>11510-3148</v>
          </cell>
          <cell r="AB2193" t="str">
            <v>PHYSICIAN</v>
          </cell>
          <cell r="AC2193" t="str">
            <v>M</v>
          </cell>
          <cell r="AD2193" t="str">
            <v>No</v>
          </cell>
          <cell r="AE2193" t="str">
            <v>MMIS</v>
          </cell>
          <cell r="AF2193" t="str">
            <v>chn</v>
          </cell>
          <cell r="AG2193" t="str">
            <v>P</v>
          </cell>
        </row>
        <row r="2194">
          <cell r="A2194" t="str">
            <v>1184965493</v>
          </cell>
          <cell r="B2194" t="str">
            <v>03818297</v>
          </cell>
          <cell r="C2194" t="str">
            <v>Evelyn Addo-Wallace</v>
          </cell>
          <cell r="D2194" t="str">
            <v>E0372701</v>
          </cell>
          <cell r="E2194" t="str">
            <v>ADDO EVELYN</v>
          </cell>
          <cell r="G2194" t="str">
            <v>Corina Sharp</v>
          </cell>
          <cell r="H2194" t="str">
            <v>(212) 545-2441</v>
          </cell>
          <cell r="J2194" t="str">
            <v>csharp@chnnyc.org</v>
          </cell>
          <cell r="L2194" t="str">
            <v>All Other:: Practitioner - Non-Primary Care Provider (PCP)</v>
          </cell>
          <cell r="M2194" t="str">
            <v>No</v>
          </cell>
          <cell r="R2194" t="str">
            <v>ADDO-WALLACE EVELYN</v>
          </cell>
          <cell r="W2194" t="str">
            <v>ADDO EVELYN ADWOA</v>
          </cell>
          <cell r="X2194" t="str">
            <v>81 W 115TH ST</v>
          </cell>
          <cell r="Y2194" t="str">
            <v>NEW YORK</v>
          </cell>
          <cell r="Z2194" t="str">
            <v>NY</v>
          </cell>
          <cell r="AA2194" t="str">
            <v>10026-3138</v>
          </cell>
          <cell r="AB2194" t="str">
            <v>PHYSICIAN</v>
          </cell>
          <cell r="AC2194" t="str">
            <v>M</v>
          </cell>
          <cell r="AD2194" t="str">
            <v>No</v>
          </cell>
          <cell r="AE2194" t="str">
            <v>MMIS</v>
          </cell>
          <cell r="AF2194" t="str">
            <v>chn</v>
          </cell>
          <cell r="AG2194" t="str">
            <v>P</v>
          </cell>
        </row>
        <row r="2195">
          <cell r="A2195" t="str">
            <v>1164847786</v>
          </cell>
          <cell r="B2195" t="str">
            <v>03818260</v>
          </cell>
          <cell r="C2195" t="str">
            <v>Amanda Ali</v>
          </cell>
          <cell r="D2195" t="str">
            <v>E0372697</v>
          </cell>
          <cell r="E2195" t="str">
            <v>ALI AMANDA ELIZABETH</v>
          </cell>
          <cell r="G2195" t="str">
            <v>Corina Sharp</v>
          </cell>
          <cell r="H2195" t="str">
            <v>(212) 545-2441</v>
          </cell>
          <cell r="J2195" t="str">
            <v>csharp@chnnyc.org</v>
          </cell>
          <cell r="L2195" t="str">
            <v>All Other:: Practitioner - Primary Care Provider (PCP)</v>
          </cell>
          <cell r="M2195" t="str">
            <v>No</v>
          </cell>
          <cell r="R2195" t="str">
            <v>ALI AMANDA</v>
          </cell>
          <cell r="W2195" t="str">
            <v>ALI AMANDA ELIZABETH</v>
          </cell>
          <cell r="X2195" t="str">
            <v>975 WESTCHESTER AVE</v>
          </cell>
          <cell r="Y2195" t="str">
            <v>BRONX</v>
          </cell>
          <cell r="Z2195" t="str">
            <v>NY</v>
          </cell>
          <cell r="AA2195" t="str">
            <v>10459-3204</v>
          </cell>
          <cell r="AB2195" t="str">
            <v>PHYSICIAN</v>
          </cell>
          <cell r="AC2195" t="str">
            <v>M</v>
          </cell>
          <cell r="AD2195" t="str">
            <v>No</v>
          </cell>
          <cell r="AE2195" t="str">
            <v>MMIS</v>
          </cell>
          <cell r="AF2195" t="str">
            <v>chn</v>
          </cell>
          <cell r="AG2195" t="str">
            <v>P</v>
          </cell>
        </row>
        <row r="2196">
          <cell r="A2196" t="str">
            <v>1215293014</v>
          </cell>
          <cell r="C2196" t="str">
            <v>Addante Rocco</v>
          </cell>
          <cell r="G2196" t="str">
            <v>Kathryn Spaziani</v>
          </cell>
          <cell r="H2196" t="str">
            <v>(212) 305-1255</v>
          </cell>
          <cell r="J2196" t="str">
            <v>kas9171@nyp.org</v>
          </cell>
          <cell r="K2196" t="str">
            <v>Physician</v>
          </cell>
          <cell r="L2196" t="str">
            <v>Uncategorized</v>
          </cell>
          <cell r="M2196" t="str">
            <v>No</v>
          </cell>
          <cell r="R2196" t="str">
            <v>ADDANTE ROCCO</v>
          </cell>
          <cell r="S2196" t="str">
            <v>622 W 168TH ST</v>
          </cell>
          <cell r="T2196" t="str">
            <v>NEW YORK</v>
          </cell>
          <cell r="U2196" t="str">
            <v>NY</v>
          </cell>
          <cell r="V2196" t="str">
            <v>100323720</v>
          </cell>
          <cell r="AC2196" t="str">
            <v>M</v>
          </cell>
          <cell r="AD2196" t="str">
            <v>No</v>
          </cell>
          <cell r="AE2196" t="str">
            <v>NPI only</v>
          </cell>
          <cell r="AF2196" t="str">
            <v>nypwestcampus</v>
          </cell>
          <cell r="AG2196" t="str">
            <v>P</v>
          </cell>
        </row>
        <row r="2197">
          <cell r="A2197" t="str">
            <v>1649537788</v>
          </cell>
          <cell r="C2197" t="str">
            <v>Amusa Ganiyu</v>
          </cell>
          <cell r="G2197" t="str">
            <v>Kathryn Spaziani</v>
          </cell>
          <cell r="H2197" t="str">
            <v>(212) 305-1255</v>
          </cell>
          <cell r="J2197" t="str">
            <v>kas9171@nyp.org</v>
          </cell>
          <cell r="K2197" t="str">
            <v>Physician</v>
          </cell>
          <cell r="L2197" t="str">
            <v>Uncategorized</v>
          </cell>
          <cell r="M2197" t="str">
            <v>No</v>
          </cell>
          <cell r="R2197" t="str">
            <v>AMUSA GANIYU</v>
          </cell>
          <cell r="S2197" t="str">
            <v>4800 ALBERTA AVENUE</v>
          </cell>
          <cell r="T2197" t="str">
            <v>EL PASO</v>
          </cell>
          <cell r="U2197" t="str">
            <v>TX</v>
          </cell>
          <cell r="V2197" t="str">
            <v>79905</v>
          </cell>
          <cell r="AC2197" t="str">
            <v>M</v>
          </cell>
          <cell r="AD2197" t="str">
            <v>No</v>
          </cell>
          <cell r="AE2197" t="str">
            <v>NPI only</v>
          </cell>
          <cell r="AF2197" t="str">
            <v>nypother</v>
          </cell>
          <cell r="AG2197" t="str">
            <v>P</v>
          </cell>
        </row>
        <row r="2198">
          <cell r="A2198" t="str">
            <v>1942628763</v>
          </cell>
          <cell r="C2198" t="str">
            <v>Anwar Sara</v>
          </cell>
          <cell r="G2198" t="str">
            <v>Kathryn Spaziani</v>
          </cell>
          <cell r="H2198" t="str">
            <v>(212) 305-1255</v>
          </cell>
          <cell r="J2198" t="str">
            <v>kas9171@nyp.org</v>
          </cell>
          <cell r="K2198" t="str">
            <v>Physician</v>
          </cell>
          <cell r="L2198" t="str">
            <v>Uncategorized</v>
          </cell>
          <cell r="M2198" t="str">
            <v>No</v>
          </cell>
          <cell r="R2198" t="str">
            <v>ANWAR SARA</v>
          </cell>
          <cell r="S2198" t="str">
            <v>722 W 168TH ST</v>
          </cell>
          <cell r="T2198" t="str">
            <v>NEW YORK</v>
          </cell>
          <cell r="U2198" t="str">
            <v>NY</v>
          </cell>
          <cell r="V2198" t="str">
            <v>100323727</v>
          </cell>
          <cell r="AC2198" t="str">
            <v>M</v>
          </cell>
          <cell r="AD2198" t="str">
            <v>No</v>
          </cell>
          <cell r="AE2198" t="str">
            <v>NPI only</v>
          </cell>
          <cell r="AF2198" t="str">
            <v>nypwestcampus</v>
          </cell>
          <cell r="AG2198" t="str">
            <v>P</v>
          </cell>
        </row>
        <row r="2199">
          <cell r="A2199" t="str">
            <v>1588893226</v>
          </cell>
          <cell r="B2199" t="str">
            <v>04010459</v>
          </cell>
          <cell r="C2199" t="str">
            <v>Cheng Stephanie</v>
          </cell>
          <cell r="D2199" t="str">
            <v>E0392469</v>
          </cell>
          <cell r="E2199" t="str">
            <v>CHENG STEPHANIE I</v>
          </cell>
          <cell r="G2199" t="str">
            <v>Kathryn Spaziani</v>
          </cell>
          <cell r="H2199" t="str">
            <v>(212) 305-1255</v>
          </cell>
          <cell r="J2199" t="str">
            <v>kas9171@nyp.org</v>
          </cell>
          <cell r="L2199" t="str">
            <v>All Other:: Practitioner - Non-Primary Care Provider (PCP)</v>
          </cell>
          <cell r="M2199" t="str">
            <v>No</v>
          </cell>
          <cell r="R2199" t="str">
            <v>CHENG STEPHANIE</v>
          </cell>
          <cell r="W2199" t="str">
            <v>CHENG STEPHANIE I</v>
          </cell>
          <cell r="X2199" t="str">
            <v>525 E 68TH ST</v>
          </cell>
          <cell r="Y2199" t="str">
            <v>NEW YORK</v>
          </cell>
          <cell r="Z2199" t="str">
            <v>NY</v>
          </cell>
          <cell r="AA2199" t="str">
            <v>10065-4870</v>
          </cell>
          <cell r="AB2199" t="str">
            <v>PHYSICIAN</v>
          </cell>
          <cell r="AC2199" t="str">
            <v>M</v>
          </cell>
          <cell r="AD2199" t="str">
            <v>No</v>
          </cell>
          <cell r="AE2199" t="str">
            <v>MMIS</v>
          </cell>
          <cell r="AF2199" t="str">
            <v>nypeastcampus</v>
          </cell>
          <cell r="AG2199" t="str">
            <v>P</v>
          </cell>
        </row>
        <row r="2200">
          <cell r="A2200" t="str">
            <v>1437178852</v>
          </cell>
          <cell r="C2200" t="str">
            <v>Smith John</v>
          </cell>
          <cell r="G2200" t="str">
            <v>Kathryn Spaziani</v>
          </cell>
          <cell r="H2200" t="str">
            <v>(212) 305-1255</v>
          </cell>
          <cell r="J2200" t="str">
            <v>kas9171@nyp.org</v>
          </cell>
          <cell r="K2200" t="str">
            <v>Physician</v>
          </cell>
          <cell r="L2200" t="str">
            <v>Practitioner - Non-Primary Care Provider (PCP)</v>
          </cell>
          <cell r="M2200" t="str">
            <v>No</v>
          </cell>
          <cell r="R2200" t="str">
            <v>SMITH JOHN</v>
          </cell>
          <cell r="S2200" t="str">
            <v>170 WILLIAM ST</v>
          </cell>
          <cell r="T2200" t="str">
            <v>NEW YORK</v>
          </cell>
          <cell r="U2200" t="str">
            <v>NY</v>
          </cell>
          <cell r="V2200" t="str">
            <v>10038</v>
          </cell>
          <cell r="AC2200" t="str">
            <v>M</v>
          </cell>
          <cell r="AD2200" t="str">
            <v>No</v>
          </cell>
          <cell r="AE2200" t="str">
            <v>NPI only</v>
          </cell>
          <cell r="AF2200" t="str">
            <v>nypother</v>
          </cell>
          <cell r="AG2200" t="str">
            <v>P</v>
          </cell>
        </row>
        <row r="2201">
          <cell r="A2201" t="str">
            <v>1225034820</v>
          </cell>
          <cell r="C2201" t="str">
            <v>Snay Kurtis</v>
          </cell>
          <cell r="G2201" t="str">
            <v>Kathryn Spaziani</v>
          </cell>
          <cell r="H2201" t="str">
            <v>(212) 305-1255</v>
          </cell>
          <cell r="J2201" t="str">
            <v>kas9171@nyp.org</v>
          </cell>
          <cell r="K2201" t="str">
            <v>Physician</v>
          </cell>
          <cell r="L2201" t="str">
            <v>Practitioner - Non-Primary Care Provider (PCP)</v>
          </cell>
          <cell r="M2201" t="str">
            <v>No</v>
          </cell>
          <cell r="R2201" t="str">
            <v>SNAY KURTIS</v>
          </cell>
          <cell r="S2201" t="str">
            <v>177 FORT WASHINGTON AVE, 4GN-446 (DEPT. OF ANESTHESIA)</v>
          </cell>
          <cell r="T2201" t="str">
            <v>NEW YORK</v>
          </cell>
          <cell r="U2201" t="str">
            <v>NY</v>
          </cell>
          <cell r="V2201" t="str">
            <v>100323733</v>
          </cell>
          <cell r="AC2201" t="str">
            <v>M</v>
          </cell>
          <cell r="AD2201" t="str">
            <v>No</v>
          </cell>
          <cell r="AE2201" t="str">
            <v>NPI only</v>
          </cell>
          <cell r="AF2201" t="str">
            <v>nypeastcampus</v>
          </cell>
          <cell r="AG2201" t="str">
            <v>P</v>
          </cell>
        </row>
        <row r="2202">
          <cell r="A2202" t="str">
            <v>1275792194</v>
          </cell>
          <cell r="B2202" t="str">
            <v>03228640</v>
          </cell>
          <cell r="C2202" t="str">
            <v>SCHULMAN, AARON P</v>
          </cell>
          <cell r="D2202" t="str">
            <v>E0307649</v>
          </cell>
          <cell r="E2202" t="str">
            <v>SCHULMAN AARON PAUL</v>
          </cell>
          <cell r="G2202" t="str">
            <v>Kathryn Spaziani</v>
          </cell>
          <cell r="H2202" t="str">
            <v>(212) 305-1190</v>
          </cell>
          <cell r="J2202" t="str">
            <v>kas9171@nyp.org</v>
          </cell>
          <cell r="L2202" t="str">
            <v>All Other:: Practitioner - Non-Primary Care Provider (PCP)</v>
          </cell>
          <cell r="M2202" t="str">
            <v>No</v>
          </cell>
          <cell r="R2202" t="str">
            <v>SCHULMAN AARON</v>
          </cell>
          <cell r="W2202" t="str">
            <v>SCHULMAN AARON PAUL</v>
          </cell>
          <cell r="X2202" t="str">
            <v>525 E 68TH ST</v>
          </cell>
          <cell r="Y2202" t="str">
            <v>NEW YORK</v>
          </cell>
          <cell r="Z2202" t="str">
            <v>NY</v>
          </cell>
          <cell r="AA2202" t="str">
            <v>10065-4870</v>
          </cell>
          <cell r="AB2202" t="str">
            <v>PHYSICIAN</v>
          </cell>
          <cell r="AC2202" t="str">
            <v>M</v>
          </cell>
          <cell r="AD2202" t="str">
            <v>No</v>
          </cell>
          <cell r="AE2202" t="str">
            <v>MMIS</v>
          </cell>
          <cell r="AF2202" t="str">
            <v>nypeastcampus</v>
          </cell>
          <cell r="AG2202" t="str">
            <v>P</v>
          </cell>
        </row>
        <row r="2203">
          <cell r="A2203" t="str">
            <v>1497722078</v>
          </cell>
          <cell r="B2203" t="str">
            <v>01569575</v>
          </cell>
          <cell r="C2203" t="str">
            <v>Yvette Ortiz</v>
          </cell>
          <cell r="D2203" t="str">
            <v>E0143044</v>
          </cell>
          <cell r="E2203" t="str">
            <v>ORTIZ YVETTE A MD</v>
          </cell>
          <cell r="G2203" t="str">
            <v>Yvette Ortiz, MD</v>
          </cell>
          <cell r="H2203" t="str">
            <v>(718) 401-8030</v>
          </cell>
          <cell r="J2203" t="str">
            <v>irisbmarti@gmail.com</v>
          </cell>
          <cell r="L2203" t="str">
            <v>All Other:: Practitioner - Primary Care Provider (PCP)</v>
          </cell>
          <cell r="M2203" t="str">
            <v>Yes</v>
          </cell>
          <cell r="R2203" t="str">
            <v>ORTIZ YVETTE</v>
          </cell>
          <cell r="W2203" t="str">
            <v>ORTIZ YVETTE A MD</v>
          </cell>
          <cell r="X2203" t="str">
            <v>2737 3RD AVE</v>
          </cell>
          <cell r="Y2203" t="str">
            <v>BRONX</v>
          </cell>
          <cell r="Z2203" t="str">
            <v>NY</v>
          </cell>
          <cell r="AA2203" t="str">
            <v>10451-5801</v>
          </cell>
          <cell r="AB2203" t="str">
            <v>PHYSICIAN</v>
          </cell>
          <cell r="AC2203" t="str">
            <v>M</v>
          </cell>
          <cell r="AD2203" t="str">
            <v>No</v>
          </cell>
          <cell r="AE2203" t="str">
            <v>MMIS</v>
          </cell>
          <cell r="AF2203" t="str">
            <v>nypwestcampus</v>
          </cell>
          <cell r="AG2203" t="str">
            <v>P</v>
          </cell>
        </row>
        <row r="2204">
          <cell r="A2204" t="str">
            <v>1568632859</v>
          </cell>
          <cell r="B2204" t="str">
            <v>02961035</v>
          </cell>
          <cell r="C2204" t="str">
            <v>FELDMAN, DMITRIY N</v>
          </cell>
          <cell r="D2204" t="str">
            <v>E0004296</v>
          </cell>
          <cell r="E2204" t="str">
            <v>FELDMAN DMITRIY N MD</v>
          </cell>
          <cell r="G2204" t="str">
            <v>Kathryn Spaziani</v>
          </cell>
          <cell r="H2204" t="str">
            <v>(212) 305-1190</v>
          </cell>
          <cell r="J2204" t="str">
            <v>kas9171@nyp.org</v>
          </cell>
          <cell r="L2204" t="str">
            <v>All Other:: Practitioner - Non-Primary Care Provider (PCP)</v>
          </cell>
          <cell r="M2204" t="str">
            <v>No</v>
          </cell>
          <cell r="R2204" t="str">
            <v>FELDMAN DMITRIY</v>
          </cell>
          <cell r="W2204" t="str">
            <v>FELDMAN DMITRIY N MD</v>
          </cell>
          <cell r="X2204" t="str">
            <v>520 E 70TH ST</v>
          </cell>
          <cell r="Y2204" t="str">
            <v>NEW YORK</v>
          </cell>
          <cell r="Z2204" t="str">
            <v>NY</v>
          </cell>
          <cell r="AA2204" t="str">
            <v>10021-9800</v>
          </cell>
          <cell r="AB2204" t="str">
            <v>PHYSICIAN</v>
          </cell>
          <cell r="AC2204" t="str">
            <v>M</v>
          </cell>
          <cell r="AD2204" t="str">
            <v>No</v>
          </cell>
          <cell r="AE2204" t="str">
            <v>MMIS</v>
          </cell>
          <cell r="AF2204" t="str">
            <v>nypeastacn</v>
          </cell>
          <cell r="AG2204" t="str">
            <v>P</v>
          </cell>
        </row>
        <row r="2205">
          <cell r="A2205" t="str">
            <v>1568636314</v>
          </cell>
          <cell r="B2205" t="str">
            <v>03421872</v>
          </cell>
          <cell r="C2205" t="str">
            <v>HARTMAN, RACHAEL D</v>
          </cell>
          <cell r="D2205" t="str">
            <v>E0330470</v>
          </cell>
          <cell r="E2205" t="str">
            <v>HARTMAN RACHAEL</v>
          </cell>
          <cell r="G2205" t="str">
            <v>Kathryn Spaziani</v>
          </cell>
          <cell r="H2205" t="str">
            <v>(212) 305-1190</v>
          </cell>
          <cell r="J2205" t="str">
            <v>kas9171@nyp.org</v>
          </cell>
          <cell r="L2205" t="str">
            <v>Practitioner - Non-Primary Care Provider (PCP)</v>
          </cell>
          <cell r="M2205" t="str">
            <v>No</v>
          </cell>
          <cell r="R2205" t="str">
            <v>HARTMAN RACHAEL DR.</v>
          </cell>
          <cell r="W2205" t="str">
            <v>HARTMAN RACHAEL</v>
          </cell>
          <cell r="X2205" t="str">
            <v>161 FORT WASHINGTON AVE</v>
          </cell>
          <cell r="Y2205" t="str">
            <v>NEW YORK</v>
          </cell>
          <cell r="Z2205" t="str">
            <v>NY</v>
          </cell>
          <cell r="AA2205" t="str">
            <v>10032-3729</v>
          </cell>
          <cell r="AB2205" t="str">
            <v>PHYSICIAN</v>
          </cell>
          <cell r="AC2205" t="str">
            <v>M</v>
          </cell>
          <cell r="AD2205" t="str">
            <v>No</v>
          </cell>
          <cell r="AE2205" t="str">
            <v>MMIS</v>
          </cell>
          <cell r="AF2205" t="str">
            <v>nypwestacn</v>
          </cell>
          <cell r="AG2205" t="str">
            <v>P</v>
          </cell>
        </row>
        <row r="2206">
          <cell r="A2206" t="str">
            <v>1801030473</v>
          </cell>
          <cell r="B2206" t="str">
            <v>03716070</v>
          </cell>
          <cell r="C2206" t="str">
            <v>CONNERS, ROBERT D</v>
          </cell>
          <cell r="D2206" t="str">
            <v>E0362174</v>
          </cell>
          <cell r="E2206" t="str">
            <v>CONNORS ROBERT</v>
          </cell>
          <cell r="G2206" t="str">
            <v>Kathryn Spaziani</v>
          </cell>
          <cell r="H2206" t="str">
            <v>(212) 305-1190</v>
          </cell>
          <cell r="J2206" t="str">
            <v>kas9171@nyp.org</v>
          </cell>
          <cell r="L2206" t="str">
            <v>Practitioner - Non-Primary Care Provider (PCP)</v>
          </cell>
          <cell r="M2206" t="str">
            <v>No</v>
          </cell>
          <cell r="R2206" t="str">
            <v>CONNORS ROBERT DR.</v>
          </cell>
          <cell r="W2206" t="str">
            <v>CONNORS ROBERT DEDICK</v>
          </cell>
          <cell r="X2206" t="str">
            <v>622 W 168TH ST FL 10</v>
          </cell>
          <cell r="Y2206" t="str">
            <v>NEW YORK</v>
          </cell>
          <cell r="Z2206" t="str">
            <v>NY</v>
          </cell>
          <cell r="AA2206" t="str">
            <v>10032-3720</v>
          </cell>
          <cell r="AB2206" t="str">
            <v>PHYSICIAN</v>
          </cell>
          <cell r="AC2206" t="str">
            <v>M</v>
          </cell>
          <cell r="AD2206" t="str">
            <v>No</v>
          </cell>
          <cell r="AE2206" t="str">
            <v>MMIS</v>
          </cell>
          <cell r="AF2206" t="str">
            <v>nypother</v>
          </cell>
          <cell r="AG2206" t="str">
            <v>P</v>
          </cell>
        </row>
        <row r="2207">
          <cell r="A2207" t="str">
            <v>1801053632</v>
          </cell>
          <cell r="B2207" t="str">
            <v>03339035</v>
          </cell>
          <cell r="C2207" t="str">
            <v>KIM, LUKE K</v>
          </cell>
          <cell r="D2207" t="str">
            <v>E0320159</v>
          </cell>
          <cell r="E2207" t="str">
            <v>KIM LUKE KWON</v>
          </cell>
          <cell r="G2207" t="str">
            <v>Kathryn Spaziani</v>
          </cell>
          <cell r="H2207" t="str">
            <v>(212) 305-1190</v>
          </cell>
          <cell r="J2207" t="str">
            <v>kas9171@nyp.org</v>
          </cell>
          <cell r="L2207" t="str">
            <v>All Other:: Practitioner - Non-Primary Care Provider (PCP)</v>
          </cell>
          <cell r="M2207" t="str">
            <v>No</v>
          </cell>
          <cell r="R2207" t="str">
            <v>KIM LUKE DR.</v>
          </cell>
          <cell r="W2207" t="str">
            <v>KIM LUKE KWON</v>
          </cell>
          <cell r="X2207" t="str">
            <v>525 E 68TH ST</v>
          </cell>
          <cell r="Y2207" t="str">
            <v>NEW YORK</v>
          </cell>
          <cell r="Z2207" t="str">
            <v>NY</v>
          </cell>
          <cell r="AA2207" t="str">
            <v>10065-4870</v>
          </cell>
          <cell r="AB2207" t="str">
            <v>PHYSICIAN</v>
          </cell>
          <cell r="AC2207" t="str">
            <v>M</v>
          </cell>
          <cell r="AD2207" t="str">
            <v>No</v>
          </cell>
          <cell r="AE2207" t="str">
            <v>MMIS</v>
          </cell>
          <cell r="AF2207" t="str">
            <v>nypeastacn</v>
          </cell>
          <cell r="AG2207" t="str">
            <v>P</v>
          </cell>
        </row>
        <row r="2208">
          <cell r="A2208" t="str">
            <v>1710934104</v>
          </cell>
          <cell r="C2208" t="str">
            <v>Repuyan Maria Eloisa</v>
          </cell>
          <cell r="G2208" t="str">
            <v>Kathryn Spaziani</v>
          </cell>
          <cell r="H2208" t="str">
            <v>(212) 305-1255</v>
          </cell>
          <cell r="J2208" t="str">
            <v>kas9171@nyp.org</v>
          </cell>
          <cell r="K2208" t="str">
            <v>Physician</v>
          </cell>
          <cell r="L2208" t="str">
            <v>Practitioner - Non-Primary Care Provider (PCP)</v>
          </cell>
          <cell r="M2208" t="str">
            <v>No</v>
          </cell>
          <cell r="R2208" t="str">
            <v>DELA PENA REPUYAN MARIA ELOISA MS.</v>
          </cell>
          <cell r="S2208" t="str">
            <v>622 W 168TH ST</v>
          </cell>
          <cell r="T2208" t="str">
            <v>NEW YORK</v>
          </cell>
          <cell r="U2208" t="str">
            <v>NY</v>
          </cell>
          <cell r="V2208" t="str">
            <v>100323720</v>
          </cell>
          <cell r="AC2208" t="str">
            <v>M</v>
          </cell>
          <cell r="AD2208" t="str">
            <v>No</v>
          </cell>
          <cell r="AE2208" t="str">
            <v>NPI only</v>
          </cell>
          <cell r="AF2208" t="str">
            <v>nypwestcampus</v>
          </cell>
          <cell r="AG2208" t="str">
            <v>P</v>
          </cell>
        </row>
        <row r="2209">
          <cell r="A2209" t="str">
            <v>1205995784</v>
          </cell>
          <cell r="B2209" t="str">
            <v>02865790</v>
          </cell>
          <cell r="C2209" t="str">
            <v>Ernst Garcon</v>
          </cell>
          <cell r="D2209" t="str">
            <v>E0013621</v>
          </cell>
          <cell r="E2209" t="str">
            <v>GARCON ERNST MD</v>
          </cell>
          <cell r="G2209" t="str">
            <v>Kathryn Spaziani</v>
          </cell>
          <cell r="H2209" t="str">
            <v>(212) 305-1259</v>
          </cell>
          <cell r="J2209" t="str">
            <v>kas9171@nyp.org</v>
          </cell>
          <cell r="L2209" t="str">
            <v>All Other:: Practitioner - Non-Primary Care Provider (PCP)</v>
          </cell>
          <cell r="M2209" t="str">
            <v>No</v>
          </cell>
          <cell r="R2209" t="str">
            <v>GARCON ERNST</v>
          </cell>
          <cell r="W2209" t="str">
            <v>GARCON ERNST MD</v>
          </cell>
          <cell r="X2209" t="str">
            <v>1901 1ST AVE</v>
          </cell>
          <cell r="Y2209" t="str">
            <v>NEW YORK</v>
          </cell>
          <cell r="Z2209" t="str">
            <v>NY</v>
          </cell>
          <cell r="AA2209" t="str">
            <v>10029-7404</v>
          </cell>
          <cell r="AB2209" t="str">
            <v>PHYSICIAN</v>
          </cell>
          <cell r="AC2209" t="str">
            <v>M</v>
          </cell>
          <cell r="AD2209" t="str">
            <v>No</v>
          </cell>
          <cell r="AE2209" t="str">
            <v>MMIS</v>
          </cell>
          <cell r="AF2209" t="str">
            <v>nypwestcampus</v>
          </cell>
          <cell r="AG2209" t="str">
            <v>P</v>
          </cell>
        </row>
        <row r="2210">
          <cell r="A2210" t="str">
            <v>1003916941</v>
          </cell>
          <cell r="B2210" t="str">
            <v>02180963</v>
          </cell>
          <cell r="C2210" t="str">
            <v>MABRY, GLORIA J</v>
          </cell>
          <cell r="D2210" t="str">
            <v>E0081983</v>
          </cell>
          <cell r="E2210" t="str">
            <v>MABRY GLORIA</v>
          </cell>
          <cell r="G2210" t="str">
            <v>Kathryn Spaziani</v>
          </cell>
          <cell r="H2210" t="str">
            <v>(212) 305-1190</v>
          </cell>
          <cell r="J2210" t="str">
            <v>kas9171@nyp.org</v>
          </cell>
          <cell r="L2210" t="str">
            <v>Practitioner - Non-Primary Care Provider (PCP)</v>
          </cell>
          <cell r="M2210" t="str">
            <v>No</v>
          </cell>
          <cell r="R2210" t="str">
            <v>MABRY GLORIA MS.</v>
          </cell>
          <cell r="W2210" t="str">
            <v>MABRY GLORIA</v>
          </cell>
          <cell r="X2210" t="str">
            <v>MABRY GLORIA</v>
          </cell>
          <cell r="Y2210" t="str">
            <v>BRONX</v>
          </cell>
          <cell r="Z2210" t="str">
            <v>NY</v>
          </cell>
          <cell r="AA2210" t="str">
            <v>10461-3734</v>
          </cell>
          <cell r="AB2210" t="str">
            <v>PHYSICIAN</v>
          </cell>
          <cell r="AC2210" t="str">
            <v>M</v>
          </cell>
          <cell r="AD2210" t="str">
            <v>No</v>
          </cell>
          <cell r="AE2210" t="str">
            <v>MMIS</v>
          </cell>
          <cell r="AF2210" t="str">
            <v>nypwestcampus</v>
          </cell>
          <cell r="AG2210" t="str">
            <v>P</v>
          </cell>
        </row>
        <row r="2211">
          <cell r="A2211" t="str">
            <v>1275621542</v>
          </cell>
          <cell r="B2211" t="str">
            <v>00912029</v>
          </cell>
          <cell r="C2211" t="str">
            <v>OKIN, PETER M</v>
          </cell>
          <cell r="D2211" t="str">
            <v>E0208550</v>
          </cell>
          <cell r="E2211" t="str">
            <v>OKIN PETER M               MD</v>
          </cell>
          <cell r="G2211" t="str">
            <v>Kathryn Spaziani</v>
          </cell>
          <cell r="H2211" t="str">
            <v>(212) 305-1190</v>
          </cell>
          <cell r="J2211" t="str">
            <v>kas9171@nyp.org</v>
          </cell>
          <cell r="L2211" t="str">
            <v>All Other:: Practitioner - Non-Primary Care Provider (PCP)</v>
          </cell>
          <cell r="M2211" t="str">
            <v>No</v>
          </cell>
          <cell r="R2211" t="str">
            <v>OKIN PETER</v>
          </cell>
          <cell r="W2211" t="str">
            <v>OKIN PETER M</v>
          </cell>
          <cell r="X2211" t="str">
            <v>DIV OF CARDIOLOGY</v>
          </cell>
          <cell r="Y2211" t="str">
            <v>NEW YORK</v>
          </cell>
          <cell r="Z2211" t="str">
            <v>NY</v>
          </cell>
          <cell r="AA2211" t="str">
            <v>10021</v>
          </cell>
          <cell r="AB2211" t="str">
            <v>PHYSICIAN</v>
          </cell>
          <cell r="AC2211" t="str">
            <v>M</v>
          </cell>
          <cell r="AD2211" t="str">
            <v>No</v>
          </cell>
          <cell r="AE2211" t="str">
            <v>MMIS</v>
          </cell>
          <cell r="AF2211" t="str">
            <v>nypeastcampus</v>
          </cell>
          <cell r="AG2211" t="str">
            <v>P</v>
          </cell>
        </row>
        <row r="2212">
          <cell r="A2212" t="str">
            <v>1669417796</v>
          </cell>
          <cell r="B2212" t="str">
            <v>01118469</v>
          </cell>
          <cell r="C2212" t="str">
            <v>BRUDNEY, KAREN F</v>
          </cell>
          <cell r="D2212" t="str">
            <v>E0188031</v>
          </cell>
          <cell r="E2212" t="str">
            <v>BRUDNEY KAREN MD</v>
          </cell>
          <cell r="G2212" t="str">
            <v>Kathryn Spaziani</v>
          </cell>
          <cell r="H2212" t="str">
            <v>(212) 305-1190</v>
          </cell>
          <cell r="J2212" t="str">
            <v>kas9171@nyp.org</v>
          </cell>
          <cell r="L2212" t="str">
            <v>Practitioner - Primary Care Provider (PCP)</v>
          </cell>
          <cell r="M2212" t="str">
            <v>Yes</v>
          </cell>
          <cell r="R2212" t="str">
            <v>BRUDNEY KAREN DR.</v>
          </cell>
          <cell r="W2212" t="str">
            <v>BRUDNEY KAREN MD</v>
          </cell>
          <cell r="X2212" t="str">
            <v>HARLEM INFECT DIS PR</v>
          </cell>
          <cell r="Y2212" t="str">
            <v>NEW YORK</v>
          </cell>
          <cell r="Z2212" t="str">
            <v>NY</v>
          </cell>
          <cell r="AA2212" t="str">
            <v>10037-1802</v>
          </cell>
          <cell r="AB2212" t="str">
            <v>PHYSICIAN</v>
          </cell>
          <cell r="AC2212" t="str">
            <v>M</v>
          </cell>
          <cell r="AD2212" t="str">
            <v>No</v>
          </cell>
          <cell r="AE2212" t="str">
            <v>MMIS</v>
          </cell>
          <cell r="AF2212" t="str">
            <v>nypwestacn</v>
          </cell>
          <cell r="AG2212" t="str">
            <v>P</v>
          </cell>
        </row>
        <row r="2213">
          <cell r="A2213" t="str">
            <v>1669767976</v>
          </cell>
          <cell r="B2213" t="str">
            <v>03921217</v>
          </cell>
          <cell r="C2213" t="str">
            <v>TEODORO, ALVIN PATRICK B</v>
          </cell>
          <cell r="D2213" t="str">
            <v>E0383289</v>
          </cell>
          <cell r="E2213" t="str">
            <v>TEODORO ALVIN P</v>
          </cell>
          <cell r="G2213" t="str">
            <v>Kathryn Spaziani</v>
          </cell>
          <cell r="H2213" t="str">
            <v>(212) 305-1190</v>
          </cell>
          <cell r="J2213" t="str">
            <v>kas9171@nyp.org</v>
          </cell>
          <cell r="L2213" t="str">
            <v>Practitioner - Primary Care Provider (PCP)</v>
          </cell>
          <cell r="M2213" t="str">
            <v>No</v>
          </cell>
          <cell r="R2213" t="str">
            <v>TEODORO ALVIN PATRICK DR.</v>
          </cell>
          <cell r="W2213" t="str">
            <v>TEODORO ALVIN P</v>
          </cell>
          <cell r="X2213" t="str">
            <v>3959 BROADWAY</v>
          </cell>
          <cell r="Y2213" t="str">
            <v>NEW YORK</v>
          </cell>
          <cell r="Z2213" t="str">
            <v>NY</v>
          </cell>
          <cell r="AA2213" t="str">
            <v>10032-1559</v>
          </cell>
          <cell r="AB2213" t="str">
            <v>PHYSICIAN</v>
          </cell>
          <cell r="AC2213" t="str">
            <v>M</v>
          </cell>
          <cell r="AD2213" t="str">
            <v>No</v>
          </cell>
          <cell r="AE2213" t="str">
            <v>MMIS</v>
          </cell>
          <cell r="AF2213" t="str">
            <v>nypwestcampus</v>
          </cell>
          <cell r="AG2213" t="str">
            <v>P</v>
          </cell>
        </row>
        <row r="2214">
          <cell r="A2214" t="str">
            <v>1679669675</v>
          </cell>
          <cell r="B2214" t="str">
            <v>02490095</v>
          </cell>
          <cell r="C2214" t="str">
            <v>FIEBACH, NICHOLAS H</v>
          </cell>
          <cell r="D2214" t="str">
            <v>E0051126</v>
          </cell>
          <cell r="E2214" t="str">
            <v>FIEBACH NICHOLAS H MD</v>
          </cell>
          <cell r="G2214" t="str">
            <v>Kathryn Spaziani</v>
          </cell>
          <cell r="H2214" t="str">
            <v>(212) 305-1190</v>
          </cell>
          <cell r="J2214" t="str">
            <v>kas9171@nyp.org</v>
          </cell>
          <cell r="L2214" t="str">
            <v>All Other:: Practitioner - Primary Care Provider (PCP)</v>
          </cell>
          <cell r="M2214" t="str">
            <v>Yes</v>
          </cell>
          <cell r="R2214" t="str">
            <v>FIEBACH NICHOLAS DR.</v>
          </cell>
          <cell r="W2214" t="str">
            <v>FIEBACH NICHOLAS H MD</v>
          </cell>
          <cell r="X2214" t="str">
            <v>NY PRESBYTERIAN HSP</v>
          </cell>
          <cell r="Y2214" t="str">
            <v>NEW YORK</v>
          </cell>
          <cell r="Z2214" t="str">
            <v>NY</v>
          </cell>
          <cell r="AA2214" t="str">
            <v>10032-3720</v>
          </cell>
          <cell r="AB2214" t="str">
            <v>PHYSICIAN</v>
          </cell>
          <cell r="AC2214" t="str">
            <v>M</v>
          </cell>
          <cell r="AD2214" t="str">
            <v>No</v>
          </cell>
          <cell r="AE2214" t="str">
            <v>MMIS</v>
          </cell>
          <cell r="AF2214" t="str">
            <v>nypwestacn</v>
          </cell>
          <cell r="AG2214" t="str">
            <v>P</v>
          </cell>
        </row>
        <row r="2215">
          <cell r="A2215" t="str">
            <v>1043290208</v>
          </cell>
          <cell r="B2215" t="str">
            <v>02772801</v>
          </cell>
          <cell r="C2215" t="str">
            <v>RAMSAROOP, SHARDA D</v>
          </cell>
          <cell r="D2215" t="str">
            <v>E0022912</v>
          </cell>
          <cell r="E2215" t="str">
            <v>RAMSAROOP SHARDA D MD</v>
          </cell>
          <cell r="G2215" t="str">
            <v>Kathryn Spaziani</v>
          </cell>
          <cell r="H2215" t="str">
            <v>(212) 305-1190</v>
          </cell>
          <cell r="J2215" t="str">
            <v>kas9171@nyp.org</v>
          </cell>
          <cell r="L2215" t="str">
            <v>All Other:: Practitioner - Primary Care Provider (PCP)</v>
          </cell>
          <cell r="M2215" t="str">
            <v>No</v>
          </cell>
          <cell r="R2215" t="str">
            <v>RAMSAROOP SHARDA</v>
          </cell>
          <cell r="W2215" t="str">
            <v>RAMSAROOP SHARDA D MD</v>
          </cell>
          <cell r="X2215" t="str">
            <v>1484 1ST AVE</v>
          </cell>
          <cell r="Y2215" t="str">
            <v>NEW YORK</v>
          </cell>
          <cell r="Z2215" t="str">
            <v>NY</v>
          </cell>
          <cell r="AA2215" t="str">
            <v>10075-2304</v>
          </cell>
          <cell r="AB2215" t="str">
            <v>PHYSICIAN</v>
          </cell>
          <cell r="AC2215" t="str">
            <v>M</v>
          </cell>
          <cell r="AD2215" t="str">
            <v>No</v>
          </cell>
          <cell r="AE2215" t="str">
            <v>MMIS</v>
          </cell>
          <cell r="AF2215" t="str">
            <v>nypeastcampus</v>
          </cell>
          <cell r="AG2215" t="str">
            <v>P</v>
          </cell>
        </row>
        <row r="2216">
          <cell r="A2216" t="str">
            <v>1043364631</v>
          </cell>
          <cell r="B2216" t="str">
            <v>03041054</v>
          </cell>
          <cell r="C2216" t="str">
            <v xml:space="preserve">SALVATORE, MIRELLA </v>
          </cell>
          <cell r="D2216" t="str">
            <v>E0286219</v>
          </cell>
          <cell r="E2216" t="str">
            <v>SALVATORE MIRELLA</v>
          </cell>
          <cell r="G2216" t="str">
            <v>Kathryn Spaziani</v>
          </cell>
          <cell r="H2216" t="str">
            <v>(212) 305-1190</v>
          </cell>
          <cell r="J2216" t="str">
            <v>kas9171@nyp.org</v>
          </cell>
          <cell r="L2216" t="str">
            <v>Practitioner - Primary Care Provider (PCP)</v>
          </cell>
          <cell r="M2216" t="str">
            <v>No</v>
          </cell>
          <cell r="R2216" t="str">
            <v>SALVATORE MIRELLA DR.</v>
          </cell>
          <cell r="W2216" t="str">
            <v>SALVATORE MIRELLA</v>
          </cell>
          <cell r="X2216" t="str">
            <v>503 E 70TH ST</v>
          </cell>
          <cell r="Y2216" t="str">
            <v>NEW YORK</v>
          </cell>
          <cell r="Z2216" t="str">
            <v>NY</v>
          </cell>
          <cell r="AA2216" t="str">
            <v>10021-4872</v>
          </cell>
          <cell r="AB2216" t="str">
            <v>PHYSICIAN</v>
          </cell>
          <cell r="AC2216" t="str">
            <v>M</v>
          </cell>
          <cell r="AD2216" t="str">
            <v>No</v>
          </cell>
          <cell r="AE2216" t="str">
            <v>MMIS</v>
          </cell>
          <cell r="AF2216" t="str">
            <v>nypeastcampus</v>
          </cell>
          <cell r="AG2216" t="str">
            <v>P</v>
          </cell>
        </row>
        <row r="2217">
          <cell r="A2217" t="str">
            <v>1043484751</v>
          </cell>
          <cell r="B2217" t="str">
            <v>03022259</v>
          </cell>
          <cell r="C2217" t="str">
            <v>BISHOP, TARA F</v>
          </cell>
          <cell r="D2217" t="str">
            <v>E0284188</v>
          </cell>
          <cell r="E2217" t="str">
            <v>BISHOP TARA</v>
          </cell>
          <cell r="G2217" t="str">
            <v>Kathryn Spaziani</v>
          </cell>
          <cell r="H2217" t="str">
            <v>(212) 305-1190</v>
          </cell>
          <cell r="J2217" t="str">
            <v>kas9171@nyp.org</v>
          </cell>
          <cell r="L2217" t="str">
            <v>All Other:: Practitioner - Primary Care Provider (PCP)</v>
          </cell>
          <cell r="M2217" t="str">
            <v>No</v>
          </cell>
          <cell r="R2217" t="str">
            <v>BISHOP TARA</v>
          </cell>
          <cell r="W2217" t="str">
            <v>BISHOP TARA FERNANDO MD</v>
          </cell>
          <cell r="X2217" t="str">
            <v>17 E 102ND ST</v>
          </cell>
          <cell r="Y2217" t="str">
            <v>NEW YORK</v>
          </cell>
          <cell r="Z2217" t="str">
            <v>NY</v>
          </cell>
          <cell r="AA2217" t="str">
            <v>10029-5204</v>
          </cell>
          <cell r="AB2217" t="str">
            <v>PHYSICIAN</v>
          </cell>
          <cell r="AC2217" t="str">
            <v>M</v>
          </cell>
          <cell r="AD2217" t="str">
            <v>No</v>
          </cell>
          <cell r="AE2217" t="str">
            <v>MMIS</v>
          </cell>
          <cell r="AF2217" t="str">
            <v>nypeastacn</v>
          </cell>
          <cell r="AG2217" t="str">
            <v>P</v>
          </cell>
        </row>
        <row r="2218">
          <cell r="A2218" t="str">
            <v>1679720825</v>
          </cell>
          <cell r="B2218" t="str">
            <v>03159620</v>
          </cell>
          <cell r="C2218" t="str">
            <v>BRISMAN, STACEY F</v>
          </cell>
          <cell r="D2218" t="str">
            <v>E0299840</v>
          </cell>
          <cell r="E2218" t="str">
            <v>BRISMAN STACEY</v>
          </cell>
          <cell r="G2218" t="str">
            <v>Kathryn Spaziani</v>
          </cell>
          <cell r="H2218" t="str">
            <v>(212) 305-1190</v>
          </cell>
          <cell r="J2218" t="str">
            <v>kas9171@nyp.org</v>
          </cell>
          <cell r="L2218" t="str">
            <v>Practitioner - Non-Primary Care Provider (PCP)</v>
          </cell>
          <cell r="M2218" t="str">
            <v>No</v>
          </cell>
          <cell r="R2218" t="str">
            <v>BRISMAN STACEY DR.</v>
          </cell>
          <cell r="W2218" t="str">
            <v>BRISMAN STACEY</v>
          </cell>
          <cell r="X2218" t="str">
            <v>161 FORT WASHINGTON AVE</v>
          </cell>
          <cell r="Y2218" t="str">
            <v>NEW YORK</v>
          </cell>
          <cell r="Z2218" t="str">
            <v>NY</v>
          </cell>
          <cell r="AA2218" t="str">
            <v>10032-3729</v>
          </cell>
          <cell r="AB2218" t="str">
            <v>PHYSICIAN</v>
          </cell>
          <cell r="AC2218" t="str">
            <v>M</v>
          </cell>
          <cell r="AD2218" t="str">
            <v>No</v>
          </cell>
          <cell r="AE2218" t="str">
            <v>MMIS</v>
          </cell>
          <cell r="AF2218" t="str">
            <v>nypwestacn</v>
          </cell>
          <cell r="AG2218" t="str">
            <v>P</v>
          </cell>
        </row>
        <row r="2219">
          <cell r="A2219" t="str">
            <v>1609914548</v>
          </cell>
          <cell r="B2219" t="str">
            <v>01395633</v>
          </cell>
          <cell r="C2219" t="str">
            <v>SPICER, CLINTON E</v>
          </cell>
          <cell r="D2219" t="str">
            <v>E0160399</v>
          </cell>
          <cell r="E2219" t="str">
            <v>SPICER CLINTON EDUARDO DDS</v>
          </cell>
          <cell r="G2219" t="str">
            <v>Kathryn Spaziani</v>
          </cell>
          <cell r="H2219" t="str">
            <v>(212) 305-1190</v>
          </cell>
          <cell r="J2219" t="str">
            <v>kas9171@nyp.org</v>
          </cell>
          <cell r="L2219" t="str">
            <v>Practitioner - Non-Primary Care Provider (PCP)</v>
          </cell>
          <cell r="M2219" t="str">
            <v>No</v>
          </cell>
          <cell r="R2219" t="str">
            <v>SPICER CLINTON DR.</v>
          </cell>
          <cell r="W2219" t="str">
            <v>SPICER CLINTON EDUARDO</v>
          </cell>
          <cell r="X2219" t="str">
            <v>622 W 168TH ST</v>
          </cell>
          <cell r="Y2219" t="str">
            <v>NEW YORK</v>
          </cell>
          <cell r="Z2219" t="str">
            <v>NY</v>
          </cell>
          <cell r="AA2219" t="str">
            <v>10032-3270</v>
          </cell>
          <cell r="AB2219" t="str">
            <v>DENTIST</v>
          </cell>
          <cell r="AC2219" t="str">
            <v>M</v>
          </cell>
          <cell r="AD2219" t="str">
            <v>No</v>
          </cell>
          <cell r="AE2219" t="str">
            <v>MMIS</v>
          </cell>
          <cell r="AF2219" t="str">
            <v>nypwestcampus</v>
          </cell>
          <cell r="AG2219" t="str">
            <v>P</v>
          </cell>
        </row>
        <row r="2220">
          <cell r="A2220" t="str">
            <v>1588907240</v>
          </cell>
          <cell r="C2220" t="str">
            <v>Jackson Jacob</v>
          </cell>
          <cell r="G2220" t="str">
            <v>Kathryn Spaziani</v>
          </cell>
          <cell r="H2220" t="str">
            <v>(212) 305-1255</v>
          </cell>
          <cell r="J2220" t="str">
            <v>kas9171@nyp.org</v>
          </cell>
          <cell r="K2220" t="str">
            <v>Physician</v>
          </cell>
          <cell r="L2220" t="str">
            <v>Uncategorized</v>
          </cell>
          <cell r="M2220" t="str">
            <v>No</v>
          </cell>
          <cell r="R2220" t="str">
            <v>JACKSON JACOB DR.</v>
          </cell>
          <cell r="S2220" t="str">
            <v>525 E 68TH ST, BOX 124</v>
          </cell>
          <cell r="T2220" t="str">
            <v>NEW YORK</v>
          </cell>
          <cell r="U2220" t="str">
            <v>NY</v>
          </cell>
          <cell r="V2220" t="str">
            <v>100654870</v>
          </cell>
          <cell r="AC2220" t="str">
            <v>M</v>
          </cell>
          <cell r="AD2220" t="str">
            <v>No</v>
          </cell>
          <cell r="AE2220" t="str">
            <v>NPI only</v>
          </cell>
          <cell r="AF2220" t="str">
            <v>nypeastcampus</v>
          </cell>
          <cell r="AG2220" t="str">
            <v>P</v>
          </cell>
        </row>
        <row r="2221">
          <cell r="A2221" t="str">
            <v>1427145598</v>
          </cell>
          <cell r="B2221" t="str">
            <v>02712852</v>
          </cell>
          <cell r="C2221" t="str">
            <v>Pryor Kane</v>
          </cell>
          <cell r="D2221" t="str">
            <v>E0028900</v>
          </cell>
          <cell r="E2221" t="str">
            <v>PRYOR KANE OWEN MD</v>
          </cell>
          <cell r="L2221" t="str">
            <v>All Other:: Practitioner - Non-Primary Care Provider (PCP)</v>
          </cell>
          <cell r="M2221" t="str">
            <v>No</v>
          </cell>
          <cell r="R2221" t="str">
            <v>PRYOR KANE</v>
          </cell>
          <cell r="W2221" t="str">
            <v>PRYOR KANE OWEN MD</v>
          </cell>
          <cell r="X2221" t="str">
            <v>525 E 68TH ST</v>
          </cell>
          <cell r="Y2221" t="str">
            <v>NEW YORK</v>
          </cell>
          <cell r="Z2221" t="str">
            <v>NY</v>
          </cell>
          <cell r="AA2221" t="str">
            <v>10065-4870</v>
          </cell>
          <cell r="AB2221" t="str">
            <v>PHYSICIAN</v>
          </cell>
          <cell r="AC2221" t="str">
            <v>M</v>
          </cell>
          <cell r="AD2221" t="str">
            <v>No</v>
          </cell>
          <cell r="AE2221" t="str">
            <v>MMIS</v>
          </cell>
          <cell r="AF2221" t="str">
            <v>nypeastcampus</v>
          </cell>
          <cell r="AG2221" t="str">
            <v>P</v>
          </cell>
        </row>
        <row r="2222">
          <cell r="A2222" t="str">
            <v>1477760643</v>
          </cell>
          <cell r="B2222" t="str">
            <v>02168665</v>
          </cell>
          <cell r="C2222" t="str">
            <v>KOLODNER, DEBRA ANN Q</v>
          </cell>
          <cell r="D2222" t="str">
            <v>E0083211</v>
          </cell>
          <cell r="E2222" t="str">
            <v>QUINN DEBRA ANN MD</v>
          </cell>
          <cell r="G2222" t="str">
            <v>Kathryn Spaziani</v>
          </cell>
          <cell r="H2222" t="str">
            <v>(212) 305-1190</v>
          </cell>
          <cell r="J2222" t="str">
            <v>kas9171@nyp.org</v>
          </cell>
          <cell r="L2222" t="str">
            <v>All Other:: Practitioner - Non-Primary Care Provider (PCP)</v>
          </cell>
          <cell r="M2222" t="str">
            <v>No</v>
          </cell>
          <cell r="R2222" t="str">
            <v>KOLODNER DEBRA DR.</v>
          </cell>
          <cell r="W2222" t="str">
            <v>KOLODNER DEBRA A QUINN MD</v>
          </cell>
          <cell r="X2222" t="str">
            <v>622 WEST 168TH SREET</v>
          </cell>
          <cell r="Y2222" t="str">
            <v>NEW YORK</v>
          </cell>
          <cell r="Z2222" t="str">
            <v>NY</v>
          </cell>
          <cell r="AA2222" t="str">
            <v>10032-3720</v>
          </cell>
          <cell r="AB2222" t="str">
            <v>PHYSICIAN</v>
          </cell>
          <cell r="AC2222" t="str">
            <v>M</v>
          </cell>
          <cell r="AD2222" t="str">
            <v>No</v>
          </cell>
          <cell r="AE2222" t="str">
            <v>MMIS</v>
          </cell>
          <cell r="AF2222" t="str">
            <v>nypwestcampus</v>
          </cell>
          <cell r="AG2222" t="str">
            <v>P</v>
          </cell>
        </row>
        <row r="2223">
          <cell r="A2223" t="str">
            <v>1710148549</v>
          </cell>
          <cell r="C2223" t="str">
            <v>Homefirst LHCSA, Inc. d/b/a MJHS License Home Care Services Agency</v>
          </cell>
          <cell r="G2223" t="str">
            <v>Jay Gormley, VP of Planning, Research, and Innovation</v>
          </cell>
          <cell r="H2223" t="str">
            <v>(212) 356-5419</v>
          </cell>
          <cell r="J2223" t="str">
            <v>jgormley@mjhs.org</v>
          </cell>
          <cell r="K2223" t="str">
            <v>Home Health</v>
          </cell>
          <cell r="L2223" t="str">
            <v>Uncategorized</v>
          </cell>
          <cell r="M2223" t="str">
            <v>No</v>
          </cell>
          <cell r="R2223" t="str">
            <v>HOMEFIRST LHCSA INC DBA METROPOLITAN JEWISH LIC. HOME CARE SERV. AGEN</v>
          </cell>
          <cell r="S2223" t="str">
            <v>6323 7TH AVE</v>
          </cell>
          <cell r="T2223" t="str">
            <v>BROOKLYN</v>
          </cell>
          <cell r="U2223" t="str">
            <v>NY</v>
          </cell>
          <cell r="V2223" t="str">
            <v>112204742</v>
          </cell>
          <cell r="AC2223" t="str">
            <v>M</v>
          </cell>
          <cell r="AD2223" t="str">
            <v>No</v>
          </cell>
          <cell r="AE2223" t="str">
            <v>NPI only</v>
          </cell>
          <cell r="AG2223" t="str">
            <v>P</v>
          </cell>
        </row>
        <row r="2224">
          <cell r="A2224" t="str">
            <v>1245226059</v>
          </cell>
          <cell r="B2224" t="str">
            <v>03450699</v>
          </cell>
          <cell r="C2224" t="str">
            <v>Paolicchi, Juliann M.</v>
          </cell>
          <cell r="D2224" t="str">
            <v>E0333886</v>
          </cell>
          <cell r="E2224" t="str">
            <v>PAOLICCHI JULIANN MARIE</v>
          </cell>
          <cell r="G2224" t="str">
            <v>Kathryn Spaziani</v>
          </cell>
          <cell r="H2224" t="str">
            <v>(212) 305-1190</v>
          </cell>
          <cell r="J2224" t="str">
            <v>kas9171@nyp.org</v>
          </cell>
          <cell r="L2224" t="str">
            <v>Practitioner - Non-Primary Care Provider (PCP)</v>
          </cell>
          <cell r="M2224" t="str">
            <v>No</v>
          </cell>
          <cell r="R2224" t="str">
            <v>PAOLICCHI JULIANN</v>
          </cell>
          <cell r="W2224" t="str">
            <v>PAOLICCHI JULIANN MARIE</v>
          </cell>
          <cell r="X2224" t="str">
            <v>525 E 68TH ST # 585</v>
          </cell>
          <cell r="Y2224" t="str">
            <v>NEW YORK</v>
          </cell>
          <cell r="Z2224" t="str">
            <v>NY</v>
          </cell>
          <cell r="AA2224" t="str">
            <v>10065-4870</v>
          </cell>
          <cell r="AB2224" t="str">
            <v>PHYSICIAN</v>
          </cell>
          <cell r="AC2224" t="str">
            <v>M</v>
          </cell>
          <cell r="AD2224" t="str">
            <v>No</v>
          </cell>
          <cell r="AE2224" t="str">
            <v>MMIS</v>
          </cell>
          <cell r="AF2224" t="str">
            <v>nypother</v>
          </cell>
          <cell r="AG2224" t="str">
            <v>P</v>
          </cell>
        </row>
        <row r="2225">
          <cell r="A2225" t="str">
            <v>1821331893</v>
          </cell>
          <cell r="B2225" t="str">
            <v>04609050</v>
          </cell>
          <cell r="C2225" t="str">
            <v>CHRISTIAN WILSON</v>
          </cell>
          <cell r="D2225" t="str">
            <v>E0453885</v>
          </cell>
          <cell r="E2225" t="str">
            <v>WILSON CHRISTIAN</v>
          </cell>
          <cell r="G2225" t="str">
            <v>Kathryn Spaziani</v>
          </cell>
          <cell r="H2225" t="str">
            <v>(212) 305-1190</v>
          </cell>
          <cell r="J2225" t="str">
            <v>kas9171@nyp.org</v>
          </cell>
          <cell r="L2225" t="str">
            <v>Uncategorized</v>
          </cell>
          <cell r="M2225" t="str">
            <v>No</v>
          </cell>
          <cell r="R2225" t="str">
            <v>WILSON CHRISTIAN DR.</v>
          </cell>
          <cell r="W2225" t="str">
            <v>WILSON CHRISTIAN CHASE</v>
          </cell>
          <cell r="AB2225" t="str">
            <v>PHYSICIAN</v>
          </cell>
          <cell r="AC2225" t="str">
            <v>M</v>
          </cell>
          <cell r="AD2225" t="str">
            <v>No</v>
          </cell>
          <cell r="AE2225" t="str">
            <v>MMIS</v>
          </cell>
          <cell r="AF2225" t="str">
            <v>nypwestcampus</v>
          </cell>
          <cell r="AG2225" t="str">
            <v>P</v>
          </cell>
        </row>
        <row r="2226">
          <cell r="A2226" t="str">
            <v>1649541863</v>
          </cell>
          <cell r="C2226" t="str">
            <v>JESSICA YANG</v>
          </cell>
          <cell r="G2226" t="str">
            <v>Kathryn Spaziani</v>
          </cell>
          <cell r="H2226" t="str">
            <v>(212) 305-1190</v>
          </cell>
          <cell r="J2226" t="str">
            <v>kas9171@nyp.org</v>
          </cell>
          <cell r="K2226" t="str">
            <v>Unknown</v>
          </cell>
          <cell r="L2226" t="str">
            <v>Uncategorized</v>
          </cell>
          <cell r="M2226" t="str">
            <v>No</v>
          </cell>
          <cell r="R2226" t="str">
            <v>YANG JESSICA</v>
          </cell>
          <cell r="S2226" t="str">
            <v>600 NORTH WOLFE ST.</v>
          </cell>
          <cell r="T2226" t="str">
            <v>BALTIMORE</v>
          </cell>
          <cell r="U2226" t="str">
            <v>MD</v>
          </cell>
          <cell r="V2226" t="str">
            <v>212872109</v>
          </cell>
          <cell r="AC2226" t="str">
            <v>M</v>
          </cell>
          <cell r="AD2226" t="str">
            <v>No</v>
          </cell>
          <cell r="AE2226" t="str">
            <v>NPI only</v>
          </cell>
          <cell r="AF2226" t="str">
            <v>nypwestcampus</v>
          </cell>
          <cell r="AG2226" t="str">
            <v>P</v>
          </cell>
        </row>
        <row r="2227">
          <cell r="A2227" t="str">
            <v>1407126113</v>
          </cell>
          <cell r="C2227" t="str">
            <v>JESSE YANG</v>
          </cell>
          <cell r="G2227" t="str">
            <v>Kathryn Spaziani</v>
          </cell>
          <cell r="H2227" t="str">
            <v>(212) 305-1190</v>
          </cell>
          <cell r="J2227" t="str">
            <v>kas9171@nyp.org</v>
          </cell>
          <cell r="K2227" t="str">
            <v>Unknown</v>
          </cell>
          <cell r="L2227" t="str">
            <v>Uncategorized</v>
          </cell>
          <cell r="M2227" t="str">
            <v>No</v>
          </cell>
          <cell r="R2227" t="str">
            <v>YANG JESSE</v>
          </cell>
          <cell r="S2227" t="str">
            <v>600 N WOLFE ST</v>
          </cell>
          <cell r="T2227" t="str">
            <v>BALTIMORE</v>
          </cell>
          <cell r="U2227" t="str">
            <v>MD</v>
          </cell>
          <cell r="V2227" t="str">
            <v>212872109</v>
          </cell>
          <cell r="AC2227" t="str">
            <v>M</v>
          </cell>
          <cell r="AD2227" t="str">
            <v>No</v>
          </cell>
          <cell r="AE2227" t="str">
            <v>NPI only</v>
          </cell>
          <cell r="AF2227" t="str">
            <v>nypwestcampus</v>
          </cell>
          <cell r="AG2227" t="str">
            <v>P</v>
          </cell>
        </row>
        <row r="2228">
          <cell r="A2228" t="str">
            <v>1619243912</v>
          </cell>
          <cell r="C2228" t="str">
            <v>JUSTIN AARON</v>
          </cell>
          <cell r="G2228" t="str">
            <v>Kathryn Spaziani</v>
          </cell>
          <cell r="H2228" t="str">
            <v>(212) 305-1190</v>
          </cell>
          <cell r="J2228" t="str">
            <v>kas9171@nyp.org</v>
          </cell>
          <cell r="K2228" t="str">
            <v>Unknown</v>
          </cell>
          <cell r="L2228" t="str">
            <v>Uncategorized</v>
          </cell>
          <cell r="M2228" t="str">
            <v>No</v>
          </cell>
          <cell r="R2228" t="str">
            <v>AARON JUSTIN</v>
          </cell>
          <cell r="S2228" t="str">
            <v>177 FORT WASHINGTON AVE</v>
          </cell>
          <cell r="T2228" t="str">
            <v>NEW YORK</v>
          </cell>
          <cell r="U2228" t="str">
            <v>NY</v>
          </cell>
          <cell r="V2228" t="str">
            <v>10032</v>
          </cell>
          <cell r="AC2228" t="str">
            <v>M</v>
          </cell>
          <cell r="AD2228" t="str">
            <v>No</v>
          </cell>
          <cell r="AE2228" t="str">
            <v>NPI only</v>
          </cell>
          <cell r="AF2228" t="str">
            <v>nypwestcampus</v>
          </cell>
          <cell r="AG2228" t="str">
            <v>P</v>
          </cell>
        </row>
        <row r="2229">
          <cell r="A2229" t="str">
            <v>1083971782</v>
          </cell>
          <cell r="C2229" t="str">
            <v>RITA ABDELMESSIH</v>
          </cell>
          <cell r="G2229" t="str">
            <v>Kathryn Spaziani</v>
          </cell>
          <cell r="H2229" t="str">
            <v>(212) 305-1190</v>
          </cell>
          <cell r="J2229" t="str">
            <v>kas9171@nyp.org</v>
          </cell>
          <cell r="K2229" t="str">
            <v>Unknown</v>
          </cell>
          <cell r="L2229" t="str">
            <v>Uncategorized</v>
          </cell>
          <cell r="M2229" t="str">
            <v>No</v>
          </cell>
          <cell r="R2229" t="str">
            <v>ABDELMESSIH RITA</v>
          </cell>
          <cell r="S2229" t="str">
            <v>630 W 168TH ST, PH 8 EAST ROOM 105</v>
          </cell>
          <cell r="T2229" t="str">
            <v>NEW YORK</v>
          </cell>
          <cell r="U2229" t="str">
            <v>NY</v>
          </cell>
          <cell r="V2229" t="str">
            <v>100323725</v>
          </cell>
          <cell r="AC2229" t="str">
            <v>M</v>
          </cell>
          <cell r="AD2229" t="str">
            <v>No</v>
          </cell>
          <cell r="AE2229" t="str">
            <v>NPI only</v>
          </cell>
          <cell r="AF2229" t="str">
            <v>nypwestcampus</v>
          </cell>
          <cell r="AG2229" t="str">
            <v>P</v>
          </cell>
        </row>
        <row r="2230">
          <cell r="A2230" t="str">
            <v>1063770048</v>
          </cell>
          <cell r="C2230" t="str">
            <v>BARAN AKSUT</v>
          </cell>
          <cell r="G2230" t="str">
            <v>Kathryn Spaziani</v>
          </cell>
          <cell r="H2230" t="str">
            <v>(212) 305-1190</v>
          </cell>
          <cell r="J2230" t="str">
            <v>kas9171@nyp.org</v>
          </cell>
          <cell r="K2230" t="str">
            <v>Unknown</v>
          </cell>
          <cell r="L2230" t="str">
            <v>Uncategorized</v>
          </cell>
          <cell r="M2230" t="str">
            <v>No</v>
          </cell>
          <cell r="R2230" t="str">
            <v>AKSUT BARAN DR.</v>
          </cell>
          <cell r="S2230" t="str">
            <v>622 W 168TH ST</v>
          </cell>
          <cell r="T2230" t="str">
            <v>NEW YORK</v>
          </cell>
          <cell r="U2230" t="str">
            <v>NY</v>
          </cell>
          <cell r="V2230" t="str">
            <v>100323720</v>
          </cell>
          <cell r="AC2230" t="str">
            <v>M</v>
          </cell>
          <cell r="AD2230" t="str">
            <v>No</v>
          </cell>
          <cell r="AE2230" t="str">
            <v>NPI only</v>
          </cell>
          <cell r="AF2230" t="str">
            <v>nypother</v>
          </cell>
          <cell r="AG2230" t="str">
            <v>P</v>
          </cell>
        </row>
        <row r="2231">
          <cell r="A2231" t="str">
            <v>1508123043</v>
          </cell>
          <cell r="C2231" t="str">
            <v>DIANA ANDERSON</v>
          </cell>
          <cell r="G2231" t="str">
            <v>Kathryn Spaziani</v>
          </cell>
          <cell r="H2231" t="str">
            <v>(212) 305-1190</v>
          </cell>
          <cell r="J2231" t="str">
            <v>kas9171@nyp.org</v>
          </cell>
          <cell r="K2231" t="str">
            <v>Unknown</v>
          </cell>
          <cell r="L2231" t="str">
            <v>Uncategorized</v>
          </cell>
          <cell r="M2231" t="str">
            <v>No</v>
          </cell>
          <cell r="R2231" t="str">
            <v>ANDERSON DIANA DR.</v>
          </cell>
          <cell r="S2231" t="str">
            <v>720 W 170TH ST APT 6A</v>
          </cell>
          <cell r="T2231" t="str">
            <v>NEW YORK</v>
          </cell>
          <cell r="U2231" t="str">
            <v>NY</v>
          </cell>
          <cell r="V2231" t="str">
            <v>100322933</v>
          </cell>
          <cell r="AC2231" t="str">
            <v>M</v>
          </cell>
          <cell r="AD2231" t="str">
            <v>No</v>
          </cell>
          <cell r="AE2231" t="str">
            <v>NPI only</v>
          </cell>
          <cell r="AF2231" t="str">
            <v>nypother</v>
          </cell>
          <cell r="AG2231" t="str">
            <v>P</v>
          </cell>
        </row>
        <row r="2232">
          <cell r="A2232" t="str">
            <v>1962769406</v>
          </cell>
          <cell r="B2232" t="str">
            <v>04230131</v>
          </cell>
          <cell r="C2232" t="str">
            <v>EMILY BANEMAN</v>
          </cell>
          <cell r="D2232" t="str">
            <v>E0414986</v>
          </cell>
          <cell r="E2232" t="str">
            <v>BANEMAN EMILY</v>
          </cell>
          <cell r="G2232" t="str">
            <v>Kathryn Spaziani</v>
          </cell>
          <cell r="H2232" t="str">
            <v>(212) 305-1190</v>
          </cell>
          <cell r="J2232" t="str">
            <v>kas9171@nyp.org</v>
          </cell>
          <cell r="L2232" t="str">
            <v>Practitioner - Non-Primary Care Provider (PCP)</v>
          </cell>
          <cell r="M2232" t="str">
            <v>No</v>
          </cell>
          <cell r="R2232" t="str">
            <v>BANEMAN EMILY DR.</v>
          </cell>
          <cell r="W2232" t="str">
            <v>BANEMAN EMILY MICHELLE</v>
          </cell>
          <cell r="X2232" t="str">
            <v>177 FORT WASHINGTON AVE</v>
          </cell>
          <cell r="Y2232" t="str">
            <v>NEW YORK</v>
          </cell>
          <cell r="Z2232" t="str">
            <v>NY</v>
          </cell>
          <cell r="AA2232" t="str">
            <v>10032-3733</v>
          </cell>
          <cell r="AB2232" t="str">
            <v>PHYSICIAN</v>
          </cell>
          <cell r="AC2232" t="str">
            <v>M</v>
          </cell>
          <cell r="AD2232" t="str">
            <v>No</v>
          </cell>
          <cell r="AE2232" t="str">
            <v>MMIS</v>
          </cell>
          <cell r="AF2232" t="str">
            <v>nypwestcampus</v>
          </cell>
          <cell r="AG2232" t="str">
            <v>P</v>
          </cell>
        </row>
        <row r="2233">
          <cell r="A2233" t="str">
            <v>1407114044</v>
          </cell>
          <cell r="B2233" t="str">
            <v>04155675</v>
          </cell>
          <cell r="C2233" t="str">
            <v>BRIAN BLOCK</v>
          </cell>
          <cell r="D2233" t="str">
            <v>E0407386</v>
          </cell>
          <cell r="E2233" t="str">
            <v>BLOCK BRIAN</v>
          </cell>
          <cell r="G2233" t="str">
            <v>Kathryn Spaziani</v>
          </cell>
          <cell r="H2233" t="str">
            <v>(212) 305-1190</v>
          </cell>
          <cell r="J2233" t="str">
            <v>kas9171@nyp.org</v>
          </cell>
          <cell r="L2233" t="str">
            <v>Practitioner - Non-Primary Care Provider (PCP)</v>
          </cell>
          <cell r="M2233" t="str">
            <v>No</v>
          </cell>
          <cell r="R2233" t="str">
            <v>BLOCK BRIAN DR.</v>
          </cell>
          <cell r="W2233" t="str">
            <v>BLOCK BRIAN LEWIS</v>
          </cell>
          <cell r="X2233" t="str">
            <v>622 W 168TH ST</v>
          </cell>
          <cell r="Y2233" t="str">
            <v>NEW YORK</v>
          </cell>
          <cell r="Z2233" t="str">
            <v>NY</v>
          </cell>
          <cell r="AA2233" t="str">
            <v>10032-3720</v>
          </cell>
          <cell r="AB2233" t="str">
            <v>PHYSICIAN</v>
          </cell>
          <cell r="AC2233" t="str">
            <v>M</v>
          </cell>
          <cell r="AD2233" t="str">
            <v>No</v>
          </cell>
          <cell r="AE2233" t="str">
            <v>MMIS</v>
          </cell>
          <cell r="AF2233" t="str">
            <v>nypwestcampus</v>
          </cell>
          <cell r="AG2233" t="str">
            <v>P</v>
          </cell>
        </row>
        <row r="2234">
          <cell r="A2234" t="str">
            <v>1699031773</v>
          </cell>
          <cell r="C2234" t="str">
            <v>MATTHEW SCHOENFELD</v>
          </cell>
          <cell r="G2234" t="str">
            <v>Kathryn Spaziani</v>
          </cell>
          <cell r="H2234" t="str">
            <v>(212) 305-1190</v>
          </cell>
          <cell r="J2234" t="str">
            <v>kas9171@nyp.org</v>
          </cell>
          <cell r="K2234" t="str">
            <v>Unknown</v>
          </cell>
          <cell r="L2234" t="str">
            <v>Uncategorized</v>
          </cell>
          <cell r="M2234" t="str">
            <v>No</v>
          </cell>
          <cell r="R2234" t="str">
            <v>SCHOENFELD MATTHEW DR.</v>
          </cell>
          <cell r="S2234" t="str">
            <v>550 1ST AVE, NYU LANGONE MEDICAL CENTER</v>
          </cell>
          <cell r="T2234" t="str">
            <v>NEW YORK</v>
          </cell>
          <cell r="U2234" t="str">
            <v>NY</v>
          </cell>
          <cell r="V2234" t="str">
            <v>100166402</v>
          </cell>
          <cell r="AC2234" t="str">
            <v>M</v>
          </cell>
          <cell r="AD2234" t="str">
            <v>No</v>
          </cell>
          <cell r="AE2234" t="str">
            <v>NPI only</v>
          </cell>
          <cell r="AF2234" t="str">
            <v>nypother</v>
          </cell>
          <cell r="AG2234" t="str">
            <v>P</v>
          </cell>
        </row>
        <row r="2235">
          <cell r="A2235" t="str">
            <v>1669890844</v>
          </cell>
          <cell r="C2235" t="str">
            <v>FAISAL SHAIKH</v>
          </cell>
          <cell r="G2235" t="str">
            <v>Kathryn Spaziani</v>
          </cell>
          <cell r="H2235" t="str">
            <v>(212) 305-1190</v>
          </cell>
          <cell r="J2235" t="str">
            <v>kas9171@nyp.org</v>
          </cell>
          <cell r="K2235" t="str">
            <v>Unknown</v>
          </cell>
          <cell r="L2235" t="str">
            <v>Uncategorized</v>
          </cell>
          <cell r="M2235" t="str">
            <v>No</v>
          </cell>
          <cell r="R2235" t="str">
            <v>SHAIKH FAISAL</v>
          </cell>
          <cell r="S2235" t="str">
            <v>525 E 68TH ST</v>
          </cell>
          <cell r="T2235" t="str">
            <v>NEW YORK</v>
          </cell>
          <cell r="U2235" t="str">
            <v>NY</v>
          </cell>
          <cell r="V2235" t="str">
            <v>100654870</v>
          </cell>
          <cell r="AC2235" t="str">
            <v>M</v>
          </cell>
          <cell r="AD2235" t="str">
            <v>No</v>
          </cell>
          <cell r="AE2235" t="str">
            <v>NPI only</v>
          </cell>
          <cell r="AF2235" t="str">
            <v>nypeastcampus</v>
          </cell>
          <cell r="AG2235" t="str">
            <v>P</v>
          </cell>
        </row>
        <row r="2236">
          <cell r="A2236" t="str">
            <v>1073856027</v>
          </cell>
          <cell r="C2236" t="str">
            <v>NICOLE SHEN</v>
          </cell>
          <cell r="G2236" t="str">
            <v>Kathryn Spaziani</v>
          </cell>
          <cell r="H2236" t="str">
            <v>(212) 305-1190</v>
          </cell>
          <cell r="J2236" t="str">
            <v>kas9171@nyp.org</v>
          </cell>
          <cell r="K2236" t="str">
            <v>Unknown</v>
          </cell>
          <cell r="L2236" t="str">
            <v>Uncategorized</v>
          </cell>
          <cell r="M2236" t="str">
            <v>No</v>
          </cell>
          <cell r="R2236" t="str">
            <v>SHEN NICOLE</v>
          </cell>
          <cell r="S2236" t="str">
            <v>505 EAST 70TH STREET, WEILL CORNELL INTERNAL MEDICINE ASSOCIATES</v>
          </cell>
          <cell r="T2236" t="str">
            <v>NEW YORK</v>
          </cell>
          <cell r="U2236" t="str">
            <v>NY</v>
          </cell>
          <cell r="V2236" t="str">
            <v>10021</v>
          </cell>
          <cell r="AC2236" t="str">
            <v>M</v>
          </cell>
          <cell r="AD2236" t="str">
            <v>No</v>
          </cell>
          <cell r="AE2236" t="str">
            <v>NPI only</v>
          </cell>
          <cell r="AF2236" t="str">
            <v>nypeastcampus</v>
          </cell>
          <cell r="AG2236" t="str">
            <v>P</v>
          </cell>
        </row>
        <row r="2237">
          <cell r="A2237" t="str">
            <v>1669816989</v>
          </cell>
          <cell r="C2237" t="str">
            <v>AVANI SINHA</v>
          </cell>
          <cell r="G2237" t="str">
            <v>Kathryn Spaziani</v>
          </cell>
          <cell r="H2237" t="str">
            <v>(212) 305-1190</v>
          </cell>
          <cell r="J2237" t="str">
            <v>kas9171@nyp.org</v>
          </cell>
          <cell r="K2237" t="str">
            <v>Unknown</v>
          </cell>
          <cell r="L2237" t="str">
            <v>Uncategorized</v>
          </cell>
          <cell r="M2237" t="str">
            <v>No</v>
          </cell>
          <cell r="R2237" t="str">
            <v>SINHA AVANI MS.</v>
          </cell>
          <cell r="S2237" t="str">
            <v>505 EAST 70TH STREET, WEILL CORNELL INTERNAL MEDICINE ASSOCIATES</v>
          </cell>
          <cell r="T2237" t="str">
            <v>NEW YORK</v>
          </cell>
          <cell r="U2237" t="str">
            <v>NY</v>
          </cell>
          <cell r="V2237" t="str">
            <v>10021</v>
          </cell>
          <cell r="AC2237" t="str">
            <v>M</v>
          </cell>
          <cell r="AD2237" t="str">
            <v>No</v>
          </cell>
          <cell r="AE2237" t="str">
            <v>NPI only</v>
          </cell>
          <cell r="AF2237" t="str">
            <v>nypeastcampus</v>
          </cell>
          <cell r="AG2237" t="str">
            <v>P</v>
          </cell>
        </row>
        <row r="2238">
          <cell r="A2238" t="str">
            <v>1568704211</v>
          </cell>
          <cell r="C2238" t="str">
            <v>JOSHUA SMITH</v>
          </cell>
          <cell r="G2238" t="str">
            <v>Kathryn Spaziani</v>
          </cell>
          <cell r="H2238" t="str">
            <v>(212) 305-1190</v>
          </cell>
          <cell r="J2238" t="str">
            <v>kas9171@nyp.org</v>
          </cell>
          <cell r="K2238" t="str">
            <v>Unknown</v>
          </cell>
          <cell r="L2238" t="str">
            <v>Uncategorized</v>
          </cell>
          <cell r="M2238" t="str">
            <v>No</v>
          </cell>
          <cell r="R2238" t="str">
            <v>SMITH JOSHUA</v>
          </cell>
          <cell r="S2238" t="str">
            <v>505 E 70TH ST</v>
          </cell>
          <cell r="T2238" t="str">
            <v>NEW YORK</v>
          </cell>
          <cell r="U2238" t="str">
            <v>NY</v>
          </cell>
          <cell r="V2238" t="str">
            <v>100214872</v>
          </cell>
          <cell r="AC2238" t="str">
            <v>M</v>
          </cell>
          <cell r="AD2238" t="str">
            <v>No</v>
          </cell>
          <cell r="AE2238" t="str">
            <v>NPI only</v>
          </cell>
          <cell r="AF2238" t="str">
            <v>nypeastcampus</v>
          </cell>
          <cell r="AG2238" t="str">
            <v>P</v>
          </cell>
        </row>
        <row r="2239">
          <cell r="A2239" t="str">
            <v>1144562786</v>
          </cell>
          <cell r="C2239" t="str">
            <v>MADELINE STERLING</v>
          </cell>
          <cell r="G2239" t="str">
            <v>Kathryn Spaziani</v>
          </cell>
          <cell r="H2239" t="str">
            <v>(212) 305-1190</v>
          </cell>
          <cell r="J2239" t="str">
            <v>kas9171@nyp.org</v>
          </cell>
          <cell r="K2239" t="str">
            <v>Unknown</v>
          </cell>
          <cell r="L2239" t="str">
            <v>Uncategorized</v>
          </cell>
          <cell r="M2239" t="str">
            <v>No</v>
          </cell>
          <cell r="R2239" t="str">
            <v>STERLING MADELINE</v>
          </cell>
          <cell r="S2239" t="str">
            <v>505 E 70TH ST, HELMSLEY MEDICAL TOWER SUITE 4</v>
          </cell>
          <cell r="T2239" t="str">
            <v>NEW YORK</v>
          </cell>
          <cell r="U2239" t="str">
            <v>NY</v>
          </cell>
          <cell r="V2239" t="str">
            <v>100214872</v>
          </cell>
          <cell r="AC2239" t="str">
            <v>M</v>
          </cell>
          <cell r="AD2239" t="str">
            <v>No</v>
          </cell>
          <cell r="AE2239" t="str">
            <v>NPI only</v>
          </cell>
          <cell r="AF2239" t="str">
            <v>nypeastcampus</v>
          </cell>
          <cell r="AG2239" t="str">
            <v>P</v>
          </cell>
        </row>
        <row r="2240">
          <cell r="A2240" t="str">
            <v>1124360615</v>
          </cell>
          <cell r="C2240" t="str">
            <v>MICHAEL TANOUE</v>
          </cell>
          <cell r="G2240" t="str">
            <v>Kathryn Spaziani</v>
          </cell>
          <cell r="H2240" t="str">
            <v>(212) 305-1190</v>
          </cell>
          <cell r="J2240" t="str">
            <v>kas9171@nyp.org</v>
          </cell>
          <cell r="K2240" t="str">
            <v>Unknown</v>
          </cell>
          <cell r="L2240" t="str">
            <v>Uncategorized</v>
          </cell>
          <cell r="M2240" t="str">
            <v>No</v>
          </cell>
          <cell r="R2240" t="str">
            <v>TANOUE MICHAEL</v>
          </cell>
          <cell r="S2240" t="str">
            <v>505 E 70TH ST</v>
          </cell>
          <cell r="T2240" t="str">
            <v>NEW YORK</v>
          </cell>
          <cell r="U2240" t="str">
            <v>NY</v>
          </cell>
          <cell r="V2240" t="str">
            <v>100214872</v>
          </cell>
          <cell r="AC2240" t="str">
            <v>M</v>
          </cell>
          <cell r="AD2240" t="str">
            <v>No</v>
          </cell>
          <cell r="AE2240" t="str">
            <v>NPI only</v>
          </cell>
          <cell r="AF2240" t="str">
            <v>nypeastcampus</v>
          </cell>
          <cell r="AG2240" t="str">
            <v>P</v>
          </cell>
        </row>
        <row r="2241">
          <cell r="A2241" t="str">
            <v>1194067587</v>
          </cell>
          <cell r="C2241" t="str">
            <v>BEVERLY TCHANG</v>
          </cell>
          <cell r="G2241" t="str">
            <v>Kathryn Spaziani</v>
          </cell>
          <cell r="H2241" t="str">
            <v>(212) 305-1190</v>
          </cell>
          <cell r="J2241" t="str">
            <v>kas9171@nyp.org</v>
          </cell>
          <cell r="K2241" t="str">
            <v>Unknown</v>
          </cell>
          <cell r="L2241" t="str">
            <v>Uncategorized</v>
          </cell>
          <cell r="M2241" t="str">
            <v>No</v>
          </cell>
          <cell r="R2241" t="str">
            <v>TCHANG BEVERLY MS.</v>
          </cell>
          <cell r="S2241" t="str">
            <v>505 E 70TH ST</v>
          </cell>
          <cell r="T2241" t="str">
            <v>NEW YORK</v>
          </cell>
          <cell r="U2241" t="str">
            <v>NY</v>
          </cell>
          <cell r="V2241" t="str">
            <v>100214872</v>
          </cell>
          <cell r="AC2241" t="str">
            <v>M</v>
          </cell>
          <cell r="AD2241" t="str">
            <v>No</v>
          </cell>
          <cell r="AE2241" t="str">
            <v>NPI only</v>
          </cell>
          <cell r="AF2241" t="str">
            <v>nypeastcampus</v>
          </cell>
          <cell r="AG2241" t="str">
            <v>P</v>
          </cell>
        </row>
        <row r="2242">
          <cell r="A2242" t="str">
            <v>1306112677</v>
          </cell>
          <cell r="B2242" t="str">
            <v>04304789</v>
          </cell>
          <cell r="C2242" t="str">
            <v>NANCY TRAY</v>
          </cell>
          <cell r="D2242" t="str">
            <v>E0422550</v>
          </cell>
          <cell r="E2242" t="str">
            <v>TRAY NANCY JANE</v>
          </cell>
          <cell r="G2242" t="str">
            <v>Kathryn Spaziani</v>
          </cell>
          <cell r="H2242" t="str">
            <v>(212) 305-1190</v>
          </cell>
          <cell r="J2242" t="str">
            <v>kas9171@nyp.org</v>
          </cell>
          <cell r="L2242" t="str">
            <v>Practitioner - Non-Primary Care Provider (PCP)</v>
          </cell>
          <cell r="M2242" t="str">
            <v>No</v>
          </cell>
          <cell r="R2242" t="str">
            <v>TRAY NANCY</v>
          </cell>
          <cell r="W2242" t="str">
            <v>TRAY NANCY JANE</v>
          </cell>
          <cell r="X2242" t="str">
            <v>1275 YORK AVE</v>
          </cell>
          <cell r="Y2242" t="str">
            <v>NEW YORK</v>
          </cell>
          <cell r="Z2242" t="str">
            <v>NY</v>
          </cell>
          <cell r="AA2242" t="str">
            <v>10065-6007</v>
          </cell>
          <cell r="AB2242" t="str">
            <v>PHYSICIAN</v>
          </cell>
          <cell r="AC2242" t="str">
            <v>M</v>
          </cell>
          <cell r="AD2242" t="str">
            <v>No</v>
          </cell>
          <cell r="AE2242" t="str">
            <v>MMIS</v>
          </cell>
          <cell r="AF2242" t="str">
            <v>nypother</v>
          </cell>
          <cell r="AG2242" t="str">
            <v>P</v>
          </cell>
        </row>
        <row r="2243">
          <cell r="A2243" t="str">
            <v>1003233933</v>
          </cell>
          <cell r="C2243" t="str">
            <v>AJAYRAM ULLAL</v>
          </cell>
          <cell r="G2243" t="str">
            <v>Kathryn Spaziani</v>
          </cell>
          <cell r="H2243" t="str">
            <v>(212) 305-1190</v>
          </cell>
          <cell r="J2243" t="str">
            <v>kas9171@nyp.org</v>
          </cell>
          <cell r="K2243" t="str">
            <v>Unknown</v>
          </cell>
          <cell r="L2243" t="str">
            <v>Uncategorized</v>
          </cell>
          <cell r="M2243" t="str">
            <v>No</v>
          </cell>
          <cell r="R2243" t="str">
            <v>ULLAL AJAYRAM</v>
          </cell>
          <cell r="S2243" t="str">
            <v>505 E 70TH ST, 505 E 70TH ST</v>
          </cell>
          <cell r="T2243" t="str">
            <v>NEW YORK</v>
          </cell>
          <cell r="U2243" t="str">
            <v>NY</v>
          </cell>
          <cell r="V2243" t="str">
            <v>100214872</v>
          </cell>
          <cell r="AC2243" t="str">
            <v>M</v>
          </cell>
          <cell r="AD2243" t="str">
            <v>No</v>
          </cell>
          <cell r="AE2243" t="str">
            <v>NPI only</v>
          </cell>
          <cell r="AF2243" t="str">
            <v>nypeastcampus</v>
          </cell>
          <cell r="AG2243" t="str">
            <v>P</v>
          </cell>
        </row>
        <row r="2244">
          <cell r="A2244" t="str">
            <v>1548688385</v>
          </cell>
          <cell r="C2244" t="str">
            <v>HARIKIRAN VASU</v>
          </cell>
          <cell r="G2244" t="str">
            <v>Kathryn Spaziani</v>
          </cell>
          <cell r="H2244" t="str">
            <v>(212) 305-1190</v>
          </cell>
          <cell r="J2244" t="str">
            <v>kas9171@nyp.org</v>
          </cell>
          <cell r="K2244" t="str">
            <v>Unknown</v>
          </cell>
          <cell r="L2244" t="str">
            <v>Uncategorized</v>
          </cell>
          <cell r="M2244" t="str">
            <v>No</v>
          </cell>
          <cell r="AC2244" t="str">
            <v>M</v>
          </cell>
          <cell r="AD2244" t="str">
            <v>No</v>
          </cell>
          <cell r="AE2244" t="str">
            <v>NPI only</v>
          </cell>
          <cell r="AF2244" t="str">
            <v>nypother</v>
          </cell>
          <cell r="AG2244" t="str">
            <v>P</v>
          </cell>
        </row>
        <row r="2245">
          <cell r="A2245" t="str">
            <v>1336467505</v>
          </cell>
          <cell r="B2245" t="str">
            <v>04249914</v>
          </cell>
          <cell r="C2245" t="str">
            <v>DAVID VEAL</v>
          </cell>
          <cell r="D2245" t="str">
            <v>E0417014</v>
          </cell>
          <cell r="E2245" t="str">
            <v>VEAL DAVID</v>
          </cell>
          <cell r="G2245" t="str">
            <v>Kathryn Spaziani</v>
          </cell>
          <cell r="H2245" t="str">
            <v>(212) 305-1190</v>
          </cell>
          <cell r="J2245" t="str">
            <v>kas9171@nyp.org</v>
          </cell>
          <cell r="L2245" t="str">
            <v>Practitioner - Non-Primary Care Provider (PCP)</v>
          </cell>
          <cell r="M2245" t="str">
            <v>No</v>
          </cell>
          <cell r="R2245" t="str">
            <v>VEAL DAVID DR.</v>
          </cell>
          <cell r="W2245" t="str">
            <v>VEAL DAVID RICHARD</v>
          </cell>
          <cell r="X2245" t="str">
            <v>622 W 168TH ST</v>
          </cell>
          <cell r="Y2245" t="str">
            <v>NEW YORK</v>
          </cell>
          <cell r="Z2245" t="str">
            <v>NY</v>
          </cell>
          <cell r="AA2245" t="str">
            <v>10032-3720</v>
          </cell>
          <cell r="AB2245" t="str">
            <v>PHYSICIAN</v>
          </cell>
          <cell r="AC2245" t="str">
            <v>M</v>
          </cell>
          <cell r="AD2245" t="str">
            <v>No</v>
          </cell>
          <cell r="AE2245" t="str">
            <v>MMIS</v>
          </cell>
          <cell r="AF2245" t="str">
            <v>nypwestcampus</v>
          </cell>
          <cell r="AG2245" t="str">
            <v>P</v>
          </cell>
        </row>
        <row r="2246">
          <cell r="C2246" t="str">
            <v>PRASHANTH VENKATESH</v>
          </cell>
          <cell r="G2246" t="str">
            <v>Kathryn Spaziani</v>
          </cell>
          <cell r="H2246" t="str">
            <v>(212) 305-1190</v>
          </cell>
          <cell r="J2246" t="str">
            <v>kas9171@nyp.org</v>
          </cell>
          <cell r="K2246" t="str">
            <v>Unknown</v>
          </cell>
          <cell r="L2246" t="str">
            <v>CBO</v>
          </cell>
          <cell r="M2246" t="str">
            <v>No</v>
          </cell>
          <cell r="N2246" t="str">
            <v>525 E 68th Street</v>
          </cell>
          <cell r="O2246" t="str">
            <v xml:space="preserve">New York </v>
          </cell>
          <cell r="P2246" t="str">
            <v>NY</v>
          </cell>
          <cell r="Q2246" t="str">
            <v>10021</v>
          </cell>
          <cell r="AC2246" t="str">
            <v>M</v>
          </cell>
          <cell r="AD2246" t="str">
            <v>No</v>
          </cell>
          <cell r="AE2246" t="str">
            <v>No NPI or MMIS</v>
          </cell>
          <cell r="AF2246" t="str">
            <v>nypother</v>
          </cell>
          <cell r="AG2246" t="str">
            <v>P</v>
          </cell>
        </row>
        <row r="2247">
          <cell r="A2247" t="str">
            <v>1831432780</v>
          </cell>
          <cell r="C2247" t="str">
            <v>SHUDAN WANG</v>
          </cell>
          <cell r="G2247" t="str">
            <v>Kathryn Spaziani</v>
          </cell>
          <cell r="H2247" t="str">
            <v>(212) 305-1190</v>
          </cell>
          <cell r="J2247" t="str">
            <v>kas9171@nyp.org</v>
          </cell>
          <cell r="K2247" t="str">
            <v>Unknown</v>
          </cell>
          <cell r="L2247" t="str">
            <v>Uncategorized</v>
          </cell>
          <cell r="M2247" t="str">
            <v>No</v>
          </cell>
          <cell r="R2247" t="str">
            <v>WANG SHUDAN</v>
          </cell>
          <cell r="S2247" t="str">
            <v>550 1ST AVE</v>
          </cell>
          <cell r="T2247" t="str">
            <v>NEW YORK</v>
          </cell>
          <cell r="U2247" t="str">
            <v>NY</v>
          </cell>
          <cell r="V2247" t="str">
            <v>100166402</v>
          </cell>
          <cell r="AC2247" t="str">
            <v>M</v>
          </cell>
          <cell r="AD2247" t="str">
            <v>No</v>
          </cell>
          <cell r="AE2247" t="str">
            <v>NPI only</v>
          </cell>
          <cell r="AF2247" t="str">
            <v>nypeastcampus</v>
          </cell>
          <cell r="AG2247" t="str">
            <v>P</v>
          </cell>
        </row>
        <row r="2248">
          <cell r="A2248" t="str">
            <v>1124384425</v>
          </cell>
          <cell r="C2248" t="str">
            <v>RICHARD WANG</v>
          </cell>
          <cell r="G2248" t="str">
            <v>Kathryn Spaziani</v>
          </cell>
          <cell r="H2248" t="str">
            <v>(212) 305-1190</v>
          </cell>
          <cell r="J2248" t="str">
            <v>kas9171@nyp.org</v>
          </cell>
          <cell r="K2248" t="str">
            <v>Unknown</v>
          </cell>
          <cell r="L2248" t="str">
            <v>Uncategorized</v>
          </cell>
          <cell r="M2248" t="str">
            <v>No</v>
          </cell>
          <cell r="R2248" t="str">
            <v>WANG RICHARD</v>
          </cell>
          <cell r="S2248" t="str">
            <v>505 E 70TH ST, WEILL CORNELL INTERNAL MEDICINE ASSOCIATES</v>
          </cell>
          <cell r="T2248" t="str">
            <v>NEW YORK</v>
          </cell>
          <cell r="U2248" t="str">
            <v>NY</v>
          </cell>
          <cell r="V2248" t="str">
            <v>10021</v>
          </cell>
          <cell r="AC2248" t="str">
            <v>M</v>
          </cell>
          <cell r="AD2248" t="str">
            <v>No</v>
          </cell>
          <cell r="AE2248" t="str">
            <v>NPI only</v>
          </cell>
          <cell r="AF2248" t="str">
            <v>nypother</v>
          </cell>
          <cell r="AG2248" t="str">
            <v>P</v>
          </cell>
        </row>
        <row r="2249">
          <cell r="A2249" t="str">
            <v>1942576954</v>
          </cell>
          <cell r="C2249" t="str">
            <v>RUI WANG</v>
          </cell>
          <cell r="G2249" t="str">
            <v>Kathryn Spaziani</v>
          </cell>
          <cell r="H2249" t="str">
            <v>(212) 305-1190</v>
          </cell>
          <cell r="J2249" t="str">
            <v>kas9171@nyp.org</v>
          </cell>
          <cell r="K2249" t="str">
            <v>Unknown</v>
          </cell>
          <cell r="L2249" t="str">
            <v>Uncategorized</v>
          </cell>
          <cell r="M2249" t="str">
            <v>No</v>
          </cell>
          <cell r="R2249" t="str">
            <v>WANG RUI</v>
          </cell>
          <cell r="S2249" t="str">
            <v>505 E 70TH ST, WEILL CORNELL INTERNAL MEDICINE ASSOCIATES</v>
          </cell>
          <cell r="T2249" t="str">
            <v>NEW YORK</v>
          </cell>
          <cell r="U2249" t="str">
            <v>NY</v>
          </cell>
          <cell r="V2249" t="str">
            <v>100214872</v>
          </cell>
          <cell r="AC2249" t="str">
            <v>M</v>
          </cell>
          <cell r="AD2249" t="str">
            <v>No</v>
          </cell>
          <cell r="AE2249" t="str">
            <v>NPI only</v>
          </cell>
          <cell r="AF2249" t="str">
            <v>nypother</v>
          </cell>
          <cell r="AG2249" t="str">
            <v>P</v>
          </cell>
        </row>
        <row r="2250">
          <cell r="A2250" t="str">
            <v>1679992036</v>
          </cell>
          <cell r="C2250" t="str">
            <v>RUSSELL WEG</v>
          </cell>
          <cell r="G2250" t="str">
            <v>Kathryn Spaziani</v>
          </cell>
          <cell r="H2250" t="str">
            <v>(212) 305-1190</v>
          </cell>
          <cell r="J2250" t="str">
            <v>kas9171@nyp.org</v>
          </cell>
          <cell r="K2250" t="str">
            <v>Unknown</v>
          </cell>
          <cell r="L2250" t="str">
            <v>Uncategorized</v>
          </cell>
          <cell r="M2250" t="str">
            <v>No</v>
          </cell>
          <cell r="R2250" t="str">
            <v>WEG RUSSELL MR.</v>
          </cell>
          <cell r="S2250" t="str">
            <v>505 E 70TH ST, WEILL CORNELL INTERNAL MEDICINE ASSOCIATES</v>
          </cell>
          <cell r="T2250" t="str">
            <v>NEW YORK</v>
          </cell>
          <cell r="U2250" t="str">
            <v>NY</v>
          </cell>
          <cell r="V2250" t="str">
            <v>100214872</v>
          </cell>
          <cell r="AC2250" t="str">
            <v>M</v>
          </cell>
          <cell r="AD2250" t="str">
            <v>No</v>
          </cell>
          <cell r="AE2250" t="str">
            <v>NPI only</v>
          </cell>
          <cell r="AF2250" t="str">
            <v>nypeastcampus</v>
          </cell>
          <cell r="AG2250" t="str">
            <v>P</v>
          </cell>
        </row>
        <row r="2251">
          <cell r="A2251" t="str">
            <v>1295091841</v>
          </cell>
          <cell r="C2251" t="str">
            <v>NEEHA ZAIDI</v>
          </cell>
          <cell r="G2251" t="str">
            <v>Kathryn Spaziani</v>
          </cell>
          <cell r="H2251" t="str">
            <v>(212) 305-1190</v>
          </cell>
          <cell r="J2251" t="str">
            <v>kas9171@nyp.org</v>
          </cell>
          <cell r="K2251" t="str">
            <v>Unknown</v>
          </cell>
          <cell r="L2251" t="str">
            <v>Uncategorized</v>
          </cell>
          <cell r="M2251" t="str">
            <v>No</v>
          </cell>
          <cell r="R2251" t="str">
            <v>ZAIDI NEEHA DR.</v>
          </cell>
          <cell r="S2251" t="str">
            <v>505 EAST 70TH STREET, WEILL CORNELL INTERNAL MEDICINE ASSOCIATES</v>
          </cell>
          <cell r="T2251" t="str">
            <v>NEW YORK</v>
          </cell>
          <cell r="U2251" t="str">
            <v>NY</v>
          </cell>
          <cell r="V2251" t="str">
            <v>10021</v>
          </cell>
          <cell r="AC2251" t="str">
            <v>M</v>
          </cell>
          <cell r="AD2251" t="str">
            <v>No</v>
          </cell>
          <cell r="AE2251" t="str">
            <v>NPI only</v>
          </cell>
          <cell r="AF2251" t="str">
            <v>nypother</v>
          </cell>
          <cell r="AG2251" t="str">
            <v>P</v>
          </cell>
        </row>
        <row r="2252">
          <cell r="A2252" t="str">
            <v>1679848865</v>
          </cell>
          <cell r="B2252" t="str">
            <v>04209894</v>
          </cell>
          <cell r="C2252" t="str">
            <v>WILLIAM ZHANG</v>
          </cell>
          <cell r="D2252" t="str">
            <v>E0412966</v>
          </cell>
          <cell r="E2252" t="str">
            <v>ZHANG WILLIAM</v>
          </cell>
          <cell r="G2252" t="str">
            <v>Kathryn Spaziani</v>
          </cell>
          <cell r="H2252" t="str">
            <v>(212) 305-1190</v>
          </cell>
          <cell r="J2252" t="str">
            <v>kas9171@nyp.org</v>
          </cell>
          <cell r="L2252" t="str">
            <v>Practitioner - Non-Primary Care Provider (PCP)</v>
          </cell>
          <cell r="M2252" t="str">
            <v>No</v>
          </cell>
          <cell r="R2252" t="str">
            <v>ZHANG WILLIAM</v>
          </cell>
          <cell r="W2252" t="str">
            <v>ZHANG WILLIAM ZHENGYANG</v>
          </cell>
          <cell r="X2252" t="str">
            <v>525 E 68TH ST STE 5</v>
          </cell>
          <cell r="Y2252" t="str">
            <v>NEW YORK</v>
          </cell>
          <cell r="Z2252" t="str">
            <v>NY</v>
          </cell>
          <cell r="AA2252" t="str">
            <v>10065-4870</v>
          </cell>
          <cell r="AB2252" t="str">
            <v>PHYSICIAN</v>
          </cell>
          <cell r="AC2252" t="str">
            <v>M</v>
          </cell>
          <cell r="AD2252" t="str">
            <v>No</v>
          </cell>
          <cell r="AE2252" t="str">
            <v>MMIS</v>
          </cell>
          <cell r="AF2252" t="str">
            <v>nypeastcampus</v>
          </cell>
          <cell r="AG2252" t="str">
            <v>P</v>
          </cell>
        </row>
        <row r="2253">
          <cell r="A2253" t="str">
            <v>1174962146</v>
          </cell>
          <cell r="C2253" t="str">
            <v>GHAITH ABU ZEINAH</v>
          </cell>
          <cell r="G2253" t="str">
            <v>Kathryn Spaziani</v>
          </cell>
          <cell r="H2253" t="str">
            <v>(212) 305-1190</v>
          </cell>
          <cell r="J2253" t="str">
            <v>kas9171@nyp.org</v>
          </cell>
          <cell r="K2253" t="str">
            <v>Unknown</v>
          </cell>
          <cell r="L2253" t="str">
            <v>Uncategorized</v>
          </cell>
          <cell r="M2253" t="str">
            <v>No</v>
          </cell>
          <cell r="R2253" t="str">
            <v>ABU ZEINAH GHAITH DR.</v>
          </cell>
          <cell r="S2253" t="str">
            <v>1484 1ST AVE, WEILL CORNELL INTERNAL MEDICINE AT WRIGHT</v>
          </cell>
          <cell r="T2253" t="str">
            <v>NEW YORK</v>
          </cell>
          <cell r="U2253" t="str">
            <v>NY</v>
          </cell>
          <cell r="V2253" t="str">
            <v>100752304</v>
          </cell>
          <cell r="AC2253" t="str">
            <v>M</v>
          </cell>
          <cell r="AD2253" t="str">
            <v>No</v>
          </cell>
          <cell r="AE2253" t="str">
            <v>NPI only</v>
          </cell>
          <cell r="AF2253" t="str">
            <v>nypeastcampus</v>
          </cell>
          <cell r="AG2253" t="str">
            <v>P</v>
          </cell>
        </row>
        <row r="2254">
          <cell r="A2254" t="str">
            <v>1811263791</v>
          </cell>
          <cell r="C2254" t="str">
            <v>DANIEL BACHMAN</v>
          </cell>
          <cell r="G2254" t="str">
            <v>Kathryn Spaziani</v>
          </cell>
          <cell r="H2254" t="str">
            <v>(212) 305-1190</v>
          </cell>
          <cell r="J2254" t="str">
            <v>kas9171@nyp.org</v>
          </cell>
          <cell r="K2254" t="str">
            <v>Unknown</v>
          </cell>
          <cell r="L2254" t="str">
            <v>Uncategorized</v>
          </cell>
          <cell r="M2254" t="str">
            <v>No</v>
          </cell>
          <cell r="R2254" t="str">
            <v>BACHMAN DANIEL DR.</v>
          </cell>
          <cell r="S2254" t="str">
            <v>505 E 70TH ST</v>
          </cell>
          <cell r="T2254" t="str">
            <v>NEW YORK</v>
          </cell>
          <cell r="U2254" t="str">
            <v>NY</v>
          </cell>
          <cell r="V2254" t="str">
            <v>100214872</v>
          </cell>
          <cell r="AC2254" t="str">
            <v>M</v>
          </cell>
          <cell r="AD2254" t="str">
            <v>No</v>
          </cell>
          <cell r="AE2254" t="str">
            <v>NPI only</v>
          </cell>
          <cell r="AF2254" t="str">
            <v>nypeastcampus</v>
          </cell>
          <cell r="AG2254" t="str">
            <v>P</v>
          </cell>
        </row>
        <row r="2255">
          <cell r="A2255" t="str">
            <v>1215372263</v>
          </cell>
          <cell r="C2255" t="str">
            <v>KELLY BOLTON</v>
          </cell>
          <cell r="G2255" t="str">
            <v>Kathryn Spaziani</v>
          </cell>
          <cell r="H2255" t="str">
            <v>(212) 305-1190</v>
          </cell>
          <cell r="J2255" t="str">
            <v>kas9171@nyp.org</v>
          </cell>
          <cell r="K2255" t="str">
            <v>Unknown</v>
          </cell>
          <cell r="L2255" t="str">
            <v>Uncategorized</v>
          </cell>
          <cell r="M2255" t="str">
            <v>No</v>
          </cell>
          <cell r="R2255" t="str">
            <v>BOLTON KELLY MRS.</v>
          </cell>
          <cell r="S2255" t="str">
            <v>530 E 70TH ST # M-528</v>
          </cell>
          <cell r="T2255" t="str">
            <v>NEW YORK</v>
          </cell>
          <cell r="U2255" t="str">
            <v>NY</v>
          </cell>
          <cell r="V2255" t="str">
            <v>100219800</v>
          </cell>
          <cell r="AC2255" t="str">
            <v>M</v>
          </cell>
          <cell r="AD2255" t="str">
            <v>No</v>
          </cell>
          <cell r="AE2255" t="str">
            <v>NPI only</v>
          </cell>
          <cell r="AF2255" t="str">
            <v>nypother</v>
          </cell>
          <cell r="AG2255" t="str">
            <v>P</v>
          </cell>
        </row>
        <row r="2256">
          <cell r="A2256" t="str">
            <v>1588930069</v>
          </cell>
          <cell r="B2256" t="str">
            <v>04209472</v>
          </cell>
          <cell r="C2256" t="str">
            <v>JENNIFER CHESTER</v>
          </cell>
          <cell r="D2256" t="str">
            <v>E0412924</v>
          </cell>
          <cell r="E2256" t="str">
            <v>CHESTER JENNIFER</v>
          </cell>
          <cell r="G2256" t="str">
            <v>Kathryn Spaziani</v>
          </cell>
          <cell r="H2256" t="str">
            <v>(212) 305-1190</v>
          </cell>
          <cell r="J2256" t="str">
            <v>kas9171@nyp.org</v>
          </cell>
          <cell r="L2256" t="str">
            <v>Practitioner - Non-Primary Care Provider (PCP)</v>
          </cell>
          <cell r="M2256" t="str">
            <v>No</v>
          </cell>
          <cell r="R2256" t="str">
            <v>CHESTER JENNIFER DR.</v>
          </cell>
          <cell r="W2256" t="str">
            <v>CHESTER JENNIFER GONIK</v>
          </cell>
          <cell r="X2256" t="str">
            <v>525 E 68TH ST STE 5</v>
          </cell>
          <cell r="Y2256" t="str">
            <v>NEW YORK</v>
          </cell>
          <cell r="Z2256" t="str">
            <v>NY</v>
          </cell>
          <cell r="AA2256" t="str">
            <v>10065-4870</v>
          </cell>
          <cell r="AB2256" t="str">
            <v>PHYSICIAN</v>
          </cell>
          <cell r="AC2256" t="str">
            <v>M</v>
          </cell>
          <cell r="AD2256" t="str">
            <v>No</v>
          </cell>
          <cell r="AE2256" t="str">
            <v>MMIS</v>
          </cell>
          <cell r="AF2256" t="str">
            <v>nypeastcampus</v>
          </cell>
          <cell r="AG2256" t="str">
            <v>P</v>
          </cell>
        </row>
        <row r="2257">
          <cell r="A2257" t="str">
            <v>1184966285</v>
          </cell>
          <cell r="C2257" t="str">
            <v>ATTILA FEHER</v>
          </cell>
          <cell r="G2257" t="str">
            <v>Kathryn Spaziani</v>
          </cell>
          <cell r="H2257" t="str">
            <v>(212) 305-1190</v>
          </cell>
          <cell r="J2257" t="str">
            <v>kas9171@nyp.org</v>
          </cell>
          <cell r="K2257" t="str">
            <v>Unknown</v>
          </cell>
          <cell r="L2257" t="str">
            <v>Uncategorized</v>
          </cell>
          <cell r="M2257" t="str">
            <v>No</v>
          </cell>
          <cell r="R2257" t="str">
            <v>FEHER ATTILA</v>
          </cell>
          <cell r="S2257" t="str">
            <v>505 EAST 70TH STREET, WEILL CORNELL INTERNAL MEDICINE ASSOCIATES</v>
          </cell>
          <cell r="T2257" t="str">
            <v>NEW YORK</v>
          </cell>
          <cell r="U2257" t="str">
            <v>NY</v>
          </cell>
          <cell r="V2257" t="str">
            <v>10021</v>
          </cell>
          <cell r="AC2257" t="str">
            <v>M</v>
          </cell>
          <cell r="AD2257" t="str">
            <v>No</v>
          </cell>
          <cell r="AE2257" t="str">
            <v>NPI only</v>
          </cell>
          <cell r="AF2257" t="str">
            <v>nypeastcampus</v>
          </cell>
          <cell r="AG2257" t="str">
            <v>P</v>
          </cell>
        </row>
        <row r="2258">
          <cell r="A2258" t="str">
            <v>1164788055</v>
          </cell>
          <cell r="B2258" t="str">
            <v>04181022</v>
          </cell>
          <cell r="C2258" t="str">
            <v>PATRICK MCNAIR</v>
          </cell>
          <cell r="D2258" t="str">
            <v>E0409968</v>
          </cell>
          <cell r="E2258" t="str">
            <v>MCNAIR PATRICK WILLIAM</v>
          </cell>
          <cell r="G2258" t="str">
            <v>Kathryn Spaziani</v>
          </cell>
          <cell r="H2258" t="str">
            <v>(212) 305-1190</v>
          </cell>
          <cell r="J2258" t="str">
            <v>kas9171@nyp.org</v>
          </cell>
          <cell r="L2258" t="str">
            <v>Practitioner - Non-Primary Care Provider (PCP)</v>
          </cell>
          <cell r="M2258" t="str">
            <v>No</v>
          </cell>
          <cell r="R2258" t="str">
            <v>MCNAIR PATRICK</v>
          </cell>
          <cell r="W2258" t="str">
            <v>MCNAIR PATRICK WILLIAM</v>
          </cell>
          <cell r="X2258" t="str">
            <v>16TH STREET AT 1ST AVE</v>
          </cell>
          <cell r="Y2258" t="str">
            <v>NEW YORK</v>
          </cell>
          <cell r="Z2258" t="str">
            <v>NY</v>
          </cell>
          <cell r="AA2258" t="str">
            <v>10003-0000</v>
          </cell>
          <cell r="AB2258" t="str">
            <v>PHYSICIAN</v>
          </cell>
          <cell r="AC2258" t="str">
            <v>M</v>
          </cell>
          <cell r="AD2258" t="str">
            <v>No</v>
          </cell>
          <cell r="AE2258" t="str">
            <v>MMIS</v>
          </cell>
          <cell r="AF2258" t="str">
            <v>nypother</v>
          </cell>
          <cell r="AG2258" t="str">
            <v>P</v>
          </cell>
        </row>
        <row r="2259">
          <cell r="A2259" t="str">
            <v>1225370489</v>
          </cell>
          <cell r="B2259" t="str">
            <v>04534727</v>
          </cell>
          <cell r="C2259" t="str">
            <v>DANIEL PAGET</v>
          </cell>
          <cell r="D2259" t="str">
            <v>E0446251</v>
          </cell>
          <cell r="E2259" t="str">
            <v>PAGET DANIEL</v>
          </cell>
          <cell r="G2259" t="str">
            <v>Kathryn Spaziani</v>
          </cell>
          <cell r="H2259" t="str">
            <v>(212) 305-1190</v>
          </cell>
          <cell r="J2259" t="str">
            <v>kas9171@nyp.org</v>
          </cell>
          <cell r="L2259" t="str">
            <v>Uncategorized</v>
          </cell>
          <cell r="M2259" t="str">
            <v>No</v>
          </cell>
          <cell r="R2259" t="str">
            <v>PAGET DANIEL</v>
          </cell>
          <cell r="W2259" t="str">
            <v>PAGET DANIEL MARC</v>
          </cell>
          <cell r="AB2259" t="str">
            <v>PHYSICIAN</v>
          </cell>
          <cell r="AC2259" t="str">
            <v>M</v>
          </cell>
          <cell r="AD2259" t="str">
            <v>No</v>
          </cell>
          <cell r="AE2259" t="str">
            <v>MMIS</v>
          </cell>
          <cell r="AF2259" t="str">
            <v>nypeastcampus</v>
          </cell>
          <cell r="AG2259" t="str">
            <v>P</v>
          </cell>
        </row>
        <row r="2260">
          <cell r="A2260" t="str">
            <v>1699032763</v>
          </cell>
          <cell r="C2260" t="str">
            <v>KAARTIGA SIVANESAN</v>
          </cell>
          <cell r="G2260" t="str">
            <v>Kathryn Spaziani</v>
          </cell>
          <cell r="H2260" t="str">
            <v>(212) 305-1190</v>
          </cell>
          <cell r="J2260" t="str">
            <v>kas9171@nyp.org</v>
          </cell>
          <cell r="K2260" t="str">
            <v>Unknown</v>
          </cell>
          <cell r="L2260" t="str">
            <v>Uncategorized</v>
          </cell>
          <cell r="M2260" t="str">
            <v>No</v>
          </cell>
          <cell r="R2260" t="str">
            <v>SIVANESAN KAARTIGA</v>
          </cell>
          <cell r="S2260" t="str">
            <v>505 EAST 70TH STREET, WEILL CORNELL INTERNAL MEDICINE ASSOCIATES</v>
          </cell>
          <cell r="T2260" t="str">
            <v>NEW YORK</v>
          </cell>
          <cell r="U2260" t="str">
            <v>NY</v>
          </cell>
          <cell r="V2260" t="str">
            <v>10021</v>
          </cell>
          <cell r="AC2260" t="str">
            <v>M</v>
          </cell>
          <cell r="AD2260" t="str">
            <v>No</v>
          </cell>
          <cell r="AE2260" t="str">
            <v>NPI only</v>
          </cell>
          <cell r="AF2260" t="str">
            <v>nypeastcampus</v>
          </cell>
          <cell r="AG2260" t="str">
            <v>P</v>
          </cell>
        </row>
        <row r="2261">
          <cell r="A2261" t="str">
            <v>1457790024</v>
          </cell>
          <cell r="C2261" t="str">
            <v>ZAID TAFESH</v>
          </cell>
          <cell r="G2261" t="str">
            <v>Kathryn Spaziani</v>
          </cell>
          <cell r="H2261" t="str">
            <v>(212) 305-1190</v>
          </cell>
          <cell r="J2261" t="str">
            <v>kas9171@nyp.org</v>
          </cell>
          <cell r="K2261" t="str">
            <v>Unknown</v>
          </cell>
          <cell r="L2261" t="str">
            <v>Uncategorized</v>
          </cell>
          <cell r="M2261" t="str">
            <v>No</v>
          </cell>
          <cell r="R2261" t="str">
            <v>TAFESH ZAID DR.</v>
          </cell>
          <cell r="S2261" t="str">
            <v>505 E 70TH ST, WEILL CORNELL INTERNAL MEDICINE ASSOCIATES</v>
          </cell>
          <cell r="T2261" t="str">
            <v>NEW YORK</v>
          </cell>
          <cell r="U2261" t="str">
            <v>NY</v>
          </cell>
          <cell r="V2261" t="str">
            <v>100214872</v>
          </cell>
          <cell r="AC2261" t="str">
            <v>M</v>
          </cell>
          <cell r="AD2261" t="str">
            <v>No</v>
          </cell>
          <cell r="AE2261" t="str">
            <v>NPI only</v>
          </cell>
          <cell r="AF2261" t="str">
            <v>nypeastcampus</v>
          </cell>
          <cell r="AG2261" t="str">
            <v>P</v>
          </cell>
        </row>
        <row r="2262">
          <cell r="A2262" t="str">
            <v>1780942300</v>
          </cell>
          <cell r="C2262" t="str">
            <v>TIRIT ADANE</v>
          </cell>
          <cell r="G2262" t="str">
            <v>Kathryn Spaziani</v>
          </cell>
          <cell r="H2262" t="str">
            <v>(212) 305-1190</v>
          </cell>
          <cell r="J2262" t="str">
            <v>kas9171@nyp.org</v>
          </cell>
          <cell r="K2262" t="str">
            <v>Unknown</v>
          </cell>
          <cell r="L2262" t="str">
            <v>Uncategorized</v>
          </cell>
          <cell r="M2262" t="str">
            <v>No</v>
          </cell>
          <cell r="R2262" t="str">
            <v>ADANE TIRSIT</v>
          </cell>
          <cell r="S2262" t="str">
            <v>14103 FAIRHILL AVENUE</v>
          </cell>
          <cell r="T2262" t="str">
            <v>EDMOND</v>
          </cell>
          <cell r="U2262" t="str">
            <v>OK</v>
          </cell>
          <cell r="V2262" t="str">
            <v>730131936</v>
          </cell>
          <cell r="AC2262" t="str">
            <v>M</v>
          </cell>
          <cell r="AD2262" t="str">
            <v>No</v>
          </cell>
          <cell r="AE2262" t="str">
            <v>NPI only</v>
          </cell>
          <cell r="AF2262" t="str">
            <v>nypother</v>
          </cell>
          <cell r="AG2262" t="str">
            <v>P</v>
          </cell>
        </row>
        <row r="2263">
          <cell r="A2263" t="str">
            <v>1104169291</v>
          </cell>
          <cell r="B2263" t="str">
            <v>04452186</v>
          </cell>
          <cell r="C2263" t="str">
            <v>CHRISTINE CHANG</v>
          </cell>
          <cell r="D2263" t="str">
            <v>E0437867</v>
          </cell>
          <cell r="E2263" t="str">
            <v>SUH CHRISTINE Y</v>
          </cell>
          <cell r="G2263" t="str">
            <v>Kathryn Spaziani</v>
          </cell>
          <cell r="H2263" t="str">
            <v>(212) 305-1190</v>
          </cell>
          <cell r="J2263" t="str">
            <v>kas9171@nyp.org</v>
          </cell>
          <cell r="L2263" t="str">
            <v>Practitioner - Non-Primary Care Provider (PCP)</v>
          </cell>
          <cell r="M2263" t="str">
            <v>No</v>
          </cell>
          <cell r="R2263" t="str">
            <v>SUH CHRISTINE</v>
          </cell>
          <cell r="W2263" t="str">
            <v>SUH CHRISTINE Y</v>
          </cell>
          <cell r="AB2263" t="str">
            <v>PHYSICIAN</v>
          </cell>
          <cell r="AC2263" t="str">
            <v>M</v>
          </cell>
          <cell r="AD2263" t="str">
            <v>No</v>
          </cell>
          <cell r="AE2263" t="str">
            <v>MMIS</v>
          </cell>
          <cell r="AF2263" t="str">
            <v>nypwestcampus</v>
          </cell>
          <cell r="AG2263" t="str">
            <v>P</v>
          </cell>
        </row>
        <row r="2264">
          <cell r="A2264" t="str">
            <v>1255697009</v>
          </cell>
          <cell r="B2264" t="str">
            <v>04195740</v>
          </cell>
          <cell r="C2264" t="str">
            <v>DANIELA DIAZ</v>
          </cell>
          <cell r="D2264" t="str">
            <v>E0411427</v>
          </cell>
          <cell r="E2264" t="str">
            <v>DIAZ DANIELA C</v>
          </cell>
          <cell r="G2264" t="str">
            <v>Kathryn Spaziani</v>
          </cell>
          <cell r="H2264" t="str">
            <v>(212) 305-1190</v>
          </cell>
          <cell r="J2264" t="str">
            <v>kas9171@nyp.org</v>
          </cell>
          <cell r="L2264" t="str">
            <v>All Other:: Practitioner - Primary Care Provider (PCP)</v>
          </cell>
          <cell r="M2264" t="str">
            <v>No</v>
          </cell>
          <cell r="R2264" t="str">
            <v>DIAZ DANIELA</v>
          </cell>
          <cell r="W2264" t="str">
            <v>DIAZ DANIELA C</v>
          </cell>
          <cell r="X2264" t="str">
            <v>155 MAIN ST</v>
          </cell>
          <cell r="Y2264" t="str">
            <v>BREWSTER</v>
          </cell>
          <cell r="Z2264" t="str">
            <v>NY</v>
          </cell>
          <cell r="AA2264" t="str">
            <v>10509-1521</v>
          </cell>
          <cell r="AB2264" t="str">
            <v>PHYSICIAN</v>
          </cell>
          <cell r="AC2264" t="str">
            <v>M</v>
          </cell>
          <cell r="AD2264" t="str">
            <v>No</v>
          </cell>
          <cell r="AE2264" t="str">
            <v>MMIS</v>
          </cell>
          <cell r="AF2264" t="str">
            <v>nypother</v>
          </cell>
          <cell r="AG2264" t="str">
            <v>P</v>
          </cell>
        </row>
        <row r="2265">
          <cell r="A2265" t="str">
            <v>1003926395</v>
          </cell>
          <cell r="B2265" t="str">
            <v>03456246</v>
          </cell>
          <cell r="C2265" t="str">
            <v>Ha Richard</v>
          </cell>
          <cell r="D2265" t="str">
            <v>E0334546</v>
          </cell>
          <cell r="E2265" t="str">
            <v>HA RICHARD S</v>
          </cell>
          <cell r="L2265" t="str">
            <v>All Other:: Practitioner - Non-Primary Care Provider (PCP)</v>
          </cell>
          <cell r="M2265" t="str">
            <v>No</v>
          </cell>
          <cell r="R2265" t="str">
            <v>HA RICHARD</v>
          </cell>
          <cell r="W2265" t="str">
            <v>HA RICHARD S</v>
          </cell>
          <cell r="X2265" t="str">
            <v>200 E GUN HILL RD</v>
          </cell>
          <cell r="Y2265" t="str">
            <v>BRONX</v>
          </cell>
          <cell r="Z2265" t="str">
            <v>NY</v>
          </cell>
          <cell r="AA2265" t="str">
            <v>10467-2159</v>
          </cell>
          <cell r="AB2265" t="str">
            <v>PHYSICIAN</v>
          </cell>
          <cell r="AC2265" t="str">
            <v>M</v>
          </cell>
          <cell r="AD2265" t="str">
            <v>No</v>
          </cell>
          <cell r="AE2265" t="str">
            <v>MMIS</v>
          </cell>
          <cell r="AF2265" t="str">
            <v>nypwestcampus</v>
          </cell>
          <cell r="AG2265" t="str">
            <v>P</v>
          </cell>
        </row>
        <row r="2266">
          <cell r="A2266" t="str">
            <v>1902877582</v>
          </cell>
          <cell r="B2266" t="str">
            <v>02150681</v>
          </cell>
          <cell r="C2266" t="str">
            <v>Howell, Joy D.</v>
          </cell>
          <cell r="D2266" t="str">
            <v>E0085007</v>
          </cell>
          <cell r="E2266" t="str">
            <v>HOWELL JOY DEANNA MD</v>
          </cell>
          <cell r="G2266" t="str">
            <v>Kathryn Spaziani</v>
          </cell>
          <cell r="H2266" t="str">
            <v>(212) 305-1190</v>
          </cell>
          <cell r="J2266" t="str">
            <v>kas9171@nyp.org</v>
          </cell>
          <cell r="L2266" t="str">
            <v>Practitioner - Non-Primary Care Provider (PCP)</v>
          </cell>
          <cell r="M2266" t="str">
            <v>No</v>
          </cell>
          <cell r="R2266" t="str">
            <v>HOWELL JOY</v>
          </cell>
          <cell r="W2266" t="str">
            <v>HOWELL JOY DEANNA MD</v>
          </cell>
          <cell r="X2266" t="str">
            <v>525 E 68TH ST</v>
          </cell>
          <cell r="Y2266" t="str">
            <v>NEW YORK</v>
          </cell>
          <cell r="Z2266" t="str">
            <v>NY</v>
          </cell>
          <cell r="AA2266" t="str">
            <v>10065-4870</v>
          </cell>
          <cell r="AB2266" t="str">
            <v>PHYSICIAN</v>
          </cell>
          <cell r="AC2266" t="str">
            <v>M</v>
          </cell>
          <cell r="AD2266" t="str">
            <v>No</v>
          </cell>
          <cell r="AE2266" t="str">
            <v>MMIS</v>
          </cell>
          <cell r="AF2266" t="str">
            <v>nypeastcampus</v>
          </cell>
          <cell r="AG2266" t="str">
            <v>P</v>
          </cell>
        </row>
        <row r="2267">
          <cell r="A2267" t="str">
            <v>1477786143</v>
          </cell>
          <cell r="C2267" t="str">
            <v>Cheung Cindy</v>
          </cell>
          <cell r="G2267" t="str">
            <v>Kathryn Spaziani</v>
          </cell>
          <cell r="H2267" t="str">
            <v>(212) 305-1255</v>
          </cell>
          <cell r="J2267" t="str">
            <v>kas9171@nyp.org</v>
          </cell>
          <cell r="K2267" t="str">
            <v>Physician</v>
          </cell>
          <cell r="L2267" t="str">
            <v>Uncategorized</v>
          </cell>
          <cell r="M2267" t="str">
            <v>No</v>
          </cell>
          <cell r="R2267" t="str">
            <v>CHEUNG CINDY</v>
          </cell>
          <cell r="S2267" t="str">
            <v>525 E 68TH ST, BOX 124</v>
          </cell>
          <cell r="T2267" t="str">
            <v>NEW YORK</v>
          </cell>
          <cell r="U2267" t="str">
            <v>NY</v>
          </cell>
          <cell r="V2267" t="str">
            <v>100654870</v>
          </cell>
          <cell r="AC2267" t="str">
            <v>M</v>
          </cell>
          <cell r="AD2267" t="str">
            <v>No</v>
          </cell>
          <cell r="AE2267" t="str">
            <v>NPI only</v>
          </cell>
          <cell r="AF2267" t="str">
            <v>nypeastcampus</v>
          </cell>
          <cell r="AG2267" t="str">
            <v>P</v>
          </cell>
        </row>
        <row r="2268">
          <cell r="A2268" t="str">
            <v>1265878904</v>
          </cell>
          <cell r="C2268" t="str">
            <v>Cheung Jenny</v>
          </cell>
          <cell r="G2268" t="str">
            <v>Kathryn Spaziani</v>
          </cell>
          <cell r="H2268" t="str">
            <v>(212) 305-1255</v>
          </cell>
          <cell r="J2268" t="str">
            <v>kas9171@nyp.org</v>
          </cell>
          <cell r="K2268" t="str">
            <v>Physician</v>
          </cell>
          <cell r="L2268" t="str">
            <v>Uncategorized</v>
          </cell>
          <cell r="M2268" t="str">
            <v>No</v>
          </cell>
          <cell r="R2268" t="str">
            <v>CHEUNG JENNY MS.</v>
          </cell>
          <cell r="S2268" t="str">
            <v>525 E 68TH ST</v>
          </cell>
          <cell r="T2268" t="str">
            <v>NEW YORK</v>
          </cell>
          <cell r="U2268" t="str">
            <v>NY</v>
          </cell>
          <cell r="V2268" t="str">
            <v>100654870</v>
          </cell>
          <cell r="AC2268" t="str">
            <v>M</v>
          </cell>
          <cell r="AD2268" t="str">
            <v>No</v>
          </cell>
          <cell r="AE2268" t="str">
            <v>NPI only</v>
          </cell>
          <cell r="AF2268" t="str">
            <v>nypeastcampus</v>
          </cell>
          <cell r="AG2268" t="str">
            <v>P</v>
          </cell>
        </row>
        <row r="2269">
          <cell r="A2269" t="str">
            <v>1851552848</v>
          </cell>
          <cell r="B2269" t="str">
            <v>03967535</v>
          </cell>
          <cell r="C2269" t="str">
            <v>Chiao Franklin</v>
          </cell>
          <cell r="D2269" t="str">
            <v>E0388015</v>
          </cell>
          <cell r="E2269" t="str">
            <v>CHIAO FRANKLIN B</v>
          </cell>
          <cell r="G2269" t="str">
            <v>Kathryn Spaziani</v>
          </cell>
          <cell r="H2269" t="str">
            <v>(212) 305-1255</v>
          </cell>
          <cell r="J2269" t="str">
            <v>kas9171@nyp.org</v>
          </cell>
          <cell r="L2269" t="str">
            <v>All Other:: Practitioner - Non-Primary Care Provider (PCP)</v>
          </cell>
          <cell r="M2269" t="str">
            <v>No</v>
          </cell>
          <cell r="R2269" t="str">
            <v>CHIAO FRANKLIN</v>
          </cell>
          <cell r="W2269" t="str">
            <v>CHIAO FRANKLIN B</v>
          </cell>
          <cell r="X2269" t="str">
            <v>525 E 68TH ST</v>
          </cell>
          <cell r="Y2269" t="str">
            <v>NEW YORK</v>
          </cell>
          <cell r="Z2269" t="str">
            <v>NY</v>
          </cell>
          <cell r="AA2269" t="str">
            <v>10065-4870</v>
          </cell>
          <cell r="AB2269" t="str">
            <v>PHYSICIAN</v>
          </cell>
          <cell r="AC2269" t="str">
            <v>M</v>
          </cell>
          <cell r="AD2269" t="str">
            <v>No</v>
          </cell>
          <cell r="AE2269" t="str">
            <v>MMIS</v>
          </cell>
          <cell r="AF2269" t="str">
            <v>nypeastcampus</v>
          </cell>
          <cell r="AG2269" t="str">
            <v>P</v>
          </cell>
        </row>
        <row r="2270">
          <cell r="A2270" t="str">
            <v>1285972158</v>
          </cell>
          <cell r="C2270" t="str">
            <v>Chirlin Elizabeth</v>
          </cell>
          <cell r="G2270" t="str">
            <v>Kathryn Spaziani</v>
          </cell>
          <cell r="H2270" t="str">
            <v>(212) 305-1255</v>
          </cell>
          <cell r="J2270" t="str">
            <v>kas9171@nyp.org</v>
          </cell>
          <cell r="K2270" t="str">
            <v>Physician</v>
          </cell>
          <cell r="L2270" t="str">
            <v>Uncategorized</v>
          </cell>
          <cell r="M2270" t="str">
            <v>No</v>
          </cell>
          <cell r="R2270" t="str">
            <v>CHIRLIN ELIZABETH</v>
          </cell>
          <cell r="S2270" t="str">
            <v>9507 BENCHMARK LN</v>
          </cell>
          <cell r="T2270" t="str">
            <v>BLUE ASH</v>
          </cell>
          <cell r="U2270" t="str">
            <v>OH</v>
          </cell>
          <cell r="V2270" t="str">
            <v>452426005</v>
          </cell>
          <cell r="AC2270" t="str">
            <v>M</v>
          </cell>
          <cell r="AD2270" t="str">
            <v>No</v>
          </cell>
          <cell r="AE2270" t="str">
            <v>NPI only</v>
          </cell>
          <cell r="AF2270" t="str">
            <v>nypeastcampus</v>
          </cell>
          <cell r="AG2270" t="str">
            <v>P</v>
          </cell>
        </row>
        <row r="2271">
          <cell r="A2271" t="str">
            <v>1700291960</v>
          </cell>
          <cell r="C2271" t="str">
            <v>Chung David</v>
          </cell>
          <cell r="G2271" t="str">
            <v>Kathryn Spaziani</v>
          </cell>
          <cell r="H2271" t="str">
            <v>(212) 305-1255</v>
          </cell>
          <cell r="J2271" t="str">
            <v>kas9171@nyp.org</v>
          </cell>
          <cell r="K2271" t="str">
            <v>Physician</v>
          </cell>
          <cell r="L2271" t="str">
            <v>Uncategorized</v>
          </cell>
          <cell r="M2271" t="str">
            <v>No</v>
          </cell>
          <cell r="R2271" t="str">
            <v>CHUNG DAVID</v>
          </cell>
          <cell r="S2271" t="str">
            <v>932 THROGGMORTON AVE</v>
          </cell>
          <cell r="T2271" t="str">
            <v>BRONX</v>
          </cell>
          <cell r="U2271" t="str">
            <v>NY</v>
          </cell>
          <cell r="V2271" t="str">
            <v>104651616</v>
          </cell>
          <cell r="AC2271" t="str">
            <v>M</v>
          </cell>
          <cell r="AD2271" t="str">
            <v>No</v>
          </cell>
          <cell r="AE2271" t="str">
            <v>NPI only</v>
          </cell>
          <cell r="AF2271" t="str">
            <v>nypeastcampus</v>
          </cell>
          <cell r="AG2271" t="str">
            <v>P</v>
          </cell>
        </row>
        <row r="2272">
          <cell r="A2272" t="str">
            <v>1053732164</v>
          </cell>
          <cell r="C2272" t="str">
            <v>Conine Cheryl</v>
          </cell>
          <cell r="G2272" t="str">
            <v>Kathryn Spaziani</v>
          </cell>
          <cell r="H2272" t="str">
            <v>(212) 305-1255</v>
          </cell>
          <cell r="J2272" t="str">
            <v>kas9171@nyp.org</v>
          </cell>
          <cell r="K2272" t="str">
            <v>Physician</v>
          </cell>
          <cell r="L2272" t="str">
            <v>Uncategorized</v>
          </cell>
          <cell r="M2272" t="str">
            <v>No</v>
          </cell>
          <cell r="R2272" t="str">
            <v>CONINE CHERYL</v>
          </cell>
          <cell r="S2272" t="str">
            <v>525 E 68TH ST, DEPARTMENT OF ANESTHESIA</v>
          </cell>
          <cell r="T2272" t="str">
            <v>NEW YORK</v>
          </cell>
          <cell r="U2272" t="str">
            <v>NY</v>
          </cell>
          <cell r="V2272" t="str">
            <v>100654870</v>
          </cell>
          <cell r="AC2272" t="str">
            <v>M</v>
          </cell>
          <cell r="AD2272" t="str">
            <v>No</v>
          </cell>
          <cell r="AE2272" t="str">
            <v>NPI only</v>
          </cell>
          <cell r="AF2272" t="str">
            <v>nypeastcampus</v>
          </cell>
          <cell r="AG2272" t="str">
            <v>P</v>
          </cell>
        </row>
        <row r="2273">
          <cell r="A2273" t="str">
            <v>1982831863</v>
          </cell>
          <cell r="B2273" t="str">
            <v>04069738</v>
          </cell>
          <cell r="C2273" t="str">
            <v>Cudilo Elizabeth</v>
          </cell>
          <cell r="D2273" t="str">
            <v>E0398656</v>
          </cell>
          <cell r="E2273" t="str">
            <v>CUDILO ELIZABETH MARIA</v>
          </cell>
          <cell r="G2273" t="str">
            <v>Kathryn Spaziani</v>
          </cell>
          <cell r="H2273" t="str">
            <v>(212) 305-1255</v>
          </cell>
          <cell r="J2273" t="str">
            <v>kas9171@nyp.org</v>
          </cell>
          <cell r="L2273" t="str">
            <v>Practitioner - Non-Primary Care Provider (PCP)</v>
          </cell>
          <cell r="M2273" t="str">
            <v>No</v>
          </cell>
          <cell r="R2273" t="str">
            <v>CUDILO ELIZABETH</v>
          </cell>
          <cell r="W2273" t="str">
            <v>CUDILO ELIZABETH MARIA</v>
          </cell>
          <cell r="X2273" t="str">
            <v>525 E 68TH ST</v>
          </cell>
          <cell r="Y2273" t="str">
            <v>NEW YORK</v>
          </cell>
          <cell r="Z2273" t="str">
            <v>NY</v>
          </cell>
          <cell r="AA2273" t="str">
            <v>10065-4870</v>
          </cell>
          <cell r="AB2273" t="str">
            <v>PHYSICIAN</v>
          </cell>
          <cell r="AC2273" t="str">
            <v>M</v>
          </cell>
          <cell r="AD2273" t="str">
            <v>No</v>
          </cell>
          <cell r="AE2273" t="str">
            <v>MMIS</v>
          </cell>
          <cell r="AF2273" t="str">
            <v>nypother</v>
          </cell>
          <cell r="AG2273" t="str">
            <v>P</v>
          </cell>
        </row>
        <row r="2274">
          <cell r="A2274" t="str">
            <v>1477801447</v>
          </cell>
          <cell r="C2274" t="str">
            <v>Cuomo Stacey</v>
          </cell>
          <cell r="G2274" t="str">
            <v>Kathryn Spaziani</v>
          </cell>
          <cell r="H2274" t="str">
            <v>(212) 305-1255</v>
          </cell>
          <cell r="J2274" t="str">
            <v>kas9171@nyp.org</v>
          </cell>
          <cell r="K2274" t="str">
            <v>Physician</v>
          </cell>
          <cell r="L2274" t="str">
            <v>Uncategorized</v>
          </cell>
          <cell r="M2274" t="str">
            <v>No</v>
          </cell>
          <cell r="R2274" t="str">
            <v>CUOMO STACEY</v>
          </cell>
          <cell r="S2274" t="str">
            <v>525 E 68TH ST</v>
          </cell>
          <cell r="T2274" t="str">
            <v>NEW YORK</v>
          </cell>
          <cell r="U2274" t="str">
            <v>NY</v>
          </cell>
          <cell r="V2274" t="str">
            <v>100654870</v>
          </cell>
          <cell r="AC2274" t="str">
            <v>M</v>
          </cell>
          <cell r="AD2274" t="str">
            <v>No</v>
          </cell>
          <cell r="AE2274" t="str">
            <v>NPI only</v>
          </cell>
          <cell r="AF2274" t="str">
            <v>nypother</v>
          </cell>
          <cell r="AG2274" t="str">
            <v>P</v>
          </cell>
        </row>
        <row r="2275">
          <cell r="A2275" t="str">
            <v>1538503891</v>
          </cell>
          <cell r="C2275" t="str">
            <v>Cushing Erin</v>
          </cell>
          <cell r="G2275" t="str">
            <v>Kathryn Spaziani</v>
          </cell>
          <cell r="H2275" t="str">
            <v>(212) 305-1255</v>
          </cell>
          <cell r="J2275" t="str">
            <v>kas9171@nyp.org</v>
          </cell>
          <cell r="K2275" t="str">
            <v>Physician</v>
          </cell>
          <cell r="L2275" t="str">
            <v>Uncategorized</v>
          </cell>
          <cell r="M2275" t="str">
            <v>No</v>
          </cell>
          <cell r="R2275" t="str">
            <v>CUSHING ERIN</v>
          </cell>
          <cell r="S2275" t="str">
            <v>593 EDDY STREET, DAVOL 129</v>
          </cell>
          <cell r="T2275" t="str">
            <v>PROVIDENCE</v>
          </cell>
          <cell r="U2275" t="str">
            <v>RI</v>
          </cell>
          <cell r="V2275" t="str">
            <v>029034923</v>
          </cell>
          <cell r="AC2275" t="str">
            <v>M</v>
          </cell>
          <cell r="AD2275" t="str">
            <v>No</v>
          </cell>
          <cell r="AE2275" t="str">
            <v>NPI only</v>
          </cell>
          <cell r="AF2275" t="str">
            <v>nypeastcampus</v>
          </cell>
          <cell r="AG2275" t="str">
            <v>P</v>
          </cell>
        </row>
        <row r="2276">
          <cell r="A2276" t="str">
            <v>1710018759</v>
          </cell>
          <cell r="B2276" t="str">
            <v>02387144</v>
          </cell>
          <cell r="C2276" t="str">
            <v>JURGRAU-VOULGARIS, ANDREA S</v>
          </cell>
          <cell r="D2276" t="str">
            <v>E0061409</v>
          </cell>
          <cell r="E2276" t="str">
            <v>JURGRAU ANDREA S</v>
          </cell>
          <cell r="G2276" t="str">
            <v>Kathryn Spaziani</v>
          </cell>
          <cell r="H2276" t="str">
            <v>(212) 305-1190</v>
          </cell>
          <cell r="J2276" t="str">
            <v>kas9171@nyp.org</v>
          </cell>
          <cell r="L2276" t="str">
            <v>All Other:: Practitioner - Primary Care Provider (PCP)</v>
          </cell>
          <cell r="M2276" t="str">
            <v>Yes</v>
          </cell>
          <cell r="R2276" t="str">
            <v>JURGRAU-VOULGARIS ANDREA MS.</v>
          </cell>
          <cell r="W2276" t="str">
            <v>JURGRAU-VOULGARIS ANDREA SUZANNE</v>
          </cell>
          <cell r="X2276" t="str">
            <v>622 W 168TH ST</v>
          </cell>
          <cell r="Y2276" t="str">
            <v>NEW YORK</v>
          </cell>
          <cell r="Z2276" t="str">
            <v>NY</v>
          </cell>
          <cell r="AA2276" t="str">
            <v>10032-3720</v>
          </cell>
          <cell r="AB2276" t="str">
            <v>PHYSICIAN</v>
          </cell>
          <cell r="AC2276" t="str">
            <v>M</v>
          </cell>
          <cell r="AD2276" t="str">
            <v>No</v>
          </cell>
          <cell r="AE2276" t="str">
            <v>MMIS</v>
          </cell>
          <cell r="AF2276" t="str">
            <v>nypwestacn</v>
          </cell>
          <cell r="AG2276" t="str">
            <v>P</v>
          </cell>
        </row>
        <row r="2277">
          <cell r="A2277" t="str">
            <v>1326084856</v>
          </cell>
          <cell r="B2277" t="str">
            <v>01189151</v>
          </cell>
          <cell r="C2277" t="str">
            <v>Theodore C. Docu</v>
          </cell>
          <cell r="D2277" t="str">
            <v>E0180974</v>
          </cell>
          <cell r="E2277" t="str">
            <v>DOCU THEODORE COSTA MD</v>
          </cell>
          <cell r="G2277" t="str">
            <v>Hemo Bodhu</v>
          </cell>
          <cell r="H2277" t="str">
            <v>(718) 601-0627</v>
          </cell>
          <cell r="J2277" t="str">
            <v>t92p95@aol.com</v>
          </cell>
          <cell r="L2277" t="str">
            <v>All Other:: Practitioner - Primary Care Provider (PCP)</v>
          </cell>
          <cell r="M2277" t="str">
            <v>Yes</v>
          </cell>
          <cell r="R2277" t="str">
            <v>DOCU THEODORE</v>
          </cell>
          <cell r="W2277" t="str">
            <v>DOCU THEODORE COSTA</v>
          </cell>
          <cell r="X2277" t="str">
            <v>506 FORT WASHINGTON AVE # 1FL</v>
          </cell>
          <cell r="Y2277" t="str">
            <v>NEW YORK</v>
          </cell>
          <cell r="Z2277" t="str">
            <v>NY</v>
          </cell>
          <cell r="AA2277" t="str">
            <v>10033-2049</v>
          </cell>
          <cell r="AB2277" t="str">
            <v>PHYSICIAN</v>
          </cell>
          <cell r="AC2277" t="str">
            <v>M</v>
          </cell>
          <cell r="AD2277" t="str">
            <v>No</v>
          </cell>
          <cell r="AE2277" t="str">
            <v>MMIS</v>
          </cell>
          <cell r="AG2277" t="str">
            <v>P</v>
          </cell>
        </row>
        <row r="2278">
          <cell r="A2278" t="str">
            <v>1376704742</v>
          </cell>
          <cell r="B2278" t="str">
            <v>03562907</v>
          </cell>
          <cell r="C2278" t="str">
            <v>Roth, Lisa Giulino</v>
          </cell>
          <cell r="D2278" t="str">
            <v>E0346320</v>
          </cell>
          <cell r="E2278" t="str">
            <v>ROTH LISA GIULINO</v>
          </cell>
          <cell r="G2278" t="str">
            <v>Kathryn Spaziani</v>
          </cell>
          <cell r="H2278" t="str">
            <v>(212) 305-1190</v>
          </cell>
          <cell r="J2278" t="str">
            <v>kas9171@nyp.org</v>
          </cell>
          <cell r="L2278" t="str">
            <v>All Other:: Practitioner - Non-Primary Care Provider (PCP)</v>
          </cell>
          <cell r="M2278" t="str">
            <v>No</v>
          </cell>
          <cell r="R2278" t="str">
            <v>ROTH LISA DR.</v>
          </cell>
          <cell r="W2278" t="str">
            <v>ROTH LISA GIULINO</v>
          </cell>
          <cell r="X2278" t="str">
            <v>525 E 68TH ST # 225</v>
          </cell>
          <cell r="Y2278" t="str">
            <v>NEW YORK</v>
          </cell>
          <cell r="Z2278" t="str">
            <v>NY</v>
          </cell>
          <cell r="AA2278" t="str">
            <v>10065-4870</v>
          </cell>
          <cell r="AB2278" t="str">
            <v>PHYSICIAN</v>
          </cell>
          <cell r="AC2278" t="str">
            <v>M</v>
          </cell>
          <cell r="AD2278" t="str">
            <v>No</v>
          </cell>
          <cell r="AE2278" t="str">
            <v>MMIS</v>
          </cell>
          <cell r="AF2278" t="str">
            <v>nypeastcampus</v>
          </cell>
          <cell r="AG2278" t="str">
            <v>P</v>
          </cell>
        </row>
        <row r="2279">
          <cell r="A2279" t="str">
            <v>1386680064</v>
          </cell>
          <cell r="B2279" t="str">
            <v>02759520</v>
          </cell>
          <cell r="C2279" t="str">
            <v xml:space="preserve">LEBWOHL, BENJAMIN </v>
          </cell>
          <cell r="D2279" t="str">
            <v>E0024240</v>
          </cell>
          <cell r="E2279" t="str">
            <v>LEBWOHL BENJAMIN MD</v>
          </cell>
          <cell r="G2279" t="str">
            <v>Kathryn Spaziani</v>
          </cell>
          <cell r="H2279" t="str">
            <v>(212) 305-1190</v>
          </cell>
          <cell r="J2279" t="str">
            <v>kas9171@nyp.org</v>
          </cell>
          <cell r="L2279" t="str">
            <v>Practitioner - Primary Care Provider (PCP)</v>
          </cell>
          <cell r="M2279" t="str">
            <v>No</v>
          </cell>
          <cell r="R2279" t="str">
            <v>LEBWOHL BENJAMIN DR.</v>
          </cell>
          <cell r="W2279" t="str">
            <v>LEBWOHL BENJAMIN MD</v>
          </cell>
          <cell r="X2279" t="str">
            <v>622 W 168TH ST</v>
          </cell>
          <cell r="Y2279" t="str">
            <v>NEW YORK</v>
          </cell>
          <cell r="Z2279" t="str">
            <v>NY</v>
          </cell>
          <cell r="AA2279" t="str">
            <v>10032-3720</v>
          </cell>
          <cell r="AB2279" t="str">
            <v>PHYSICIAN</v>
          </cell>
          <cell r="AC2279" t="str">
            <v>M</v>
          </cell>
          <cell r="AD2279" t="str">
            <v>No</v>
          </cell>
          <cell r="AE2279" t="str">
            <v>MMIS</v>
          </cell>
          <cell r="AF2279" t="str">
            <v>nypwestcampus</v>
          </cell>
          <cell r="AG2279" t="str">
            <v>P</v>
          </cell>
        </row>
        <row r="2280">
          <cell r="A2280" t="str">
            <v>1114124898</v>
          </cell>
          <cell r="B2280" t="str">
            <v>03155162</v>
          </cell>
          <cell r="C2280" t="str">
            <v>KANG, JANE S</v>
          </cell>
          <cell r="D2280" t="str">
            <v>E0299281</v>
          </cell>
          <cell r="E2280" t="str">
            <v>KANG JANE SUNMI</v>
          </cell>
          <cell r="G2280" t="str">
            <v>Kathryn Spaziani</v>
          </cell>
          <cell r="H2280" t="str">
            <v>(212) 305-1190</v>
          </cell>
          <cell r="J2280" t="str">
            <v>kas9171@nyp.org</v>
          </cell>
          <cell r="L2280" t="str">
            <v>All Other:: Practitioner - Non-Primary Care Provider (PCP)</v>
          </cell>
          <cell r="M2280" t="str">
            <v>No</v>
          </cell>
          <cell r="R2280" t="str">
            <v>KANG JANE</v>
          </cell>
          <cell r="W2280" t="str">
            <v>KANG JANE SUNMI</v>
          </cell>
          <cell r="X2280" t="str">
            <v>622 W 168TH ST</v>
          </cell>
          <cell r="Y2280" t="str">
            <v>NEW YORK</v>
          </cell>
          <cell r="Z2280" t="str">
            <v>NY</v>
          </cell>
          <cell r="AA2280" t="str">
            <v>10032-3720</v>
          </cell>
          <cell r="AB2280" t="str">
            <v>PHYSICIAN</v>
          </cell>
          <cell r="AC2280" t="str">
            <v>M</v>
          </cell>
          <cell r="AD2280" t="str">
            <v>No</v>
          </cell>
          <cell r="AE2280" t="str">
            <v>MMIS</v>
          </cell>
          <cell r="AF2280" t="str">
            <v>nypwestcampus</v>
          </cell>
          <cell r="AG2280" t="str">
            <v>P</v>
          </cell>
        </row>
        <row r="2281">
          <cell r="A2281" t="str">
            <v>1942406277</v>
          </cell>
          <cell r="B2281" t="str">
            <v>03338621</v>
          </cell>
          <cell r="C2281" t="str">
            <v>FLORSHEIM, REBECCA</v>
          </cell>
          <cell r="D2281" t="str">
            <v>E0320128</v>
          </cell>
          <cell r="E2281" t="str">
            <v>FLORSHEIM REBECCA LYNN</v>
          </cell>
          <cell r="G2281" t="str">
            <v>Kathryn Spaziani</v>
          </cell>
          <cell r="H2281" t="str">
            <v>(212) 305-1236</v>
          </cell>
          <cell r="J2281" t="str">
            <v>kas9171@nyp.org</v>
          </cell>
          <cell r="L2281" t="str">
            <v>Practitioner - Non-Primary Care Provider (PCP)</v>
          </cell>
          <cell r="M2281" t="str">
            <v>No</v>
          </cell>
          <cell r="R2281" t="str">
            <v>FLORSHEIM REBECCA DR.</v>
          </cell>
          <cell r="W2281" t="str">
            <v>FLORSHEIM REBECCA LYNN</v>
          </cell>
          <cell r="X2281" t="str">
            <v>525 E 68TH ST</v>
          </cell>
          <cell r="Y2281" t="str">
            <v>NEW YORK</v>
          </cell>
          <cell r="Z2281" t="str">
            <v>NY</v>
          </cell>
          <cell r="AA2281" t="str">
            <v>10065-4870</v>
          </cell>
          <cell r="AB2281" t="str">
            <v>PHYSICIAN</v>
          </cell>
          <cell r="AC2281" t="str">
            <v>M</v>
          </cell>
          <cell r="AD2281" t="str">
            <v>No</v>
          </cell>
          <cell r="AE2281" t="str">
            <v>MMIS</v>
          </cell>
          <cell r="AF2281" t="str">
            <v>nypeastcampus</v>
          </cell>
          <cell r="AG2281" t="str">
            <v>P</v>
          </cell>
        </row>
        <row r="2282">
          <cell r="A2282" t="str">
            <v>1356555452</v>
          </cell>
          <cell r="B2282" t="str">
            <v>02904992</v>
          </cell>
          <cell r="C2282" t="str">
            <v>ADEN, BRANDON J</v>
          </cell>
          <cell r="D2282" t="str">
            <v>E0009708</v>
          </cell>
          <cell r="E2282" t="str">
            <v>ADEN BRANDON</v>
          </cell>
          <cell r="G2282" t="str">
            <v>Kathryn Spaziani</v>
          </cell>
          <cell r="H2282" t="str">
            <v>(212) 305-1190</v>
          </cell>
          <cell r="J2282" t="str">
            <v>kas9171@nyp.org</v>
          </cell>
          <cell r="L2282" t="str">
            <v>Practitioner - Non-Primary Care Provider (PCP)</v>
          </cell>
          <cell r="M2282" t="str">
            <v>No</v>
          </cell>
          <cell r="R2282" t="str">
            <v>ADEN BRANDON DR.</v>
          </cell>
          <cell r="W2282" t="str">
            <v>ADEN BRANDON</v>
          </cell>
          <cell r="X2282" t="str">
            <v>227 MADISON ST</v>
          </cell>
          <cell r="Y2282" t="str">
            <v>NEW YORK</v>
          </cell>
          <cell r="Z2282" t="str">
            <v>NY</v>
          </cell>
          <cell r="AA2282" t="str">
            <v>10002-7537</v>
          </cell>
          <cell r="AB2282" t="str">
            <v>PHYSICIAN</v>
          </cell>
          <cell r="AC2282" t="str">
            <v>M</v>
          </cell>
          <cell r="AD2282" t="str">
            <v>No</v>
          </cell>
          <cell r="AE2282" t="str">
            <v>MMIS</v>
          </cell>
          <cell r="AF2282" t="str">
            <v>nypeastacn</v>
          </cell>
          <cell r="AG2282" t="str">
            <v>P</v>
          </cell>
        </row>
        <row r="2283">
          <cell r="A2283" t="str">
            <v>1750409918</v>
          </cell>
          <cell r="B2283" t="str">
            <v>03165524</v>
          </cell>
          <cell r="C2283" t="str">
            <v>MIELE GOMEZ, KATHERINE A</v>
          </cell>
          <cell r="D2283" t="str">
            <v>E0300536</v>
          </cell>
          <cell r="E2283" t="str">
            <v>MIELE GOMEZ KATHERINE</v>
          </cell>
          <cell r="G2283" t="str">
            <v>Kathryn Spaziani</v>
          </cell>
          <cell r="H2283" t="str">
            <v>(212) 305-1190</v>
          </cell>
          <cell r="J2283" t="str">
            <v>kas9171@nyp.org</v>
          </cell>
          <cell r="L2283" t="str">
            <v>Practitioner - Non-Primary Care Provider (PCP)</v>
          </cell>
          <cell r="M2283" t="str">
            <v>No</v>
          </cell>
          <cell r="R2283" t="str">
            <v>MIELE GOMEZ KATHERINE DR.</v>
          </cell>
          <cell r="W2283" t="str">
            <v>MIELE GOMEZ KATHERINE</v>
          </cell>
          <cell r="X2283" t="str">
            <v>622 W 168TH ST FL 4</v>
          </cell>
          <cell r="Y2283" t="str">
            <v>NEW YORK</v>
          </cell>
          <cell r="Z2283" t="str">
            <v>NY</v>
          </cell>
          <cell r="AA2283" t="str">
            <v>10032-3720</v>
          </cell>
          <cell r="AB2283" t="str">
            <v>CLINICAL PSYCHOLOGIST</v>
          </cell>
          <cell r="AC2283" t="str">
            <v>M</v>
          </cell>
          <cell r="AD2283" t="str">
            <v>No</v>
          </cell>
          <cell r="AE2283" t="str">
            <v>MMIS</v>
          </cell>
          <cell r="AF2283" t="str">
            <v>nypwestcampus</v>
          </cell>
          <cell r="AG2283" t="str">
            <v>P</v>
          </cell>
        </row>
        <row r="2284">
          <cell r="A2284" t="str">
            <v>1093773194</v>
          </cell>
          <cell r="B2284" t="str">
            <v>03241398</v>
          </cell>
          <cell r="C2284" t="str">
            <v xml:space="preserve">O'DONNELL, MAX </v>
          </cell>
          <cell r="D2284" t="str">
            <v>E0309049</v>
          </cell>
          <cell r="E2284" t="str">
            <v>O'DONNELL MAX ROE MD</v>
          </cell>
          <cell r="G2284" t="str">
            <v>Kathryn Spaziani</v>
          </cell>
          <cell r="H2284" t="str">
            <v>(212) 305-1190</v>
          </cell>
          <cell r="J2284" t="str">
            <v>kas9171@nyp.org</v>
          </cell>
          <cell r="L2284" t="str">
            <v>All Other:: Practitioner - Non-Primary Care Provider (PCP)</v>
          </cell>
          <cell r="M2284" t="str">
            <v>No</v>
          </cell>
          <cell r="R2284" t="str">
            <v>O'DONNELL MAX</v>
          </cell>
          <cell r="W2284" t="str">
            <v>O'DONNELL MAX ROE MD</v>
          </cell>
          <cell r="X2284" t="str">
            <v>111 E 210TH ST</v>
          </cell>
          <cell r="Y2284" t="str">
            <v>BRONX</v>
          </cell>
          <cell r="Z2284" t="str">
            <v>NY</v>
          </cell>
          <cell r="AA2284" t="str">
            <v>10467-2401</v>
          </cell>
          <cell r="AB2284" t="str">
            <v>PHYSICIAN</v>
          </cell>
          <cell r="AC2284" t="str">
            <v>M</v>
          </cell>
          <cell r="AD2284" t="str">
            <v>No</v>
          </cell>
          <cell r="AE2284" t="str">
            <v>MMIS</v>
          </cell>
          <cell r="AF2284" t="str">
            <v>nypwestcampus</v>
          </cell>
          <cell r="AG2284" t="str">
            <v>P</v>
          </cell>
        </row>
        <row r="2285">
          <cell r="A2285" t="str">
            <v>1013025253</v>
          </cell>
          <cell r="B2285" t="str">
            <v>02800746</v>
          </cell>
          <cell r="C2285" t="str">
            <v>OLENDER, SUSAN A</v>
          </cell>
          <cell r="D2285" t="str">
            <v>E0020120</v>
          </cell>
          <cell r="E2285" t="str">
            <v>OLENDER SUSAN AILEEN MD</v>
          </cell>
          <cell r="G2285" t="str">
            <v>Kathryn Spaziani</v>
          </cell>
          <cell r="H2285" t="str">
            <v>(212) 305-1190</v>
          </cell>
          <cell r="J2285" t="str">
            <v>kas9171@nyp.org</v>
          </cell>
          <cell r="L2285" t="str">
            <v>All Other:: Practitioner - Primary Care Provider (PCP)</v>
          </cell>
          <cell r="M2285" t="str">
            <v>Yes</v>
          </cell>
          <cell r="R2285" t="str">
            <v>OLENDER SUSAN DR.</v>
          </cell>
          <cell r="W2285" t="str">
            <v>OLENDER SUSAN AILEEN MD</v>
          </cell>
          <cell r="X2285" t="str">
            <v>622 W 168TH ST</v>
          </cell>
          <cell r="Y2285" t="str">
            <v>NEW YORK</v>
          </cell>
          <cell r="Z2285" t="str">
            <v>NY</v>
          </cell>
          <cell r="AA2285" t="str">
            <v>10032-3720</v>
          </cell>
          <cell r="AB2285" t="str">
            <v>PHYSICIAN</v>
          </cell>
          <cell r="AC2285" t="str">
            <v>M</v>
          </cell>
          <cell r="AD2285" t="str">
            <v>No</v>
          </cell>
          <cell r="AE2285" t="str">
            <v>MMIS</v>
          </cell>
          <cell r="AF2285" t="str">
            <v>nypwestcampus</v>
          </cell>
          <cell r="AG2285" t="str">
            <v>P</v>
          </cell>
        </row>
        <row r="2286">
          <cell r="A2286" t="str">
            <v>1013149723</v>
          </cell>
          <cell r="B2286" t="str">
            <v>03190223</v>
          </cell>
          <cell r="C2286" t="str">
            <v xml:space="preserve">CARNEVALE, CAROLINE </v>
          </cell>
          <cell r="D2286" t="str">
            <v>E0303347</v>
          </cell>
          <cell r="E2286" t="str">
            <v>CARNEVALE CAROLINE</v>
          </cell>
          <cell r="G2286" t="str">
            <v>Kathryn Spaziani</v>
          </cell>
          <cell r="H2286" t="str">
            <v>(212) 305-1190</v>
          </cell>
          <cell r="J2286" t="str">
            <v>kas9171@nyp.org</v>
          </cell>
          <cell r="L2286" t="str">
            <v>All Other:: Practitioner - Primary Care Provider (PCP)</v>
          </cell>
          <cell r="M2286" t="str">
            <v>Yes</v>
          </cell>
          <cell r="R2286" t="str">
            <v>CARNEVALE CAROLINE</v>
          </cell>
          <cell r="W2286" t="str">
            <v>CARNEVALE CAROLINE</v>
          </cell>
          <cell r="X2286" t="str">
            <v>1650 GRAND CONCOURSE</v>
          </cell>
          <cell r="Y2286" t="str">
            <v>BRONX</v>
          </cell>
          <cell r="Z2286" t="str">
            <v>NY</v>
          </cell>
          <cell r="AA2286" t="str">
            <v>10457-7606</v>
          </cell>
          <cell r="AB2286" t="str">
            <v>PHYSICIAN</v>
          </cell>
          <cell r="AC2286" t="str">
            <v>M</v>
          </cell>
          <cell r="AD2286" t="str">
            <v>No</v>
          </cell>
          <cell r="AE2286" t="str">
            <v>MMIS</v>
          </cell>
          <cell r="AF2286" t="str">
            <v>nypwestacn</v>
          </cell>
          <cell r="AG2286" t="str">
            <v>P</v>
          </cell>
        </row>
        <row r="2287">
          <cell r="A2287" t="str">
            <v>1841355666</v>
          </cell>
          <cell r="B2287" t="str">
            <v>01811563</v>
          </cell>
          <cell r="C2287" t="str">
            <v xml:space="preserve">MUFSON, LAURA </v>
          </cell>
          <cell r="D2287" t="str">
            <v>E0118881</v>
          </cell>
          <cell r="E2287" t="str">
            <v>MUFSON LAURA</v>
          </cell>
          <cell r="G2287" t="str">
            <v>Kathryn Spaziani</v>
          </cell>
          <cell r="H2287" t="str">
            <v>(212) 305-1190</v>
          </cell>
          <cell r="J2287" t="str">
            <v>kas9171@nyp.org</v>
          </cell>
          <cell r="L2287" t="str">
            <v>Practitioner - Non-Primary Care Provider (PCP)</v>
          </cell>
          <cell r="M2287" t="str">
            <v>No</v>
          </cell>
          <cell r="R2287" t="str">
            <v>MUFSON LAURA DR.</v>
          </cell>
          <cell r="W2287" t="str">
            <v>MUFSON LAURA</v>
          </cell>
          <cell r="X2287" t="str">
            <v>3959 BROADWAY</v>
          </cell>
          <cell r="Y2287" t="str">
            <v>NEW YORK</v>
          </cell>
          <cell r="Z2287" t="str">
            <v>NY</v>
          </cell>
          <cell r="AA2287" t="str">
            <v>10032-1559</v>
          </cell>
          <cell r="AB2287" t="str">
            <v>CLINICAL PSYCHOLOGIST</v>
          </cell>
          <cell r="AC2287" t="str">
            <v>M</v>
          </cell>
          <cell r="AD2287" t="str">
            <v>No</v>
          </cell>
          <cell r="AE2287" t="str">
            <v>MMIS</v>
          </cell>
          <cell r="AF2287" t="str">
            <v>nypwestcampus</v>
          </cell>
          <cell r="AG2287" t="str">
            <v>P</v>
          </cell>
        </row>
        <row r="2288">
          <cell r="A2288" t="str">
            <v>1770788150</v>
          </cell>
          <cell r="B2288" t="str">
            <v>02932832</v>
          </cell>
          <cell r="C2288" t="str">
            <v xml:space="preserve">STEIN, EMILY </v>
          </cell>
          <cell r="D2288" t="str">
            <v>E0000867</v>
          </cell>
          <cell r="E2288" t="str">
            <v>STEIN EMILY MARGARET</v>
          </cell>
          <cell r="G2288" t="str">
            <v>Kathryn Spaziani</v>
          </cell>
          <cell r="H2288" t="str">
            <v>(212) 305-1190</v>
          </cell>
          <cell r="J2288" t="str">
            <v>kas9171@nyp.org</v>
          </cell>
          <cell r="L2288" t="str">
            <v>All Other:: Practitioner - Non-Primary Care Provider (PCP)</v>
          </cell>
          <cell r="M2288" t="str">
            <v>No</v>
          </cell>
          <cell r="R2288" t="str">
            <v>STEIN EMILY</v>
          </cell>
          <cell r="W2288" t="str">
            <v>STEIN EMILY MARGARET</v>
          </cell>
          <cell r="X2288" t="str">
            <v>622 W 168TH ST</v>
          </cell>
          <cell r="Y2288" t="str">
            <v>NEW YORK</v>
          </cell>
          <cell r="Z2288" t="str">
            <v>NY</v>
          </cell>
          <cell r="AA2288" t="str">
            <v>10032-3720</v>
          </cell>
          <cell r="AB2288" t="str">
            <v>PHYSICIAN</v>
          </cell>
          <cell r="AC2288" t="str">
            <v>M</v>
          </cell>
          <cell r="AD2288" t="str">
            <v>No</v>
          </cell>
          <cell r="AE2288" t="str">
            <v>MMIS</v>
          </cell>
          <cell r="AF2288" t="str">
            <v>nypwestcampus</v>
          </cell>
          <cell r="AG2288" t="str">
            <v>P</v>
          </cell>
        </row>
        <row r="2289">
          <cell r="A2289" t="str">
            <v>1245673912</v>
          </cell>
          <cell r="C2289" t="str">
            <v>KATHRYN LOUGHLIN</v>
          </cell>
          <cell r="G2289" t="str">
            <v>Kathryn Spaziani</v>
          </cell>
          <cell r="H2289" t="str">
            <v>(212) 305-1190</v>
          </cell>
          <cell r="J2289" t="str">
            <v>kas9171@nyp.org</v>
          </cell>
          <cell r="K2289" t="str">
            <v>Unknown</v>
          </cell>
          <cell r="L2289" t="str">
            <v>Uncategorized</v>
          </cell>
          <cell r="M2289" t="str">
            <v>No</v>
          </cell>
          <cell r="R2289" t="str">
            <v>LAURIE KATHRYN</v>
          </cell>
          <cell r="S2289" t="str">
            <v>16 GOLF LN</v>
          </cell>
          <cell r="T2289" t="str">
            <v>RIDGEFIELD</v>
          </cell>
          <cell r="U2289" t="str">
            <v>CT</v>
          </cell>
          <cell r="V2289" t="str">
            <v>068774819</v>
          </cell>
          <cell r="AC2289" t="str">
            <v>M</v>
          </cell>
          <cell r="AD2289" t="str">
            <v>No</v>
          </cell>
          <cell r="AE2289" t="str">
            <v>NPI only</v>
          </cell>
          <cell r="AF2289" t="str">
            <v>nypeastcampus</v>
          </cell>
          <cell r="AG2289" t="str">
            <v>P</v>
          </cell>
        </row>
        <row r="2290">
          <cell r="A2290" t="str">
            <v>1205193497</v>
          </cell>
          <cell r="B2290" t="str">
            <v>04209789</v>
          </cell>
          <cell r="C2290" t="str">
            <v>MATTHEW MARKS</v>
          </cell>
          <cell r="D2290" t="str">
            <v>E0412955</v>
          </cell>
          <cell r="E2290" t="str">
            <v>MARKS MATTHEW S</v>
          </cell>
          <cell r="G2290" t="str">
            <v>Kathryn Spaziani</v>
          </cell>
          <cell r="H2290" t="str">
            <v>(212) 305-1190</v>
          </cell>
          <cell r="J2290" t="str">
            <v>kas9171@nyp.org</v>
          </cell>
          <cell r="L2290" t="str">
            <v>Practitioner - Non-Primary Care Provider (PCP)</v>
          </cell>
          <cell r="M2290" t="str">
            <v>No</v>
          </cell>
          <cell r="R2290" t="str">
            <v>MARKS MATTHEW DR.</v>
          </cell>
          <cell r="W2290" t="str">
            <v>MARKS MATTHEW S</v>
          </cell>
          <cell r="X2290" t="str">
            <v>170 WILLIAM ST</v>
          </cell>
          <cell r="Y2290" t="str">
            <v>NEW YORK</v>
          </cell>
          <cell r="Z2290" t="str">
            <v>NY</v>
          </cell>
          <cell r="AA2290" t="str">
            <v>10038-2602</v>
          </cell>
          <cell r="AB2290" t="str">
            <v>PHYSICIAN</v>
          </cell>
          <cell r="AC2290" t="str">
            <v>M</v>
          </cell>
          <cell r="AD2290" t="str">
            <v>No</v>
          </cell>
          <cell r="AE2290" t="str">
            <v>MMIS</v>
          </cell>
          <cell r="AF2290" t="str">
            <v>nypeastcampus</v>
          </cell>
          <cell r="AG2290" t="str">
            <v>P</v>
          </cell>
        </row>
        <row r="2291">
          <cell r="A2291" t="str">
            <v>1740625052</v>
          </cell>
          <cell r="C2291" t="str">
            <v>NINA MBADIWE</v>
          </cell>
          <cell r="G2291" t="str">
            <v>Kathryn Spaziani</v>
          </cell>
          <cell r="H2291" t="str">
            <v>(212) 305-1190</v>
          </cell>
          <cell r="J2291" t="str">
            <v>kas9171@nyp.org</v>
          </cell>
          <cell r="K2291" t="str">
            <v>Unknown</v>
          </cell>
          <cell r="L2291" t="str">
            <v>Uncategorized</v>
          </cell>
          <cell r="M2291" t="str">
            <v>No</v>
          </cell>
          <cell r="R2291" t="str">
            <v>MBADIWE NINA DR.</v>
          </cell>
          <cell r="S2291" t="str">
            <v>5841 S MARYLAND AVE, M/C 0810</v>
          </cell>
          <cell r="T2291" t="str">
            <v>CHICAGO</v>
          </cell>
          <cell r="U2291" t="str">
            <v>IL</v>
          </cell>
          <cell r="V2291" t="str">
            <v>606371447</v>
          </cell>
          <cell r="AC2291" t="str">
            <v>M</v>
          </cell>
          <cell r="AD2291" t="str">
            <v>No</v>
          </cell>
          <cell r="AE2291" t="str">
            <v>NPI only</v>
          </cell>
          <cell r="AF2291" t="str">
            <v>nypeastcampus</v>
          </cell>
          <cell r="AG2291" t="str">
            <v>P</v>
          </cell>
        </row>
        <row r="2292">
          <cell r="A2292" t="str">
            <v>1699041764</v>
          </cell>
          <cell r="C2292" t="str">
            <v>SON MCLAREN</v>
          </cell>
          <cell r="G2292" t="str">
            <v>Kathryn Spaziani</v>
          </cell>
          <cell r="H2292" t="str">
            <v>(212) 305-1190</v>
          </cell>
          <cell r="J2292" t="str">
            <v>kas9171@nyp.org</v>
          </cell>
          <cell r="K2292" t="str">
            <v>Unknown</v>
          </cell>
          <cell r="L2292" t="str">
            <v>Uncategorized</v>
          </cell>
          <cell r="M2292" t="str">
            <v>No</v>
          </cell>
          <cell r="R2292" t="str">
            <v>MCLAREN SON DR.</v>
          </cell>
          <cell r="S2292" t="str">
            <v>525 E 68TH ST</v>
          </cell>
          <cell r="T2292" t="str">
            <v>NEW YORK</v>
          </cell>
          <cell r="U2292" t="str">
            <v>NY</v>
          </cell>
          <cell r="V2292" t="str">
            <v>100654870</v>
          </cell>
          <cell r="AC2292" t="str">
            <v>M</v>
          </cell>
          <cell r="AD2292" t="str">
            <v>No</v>
          </cell>
          <cell r="AE2292" t="str">
            <v>NPI only</v>
          </cell>
          <cell r="AF2292" t="str">
            <v>nypother</v>
          </cell>
          <cell r="AG2292" t="str">
            <v>P</v>
          </cell>
        </row>
        <row r="2293">
          <cell r="A2293" t="str">
            <v>1174966816</v>
          </cell>
          <cell r="C2293" t="str">
            <v>SONDRA  NEMETSKI</v>
          </cell>
          <cell r="G2293" t="str">
            <v>Kathryn Spaziani</v>
          </cell>
          <cell r="H2293" t="str">
            <v>(212) 305-1190</v>
          </cell>
          <cell r="J2293" t="str">
            <v>kas9171@nyp.org</v>
          </cell>
          <cell r="K2293" t="str">
            <v>Unknown</v>
          </cell>
          <cell r="L2293" t="str">
            <v>Uncategorized</v>
          </cell>
          <cell r="M2293" t="str">
            <v>No</v>
          </cell>
          <cell r="R2293" t="str">
            <v>NEMETSKI SONDRA DR.</v>
          </cell>
          <cell r="S2293" t="str">
            <v>525 E 68TH ST, M-610</v>
          </cell>
          <cell r="T2293" t="str">
            <v>NEW YORK</v>
          </cell>
          <cell r="U2293" t="str">
            <v>NY</v>
          </cell>
          <cell r="V2293" t="str">
            <v>100654870</v>
          </cell>
          <cell r="AC2293" t="str">
            <v>M</v>
          </cell>
          <cell r="AD2293" t="str">
            <v>No</v>
          </cell>
          <cell r="AE2293" t="str">
            <v>NPI only</v>
          </cell>
          <cell r="AF2293" t="str">
            <v>nypeastcampus</v>
          </cell>
          <cell r="AG2293" t="str">
            <v>P</v>
          </cell>
        </row>
        <row r="2294">
          <cell r="A2294" t="str">
            <v>1073870655</v>
          </cell>
          <cell r="C2294" t="str">
            <v>EILEEN NICOLETTI</v>
          </cell>
          <cell r="G2294" t="str">
            <v>Kathryn Spaziani</v>
          </cell>
          <cell r="H2294" t="str">
            <v>(212) 305-1190</v>
          </cell>
          <cell r="J2294" t="str">
            <v>kas9171@nyp.org</v>
          </cell>
          <cell r="K2294" t="str">
            <v>Unknown</v>
          </cell>
          <cell r="L2294" t="str">
            <v>Uncategorized</v>
          </cell>
          <cell r="M2294" t="str">
            <v>No</v>
          </cell>
          <cell r="R2294" t="str">
            <v>NICOLETTI EILEEN DR.</v>
          </cell>
          <cell r="S2294" t="str">
            <v>525 E 68TH ST</v>
          </cell>
          <cell r="T2294" t="str">
            <v>NEW YORK</v>
          </cell>
          <cell r="U2294" t="str">
            <v>NY</v>
          </cell>
          <cell r="V2294" t="str">
            <v>100654870</v>
          </cell>
          <cell r="AC2294" t="str">
            <v>M</v>
          </cell>
          <cell r="AD2294" t="str">
            <v>No</v>
          </cell>
          <cell r="AE2294" t="str">
            <v>NPI only</v>
          </cell>
          <cell r="AF2294" t="str">
            <v>nypeastcampus</v>
          </cell>
          <cell r="AG2294" t="str">
            <v>P</v>
          </cell>
        </row>
        <row r="2295">
          <cell r="A2295" t="str">
            <v>1790027878</v>
          </cell>
          <cell r="C2295" t="str">
            <v>TARA O'DONOHUE</v>
          </cell>
          <cell r="G2295" t="str">
            <v>Kathryn Spaziani</v>
          </cell>
          <cell r="H2295" t="str">
            <v>(212) 305-1190</v>
          </cell>
          <cell r="J2295" t="str">
            <v>kas9171@nyp.org</v>
          </cell>
          <cell r="K2295" t="str">
            <v>Unknown</v>
          </cell>
          <cell r="L2295" t="str">
            <v>Uncategorized</v>
          </cell>
          <cell r="M2295" t="str">
            <v>No</v>
          </cell>
          <cell r="R2295" t="str">
            <v>O'DONOHUE TARA</v>
          </cell>
          <cell r="S2295" t="str">
            <v>525 E 68TH ST, DEPT. OF PEDIATRICS AT WEILL CORNELL MEDICAL CENTER</v>
          </cell>
          <cell r="T2295" t="str">
            <v>NEW YORK</v>
          </cell>
          <cell r="U2295" t="str">
            <v>NY</v>
          </cell>
          <cell r="V2295" t="str">
            <v>100654870</v>
          </cell>
          <cell r="AC2295" t="str">
            <v>M</v>
          </cell>
          <cell r="AD2295" t="str">
            <v>No</v>
          </cell>
          <cell r="AE2295" t="str">
            <v>NPI only</v>
          </cell>
          <cell r="AF2295" t="str">
            <v>nypeastcampus</v>
          </cell>
          <cell r="AG2295" t="str">
            <v>P</v>
          </cell>
        </row>
        <row r="2296">
          <cell r="A2296" t="str">
            <v>1932544806</v>
          </cell>
          <cell r="C2296" t="str">
            <v>JOSEPH OVED</v>
          </cell>
          <cell r="G2296" t="str">
            <v>Kathryn Spaziani</v>
          </cell>
          <cell r="H2296" t="str">
            <v>(212) 305-1190</v>
          </cell>
          <cell r="J2296" t="str">
            <v>kas9171@nyp.org</v>
          </cell>
          <cell r="K2296" t="str">
            <v>Unknown</v>
          </cell>
          <cell r="L2296" t="str">
            <v>Uncategorized</v>
          </cell>
          <cell r="M2296" t="str">
            <v>No</v>
          </cell>
          <cell r="R2296" t="str">
            <v>OVED JOSEPH</v>
          </cell>
          <cell r="S2296" t="str">
            <v>880 5TH AVE APT 20B</v>
          </cell>
          <cell r="T2296" t="str">
            <v>NEW YORK</v>
          </cell>
          <cell r="U2296" t="str">
            <v>NY</v>
          </cell>
          <cell r="V2296" t="str">
            <v>100215260</v>
          </cell>
          <cell r="AC2296" t="str">
            <v>M</v>
          </cell>
          <cell r="AD2296" t="str">
            <v>No</v>
          </cell>
          <cell r="AE2296" t="str">
            <v>NPI only</v>
          </cell>
          <cell r="AF2296" t="str">
            <v>nypeastcampus</v>
          </cell>
          <cell r="AG2296" t="str">
            <v>P</v>
          </cell>
        </row>
        <row r="2297">
          <cell r="A2297" t="str">
            <v>1164798815</v>
          </cell>
          <cell r="C2297" t="str">
            <v>JORDANNA PLATT</v>
          </cell>
          <cell r="G2297" t="str">
            <v>Kathryn Spaziani</v>
          </cell>
          <cell r="H2297" t="str">
            <v>(212) 305-1190</v>
          </cell>
          <cell r="J2297" t="str">
            <v>kas9171@nyp.org</v>
          </cell>
          <cell r="K2297" t="str">
            <v>Unknown</v>
          </cell>
          <cell r="L2297" t="str">
            <v>Uncategorized</v>
          </cell>
          <cell r="M2297" t="str">
            <v>No</v>
          </cell>
          <cell r="R2297" t="str">
            <v>PLATT JORDANNA</v>
          </cell>
          <cell r="S2297" t="str">
            <v>1945 EASTCHESTER RD, APT 6A</v>
          </cell>
          <cell r="T2297" t="str">
            <v>BRONX</v>
          </cell>
          <cell r="U2297" t="str">
            <v>NY</v>
          </cell>
          <cell r="V2297" t="str">
            <v>104612105</v>
          </cell>
          <cell r="AC2297" t="str">
            <v>M</v>
          </cell>
          <cell r="AD2297" t="str">
            <v>No</v>
          </cell>
          <cell r="AE2297" t="str">
            <v>NPI only</v>
          </cell>
          <cell r="AF2297" t="str">
            <v>nypother</v>
          </cell>
          <cell r="AG2297" t="str">
            <v>P</v>
          </cell>
        </row>
        <row r="2298">
          <cell r="C2298" t="str">
            <v>SARAH SIDHU</v>
          </cell>
          <cell r="G2298" t="str">
            <v>Kathryn Spaziani</v>
          </cell>
          <cell r="H2298" t="str">
            <v>(212) 305-1190</v>
          </cell>
          <cell r="J2298" t="str">
            <v>kas9171@nyp.org</v>
          </cell>
          <cell r="K2298" t="str">
            <v>Unknown</v>
          </cell>
          <cell r="L2298" t="str">
            <v>CBO</v>
          </cell>
          <cell r="M2298" t="str">
            <v>No</v>
          </cell>
          <cell r="N2298" t="str">
            <v>525 E 68th Street</v>
          </cell>
          <cell r="O2298" t="str">
            <v xml:space="preserve">New York </v>
          </cell>
          <cell r="P2298" t="str">
            <v>NY</v>
          </cell>
          <cell r="Q2298" t="str">
            <v>10021</v>
          </cell>
          <cell r="AC2298" t="str">
            <v>M</v>
          </cell>
          <cell r="AD2298" t="str">
            <v>No</v>
          </cell>
          <cell r="AE2298" t="str">
            <v>No NPI or MMIS</v>
          </cell>
          <cell r="AF2298" t="str">
            <v>nypother</v>
          </cell>
          <cell r="AG2298" t="str">
            <v>P</v>
          </cell>
        </row>
        <row r="2299">
          <cell r="A2299" t="str">
            <v>1023376944</v>
          </cell>
          <cell r="C2299" t="str">
            <v>SONIA SINGH</v>
          </cell>
          <cell r="G2299" t="str">
            <v>Kathryn Spaziani</v>
          </cell>
          <cell r="H2299" t="str">
            <v>(212) 305-1190</v>
          </cell>
          <cell r="J2299" t="str">
            <v>kas9171@nyp.org</v>
          </cell>
          <cell r="K2299" t="str">
            <v>Unknown</v>
          </cell>
          <cell r="L2299" t="str">
            <v>Uncategorized</v>
          </cell>
          <cell r="M2299" t="str">
            <v>No</v>
          </cell>
          <cell r="R2299" t="str">
            <v>SINGH SONIA</v>
          </cell>
          <cell r="S2299" t="str">
            <v>525 E 68TH ST</v>
          </cell>
          <cell r="T2299" t="str">
            <v>NEW YORK</v>
          </cell>
          <cell r="U2299" t="str">
            <v>NY</v>
          </cell>
          <cell r="V2299" t="str">
            <v>100654870</v>
          </cell>
          <cell r="AC2299" t="str">
            <v>M</v>
          </cell>
          <cell r="AD2299" t="str">
            <v>No</v>
          </cell>
          <cell r="AE2299" t="str">
            <v>NPI only</v>
          </cell>
          <cell r="AF2299" t="str">
            <v>nypeastcampus</v>
          </cell>
          <cell r="AG2299" t="str">
            <v>P</v>
          </cell>
        </row>
        <row r="2300">
          <cell r="A2300" t="str">
            <v>1659637841</v>
          </cell>
          <cell r="C2300" t="str">
            <v>MARIEL SMITH</v>
          </cell>
          <cell r="G2300" t="str">
            <v>Kathryn Spaziani</v>
          </cell>
          <cell r="H2300" t="str">
            <v>(212) 305-1190</v>
          </cell>
          <cell r="J2300" t="str">
            <v>kas9171@nyp.org</v>
          </cell>
          <cell r="K2300" t="str">
            <v>Unknown</v>
          </cell>
          <cell r="L2300" t="str">
            <v>Uncategorized</v>
          </cell>
          <cell r="M2300" t="str">
            <v>No</v>
          </cell>
          <cell r="R2300" t="str">
            <v>SMITH MARIEL</v>
          </cell>
          <cell r="S2300" t="str">
            <v>525 E 68TH ST, DEPT OF PEDIATRICS</v>
          </cell>
          <cell r="T2300" t="str">
            <v>NEW YORK</v>
          </cell>
          <cell r="U2300" t="str">
            <v>NY</v>
          </cell>
          <cell r="V2300" t="str">
            <v>100654870</v>
          </cell>
          <cell r="AC2300" t="str">
            <v>M</v>
          </cell>
          <cell r="AD2300" t="str">
            <v>No</v>
          </cell>
          <cell r="AE2300" t="str">
            <v>NPI only</v>
          </cell>
          <cell r="AF2300" t="str">
            <v>nypother</v>
          </cell>
          <cell r="AG2300" t="str">
            <v>P</v>
          </cell>
        </row>
        <row r="2301">
          <cell r="A2301" t="str">
            <v>1770840159</v>
          </cell>
          <cell r="C2301" t="str">
            <v>MEGAN TOAL</v>
          </cell>
          <cell r="G2301" t="str">
            <v>Kathryn Spaziani</v>
          </cell>
          <cell r="H2301" t="str">
            <v>(212) 305-1190</v>
          </cell>
          <cell r="J2301" t="str">
            <v>kas9171@nyp.org</v>
          </cell>
          <cell r="K2301" t="str">
            <v>Unknown</v>
          </cell>
          <cell r="L2301" t="str">
            <v>Uncategorized</v>
          </cell>
          <cell r="M2301" t="str">
            <v>No</v>
          </cell>
          <cell r="R2301" t="str">
            <v>TOAL MEGAN</v>
          </cell>
          <cell r="S2301" t="str">
            <v>525 E 68TH ST</v>
          </cell>
          <cell r="T2301" t="str">
            <v>NEW YORK</v>
          </cell>
          <cell r="U2301" t="str">
            <v>NY</v>
          </cell>
          <cell r="V2301" t="str">
            <v>100654870</v>
          </cell>
          <cell r="AC2301" t="str">
            <v>M</v>
          </cell>
          <cell r="AD2301" t="str">
            <v>No</v>
          </cell>
          <cell r="AE2301" t="str">
            <v>NPI only</v>
          </cell>
          <cell r="AF2301" t="str">
            <v>nypeastcampus</v>
          </cell>
          <cell r="AG2301" t="str">
            <v>P</v>
          </cell>
        </row>
        <row r="2302">
          <cell r="A2302" t="str">
            <v>1144596891</v>
          </cell>
          <cell r="C2302" t="str">
            <v>NICOLE ULIASSI</v>
          </cell>
          <cell r="G2302" t="str">
            <v>Kathryn Spaziani</v>
          </cell>
          <cell r="H2302" t="str">
            <v>(212) 305-1190</v>
          </cell>
          <cell r="J2302" t="str">
            <v>kas9171@nyp.org</v>
          </cell>
          <cell r="K2302" t="str">
            <v>Unknown</v>
          </cell>
          <cell r="L2302" t="str">
            <v>Uncategorized</v>
          </cell>
          <cell r="M2302" t="str">
            <v>No</v>
          </cell>
          <cell r="R2302" t="str">
            <v>ULIASSI NICOLE</v>
          </cell>
          <cell r="S2302" t="str">
            <v>6000 EXECUTIVE BLVD, SUITE 310</v>
          </cell>
          <cell r="T2302" t="str">
            <v>ROCKVILLE</v>
          </cell>
          <cell r="U2302" t="str">
            <v>MD</v>
          </cell>
          <cell r="V2302" t="str">
            <v>208523803</v>
          </cell>
          <cell r="AC2302" t="str">
            <v>M</v>
          </cell>
          <cell r="AD2302" t="str">
            <v>No</v>
          </cell>
          <cell r="AE2302" t="str">
            <v>NPI only</v>
          </cell>
          <cell r="AF2302" t="str">
            <v>nypother</v>
          </cell>
          <cell r="AG2302" t="str">
            <v>P</v>
          </cell>
        </row>
        <row r="2303">
          <cell r="A2303" t="str">
            <v>1629411418</v>
          </cell>
          <cell r="C2303" t="str">
            <v>ROCHELLE WITT</v>
          </cell>
          <cell r="G2303" t="str">
            <v>Kathryn Spaziani</v>
          </cell>
          <cell r="H2303" t="str">
            <v>(212) 305-1190</v>
          </cell>
          <cell r="J2303" t="str">
            <v>kas9171@nyp.org</v>
          </cell>
          <cell r="K2303" t="str">
            <v>Unknown</v>
          </cell>
          <cell r="L2303" t="str">
            <v>Uncategorized</v>
          </cell>
          <cell r="M2303" t="str">
            <v>No</v>
          </cell>
          <cell r="R2303" t="str">
            <v>WITT ROCHELLE DR.</v>
          </cell>
          <cell r="S2303" t="str">
            <v>525 E 68TH ST, ROOM M-610</v>
          </cell>
          <cell r="T2303" t="str">
            <v>NEW YORK</v>
          </cell>
          <cell r="U2303" t="str">
            <v>NY</v>
          </cell>
          <cell r="V2303" t="str">
            <v>100654870</v>
          </cell>
          <cell r="AC2303" t="str">
            <v>M</v>
          </cell>
          <cell r="AD2303" t="str">
            <v>No</v>
          </cell>
          <cell r="AE2303" t="str">
            <v>NPI only</v>
          </cell>
          <cell r="AF2303" t="str">
            <v>nypeastcampus</v>
          </cell>
          <cell r="AG2303" t="str">
            <v>P</v>
          </cell>
        </row>
        <row r="2304">
          <cell r="A2304" t="str">
            <v>1427241850</v>
          </cell>
          <cell r="B2304" t="str">
            <v>03365895</v>
          </cell>
          <cell r="C2304" t="str">
            <v>SHARI GELBER</v>
          </cell>
          <cell r="D2304" t="str">
            <v>E0323276</v>
          </cell>
          <cell r="E2304" t="str">
            <v>GELBER SHARI</v>
          </cell>
          <cell r="G2304" t="str">
            <v>Kathryn Spaziani</v>
          </cell>
          <cell r="H2304" t="str">
            <v>(212) 305-1190</v>
          </cell>
          <cell r="J2304" t="str">
            <v>kas9171@nyp.org</v>
          </cell>
          <cell r="L2304" t="str">
            <v>All Other:: Practitioner - Non-Primary Care Provider (PCP)</v>
          </cell>
          <cell r="M2304" t="str">
            <v>No</v>
          </cell>
          <cell r="R2304" t="str">
            <v>GELBER SHARI DR.</v>
          </cell>
          <cell r="W2304" t="str">
            <v>GELBER SHARI E</v>
          </cell>
          <cell r="X2304" t="str">
            <v>525 E 68TH ST # J130 # 122</v>
          </cell>
          <cell r="Y2304" t="str">
            <v>NEW YORK</v>
          </cell>
          <cell r="Z2304" t="str">
            <v>NY</v>
          </cell>
          <cell r="AA2304" t="str">
            <v>10065-4870</v>
          </cell>
          <cell r="AB2304" t="str">
            <v>PHYSICIAN</v>
          </cell>
          <cell r="AC2304" t="str">
            <v>M</v>
          </cell>
          <cell r="AD2304" t="str">
            <v>No</v>
          </cell>
          <cell r="AE2304" t="str">
            <v>MMIS</v>
          </cell>
          <cell r="AF2304" t="str">
            <v>nypeastacn</v>
          </cell>
          <cell r="AG2304" t="str">
            <v>P</v>
          </cell>
        </row>
        <row r="2305">
          <cell r="A2305" t="str">
            <v>1215034673</v>
          </cell>
          <cell r="B2305" t="str">
            <v>02702298</v>
          </cell>
          <cell r="C2305" t="str">
            <v>MICHAEL GOLDBERG</v>
          </cell>
          <cell r="D2305" t="str">
            <v>E0029952</v>
          </cell>
          <cell r="E2305" t="str">
            <v>GOLDBERG MICHAEL ELLIS MD</v>
          </cell>
          <cell r="G2305" t="str">
            <v>Kathryn Spaziani</v>
          </cell>
          <cell r="H2305" t="str">
            <v>(212) 305-1190</v>
          </cell>
          <cell r="J2305" t="str">
            <v>kas9171@nyp.org</v>
          </cell>
          <cell r="L2305" t="str">
            <v>Practitioner - Non-Primary Care Provider (PCP)</v>
          </cell>
          <cell r="M2305" t="str">
            <v>No</v>
          </cell>
          <cell r="R2305" t="str">
            <v>GOLDBERG MICHAEL DR.</v>
          </cell>
          <cell r="W2305" t="str">
            <v>GOLDBERG MICHAEL ELLIS MD</v>
          </cell>
          <cell r="X2305" t="str">
            <v>710 W 168TH ST</v>
          </cell>
          <cell r="Y2305" t="str">
            <v>NEW YORK</v>
          </cell>
          <cell r="Z2305" t="str">
            <v>NY</v>
          </cell>
          <cell r="AA2305" t="str">
            <v>10032-3726</v>
          </cell>
          <cell r="AB2305" t="str">
            <v>PHYSICIAN</v>
          </cell>
          <cell r="AC2305" t="str">
            <v>M</v>
          </cell>
          <cell r="AD2305" t="str">
            <v>No</v>
          </cell>
          <cell r="AE2305" t="str">
            <v>MMIS</v>
          </cell>
          <cell r="AF2305" t="str">
            <v>nypwestacn</v>
          </cell>
          <cell r="AG2305" t="str">
            <v>P</v>
          </cell>
        </row>
        <row r="2306">
          <cell r="A2306" t="str">
            <v>1750660098</v>
          </cell>
          <cell r="B2306" t="str">
            <v>03880908</v>
          </cell>
          <cell r="C2306" t="str">
            <v>SHRAVYA GOVINDAPPAGARI</v>
          </cell>
          <cell r="D2306" t="str">
            <v>E0379178</v>
          </cell>
          <cell r="E2306" t="str">
            <v>GOVINDAPPAGARI SHRAVYA</v>
          </cell>
          <cell r="G2306" t="str">
            <v>Kathryn Spaziani</v>
          </cell>
          <cell r="H2306" t="str">
            <v>(212) 305-1190</v>
          </cell>
          <cell r="J2306" t="str">
            <v>kas9171@nyp.org</v>
          </cell>
          <cell r="L2306" t="str">
            <v>All Other:: Practitioner - Non-Primary Care Provider (PCP)</v>
          </cell>
          <cell r="M2306" t="str">
            <v>No</v>
          </cell>
          <cell r="R2306" t="str">
            <v>GOVINDAPPAGARI SHRAVYA DR.</v>
          </cell>
          <cell r="W2306" t="str">
            <v>GOVINDAPPAGARI SHRAVYA</v>
          </cell>
          <cell r="X2306" t="str">
            <v>5141 BROADWAY</v>
          </cell>
          <cell r="Y2306" t="str">
            <v>NEW YORK</v>
          </cell>
          <cell r="Z2306" t="str">
            <v>NY</v>
          </cell>
          <cell r="AA2306" t="str">
            <v>10034-1159</v>
          </cell>
          <cell r="AB2306" t="str">
            <v>PHYSICIAN</v>
          </cell>
          <cell r="AC2306" t="str">
            <v>M</v>
          </cell>
          <cell r="AD2306" t="str">
            <v>No</v>
          </cell>
          <cell r="AE2306" t="str">
            <v>MMIS</v>
          </cell>
          <cell r="AF2306" t="str">
            <v>nypwestcampus</v>
          </cell>
          <cell r="AG2306" t="str">
            <v>P</v>
          </cell>
        </row>
        <row r="2307">
          <cell r="A2307" t="str">
            <v>1134209695</v>
          </cell>
          <cell r="B2307" t="str">
            <v>02795908</v>
          </cell>
          <cell r="C2307" t="str">
            <v>DIVYA GUPTA</v>
          </cell>
          <cell r="D2307" t="str">
            <v>E0020604</v>
          </cell>
          <cell r="E2307" t="str">
            <v>GUPTA DIVYA MD</v>
          </cell>
          <cell r="G2307" t="str">
            <v>Kathryn Spaziani</v>
          </cell>
          <cell r="H2307" t="str">
            <v>(212) 305-1190</v>
          </cell>
          <cell r="J2307" t="str">
            <v>kas9171@nyp.org</v>
          </cell>
          <cell r="L2307" t="str">
            <v>All Other:: Practitioner - Non-Primary Care Provider (PCP)</v>
          </cell>
          <cell r="M2307" t="str">
            <v>No</v>
          </cell>
          <cell r="R2307" t="str">
            <v>GUPTA DIVYA</v>
          </cell>
          <cell r="W2307" t="str">
            <v>GUPTA DIVYA MD</v>
          </cell>
          <cell r="X2307" t="str">
            <v>1400 PELHAM PKWY S</v>
          </cell>
          <cell r="Y2307" t="str">
            <v>BRONX</v>
          </cell>
          <cell r="Z2307" t="str">
            <v>NY</v>
          </cell>
          <cell r="AA2307" t="str">
            <v>10461-1138</v>
          </cell>
          <cell r="AB2307" t="str">
            <v>PHYSICIAN</v>
          </cell>
          <cell r="AC2307" t="str">
            <v>M</v>
          </cell>
          <cell r="AD2307" t="str">
            <v>No</v>
          </cell>
          <cell r="AE2307" t="str">
            <v>MMIS</v>
          </cell>
          <cell r="AF2307" t="str">
            <v>nypeastacn</v>
          </cell>
          <cell r="AG2307" t="str">
            <v>P</v>
          </cell>
        </row>
        <row r="2308">
          <cell r="A2308" t="str">
            <v>1003089665</v>
          </cell>
          <cell r="B2308" t="str">
            <v>03624137</v>
          </cell>
          <cell r="C2308" t="str">
            <v>JOSE GUTIERREZ-CONTRERAS</v>
          </cell>
          <cell r="D2308" t="str">
            <v>E0352671</v>
          </cell>
          <cell r="E2308" t="str">
            <v>GUTIERREZ-CONTRERAS JOSE</v>
          </cell>
          <cell r="G2308" t="str">
            <v>Kathryn Spaziani</v>
          </cell>
          <cell r="H2308" t="str">
            <v>(212) 305-1190</v>
          </cell>
          <cell r="J2308" t="str">
            <v>kas9171@nyp.org</v>
          </cell>
          <cell r="L2308" t="str">
            <v>Practitioner - Non-Primary Care Provider (PCP)</v>
          </cell>
          <cell r="M2308" t="str">
            <v>No</v>
          </cell>
          <cell r="R2308" t="str">
            <v>GUTIERREZ CONTRERAS JOSE DR.</v>
          </cell>
          <cell r="W2308" t="str">
            <v>GUTIERREZ-CONTRERAS JOSE</v>
          </cell>
          <cell r="X2308" t="str">
            <v>710 WEST 168TH ST</v>
          </cell>
          <cell r="Y2308" t="str">
            <v>NEW YORK</v>
          </cell>
          <cell r="Z2308" t="str">
            <v>NY</v>
          </cell>
          <cell r="AA2308" t="str">
            <v>10032-3726</v>
          </cell>
          <cell r="AB2308" t="str">
            <v>PHYSICIAN</v>
          </cell>
          <cell r="AC2308" t="str">
            <v>M</v>
          </cell>
          <cell r="AD2308" t="str">
            <v>No</v>
          </cell>
          <cell r="AE2308" t="str">
            <v>MMIS</v>
          </cell>
          <cell r="AF2308" t="str">
            <v>nypwestacn</v>
          </cell>
          <cell r="AG2308" t="str">
            <v>P</v>
          </cell>
        </row>
        <row r="2309">
          <cell r="A2309" t="str">
            <v>1952307266</v>
          </cell>
          <cell r="B2309" t="str">
            <v>01959291</v>
          </cell>
          <cell r="C2309" t="str">
            <v>KEVIN HOLCOMB</v>
          </cell>
          <cell r="D2309" t="str">
            <v>E0104126</v>
          </cell>
          <cell r="E2309" t="str">
            <v>HOLCOMB KEVIN M</v>
          </cell>
          <cell r="G2309" t="str">
            <v>Kathryn Spaziani</v>
          </cell>
          <cell r="H2309" t="str">
            <v>(212) 305-1190</v>
          </cell>
          <cell r="J2309" t="str">
            <v>kas9171@nyp.org</v>
          </cell>
          <cell r="L2309" t="str">
            <v>All Other:: Practitioner - Non-Primary Care Provider (PCP)</v>
          </cell>
          <cell r="M2309" t="str">
            <v>No</v>
          </cell>
          <cell r="R2309" t="str">
            <v>HOLCOMB KEVIN</v>
          </cell>
          <cell r="W2309" t="str">
            <v>HOLCOMB KEVIN M</v>
          </cell>
          <cell r="X2309" t="str">
            <v>STE 4C</v>
          </cell>
          <cell r="Y2309" t="str">
            <v>NEW YORK</v>
          </cell>
          <cell r="Z2309" t="str">
            <v>NY</v>
          </cell>
          <cell r="AA2309" t="str">
            <v>10003-3314</v>
          </cell>
          <cell r="AB2309" t="str">
            <v>PHYSICIAN</v>
          </cell>
          <cell r="AC2309" t="str">
            <v>M</v>
          </cell>
          <cell r="AD2309" t="str">
            <v>No</v>
          </cell>
          <cell r="AE2309" t="str">
            <v>MMIS</v>
          </cell>
          <cell r="AF2309" t="str">
            <v>nypeastacn</v>
          </cell>
          <cell r="AG2309" t="str">
            <v>P</v>
          </cell>
        </row>
        <row r="2310">
          <cell r="A2310" t="str">
            <v>1619287570</v>
          </cell>
          <cell r="B2310" t="str">
            <v>03624802</v>
          </cell>
          <cell r="C2310" t="str">
            <v>RUJIN JU</v>
          </cell>
          <cell r="D2310" t="str">
            <v>E0352738</v>
          </cell>
          <cell r="E2310" t="str">
            <v>JU RUJIN</v>
          </cell>
          <cell r="G2310" t="str">
            <v>Kathryn Spaziani</v>
          </cell>
          <cell r="H2310" t="str">
            <v>(212) 305-1190</v>
          </cell>
          <cell r="J2310" t="str">
            <v>kas9171@nyp.org</v>
          </cell>
          <cell r="L2310" t="str">
            <v>Practitioner - Non-Primary Care Provider (PCP)</v>
          </cell>
          <cell r="M2310" t="str">
            <v>No</v>
          </cell>
          <cell r="R2310" t="str">
            <v>JU RUJIN</v>
          </cell>
          <cell r="W2310" t="str">
            <v>JU RUJIN</v>
          </cell>
          <cell r="X2310" t="str">
            <v>5141 BROADWAY</v>
          </cell>
          <cell r="Y2310" t="str">
            <v>NEW YORK</v>
          </cell>
          <cell r="Z2310" t="str">
            <v>NY</v>
          </cell>
          <cell r="AA2310" t="str">
            <v>10034-1159</v>
          </cell>
          <cell r="AB2310" t="str">
            <v>PHYSICIAN</v>
          </cell>
          <cell r="AC2310" t="str">
            <v>M</v>
          </cell>
          <cell r="AD2310" t="str">
            <v>No</v>
          </cell>
          <cell r="AE2310" t="str">
            <v>MMIS</v>
          </cell>
          <cell r="AF2310" t="str">
            <v>nypother</v>
          </cell>
          <cell r="AG2310" t="str">
            <v>P</v>
          </cell>
        </row>
        <row r="2311">
          <cell r="A2311" t="str">
            <v>1821393174</v>
          </cell>
          <cell r="B2311" t="str">
            <v>03747055</v>
          </cell>
          <cell r="C2311" t="str">
            <v>ROSE KARANICOLAS</v>
          </cell>
          <cell r="D2311" t="str">
            <v>E0365412</v>
          </cell>
          <cell r="E2311" t="str">
            <v>KARANICOLAS ROSE</v>
          </cell>
          <cell r="G2311" t="str">
            <v>Kathryn Spaziani</v>
          </cell>
          <cell r="H2311" t="str">
            <v>(212) 305-1190</v>
          </cell>
          <cell r="J2311" t="str">
            <v>kas9171@nyp.org</v>
          </cell>
          <cell r="L2311" t="str">
            <v>All Other:: Practitioner - Non-Primary Care Provider (PCP)</v>
          </cell>
          <cell r="M2311" t="str">
            <v>No</v>
          </cell>
          <cell r="R2311" t="str">
            <v>KARANICOLAS ROSE DR.</v>
          </cell>
          <cell r="W2311" t="str">
            <v>KARANICOLAS ROSE</v>
          </cell>
          <cell r="X2311" t="str">
            <v>535 E 70TH ST</v>
          </cell>
          <cell r="Y2311" t="str">
            <v>NEW YORK</v>
          </cell>
          <cell r="Z2311" t="str">
            <v>NY</v>
          </cell>
          <cell r="AA2311" t="str">
            <v>10021-4823</v>
          </cell>
          <cell r="AB2311" t="str">
            <v>PHYSICIAN</v>
          </cell>
          <cell r="AC2311" t="str">
            <v>M</v>
          </cell>
          <cell r="AD2311" t="str">
            <v>No</v>
          </cell>
          <cell r="AE2311" t="str">
            <v>MMIS</v>
          </cell>
          <cell r="AF2311" t="str">
            <v>nypwestacn</v>
          </cell>
          <cell r="AG2311" t="str">
            <v>P</v>
          </cell>
        </row>
        <row r="2312">
          <cell r="A2312" t="str">
            <v>1801203559</v>
          </cell>
          <cell r="B2312" t="str">
            <v>03922965</v>
          </cell>
          <cell r="C2312" t="str">
            <v>TAMARA KELLY</v>
          </cell>
          <cell r="D2312" t="str">
            <v>E0383464</v>
          </cell>
          <cell r="E2312" t="str">
            <v>KELLY TAMARA</v>
          </cell>
          <cell r="G2312" t="str">
            <v>Kathryn Spaziani</v>
          </cell>
          <cell r="H2312" t="str">
            <v>(212) 305-1190</v>
          </cell>
          <cell r="J2312" t="str">
            <v>kas9171@nyp.org</v>
          </cell>
          <cell r="L2312" t="str">
            <v>Practitioner - Non-Primary Care Provider (PCP)</v>
          </cell>
          <cell r="M2312" t="str">
            <v>No</v>
          </cell>
          <cell r="R2312" t="str">
            <v>KELLY TAMARA</v>
          </cell>
          <cell r="W2312" t="str">
            <v>KELLY TAMARA P</v>
          </cell>
          <cell r="X2312" t="str">
            <v>622 W 168TH ST</v>
          </cell>
          <cell r="Y2312" t="str">
            <v>NEW YORK</v>
          </cell>
          <cell r="Z2312" t="str">
            <v>NY</v>
          </cell>
          <cell r="AA2312" t="str">
            <v>10032-3720</v>
          </cell>
          <cell r="AB2312" t="str">
            <v>PHYSICIAN</v>
          </cell>
          <cell r="AC2312" t="str">
            <v>M</v>
          </cell>
          <cell r="AD2312" t="str">
            <v>No</v>
          </cell>
          <cell r="AE2312" t="str">
            <v>MMIS</v>
          </cell>
          <cell r="AF2312" t="str">
            <v>nypwestcampus</v>
          </cell>
          <cell r="AG2312" t="str">
            <v>P</v>
          </cell>
        </row>
        <row r="2313">
          <cell r="A2313" t="str">
            <v>1821028697</v>
          </cell>
          <cell r="B2313" t="str">
            <v>00851221</v>
          </cell>
          <cell r="C2313" t="str">
            <v>SARAH KELLY</v>
          </cell>
          <cell r="D2313" t="str">
            <v>E0214621</v>
          </cell>
          <cell r="E2313" t="str">
            <v>KELLY SARAH HORTON MD</v>
          </cell>
          <cell r="G2313" t="str">
            <v>Kathryn Spaziani</v>
          </cell>
          <cell r="H2313" t="str">
            <v>(212) 305-1190</v>
          </cell>
          <cell r="J2313" t="str">
            <v>kas9171@nyp.org</v>
          </cell>
          <cell r="L2313" t="str">
            <v>All Other:: Practitioner - Non-Primary Care Provider (PCP)</v>
          </cell>
          <cell r="M2313" t="str">
            <v>Yes</v>
          </cell>
          <cell r="R2313" t="str">
            <v>KELLY SARAH</v>
          </cell>
          <cell r="W2313" t="str">
            <v>KELLY SARAH HORTON MD</v>
          </cell>
          <cell r="Y2313" t="str">
            <v>NEW YORK</v>
          </cell>
          <cell r="Z2313" t="str">
            <v>NY</v>
          </cell>
          <cell r="AA2313" t="str">
            <v>10032-3720</v>
          </cell>
          <cell r="AB2313" t="str">
            <v>PHYSICIAN</v>
          </cell>
          <cell r="AC2313" t="str">
            <v>M</v>
          </cell>
          <cell r="AD2313" t="str">
            <v>No</v>
          </cell>
          <cell r="AE2313" t="str">
            <v>MMIS</v>
          </cell>
          <cell r="AF2313" t="str">
            <v>nypwestacn</v>
          </cell>
          <cell r="AG2313" t="str">
            <v>P</v>
          </cell>
        </row>
        <row r="2314">
          <cell r="A2314" t="str">
            <v>1104801471</v>
          </cell>
          <cell r="B2314" t="str">
            <v>03882588</v>
          </cell>
          <cell r="C2314" t="str">
            <v>ROSANNE KHO</v>
          </cell>
          <cell r="D2314" t="str">
            <v>E0379377</v>
          </cell>
          <cell r="E2314" t="str">
            <v>KHO ROSANNE MARIE</v>
          </cell>
          <cell r="G2314" t="str">
            <v>Kathryn Spaziani</v>
          </cell>
          <cell r="H2314" t="str">
            <v>(212) 305-1190</v>
          </cell>
          <cell r="J2314" t="str">
            <v>kas9171@nyp.org</v>
          </cell>
          <cell r="L2314" t="str">
            <v>Practitioner - Non-Primary Care Provider (PCP)</v>
          </cell>
          <cell r="M2314" t="str">
            <v>No</v>
          </cell>
          <cell r="R2314" t="str">
            <v>KHO ROSANNE DR.</v>
          </cell>
          <cell r="W2314" t="str">
            <v>KHO ROSANNE MARIE</v>
          </cell>
          <cell r="X2314" t="str">
            <v>622 W 168TH ST</v>
          </cell>
          <cell r="Y2314" t="str">
            <v>NEW YORK</v>
          </cell>
          <cell r="Z2314" t="str">
            <v>NY</v>
          </cell>
          <cell r="AA2314" t="str">
            <v>10032-3720</v>
          </cell>
          <cell r="AB2314" t="str">
            <v>PHYSICIAN</v>
          </cell>
          <cell r="AC2314" t="str">
            <v>M</v>
          </cell>
          <cell r="AD2314" t="str">
            <v>No</v>
          </cell>
          <cell r="AE2314" t="str">
            <v>MMIS</v>
          </cell>
          <cell r="AF2314" t="str">
            <v>nypother</v>
          </cell>
          <cell r="AG2314" t="str">
            <v>P</v>
          </cell>
        </row>
        <row r="2315">
          <cell r="A2315" t="str">
            <v>1497959043</v>
          </cell>
          <cell r="B2315" t="str">
            <v>03152843</v>
          </cell>
          <cell r="C2315" t="str">
            <v>JIN HEE KIM</v>
          </cell>
          <cell r="D2315" t="str">
            <v>E0299040</v>
          </cell>
          <cell r="E2315" t="str">
            <v>KIM JIN HEE JEANNIE</v>
          </cell>
          <cell r="G2315" t="str">
            <v>Kathryn Spaziani</v>
          </cell>
          <cell r="H2315" t="str">
            <v>(212) 305-1190</v>
          </cell>
          <cell r="J2315" t="str">
            <v>kas9171@nyp.org</v>
          </cell>
          <cell r="L2315" t="str">
            <v>All Other:: Practitioner - Non-Primary Care Provider (PCP)</v>
          </cell>
          <cell r="M2315" t="str">
            <v>No</v>
          </cell>
          <cell r="R2315" t="str">
            <v>KIM JIN HEE</v>
          </cell>
          <cell r="W2315" t="str">
            <v>KIM JIN HEE JEANNIE</v>
          </cell>
          <cell r="X2315" t="str">
            <v>5141 BROADWAY</v>
          </cell>
          <cell r="Y2315" t="str">
            <v>NEW YORK</v>
          </cell>
          <cell r="Z2315" t="str">
            <v>NY</v>
          </cell>
          <cell r="AA2315" t="str">
            <v>10034-1159</v>
          </cell>
          <cell r="AB2315" t="str">
            <v>PHYSICIAN</v>
          </cell>
          <cell r="AC2315" t="str">
            <v>M</v>
          </cell>
          <cell r="AD2315" t="str">
            <v>No</v>
          </cell>
          <cell r="AE2315" t="str">
            <v>MMIS</v>
          </cell>
          <cell r="AF2315" t="str">
            <v>nypwestacn</v>
          </cell>
          <cell r="AG2315" t="str">
            <v>P</v>
          </cell>
        </row>
        <row r="2316">
          <cell r="A2316" t="str">
            <v>1013233725</v>
          </cell>
          <cell r="B2316" t="str">
            <v>03949171</v>
          </cell>
          <cell r="C2316" t="str">
            <v>SUNEETA KRISHNAREDDY</v>
          </cell>
          <cell r="D2316" t="str">
            <v>E0386191</v>
          </cell>
          <cell r="E2316" t="str">
            <v>KRISHNAREDDY SUNEETA</v>
          </cell>
          <cell r="G2316" t="str">
            <v>Kathryn Spaziani</v>
          </cell>
          <cell r="H2316" t="str">
            <v>(212) 305-1190</v>
          </cell>
          <cell r="J2316" t="str">
            <v>kas9171@nyp.org</v>
          </cell>
          <cell r="L2316" t="str">
            <v>Practitioner - Non-Primary Care Provider (PCP)</v>
          </cell>
          <cell r="M2316" t="str">
            <v>No</v>
          </cell>
          <cell r="R2316" t="str">
            <v>KRISHNAREDDY SUNEETA DR.</v>
          </cell>
          <cell r="W2316" t="str">
            <v>KRISHNAREDDY SUNEETA</v>
          </cell>
          <cell r="X2316" t="str">
            <v>180 FORT WASHINGTON AVE</v>
          </cell>
          <cell r="Y2316" t="str">
            <v>NEW YORK</v>
          </cell>
          <cell r="Z2316" t="str">
            <v>NY</v>
          </cell>
          <cell r="AA2316" t="str">
            <v>10032-3722</v>
          </cell>
          <cell r="AB2316" t="str">
            <v>PHYSICIAN</v>
          </cell>
          <cell r="AC2316" t="str">
            <v>M</v>
          </cell>
          <cell r="AD2316" t="str">
            <v>No</v>
          </cell>
          <cell r="AE2316" t="str">
            <v>MMIS</v>
          </cell>
          <cell r="AF2316" t="str">
            <v>nypwestcampus</v>
          </cell>
          <cell r="AG2316" t="str">
            <v>P</v>
          </cell>
        </row>
        <row r="2317">
          <cell r="A2317" t="str">
            <v>1225299365</v>
          </cell>
          <cell r="B2317" t="str">
            <v>03061272</v>
          </cell>
          <cell r="C2317" t="str">
            <v>LANA LIPKIN</v>
          </cell>
          <cell r="D2317" t="str">
            <v>E0288515</v>
          </cell>
          <cell r="E2317" t="str">
            <v>LIPKIN LANA ELIZABETH MD</v>
          </cell>
          <cell r="G2317" t="str">
            <v>Kathryn Spaziani</v>
          </cell>
          <cell r="H2317" t="str">
            <v>(212) 305-1190</v>
          </cell>
          <cell r="J2317" t="str">
            <v>kas9171@nyp.org</v>
          </cell>
          <cell r="L2317" t="str">
            <v>All Other:: Practitioner - Non-Primary Care Provider (PCP)</v>
          </cell>
          <cell r="M2317" t="str">
            <v>Yes</v>
          </cell>
          <cell r="R2317" t="str">
            <v>LIPKIN LANA</v>
          </cell>
          <cell r="W2317" t="str">
            <v>LIPKIN LANA ELIZABETH MD</v>
          </cell>
          <cell r="X2317" t="str">
            <v>4802 10TH AVE</v>
          </cell>
          <cell r="Y2317" t="str">
            <v>BROOKLYN</v>
          </cell>
          <cell r="Z2317" t="str">
            <v>NY</v>
          </cell>
          <cell r="AA2317" t="str">
            <v>11219-2916</v>
          </cell>
          <cell r="AB2317" t="str">
            <v>PHYSICIAN</v>
          </cell>
          <cell r="AC2317" t="str">
            <v>M</v>
          </cell>
          <cell r="AD2317" t="str">
            <v>No</v>
          </cell>
          <cell r="AE2317" t="str">
            <v>MMIS</v>
          </cell>
          <cell r="AF2317" t="str">
            <v>nypwestcampus</v>
          </cell>
          <cell r="AG2317" t="str">
            <v>P</v>
          </cell>
        </row>
        <row r="2318">
          <cell r="A2318" t="str">
            <v>1184881278</v>
          </cell>
          <cell r="B2318" t="str">
            <v>03132818</v>
          </cell>
          <cell r="C2318" t="str">
            <v>SHARI LIPNER</v>
          </cell>
          <cell r="D2318" t="str">
            <v>E0296838</v>
          </cell>
          <cell r="E2318" t="str">
            <v>LIPNER SHARI R MD</v>
          </cell>
          <cell r="G2318" t="str">
            <v>Kathryn Spaziani</v>
          </cell>
          <cell r="H2318" t="str">
            <v>(212) 305-1190</v>
          </cell>
          <cell r="J2318" t="str">
            <v>kas9171@nyp.org</v>
          </cell>
          <cell r="L2318" t="str">
            <v>All Other:: Practitioner - Non-Primary Care Provider (PCP)</v>
          </cell>
          <cell r="M2318" t="str">
            <v>No</v>
          </cell>
          <cell r="R2318" t="str">
            <v>LIPNER SHARI DR.</v>
          </cell>
          <cell r="W2318" t="str">
            <v>LIPNER SHARI R MD</v>
          </cell>
          <cell r="X2318" t="str">
            <v>1305 YORK AVE</v>
          </cell>
          <cell r="Y2318" t="str">
            <v>NEW YORK</v>
          </cell>
          <cell r="Z2318" t="str">
            <v>NY</v>
          </cell>
          <cell r="AA2318" t="str">
            <v>10021-5663</v>
          </cell>
          <cell r="AB2318" t="str">
            <v>PHYSICIAN</v>
          </cell>
          <cell r="AC2318" t="str">
            <v>M</v>
          </cell>
          <cell r="AD2318" t="str">
            <v>No</v>
          </cell>
          <cell r="AE2318" t="str">
            <v>MMIS</v>
          </cell>
          <cell r="AF2318" t="str">
            <v>nypeastcampus</v>
          </cell>
          <cell r="AG2318" t="str">
            <v>P</v>
          </cell>
        </row>
        <row r="2319">
          <cell r="A2319" t="str">
            <v>1184672594</v>
          </cell>
          <cell r="B2319" t="str">
            <v>03996081</v>
          </cell>
          <cell r="C2319" t="str">
            <v>LAWRENCE LUSTIG</v>
          </cell>
          <cell r="D2319" t="str">
            <v>E0391023</v>
          </cell>
          <cell r="E2319" t="str">
            <v>LUSTIG MD LAWRENCE R</v>
          </cell>
          <cell r="G2319" t="str">
            <v>Kathryn Spaziani</v>
          </cell>
          <cell r="H2319" t="str">
            <v>(212) 305-1190</v>
          </cell>
          <cell r="J2319" t="str">
            <v>kas9171@nyp.org</v>
          </cell>
          <cell r="L2319" t="str">
            <v>Practitioner - Non-Primary Care Provider (PCP)</v>
          </cell>
          <cell r="M2319" t="str">
            <v>No</v>
          </cell>
          <cell r="R2319" t="str">
            <v>LUSTIG LAWRENCE DR.</v>
          </cell>
          <cell r="W2319" t="str">
            <v>LUSTIG MD LAWRENCE R</v>
          </cell>
          <cell r="X2319" t="str">
            <v>180 FORT WASHINGTON AVE FL 7</v>
          </cell>
          <cell r="Y2319" t="str">
            <v>NEW YORK</v>
          </cell>
          <cell r="Z2319" t="str">
            <v>NY</v>
          </cell>
          <cell r="AA2319" t="str">
            <v>10032-3722</v>
          </cell>
          <cell r="AB2319" t="str">
            <v>PHYSICIAN</v>
          </cell>
          <cell r="AC2319" t="str">
            <v>M</v>
          </cell>
          <cell r="AD2319" t="str">
            <v>No</v>
          </cell>
          <cell r="AE2319" t="str">
            <v>MMIS</v>
          </cell>
          <cell r="AF2319" t="str">
            <v>nypwestcampus</v>
          </cell>
          <cell r="AG2319" t="str">
            <v>P</v>
          </cell>
        </row>
        <row r="2320">
          <cell r="A2320" t="str">
            <v>1336305291</v>
          </cell>
          <cell r="B2320" t="str">
            <v>04015867</v>
          </cell>
          <cell r="C2320" t="str">
            <v>THOMAS LYNCH</v>
          </cell>
          <cell r="D2320" t="str">
            <v>E0393079</v>
          </cell>
          <cell r="E2320" t="str">
            <v>LYNCH THOMAS</v>
          </cell>
          <cell r="G2320" t="str">
            <v>Kathryn Spaziani</v>
          </cell>
          <cell r="H2320" t="str">
            <v>(212) 305-1190</v>
          </cell>
          <cell r="J2320" t="str">
            <v>kas9171@nyp.org</v>
          </cell>
          <cell r="L2320" t="str">
            <v>Practitioner - Non-Primary Care Provider (PCP)</v>
          </cell>
          <cell r="M2320" t="str">
            <v>No</v>
          </cell>
          <cell r="R2320" t="str">
            <v>LYNCH THOMAS DR.</v>
          </cell>
          <cell r="W2320" t="str">
            <v>LYNCH THOMAS</v>
          </cell>
          <cell r="X2320" t="str">
            <v>161 FORT WASHINGTON AVE</v>
          </cell>
          <cell r="Y2320" t="str">
            <v>NEW YORK</v>
          </cell>
          <cell r="Z2320" t="str">
            <v>NY</v>
          </cell>
          <cell r="AA2320" t="str">
            <v>10087-6691</v>
          </cell>
          <cell r="AB2320" t="str">
            <v>PHYSICIAN</v>
          </cell>
          <cell r="AC2320" t="str">
            <v>M</v>
          </cell>
          <cell r="AD2320" t="str">
            <v>No</v>
          </cell>
          <cell r="AE2320" t="str">
            <v>MMIS</v>
          </cell>
          <cell r="AF2320" t="str">
            <v>nypwestcampus</v>
          </cell>
          <cell r="AG2320" t="str">
            <v>P</v>
          </cell>
        </row>
        <row r="2321">
          <cell r="A2321" t="str">
            <v>1811009160</v>
          </cell>
          <cell r="B2321" t="str">
            <v>02779660</v>
          </cell>
          <cell r="C2321" t="str">
            <v>AMY MAGNESON</v>
          </cell>
          <cell r="D2321" t="str">
            <v>E0022226</v>
          </cell>
          <cell r="E2321" t="str">
            <v>MAGNESON AMY TYE MD</v>
          </cell>
          <cell r="G2321" t="str">
            <v>Kathryn Spaziani</v>
          </cell>
          <cell r="H2321" t="str">
            <v>(212) 305-1190</v>
          </cell>
          <cell r="J2321" t="str">
            <v>kas9171@nyp.org</v>
          </cell>
          <cell r="L2321" t="str">
            <v>All Other:: Practitioner - Non-Primary Care Provider (PCP)</v>
          </cell>
          <cell r="M2321" t="str">
            <v>Yes</v>
          </cell>
          <cell r="R2321" t="str">
            <v>MAGNESON AMY</v>
          </cell>
          <cell r="W2321" t="str">
            <v>MAGNESON AMY TYE MD</v>
          </cell>
          <cell r="X2321" t="str">
            <v>5141 BROADWAY</v>
          </cell>
          <cell r="Y2321" t="str">
            <v>NEW YORK</v>
          </cell>
          <cell r="Z2321" t="str">
            <v>NY</v>
          </cell>
          <cell r="AA2321" t="str">
            <v>10034-1159</v>
          </cell>
          <cell r="AB2321" t="str">
            <v>PHYSICIAN</v>
          </cell>
          <cell r="AC2321" t="str">
            <v>M</v>
          </cell>
          <cell r="AD2321" t="str">
            <v>No</v>
          </cell>
          <cell r="AE2321" t="str">
            <v>MMIS</v>
          </cell>
          <cell r="AF2321" t="str">
            <v>nypwestcampus</v>
          </cell>
          <cell r="AG2321" t="str">
            <v>P</v>
          </cell>
        </row>
        <row r="2322">
          <cell r="A2322" t="str">
            <v>1992964928</v>
          </cell>
          <cell r="B2322" t="str">
            <v>03588736</v>
          </cell>
          <cell r="C2322" t="str">
            <v>ALICIA MECKLAI</v>
          </cell>
          <cell r="D2322" t="str">
            <v>E0349025</v>
          </cell>
          <cell r="E2322" t="str">
            <v>MECKLAI ALICIA</v>
          </cell>
          <cell r="G2322" t="str">
            <v>Kathryn Spaziani</v>
          </cell>
          <cell r="H2322" t="str">
            <v>(212) 305-1190</v>
          </cell>
          <cell r="J2322" t="str">
            <v>kas9171@nyp.org</v>
          </cell>
          <cell r="L2322" t="str">
            <v>All Other:: Practitioner - Primary Care Provider (PCP)</v>
          </cell>
          <cell r="M2322" t="str">
            <v>No</v>
          </cell>
          <cell r="R2322" t="str">
            <v>MECKLAI ALICIA DR.</v>
          </cell>
          <cell r="W2322" t="str">
            <v>MECKLAI ALICIA AMIN</v>
          </cell>
          <cell r="X2322" t="str">
            <v>520 E 70TH ST</v>
          </cell>
          <cell r="Y2322" t="str">
            <v>NEW YORK</v>
          </cell>
          <cell r="Z2322" t="str">
            <v>NY</v>
          </cell>
          <cell r="AA2322" t="str">
            <v>10021-9800</v>
          </cell>
          <cell r="AB2322" t="str">
            <v>PHYSICIAN</v>
          </cell>
          <cell r="AC2322" t="str">
            <v>M</v>
          </cell>
          <cell r="AD2322" t="str">
            <v>No</v>
          </cell>
          <cell r="AE2322" t="str">
            <v>MMIS</v>
          </cell>
          <cell r="AF2322" t="str">
            <v>nypeastcampus</v>
          </cell>
          <cell r="AG2322" t="str">
            <v>P</v>
          </cell>
        </row>
        <row r="2323">
          <cell r="A2323" t="str">
            <v>1023255791</v>
          </cell>
          <cell r="B2323" t="str">
            <v>03623838</v>
          </cell>
          <cell r="C2323" t="str">
            <v>TRACY-ANN MOO</v>
          </cell>
          <cell r="D2323" t="str">
            <v>E0352641</v>
          </cell>
          <cell r="E2323" t="str">
            <v>MOO TRACY-ANN SYREETA</v>
          </cell>
          <cell r="G2323" t="str">
            <v>Kathryn Spaziani</v>
          </cell>
          <cell r="H2323" t="str">
            <v>(212) 305-1190</v>
          </cell>
          <cell r="J2323" t="str">
            <v>kas9171@nyp.org</v>
          </cell>
          <cell r="L2323" t="str">
            <v>Practitioner - Non-Primary Care Provider (PCP)</v>
          </cell>
          <cell r="M2323" t="str">
            <v>No</v>
          </cell>
          <cell r="R2323" t="str">
            <v>MOO TRACY-ANN</v>
          </cell>
          <cell r="W2323" t="str">
            <v>MOO TRACY-ANN</v>
          </cell>
          <cell r="X2323" t="str">
            <v>525 E 68TH ST # 232</v>
          </cell>
          <cell r="Y2323" t="str">
            <v>NEW YORK</v>
          </cell>
          <cell r="Z2323" t="str">
            <v>NY</v>
          </cell>
          <cell r="AA2323" t="str">
            <v>10065-4870</v>
          </cell>
          <cell r="AB2323" t="str">
            <v>PHYSICIAN</v>
          </cell>
          <cell r="AC2323" t="str">
            <v>M</v>
          </cell>
          <cell r="AD2323" t="str">
            <v>No</v>
          </cell>
          <cell r="AE2323" t="str">
            <v>MMIS</v>
          </cell>
          <cell r="AF2323" t="str">
            <v>nypeastcampus</v>
          </cell>
          <cell r="AG2323" t="str">
            <v>P</v>
          </cell>
        </row>
        <row r="2324">
          <cell r="A2324" t="str">
            <v>1720251762</v>
          </cell>
          <cell r="B2324" t="str">
            <v>03732423</v>
          </cell>
          <cell r="C2324" t="str">
            <v>MAGAN MROCZKOWSKI</v>
          </cell>
          <cell r="D2324" t="str">
            <v>E0363898</v>
          </cell>
          <cell r="E2324" t="str">
            <v>MROCZKOWSKI MEGAN MARIE</v>
          </cell>
          <cell r="G2324" t="str">
            <v>Kathryn Spaziani</v>
          </cell>
          <cell r="H2324" t="str">
            <v>(212) 305-1190</v>
          </cell>
          <cell r="J2324" t="str">
            <v>kas9171@nyp.org</v>
          </cell>
          <cell r="L2324" t="str">
            <v>Mental Health:: Practitioner - Non-Primary Care Provider (PCP)</v>
          </cell>
          <cell r="M2324" t="str">
            <v>No</v>
          </cell>
          <cell r="R2324" t="str">
            <v>MROCZKOWSKI MEGAN</v>
          </cell>
          <cell r="W2324" t="str">
            <v>MROCZKOWSKI MEGAN MARIE</v>
          </cell>
          <cell r="X2324" t="str">
            <v>1 PARK AVE # 8-213</v>
          </cell>
          <cell r="Y2324" t="str">
            <v>NEW YORK</v>
          </cell>
          <cell r="Z2324" t="str">
            <v>NY</v>
          </cell>
          <cell r="AA2324" t="str">
            <v>10016-5802</v>
          </cell>
          <cell r="AB2324" t="str">
            <v>PHYSICIAN</v>
          </cell>
          <cell r="AC2324" t="str">
            <v>M</v>
          </cell>
          <cell r="AD2324" t="str">
            <v>No</v>
          </cell>
          <cell r="AE2324" t="str">
            <v>MMIS</v>
          </cell>
          <cell r="AF2324" t="str">
            <v>nypwestcampus</v>
          </cell>
          <cell r="AG2324" t="str">
            <v>P</v>
          </cell>
        </row>
        <row r="2325">
          <cell r="A2325" t="str">
            <v>1225204431</v>
          </cell>
          <cell r="B2325" t="str">
            <v>03376125</v>
          </cell>
          <cell r="C2325" t="str">
            <v>SWAPNA NALGONDA</v>
          </cell>
          <cell r="D2325" t="str">
            <v>E0324552</v>
          </cell>
          <cell r="E2325" t="str">
            <v>NALGONDA SWAPNA</v>
          </cell>
          <cell r="G2325" t="str">
            <v>Kathryn Spaziani</v>
          </cell>
          <cell r="H2325" t="str">
            <v>(212) 305-1190</v>
          </cell>
          <cell r="J2325" t="str">
            <v>kas9171@nyp.org</v>
          </cell>
          <cell r="L2325" t="str">
            <v>All Other:: Practitioner - Non-Primary Care Provider (PCP)</v>
          </cell>
          <cell r="M2325" t="str">
            <v>Yes</v>
          </cell>
          <cell r="R2325" t="str">
            <v>NALGONDA SWAPNA DR.</v>
          </cell>
          <cell r="W2325" t="str">
            <v>NALGONDA SWAPNA</v>
          </cell>
          <cell r="X2325" t="str">
            <v>71 PROSPECT AVE STE 110</v>
          </cell>
          <cell r="Y2325" t="str">
            <v>HUDSON</v>
          </cell>
          <cell r="Z2325" t="str">
            <v>NY</v>
          </cell>
          <cell r="AA2325" t="str">
            <v>12534-2907</v>
          </cell>
          <cell r="AB2325" t="str">
            <v>PHYSICIAN</v>
          </cell>
          <cell r="AC2325" t="str">
            <v>M</v>
          </cell>
          <cell r="AD2325" t="str">
            <v>No</v>
          </cell>
          <cell r="AE2325" t="str">
            <v>MMIS</v>
          </cell>
          <cell r="AF2325" t="str">
            <v>nypwestcampus</v>
          </cell>
          <cell r="AG2325" t="str">
            <v>P</v>
          </cell>
        </row>
        <row r="2326">
          <cell r="A2326" t="str">
            <v>1003994120</v>
          </cell>
          <cell r="B2326" t="str">
            <v>02755773</v>
          </cell>
          <cell r="C2326" t="str">
            <v>JAMES NOBLE</v>
          </cell>
          <cell r="D2326" t="str">
            <v>E0024614</v>
          </cell>
          <cell r="E2326" t="str">
            <v>NOBLE JAMES M MD</v>
          </cell>
          <cell r="G2326" t="str">
            <v>Kathryn Spaziani</v>
          </cell>
          <cell r="H2326" t="str">
            <v>(212) 305-1190</v>
          </cell>
          <cell r="J2326" t="str">
            <v>kas9171@nyp.org</v>
          </cell>
          <cell r="L2326" t="str">
            <v>Practitioner - Non-Primary Care Provider (PCP)</v>
          </cell>
          <cell r="M2326" t="str">
            <v>No</v>
          </cell>
          <cell r="R2326" t="str">
            <v>NOBLE JAMES DR.</v>
          </cell>
          <cell r="W2326" t="str">
            <v>NOBLE JAMES MCCALLUM</v>
          </cell>
          <cell r="X2326" t="str">
            <v>710 W 168TH ST</v>
          </cell>
          <cell r="Y2326" t="str">
            <v>NEW YORK</v>
          </cell>
          <cell r="Z2326" t="str">
            <v>NY</v>
          </cell>
          <cell r="AA2326" t="str">
            <v>10032-3726</v>
          </cell>
          <cell r="AB2326" t="str">
            <v>PHYSICIAN</v>
          </cell>
          <cell r="AC2326" t="str">
            <v>M</v>
          </cell>
          <cell r="AD2326" t="str">
            <v>No</v>
          </cell>
          <cell r="AE2326" t="str">
            <v>MMIS</v>
          </cell>
          <cell r="AF2326" t="str">
            <v>nypwestcampus</v>
          </cell>
          <cell r="AG2326" t="str">
            <v>P</v>
          </cell>
        </row>
        <row r="2327">
          <cell r="A2327" t="str">
            <v>1629177753</v>
          </cell>
          <cell r="B2327" t="str">
            <v>03027429</v>
          </cell>
          <cell r="C2327" t="str">
            <v>CHARLES NUSS</v>
          </cell>
          <cell r="D2327" t="str">
            <v>E0284589</v>
          </cell>
          <cell r="E2327" t="str">
            <v>NUSS CHARLES RONALD MD</v>
          </cell>
          <cell r="G2327" t="str">
            <v>Kathryn Spaziani</v>
          </cell>
          <cell r="H2327" t="str">
            <v>(212) 305-1190</v>
          </cell>
          <cell r="J2327" t="str">
            <v>kas9171@nyp.org</v>
          </cell>
          <cell r="L2327" t="str">
            <v>All Other:: Practitioner - Non-Primary Care Provider (PCP)</v>
          </cell>
          <cell r="M2327" t="str">
            <v>Yes</v>
          </cell>
          <cell r="R2327" t="str">
            <v>NUSS CHARLES</v>
          </cell>
          <cell r="W2327" t="str">
            <v>NUSS CHARLES RONALD MD</v>
          </cell>
          <cell r="X2327" t="str">
            <v>5141 BROADWAY</v>
          </cell>
          <cell r="Y2327" t="str">
            <v>NEW YORK</v>
          </cell>
          <cell r="Z2327" t="str">
            <v>NY</v>
          </cell>
          <cell r="AA2327" t="str">
            <v>10034-1159</v>
          </cell>
          <cell r="AB2327" t="str">
            <v>PHYSICIAN</v>
          </cell>
          <cell r="AC2327" t="str">
            <v>M</v>
          </cell>
          <cell r="AD2327" t="str">
            <v>No</v>
          </cell>
          <cell r="AE2327" t="str">
            <v>MMIS</v>
          </cell>
          <cell r="AF2327" t="str">
            <v>nypwestcampus</v>
          </cell>
          <cell r="AG2327" t="str">
            <v>P</v>
          </cell>
        </row>
        <row r="2328">
          <cell r="A2328" t="str">
            <v>1649415290</v>
          </cell>
          <cell r="B2328" t="str">
            <v>03966456</v>
          </cell>
          <cell r="C2328" t="str">
            <v>PUJA PARIKH</v>
          </cell>
          <cell r="D2328" t="str">
            <v>E0387937</v>
          </cell>
          <cell r="E2328" t="str">
            <v>PARIKH PUJA BIPIN</v>
          </cell>
          <cell r="G2328" t="str">
            <v>Kathryn Spaziani</v>
          </cell>
          <cell r="H2328" t="str">
            <v>(212) 305-1190</v>
          </cell>
          <cell r="J2328" t="str">
            <v>kas9171@nyp.org</v>
          </cell>
          <cell r="L2328" t="str">
            <v>All Other:: Practitioner - Non-Primary Care Provider (PCP)</v>
          </cell>
          <cell r="M2328" t="str">
            <v>No</v>
          </cell>
          <cell r="R2328" t="str">
            <v>PARIKH PUJA DR.</v>
          </cell>
          <cell r="W2328" t="str">
            <v>PARIKH PUJA BIPIN</v>
          </cell>
          <cell r="X2328" t="str">
            <v>177 FORT WASHINGTON AVE</v>
          </cell>
          <cell r="Y2328" t="str">
            <v>NEW YORK</v>
          </cell>
          <cell r="Z2328" t="str">
            <v>NY</v>
          </cell>
          <cell r="AA2328" t="str">
            <v>10032-3733</v>
          </cell>
          <cell r="AB2328" t="str">
            <v>PHYSICIAN</v>
          </cell>
          <cell r="AC2328" t="str">
            <v>M</v>
          </cell>
          <cell r="AD2328" t="str">
            <v>No</v>
          </cell>
          <cell r="AE2328" t="str">
            <v>MMIS</v>
          </cell>
          <cell r="AF2328" t="str">
            <v>nypother</v>
          </cell>
          <cell r="AG2328" t="str">
            <v>P</v>
          </cell>
        </row>
        <row r="2329">
          <cell r="A2329" t="str">
            <v>1578724050</v>
          </cell>
          <cell r="B2329" t="str">
            <v>03922149</v>
          </cell>
          <cell r="C2329" t="str">
            <v>LATHA PASUPULETI</v>
          </cell>
          <cell r="D2329" t="str">
            <v>E0383382</v>
          </cell>
          <cell r="E2329" t="str">
            <v>PASUPULETI LATHA</v>
          </cell>
          <cell r="G2329" t="str">
            <v>Kathryn Spaziani</v>
          </cell>
          <cell r="H2329" t="str">
            <v>(212) 305-1190</v>
          </cell>
          <cell r="J2329" t="str">
            <v>kas9171@nyp.org</v>
          </cell>
          <cell r="L2329" t="str">
            <v>Practitioner - Non-Primary Care Provider (PCP)</v>
          </cell>
          <cell r="M2329" t="str">
            <v>No</v>
          </cell>
          <cell r="R2329" t="str">
            <v>PASUPULETI LATHA DR.</v>
          </cell>
          <cell r="W2329" t="str">
            <v>PASUPULETI LATHA</v>
          </cell>
          <cell r="X2329" t="str">
            <v>622 W 168TH ST</v>
          </cell>
          <cell r="Y2329" t="str">
            <v>NEW YORK</v>
          </cell>
          <cell r="Z2329" t="str">
            <v>NY</v>
          </cell>
          <cell r="AA2329" t="str">
            <v>10032-3720</v>
          </cell>
          <cell r="AB2329" t="str">
            <v>PHYSICIAN</v>
          </cell>
          <cell r="AC2329" t="str">
            <v>M</v>
          </cell>
          <cell r="AD2329" t="str">
            <v>No</v>
          </cell>
          <cell r="AE2329" t="str">
            <v>MMIS</v>
          </cell>
          <cell r="AF2329" t="str">
            <v>nypother</v>
          </cell>
          <cell r="AG2329" t="str">
            <v>P</v>
          </cell>
        </row>
        <row r="2330">
          <cell r="A2330" t="str">
            <v>1326275348</v>
          </cell>
          <cell r="B2330" t="str">
            <v>03628080</v>
          </cell>
          <cell r="C2330" t="str">
            <v>HAMASHI PERERA</v>
          </cell>
          <cell r="D2330" t="str">
            <v>E0353099</v>
          </cell>
          <cell r="E2330" t="str">
            <v>PERERA HEMASHI KASHILA</v>
          </cell>
          <cell r="G2330" t="str">
            <v>Kathryn Spaziani</v>
          </cell>
          <cell r="H2330" t="str">
            <v>(212) 305-1190</v>
          </cell>
          <cell r="J2330" t="str">
            <v>kas9171@nyp.org</v>
          </cell>
          <cell r="L2330" t="str">
            <v>Practitioner - Non-Primary Care Provider (PCP)</v>
          </cell>
          <cell r="M2330" t="str">
            <v>No</v>
          </cell>
          <cell r="R2330" t="str">
            <v>PERERA HEMASHI DR.</v>
          </cell>
          <cell r="W2330" t="str">
            <v>PERERA HEMASHI KASHILA</v>
          </cell>
          <cell r="X2330" t="str">
            <v>622 W 168TH ST</v>
          </cell>
          <cell r="Y2330" t="str">
            <v>NEW YORK</v>
          </cell>
          <cell r="Z2330" t="str">
            <v>NY</v>
          </cell>
          <cell r="AA2330" t="str">
            <v>10032-3720</v>
          </cell>
          <cell r="AB2330" t="str">
            <v>PHYSICIAN</v>
          </cell>
          <cell r="AC2330" t="str">
            <v>M</v>
          </cell>
          <cell r="AD2330" t="str">
            <v>No</v>
          </cell>
          <cell r="AE2330" t="str">
            <v>MMIS</v>
          </cell>
          <cell r="AF2330" t="str">
            <v>nypwestcampus</v>
          </cell>
          <cell r="AG2330" t="str">
            <v>P</v>
          </cell>
        </row>
        <row r="2331">
          <cell r="A2331" t="str">
            <v>1811965148</v>
          </cell>
          <cell r="B2331" t="str">
            <v>03923631</v>
          </cell>
          <cell r="C2331" t="str">
            <v>KALPANA PETHE</v>
          </cell>
          <cell r="D2331" t="str">
            <v>E0383531</v>
          </cell>
          <cell r="E2331" t="str">
            <v>PETHE KALPANA</v>
          </cell>
          <cell r="G2331" t="str">
            <v>Kathryn Spaziani</v>
          </cell>
          <cell r="H2331" t="str">
            <v>(212) 305-1190</v>
          </cell>
          <cell r="J2331" t="str">
            <v>kas9171@nyp.org</v>
          </cell>
          <cell r="L2331" t="str">
            <v>Practitioner - Primary Care Provider (PCP)</v>
          </cell>
          <cell r="M2331" t="str">
            <v>No</v>
          </cell>
          <cell r="R2331" t="str">
            <v>PETHE KALPANA</v>
          </cell>
          <cell r="W2331" t="str">
            <v>PETHE KALPANA</v>
          </cell>
          <cell r="X2331" t="str">
            <v>300 LONGWOOD AVE</v>
          </cell>
          <cell r="Y2331" t="str">
            <v>BOSTON</v>
          </cell>
          <cell r="Z2331" t="str">
            <v>MA</v>
          </cell>
          <cell r="AA2331" t="str">
            <v>02115-5724</v>
          </cell>
          <cell r="AB2331" t="str">
            <v>PHYSICIAN</v>
          </cell>
          <cell r="AC2331" t="str">
            <v>M</v>
          </cell>
          <cell r="AD2331" t="str">
            <v>No</v>
          </cell>
          <cell r="AE2331" t="str">
            <v>MMIS</v>
          </cell>
          <cell r="AF2331" t="str">
            <v>nypwestcampus</v>
          </cell>
          <cell r="AG2331" t="str">
            <v>P</v>
          </cell>
        </row>
        <row r="2332">
          <cell r="A2332" t="str">
            <v>1962630673</v>
          </cell>
          <cell r="B2332" t="str">
            <v>03624935</v>
          </cell>
          <cell r="C2332" t="str">
            <v>CARISA PETRIS</v>
          </cell>
          <cell r="D2332" t="str">
            <v>E0352751</v>
          </cell>
          <cell r="E2332" t="str">
            <v>PETRIS CARISA</v>
          </cell>
          <cell r="G2332" t="str">
            <v>Kathryn Spaziani</v>
          </cell>
          <cell r="H2332" t="str">
            <v>(212) 305-1190</v>
          </cell>
          <cell r="J2332" t="str">
            <v>kas9171@nyp.org</v>
          </cell>
          <cell r="L2332" t="str">
            <v>Practitioner - Non-Primary Care Provider (PCP)</v>
          </cell>
          <cell r="M2332" t="str">
            <v>No</v>
          </cell>
          <cell r="R2332" t="str">
            <v>PETRIS CARISA</v>
          </cell>
          <cell r="W2332" t="str">
            <v>PETRIS CARISA KAY</v>
          </cell>
          <cell r="X2332" t="str">
            <v>1305 YORK AVE 11TH FL</v>
          </cell>
          <cell r="Y2332" t="str">
            <v>NEW YORK</v>
          </cell>
          <cell r="Z2332" t="str">
            <v>NY</v>
          </cell>
          <cell r="AA2332" t="str">
            <v>10021-5663</v>
          </cell>
          <cell r="AB2332" t="str">
            <v>PHYSICIAN</v>
          </cell>
          <cell r="AC2332" t="str">
            <v>M</v>
          </cell>
          <cell r="AD2332" t="str">
            <v>No</v>
          </cell>
          <cell r="AE2332" t="str">
            <v>MMIS</v>
          </cell>
          <cell r="AF2332" t="str">
            <v>nypeastcampus</v>
          </cell>
          <cell r="AG2332" t="str">
            <v>P</v>
          </cell>
        </row>
        <row r="2333">
          <cell r="A2333" t="str">
            <v>1841426715</v>
          </cell>
          <cell r="B2333" t="str">
            <v>03923333</v>
          </cell>
          <cell r="C2333" t="str">
            <v>VEERAWAT PHONGTANKUEL</v>
          </cell>
          <cell r="D2333" t="str">
            <v>E0383501</v>
          </cell>
          <cell r="E2333" t="str">
            <v>PHONGTANKUEL VEERAWAT</v>
          </cell>
          <cell r="G2333" t="str">
            <v>Kathryn Spaziani</v>
          </cell>
          <cell r="H2333" t="str">
            <v>(212) 305-1190</v>
          </cell>
          <cell r="J2333" t="str">
            <v>kas9171@nyp.org</v>
          </cell>
          <cell r="L2333" t="str">
            <v>Practitioner - Non-Primary Care Provider (PCP)</v>
          </cell>
          <cell r="M2333" t="str">
            <v>No</v>
          </cell>
          <cell r="R2333" t="str">
            <v>PHONGTANKUEL VEERAWAT DR.</v>
          </cell>
          <cell r="W2333" t="str">
            <v>PHONGTANKUEL VEERAWAT</v>
          </cell>
          <cell r="X2333" t="str">
            <v>1484 1ST AVE</v>
          </cell>
          <cell r="Y2333" t="str">
            <v>NEW YORK</v>
          </cell>
          <cell r="Z2333" t="str">
            <v>NY</v>
          </cell>
          <cell r="AA2333" t="str">
            <v>10075-2304</v>
          </cell>
          <cell r="AB2333" t="str">
            <v>PHYSICIAN</v>
          </cell>
          <cell r="AC2333" t="str">
            <v>M</v>
          </cell>
          <cell r="AD2333" t="str">
            <v>No</v>
          </cell>
          <cell r="AE2333" t="str">
            <v>MMIS</v>
          </cell>
          <cell r="AF2333" t="str">
            <v>nypeastcampus</v>
          </cell>
          <cell r="AG2333" t="str">
            <v>P</v>
          </cell>
        </row>
        <row r="2334">
          <cell r="A2334" t="str">
            <v>1023055324</v>
          </cell>
          <cell r="B2334" t="str">
            <v>01391006</v>
          </cell>
          <cell r="C2334" t="str">
            <v>MARGARET POLANECZKY</v>
          </cell>
          <cell r="D2334" t="str">
            <v>E0160861</v>
          </cell>
          <cell r="E2334" t="str">
            <v>POLANECZKY MARGARET M MD</v>
          </cell>
          <cell r="G2334" t="str">
            <v>Kathryn Spaziani</v>
          </cell>
          <cell r="H2334" t="str">
            <v>(212) 305-1190</v>
          </cell>
          <cell r="J2334" t="str">
            <v>kas9171@nyp.org</v>
          </cell>
          <cell r="L2334" t="str">
            <v>Practitioner - Non-Primary Care Provider (PCP)</v>
          </cell>
          <cell r="M2334" t="str">
            <v>No</v>
          </cell>
          <cell r="R2334" t="str">
            <v>POLANECZKY MARGARET</v>
          </cell>
          <cell r="W2334" t="str">
            <v>POLANECZKY MARGARET M MD</v>
          </cell>
          <cell r="X2334" t="str">
            <v>525 E 68TH ST # J-130</v>
          </cell>
          <cell r="Y2334" t="str">
            <v>NEW YORK</v>
          </cell>
          <cell r="Z2334" t="str">
            <v>NY</v>
          </cell>
          <cell r="AA2334" t="str">
            <v>10065-4870</v>
          </cell>
          <cell r="AB2334" t="str">
            <v>PHYSICIAN</v>
          </cell>
          <cell r="AC2334" t="str">
            <v>M</v>
          </cell>
          <cell r="AD2334" t="str">
            <v>No</v>
          </cell>
          <cell r="AE2334" t="str">
            <v>MMIS</v>
          </cell>
          <cell r="AF2334" t="str">
            <v>nypeastcampus</v>
          </cell>
          <cell r="AG2334" t="str">
            <v>P</v>
          </cell>
        </row>
        <row r="2335">
          <cell r="A2335" t="str">
            <v>1235160458</v>
          </cell>
          <cell r="B2335" t="str">
            <v>02797840</v>
          </cell>
          <cell r="C2335" t="str">
            <v>LONA PRASAD</v>
          </cell>
          <cell r="D2335" t="str">
            <v>E0020410</v>
          </cell>
          <cell r="E2335" t="str">
            <v>PRASAD LONA MD</v>
          </cell>
          <cell r="G2335" t="str">
            <v>Kathryn Spaziani</v>
          </cell>
          <cell r="H2335" t="str">
            <v>(212) 305-1190</v>
          </cell>
          <cell r="J2335" t="str">
            <v>kas9171@nyp.org</v>
          </cell>
          <cell r="L2335" t="str">
            <v>All Other:: Practitioner - Non-Primary Care Provider (PCP)</v>
          </cell>
          <cell r="M2335" t="str">
            <v>Yes</v>
          </cell>
          <cell r="R2335" t="str">
            <v>PRASAD LONA</v>
          </cell>
          <cell r="W2335" t="str">
            <v>PRASAD LONA MD</v>
          </cell>
          <cell r="X2335" t="str">
            <v>505 E 70TH ST</v>
          </cell>
          <cell r="Y2335" t="str">
            <v>NEW YORK</v>
          </cell>
          <cell r="Z2335" t="str">
            <v>NY</v>
          </cell>
          <cell r="AA2335" t="str">
            <v>10021-4872</v>
          </cell>
          <cell r="AB2335" t="str">
            <v>PHYSICIAN</v>
          </cell>
          <cell r="AC2335" t="str">
            <v>M</v>
          </cell>
          <cell r="AD2335" t="str">
            <v>No</v>
          </cell>
          <cell r="AE2335" t="str">
            <v>MMIS</v>
          </cell>
          <cell r="AF2335" t="str">
            <v>nypeastcampus</v>
          </cell>
          <cell r="AG2335" t="str">
            <v>P</v>
          </cell>
        </row>
        <row r="2336">
          <cell r="A2336" t="str">
            <v>1619970530</v>
          </cell>
          <cell r="B2336" t="str">
            <v>00791997</v>
          </cell>
          <cell r="C2336" t="str">
            <v>ANTHONY PUCILLO</v>
          </cell>
          <cell r="D2336" t="str">
            <v>E0220529</v>
          </cell>
          <cell r="E2336" t="str">
            <v>PUCILLO ANTHONY L          MD</v>
          </cell>
          <cell r="G2336" t="str">
            <v>Kathryn Spaziani</v>
          </cell>
          <cell r="H2336" t="str">
            <v>(212) 305-1190</v>
          </cell>
          <cell r="J2336" t="str">
            <v>kas9171@nyp.org</v>
          </cell>
          <cell r="L2336" t="str">
            <v>All Other:: Practitioner - Non-Primary Care Provider (PCP)</v>
          </cell>
          <cell r="M2336" t="str">
            <v>No</v>
          </cell>
          <cell r="R2336" t="str">
            <v>PUCILLO ANTHONY DR.</v>
          </cell>
          <cell r="W2336" t="str">
            <v>PUCILLO ANTHONY L</v>
          </cell>
          <cell r="X2336" t="str">
            <v>NY MEDICAL COLLEGE</v>
          </cell>
          <cell r="Y2336" t="str">
            <v>VALHALLA</v>
          </cell>
          <cell r="Z2336" t="str">
            <v>NY</v>
          </cell>
          <cell r="AA2336" t="str">
            <v>10595</v>
          </cell>
          <cell r="AB2336" t="str">
            <v>PHYSICIAN</v>
          </cell>
          <cell r="AC2336" t="str">
            <v>M</v>
          </cell>
          <cell r="AD2336" t="str">
            <v>No</v>
          </cell>
          <cell r="AE2336" t="str">
            <v>MMIS</v>
          </cell>
          <cell r="AF2336" t="str">
            <v>nypwestcampus</v>
          </cell>
          <cell r="AG2336" t="str">
            <v>P</v>
          </cell>
        </row>
        <row r="2337">
          <cell r="A2337" t="str">
            <v>1497831341</v>
          </cell>
          <cell r="B2337" t="str">
            <v>01890440</v>
          </cell>
          <cell r="C2337" t="str">
            <v>OSCAR PURUGGANAN</v>
          </cell>
          <cell r="D2337" t="str">
            <v>E0111000</v>
          </cell>
          <cell r="E2337" t="str">
            <v>PURUGGANAN OSCAR H MD</v>
          </cell>
          <cell r="G2337" t="str">
            <v>Kathryn Spaziani</v>
          </cell>
          <cell r="H2337" t="str">
            <v>(212) 305-1190</v>
          </cell>
          <cell r="J2337" t="str">
            <v>kas9171@nyp.org</v>
          </cell>
          <cell r="L2337" t="str">
            <v>Practitioner - Non-Primary Care Provider (PCP)</v>
          </cell>
          <cell r="M2337" t="str">
            <v>No</v>
          </cell>
          <cell r="R2337" t="str">
            <v>PURUGGANAN OSCAR</v>
          </cell>
          <cell r="W2337" t="str">
            <v>PURUGGANAN OSCAR H MD</v>
          </cell>
          <cell r="X2337" t="str">
            <v>200 WESTAGE BUSINES CTR</v>
          </cell>
          <cell r="Y2337" t="str">
            <v>FISHKILL</v>
          </cell>
          <cell r="Z2337" t="str">
            <v>NY</v>
          </cell>
          <cell r="AA2337" t="str">
            <v>12524</v>
          </cell>
          <cell r="AB2337" t="str">
            <v>PHYSICIAN</v>
          </cell>
          <cell r="AC2337" t="str">
            <v>M</v>
          </cell>
          <cell r="AD2337" t="str">
            <v>No</v>
          </cell>
          <cell r="AE2337" t="str">
            <v>MMIS</v>
          </cell>
          <cell r="AF2337" t="str">
            <v>nypwestcampus</v>
          </cell>
          <cell r="AG2337" t="str">
            <v>P</v>
          </cell>
        </row>
        <row r="2338">
          <cell r="A2338" t="str">
            <v>1154305985</v>
          </cell>
          <cell r="B2338" t="str">
            <v>03404937</v>
          </cell>
          <cell r="C2338" t="str">
            <v>BETH RACKOW</v>
          </cell>
          <cell r="D2338" t="str">
            <v>E0328358</v>
          </cell>
          <cell r="E2338" t="str">
            <v>RACKOW BETH</v>
          </cell>
          <cell r="G2338" t="str">
            <v>Kathryn Spaziani</v>
          </cell>
          <cell r="H2338" t="str">
            <v>(212) 305-1190</v>
          </cell>
          <cell r="J2338" t="str">
            <v>kas9171@nyp.org</v>
          </cell>
          <cell r="L2338" t="str">
            <v>All Other:: Practitioner - Non-Primary Care Provider (PCP)</v>
          </cell>
          <cell r="M2338" t="str">
            <v>No</v>
          </cell>
          <cell r="R2338" t="str">
            <v>RACKOW BETH DR.</v>
          </cell>
          <cell r="W2338" t="str">
            <v>RACKOW BETH</v>
          </cell>
          <cell r="X2338" t="str">
            <v>622 W 168TH ST</v>
          </cell>
          <cell r="Y2338" t="str">
            <v>NEW YORK</v>
          </cell>
          <cell r="Z2338" t="str">
            <v>NY</v>
          </cell>
          <cell r="AA2338" t="str">
            <v>10032-3720</v>
          </cell>
          <cell r="AB2338" t="str">
            <v>PHYSICIAN</v>
          </cell>
          <cell r="AC2338" t="str">
            <v>M</v>
          </cell>
          <cell r="AD2338" t="str">
            <v>No</v>
          </cell>
          <cell r="AE2338" t="str">
            <v>MMIS</v>
          </cell>
          <cell r="AF2338" t="str">
            <v>nypwestcampus</v>
          </cell>
          <cell r="AG2338" t="str">
            <v>P</v>
          </cell>
        </row>
        <row r="2339">
          <cell r="A2339" t="str">
            <v>1699702951</v>
          </cell>
          <cell r="B2339" t="str">
            <v>02396394</v>
          </cell>
          <cell r="C2339" t="str">
            <v>RINI RATAN</v>
          </cell>
          <cell r="D2339" t="str">
            <v>E0060488</v>
          </cell>
          <cell r="E2339" t="str">
            <v>RATAN RINI BANERJEE MD</v>
          </cell>
          <cell r="G2339" t="str">
            <v>Kathryn Spaziani</v>
          </cell>
          <cell r="H2339" t="str">
            <v>(212) 305-1190</v>
          </cell>
          <cell r="J2339" t="str">
            <v>kas9171@nyp.org</v>
          </cell>
          <cell r="L2339" t="str">
            <v>Practitioner - Non-Primary Care Provider (PCP)</v>
          </cell>
          <cell r="M2339" t="str">
            <v>Yes</v>
          </cell>
          <cell r="R2339" t="str">
            <v>RATAN RINI</v>
          </cell>
          <cell r="W2339" t="str">
            <v>RATAN RINI BANERJEE MD</v>
          </cell>
          <cell r="X2339" t="str">
            <v>NEW YORK PRESBYTERIA</v>
          </cell>
          <cell r="Y2339" t="str">
            <v>NEW YORK</v>
          </cell>
          <cell r="Z2339" t="str">
            <v>NY</v>
          </cell>
          <cell r="AA2339" t="str">
            <v>10032-3720</v>
          </cell>
          <cell r="AB2339" t="str">
            <v>PHYSICIAN</v>
          </cell>
          <cell r="AC2339" t="str">
            <v>M</v>
          </cell>
          <cell r="AD2339" t="str">
            <v>No</v>
          </cell>
          <cell r="AE2339" t="str">
            <v>MMIS</v>
          </cell>
          <cell r="AF2339" t="str">
            <v>nypwestcampus</v>
          </cell>
          <cell r="AG2339" t="str">
            <v>P</v>
          </cell>
        </row>
        <row r="2340">
          <cell r="A2340" t="str">
            <v>1689789141</v>
          </cell>
          <cell r="B2340" t="str">
            <v>00877514</v>
          </cell>
          <cell r="C2340" t="str">
            <v>NICHOLAS ROMAS</v>
          </cell>
          <cell r="D2340" t="str">
            <v>E0211996</v>
          </cell>
          <cell r="E2340" t="str">
            <v>ROMAS NICHOLAS ACHILLES    MD</v>
          </cell>
          <cell r="G2340" t="str">
            <v>Kathryn Spaziani</v>
          </cell>
          <cell r="H2340" t="str">
            <v>(212) 305-1190</v>
          </cell>
          <cell r="J2340" t="str">
            <v>kas9171@nyp.org</v>
          </cell>
          <cell r="L2340" t="str">
            <v>All Other:: Practitioner - Non-Primary Care Provider (PCP)</v>
          </cell>
          <cell r="M2340" t="str">
            <v>Yes</v>
          </cell>
          <cell r="R2340" t="str">
            <v>ROMAS NICHOLAS</v>
          </cell>
          <cell r="W2340" t="str">
            <v>ROMAS NICHOLAS ACHILLES    MD</v>
          </cell>
          <cell r="X2340" t="str">
            <v>114 AMSTERDAM AVE</v>
          </cell>
          <cell r="Y2340" t="str">
            <v>NEW YORK</v>
          </cell>
          <cell r="Z2340" t="str">
            <v>NY</v>
          </cell>
          <cell r="AA2340" t="str">
            <v>10023-6406</v>
          </cell>
          <cell r="AB2340" t="str">
            <v>PHYSICIAN</v>
          </cell>
          <cell r="AC2340" t="str">
            <v>M</v>
          </cell>
          <cell r="AD2340" t="str">
            <v>No</v>
          </cell>
          <cell r="AE2340" t="str">
            <v>MMIS</v>
          </cell>
          <cell r="AF2340" t="str">
            <v>nypwestcampus</v>
          </cell>
          <cell r="AG2340" t="str">
            <v>P</v>
          </cell>
        </row>
        <row r="2341">
          <cell r="A2341" t="str">
            <v>1497736847</v>
          </cell>
          <cell r="B2341" t="str">
            <v>02333291</v>
          </cell>
          <cell r="C2341" t="str">
            <v>TIMOTHY RYNTZ</v>
          </cell>
          <cell r="D2341" t="str">
            <v>E0066774</v>
          </cell>
          <cell r="E2341" t="str">
            <v>RYNTZ TIMOTHY E MD</v>
          </cell>
          <cell r="G2341" t="str">
            <v>Kathryn Spaziani</v>
          </cell>
          <cell r="H2341" t="str">
            <v>(212) 305-1190</v>
          </cell>
          <cell r="J2341" t="str">
            <v>kas9171@nyp.org</v>
          </cell>
          <cell r="L2341" t="str">
            <v>All Other:: Practitioner - Non-Primary Care Provider (PCP)</v>
          </cell>
          <cell r="M2341" t="str">
            <v>No</v>
          </cell>
          <cell r="R2341" t="str">
            <v>RYNTZ TIMOTHY DR.</v>
          </cell>
          <cell r="W2341" t="str">
            <v>RYNTZ TIMOTHY E MD</v>
          </cell>
          <cell r="X2341" t="str">
            <v>5141 BROADWAY</v>
          </cell>
          <cell r="Y2341" t="str">
            <v>NEW YORK</v>
          </cell>
          <cell r="Z2341" t="str">
            <v>NY</v>
          </cell>
          <cell r="AA2341" t="str">
            <v>10034-1159</v>
          </cell>
          <cell r="AB2341" t="str">
            <v>PHYSICIAN</v>
          </cell>
          <cell r="AC2341" t="str">
            <v>M</v>
          </cell>
          <cell r="AD2341" t="str">
            <v>No</v>
          </cell>
          <cell r="AE2341" t="str">
            <v>MMIS</v>
          </cell>
          <cell r="AF2341" t="str">
            <v>nypwestcampus</v>
          </cell>
          <cell r="AG2341" t="str">
            <v>P</v>
          </cell>
        </row>
        <row r="2342">
          <cell r="A2342" t="str">
            <v>1487668067</v>
          </cell>
          <cell r="B2342" t="str">
            <v>02426837</v>
          </cell>
          <cell r="C2342" t="str">
            <v>ASHANDA SAINT JEAN</v>
          </cell>
          <cell r="D2342" t="str">
            <v>E0057447</v>
          </cell>
          <cell r="E2342" t="str">
            <v>PHILLIPS ASHANDA MYRNA MD</v>
          </cell>
          <cell r="G2342" t="str">
            <v>Kathryn Spaziani</v>
          </cell>
          <cell r="H2342" t="str">
            <v>(212) 305-1190</v>
          </cell>
          <cell r="J2342" t="str">
            <v>kas9171@nyp.org</v>
          </cell>
          <cell r="L2342" t="str">
            <v>All Other:: Practitioner - Non-Primary Care Provider (PCP)</v>
          </cell>
          <cell r="M2342" t="str">
            <v>Yes</v>
          </cell>
          <cell r="R2342" t="str">
            <v>SAINT JEAN ASHANDA</v>
          </cell>
          <cell r="W2342" t="str">
            <v>SAINT JEAN ASHANDA MD</v>
          </cell>
          <cell r="X2342" t="str">
            <v>TJH MED PC</v>
          </cell>
          <cell r="Y2342" t="str">
            <v>JAMAICA</v>
          </cell>
          <cell r="Z2342" t="str">
            <v>NY</v>
          </cell>
          <cell r="AA2342" t="str">
            <v>11418</v>
          </cell>
          <cell r="AB2342" t="str">
            <v>PHYSICIAN</v>
          </cell>
          <cell r="AC2342" t="str">
            <v>M</v>
          </cell>
          <cell r="AD2342" t="str">
            <v>No</v>
          </cell>
          <cell r="AE2342" t="str">
            <v>MMIS</v>
          </cell>
          <cell r="AF2342" t="str">
            <v>nypwestcampus</v>
          </cell>
          <cell r="AG2342" t="str">
            <v>P</v>
          </cell>
        </row>
        <row r="2343">
          <cell r="A2343" t="str">
            <v>1538245220</v>
          </cell>
          <cell r="B2343" t="str">
            <v>03363733</v>
          </cell>
          <cell r="C2343" t="str">
            <v>FERDOUSE SARTAWI</v>
          </cell>
          <cell r="D2343" t="str">
            <v>E0323060</v>
          </cell>
          <cell r="E2343" t="str">
            <v>SARTAWI FERDOUSE</v>
          </cell>
          <cell r="G2343" t="str">
            <v>Kathryn Spaziani</v>
          </cell>
          <cell r="H2343" t="str">
            <v>(212) 305-1190</v>
          </cell>
          <cell r="J2343" t="str">
            <v>kas9171@nyp.org</v>
          </cell>
          <cell r="L2343" t="str">
            <v>Practitioner - Non-Primary Care Provider (PCP)</v>
          </cell>
          <cell r="M2343" t="str">
            <v>Yes</v>
          </cell>
          <cell r="R2343" t="str">
            <v>SARTAWI FERDOUSE</v>
          </cell>
          <cell r="W2343" t="str">
            <v>SARTAWI FERDOUSE</v>
          </cell>
          <cell r="X2343" t="str">
            <v>5141 BROADWAY</v>
          </cell>
          <cell r="Y2343" t="str">
            <v>NEW YORK</v>
          </cell>
          <cell r="Z2343" t="str">
            <v>NY</v>
          </cell>
          <cell r="AA2343" t="str">
            <v>10034-1159</v>
          </cell>
          <cell r="AB2343" t="str">
            <v>PHYSICIAN</v>
          </cell>
          <cell r="AC2343" t="str">
            <v>M</v>
          </cell>
          <cell r="AD2343" t="str">
            <v>No</v>
          </cell>
          <cell r="AE2343" t="str">
            <v>MMIS</v>
          </cell>
          <cell r="AF2343" t="str">
            <v>nypwestcampus</v>
          </cell>
          <cell r="AG2343" t="str">
            <v>P</v>
          </cell>
        </row>
        <row r="2344">
          <cell r="A2344" t="str">
            <v>1811153596</v>
          </cell>
          <cell r="B2344" t="str">
            <v>03027369</v>
          </cell>
          <cell r="C2344" t="str">
            <v>KARIN SCHOTT</v>
          </cell>
          <cell r="D2344" t="str">
            <v>E0284457</v>
          </cell>
          <cell r="E2344" t="str">
            <v>SCHOTT KARIN A</v>
          </cell>
          <cell r="G2344" t="str">
            <v>Kathryn Spaziani</v>
          </cell>
          <cell r="H2344" t="str">
            <v>(212) 305-1190</v>
          </cell>
          <cell r="J2344" t="str">
            <v>kas9171@nyp.org</v>
          </cell>
          <cell r="L2344" t="str">
            <v>All Other:: Practitioner - Non-Primary Care Provider (PCP)</v>
          </cell>
          <cell r="M2344" t="str">
            <v>Yes</v>
          </cell>
          <cell r="R2344" t="str">
            <v>SCHOTT KARIN</v>
          </cell>
          <cell r="W2344" t="str">
            <v>SCHOTT KARIN ALYSE MD</v>
          </cell>
          <cell r="X2344" t="str">
            <v>5141 BROADWAY</v>
          </cell>
          <cell r="Y2344" t="str">
            <v>NEW YORK</v>
          </cell>
          <cell r="Z2344" t="str">
            <v>NY</v>
          </cell>
          <cell r="AA2344" t="str">
            <v>10034-1159</v>
          </cell>
          <cell r="AB2344" t="str">
            <v>PHYSICIAN</v>
          </cell>
          <cell r="AC2344" t="str">
            <v>M</v>
          </cell>
          <cell r="AD2344" t="str">
            <v>No</v>
          </cell>
          <cell r="AE2344" t="str">
            <v>MMIS</v>
          </cell>
          <cell r="AF2344" t="str">
            <v>nypwestcampus</v>
          </cell>
          <cell r="AG2344" t="str">
            <v>P</v>
          </cell>
        </row>
        <row r="2345">
          <cell r="A2345" t="str">
            <v>1245438928</v>
          </cell>
          <cell r="B2345" t="str">
            <v>03968590</v>
          </cell>
          <cell r="C2345" t="str">
            <v>ROSHAN SHAH</v>
          </cell>
          <cell r="D2345" t="str">
            <v>E0388205</v>
          </cell>
          <cell r="E2345" t="str">
            <v>SHAH ROSHAN PRADIP</v>
          </cell>
          <cell r="G2345" t="str">
            <v>Kathryn Spaziani</v>
          </cell>
          <cell r="H2345" t="str">
            <v>(212) 305-1190</v>
          </cell>
          <cell r="J2345" t="str">
            <v>kas9171@nyp.org</v>
          </cell>
          <cell r="L2345" t="str">
            <v>Practitioner - Non-Primary Care Provider (PCP)</v>
          </cell>
          <cell r="M2345" t="str">
            <v>No</v>
          </cell>
          <cell r="R2345" t="str">
            <v>SHAH ROSHAN</v>
          </cell>
          <cell r="W2345" t="str">
            <v>SHAH ROSHAN PRADIP</v>
          </cell>
          <cell r="X2345" t="str">
            <v>161 FORT WASHINGTON AVE FL 2</v>
          </cell>
          <cell r="Y2345" t="str">
            <v>NEW YORK</v>
          </cell>
          <cell r="Z2345" t="str">
            <v>NY</v>
          </cell>
          <cell r="AA2345" t="str">
            <v>10032-3729</v>
          </cell>
          <cell r="AB2345" t="str">
            <v>PHYSICIAN</v>
          </cell>
          <cell r="AC2345" t="str">
            <v>M</v>
          </cell>
          <cell r="AD2345" t="str">
            <v>No</v>
          </cell>
          <cell r="AE2345" t="str">
            <v>MMIS</v>
          </cell>
          <cell r="AF2345" t="str">
            <v>nypwestcampus</v>
          </cell>
          <cell r="AG2345" t="str">
            <v>P</v>
          </cell>
        </row>
        <row r="2346">
          <cell r="A2346" t="str">
            <v>1639338262</v>
          </cell>
          <cell r="B2346" t="str">
            <v>03375582</v>
          </cell>
          <cell r="C2346" t="str">
            <v>HIRAL SHAH</v>
          </cell>
          <cell r="D2346" t="str">
            <v>E0324488</v>
          </cell>
          <cell r="E2346" t="str">
            <v>LAROIA HIRAL</v>
          </cell>
          <cell r="G2346" t="str">
            <v>Kathryn Spaziani</v>
          </cell>
          <cell r="H2346" t="str">
            <v>(212) 305-1190</v>
          </cell>
          <cell r="J2346" t="str">
            <v>kas9171@nyp.org</v>
          </cell>
          <cell r="L2346" t="str">
            <v>Practitioner - Non-Primary Care Provider (PCP)</v>
          </cell>
          <cell r="M2346" t="str">
            <v>No</v>
          </cell>
          <cell r="R2346" t="str">
            <v>SHAH HIRAL DR.</v>
          </cell>
          <cell r="W2346" t="str">
            <v>SHAH HIRAL GAUTAM</v>
          </cell>
          <cell r="X2346" t="str">
            <v>710 W 168TH ST</v>
          </cell>
          <cell r="Y2346" t="str">
            <v>NEW YORK</v>
          </cell>
          <cell r="Z2346" t="str">
            <v>NY</v>
          </cell>
          <cell r="AA2346" t="str">
            <v>10032-3726</v>
          </cell>
          <cell r="AB2346" t="str">
            <v>PHYSICIAN</v>
          </cell>
          <cell r="AC2346" t="str">
            <v>M</v>
          </cell>
          <cell r="AD2346" t="str">
            <v>No</v>
          </cell>
          <cell r="AE2346" t="str">
            <v>MMIS</v>
          </cell>
          <cell r="AF2346" t="str">
            <v>nypwestcampus</v>
          </cell>
          <cell r="AG2346" t="str">
            <v>P</v>
          </cell>
        </row>
        <row r="2347">
          <cell r="A2347" t="str">
            <v>1326087628</v>
          </cell>
          <cell r="B2347" t="str">
            <v>02052757</v>
          </cell>
          <cell r="C2347" t="str">
            <v>BARRY SHAKTMAN</v>
          </cell>
          <cell r="D2347" t="str">
            <v>E0094787</v>
          </cell>
          <cell r="E2347" t="str">
            <v>SHAKTMAN BARRY DAVID MD</v>
          </cell>
          <cell r="G2347" t="str">
            <v>Kathryn Spaziani</v>
          </cell>
          <cell r="H2347" t="str">
            <v>(212) 305-1190</v>
          </cell>
          <cell r="J2347" t="str">
            <v>kas9171@nyp.org</v>
          </cell>
          <cell r="L2347" t="str">
            <v>All Other:: Practitioner - Non-Primary Care Provider (PCP)</v>
          </cell>
          <cell r="M2347" t="str">
            <v>No</v>
          </cell>
          <cell r="R2347" t="str">
            <v>SHAKTMAN BARRY</v>
          </cell>
          <cell r="W2347" t="str">
            <v>SHAKTMAN BARRY DAVID MD</v>
          </cell>
          <cell r="X2347" t="str">
            <v>NY PRESB OB J-130</v>
          </cell>
          <cell r="Y2347" t="str">
            <v>NEW YORK</v>
          </cell>
          <cell r="Z2347" t="str">
            <v>NY</v>
          </cell>
          <cell r="AA2347" t="str">
            <v>10065-4870</v>
          </cell>
          <cell r="AB2347" t="str">
            <v>PHYSICIAN</v>
          </cell>
          <cell r="AC2347" t="str">
            <v>M</v>
          </cell>
          <cell r="AD2347" t="str">
            <v>No</v>
          </cell>
          <cell r="AE2347" t="str">
            <v>MMIS</v>
          </cell>
          <cell r="AF2347" t="str">
            <v>nypeastcampus</v>
          </cell>
          <cell r="AG2347" t="str">
            <v>P</v>
          </cell>
        </row>
        <row r="2348">
          <cell r="A2348" t="str">
            <v>1497711790</v>
          </cell>
          <cell r="B2348" t="str">
            <v>02490233</v>
          </cell>
          <cell r="C2348" t="str">
            <v>JEAN-JU SHEEN</v>
          </cell>
          <cell r="D2348" t="str">
            <v>E0051112</v>
          </cell>
          <cell r="E2348" t="str">
            <v>SHEEN JEAN-JU MD</v>
          </cell>
          <cell r="G2348" t="str">
            <v>Kathryn Spaziani</v>
          </cell>
          <cell r="H2348" t="str">
            <v>(212) 305-1190</v>
          </cell>
          <cell r="J2348" t="str">
            <v>kas9171@nyp.org</v>
          </cell>
          <cell r="L2348" t="str">
            <v>All Other:: Practitioner - Non-Primary Care Provider (PCP)</v>
          </cell>
          <cell r="M2348" t="str">
            <v>Yes</v>
          </cell>
          <cell r="R2348" t="str">
            <v>SHEEN JEAN-JU DR.</v>
          </cell>
          <cell r="W2348" t="str">
            <v>SHEEN JEAN-JU MD</v>
          </cell>
          <cell r="X2348" t="str">
            <v>TJH MEDICAL SVCS PC</v>
          </cell>
          <cell r="Y2348" t="str">
            <v>JAMAICA</v>
          </cell>
          <cell r="Z2348" t="str">
            <v>NY</v>
          </cell>
          <cell r="AA2348" t="str">
            <v>11418-2821</v>
          </cell>
          <cell r="AB2348" t="str">
            <v>PHYSICIAN</v>
          </cell>
          <cell r="AC2348" t="str">
            <v>M</v>
          </cell>
          <cell r="AD2348" t="str">
            <v>No</v>
          </cell>
          <cell r="AE2348" t="str">
            <v>MMIS</v>
          </cell>
          <cell r="AF2348" t="str">
            <v>nypwestcampus</v>
          </cell>
          <cell r="AG2348" t="str">
            <v>P</v>
          </cell>
        </row>
        <row r="2349">
          <cell r="A2349" t="str">
            <v>1891821286</v>
          </cell>
          <cell r="B2349" t="str">
            <v>03572570</v>
          </cell>
          <cell r="C2349" t="str">
            <v>SAMEER SHETH</v>
          </cell>
          <cell r="D2349" t="str">
            <v>E0347342</v>
          </cell>
          <cell r="E2349" t="str">
            <v>SHETH SAMEER MD</v>
          </cell>
          <cell r="G2349" t="str">
            <v>Kathryn Spaziani</v>
          </cell>
          <cell r="H2349" t="str">
            <v>(212) 305-1190</v>
          </cell>
          <cell r="J2349" t="str">
            <v>kas9171@nyp.org</v>
          </cell>
          <cell r="L2349" t="str">
            <v>Practitioner - Non-Primary Care Provider (PCP)</v>
          </cell>
          <cell r="M2349" t="str">
            <v>No</v>
          </cell>
          <cell r="R2349" t="str">
            <v>SHETH SAMEER</v>
          </cell>
          <cell r="W2349" t="str">
            <v>SHETH SAMEER MD</v>
          </cell>
          <cell r="X2349" t="str">
            <v>710 W 168TH ST</v>
          </cell>
          <cell r="Y2349" t="str">
            <v>NEW YORK</v>
          </cell>
          <cell r="Z2349" t="str">
            <v>NY</v>
          </cell>
          <cell r="AA2349" t="str">
            <v>10032-3726</v>
          </cell>
          <cell r="AB2349" t="str">
            <v>PHYSICIAN</v>
          </cell>
          <cell r="AC2349" t="str">
            <v>M</v>
          </cell>
          <cell r="AD2349" t="str">
            <v>No</v>
          </cell>
          <cell r="AE2349" t="str">
            <v>MMIS</v>
          </cell>
          <cell r="AF2349" t="str">
            <v>nypwestcampus</v>
          </cell>
          <cell r="AG2349" t="str">
            <v>P</v>
          </cell>
        </row>
        <row r="2350">
          <cell r="A2350" t="str">
            <v>1922104348</v>
          </cell>
          <cell r="B2350" t="str">
            <v>01601454</v>
          </cell>
          <cell r="C2350" t="str">
            <v>RACHE SIMMONS</v>
          </cell>
          <cell r="D2350" t="str">
            <v>E0139864</v>
          </cell>
          <cell r="E2350" t="str">
            <v>SIMMONS RACHE M MD</v>
          </cell>
          <cell r="G2350" t="str">
            <v>Kathryn Spaziani</v>
          </cell>
          <cell r="H2350" t="str">
            <v>(212) 305-1190</v>
          </cell>
          <cell r="J2350" t="str">
            <v>kas9171@nyp.org</v>
          </cell>
          <cell r="L2350" t="str">
            <v>Practitioner - Non-Primary Care Provider (PCP)</v>
          </cell>
          <cell r="M2350" t="str">
            <v>No</v>
          </cell>
          <cell r="R2350" t="str">
            <v>SIMMONS RACHE</v>
          </cell>
          <cell r="W2350" t="str">
            <v>SIMMONS RACHE M MD</v>
          </cell>
          <cell r="X2350" t="str">
            <v>428 E 72ND ST</v>
          </cell>
          <cell r="Y2350" t="str">
            <v>NEW YORK</v>
          </cell>
          <cell r="Z2350" t="str">
            <v>NY</v>
          </cell>
          <cell r="AA2350" t="str">
            <v>10021-4635</v>
          </cell>
          <cell r="AB2350" t="str">
            <v>PHYSICIAN</v>
          </cell>
          <cell r="AC2350" t="str">
            <v>M</v>
          </cell>
          <cell r="AD2350" t="str">
            <v>No</v>
          </cell>
          <cell r="AE2350" t="str">
            <v>MMIS</v>
          </cell>
          <cell r="AF2350" t="str">
            <v>nypeastcampus</v>
          </cell>
          <cell r="AG2350" t="str">
            <v>P</v>
          </cell>
        </row>
        <row r="2351">
          <cell r="A2351" t="str">
            <v>1578829453</v>
          </cell>
          <cell r="C2351" t="str">
            <v>ROBIN BRUSEN</v>
          </cell>
          <cell r="G2351" t="str">
            <v>Kathryn Spaziani</v>
          </cell>
          <cell r="H2351" t="str">
            <v>(212) 305-1190</v>
          </cell>
          <cell r="J2351" t="str">
            <v>kas9171@nyp.org</v>
          </cell>
          <cell r="K2351" t="str">
            <v>Unknown</v>
          </cell>
          <cell r="L2351" t="str">
            <v>Uncategorized</v>
          </cell>
          <cell r="M2351" t="str">
            <v>No</v>
          </cell>
          <cell r="R2351" t="str">
            <v>BRUSEN ROBIN</v>
          </cell>
          <cell r="S2351" t="str">
            <v>1959 NE PACIFIC ST</v>
          </cell>
          <cell r="T2351" t="str">
            <v>SEATTLE</v>
          </cell>
          <cell r="U2351" t="str">
            <v>WA</v>
          </cell>
          <cell r="V2351" t="str">
            <v>981950001</v>
          </cell>
          <cell r="AC2351" t="str">
            <v>M</v>
          </cell>
          <cell r="AD2351" t="str">
            <v>No</v>
          </cell>
          <cell r="AE2351" t="str">
            <v>NPI only</v>
          </cell>
          <cell r="AF2351" t="str">
            <v>nypother</v>
          </cell>
          <cell r="AG2351" t="str">
            <v>P</v>
          </cell>
        </row>
        <row r="2352">
          <cell r="A2352" t="str">
            <v>1194081984</v>
          </cell>
          <cell r="B2352" t="str">
            <v>04155928</v>
          </cell>
          <cell r="C2352" t="str">
            <v>RACHEL BYSTRITSKY</v>
          </cell>
          <cell r="D2352" t="str">
            <v>E0407411</v>
          </cell>
          <cell r="E2352" t="str">
            <v>BYSTRITSKY RACHEL</v>
          </cell>
          <cell r="G2352" t="str">
            <v>Kathryn Spaziani</v>
          </cell>
          <cell r="H2352" t="str">
            <v>(212) 305-1190</v>
          </cell>
          <cell r="J2352" t="str">
            <v>kas9171@nyp.org</v>
          </cell>
          <cell r="L2352" t="str">
            <v>Practitioner - Non-Primary Care Provider (PCP)</v>
          </cell>
          <cell r="M2352" t="str">
            <v>No</v>
          </cell>
          <cell r="R2352" t="str">
            <v>BYSTRITSKY RACHEL</v>
          </cell>
          <cell r="W2352" t="str">
            <v>BYSTRITSKY RACHEL</v>
          </cell>
          <cell r="X2352" t="str">
            <v>622 WEST 168TH STREE</v>
          </cell>
          <cell r="Y2352" t="str">
            <v>NEW YORK</v>
          </cell>
          <cell r="Z2352" t="str">
            <v>NY</v>
          </cell>
          <cell r="AA2352" t="str">
            <v>10032</v>
          </cell>
          <cell r="AB2352" t="str">
            <v>PHYSICIAN</v>
          </cell>
          <cell r="AC2352" t="str">
            <v>M</v>
          </cell>
          <cell r="AD2352" t="str">
            <v>No</v>
          </cell>
          <cell r="AE2352" t="str">
            <v>MMIS</v>
          </cell>
          <cell r="AF2352" t="str">
            <v>nypwestcampus</v>
          </cell>
          <cell r="AG2352" t="str">
            <v>P</v>
          </cell>
        </row>
        <row r="2353">
          <cell r="A2353" t="str">
            <v>1962778902</v>
          </cell>
          <cell r="C2353" t="str">
            <v>MATTHEW CHAMPION</v>
          </cell>
          <cell r="G2353" t="str">
            <v>Kathryn Spaziani</v>
          </cell>
          <cell r="H2353" t="str">
            <v>(212) 305-1190</v>
          </cell>
          <cell r="J2353" t="str">
            <v>kas9171@nyp.org</v>
          </cell>
          <cell r="K2353" t="str">
            <v>Unknown</v>
          </cell>
          <cell r="L2353" t="str">
            <v>Uncategorized</v>
          </cell>
          <cell r="M2353" t="str">
            <v>No</v>
          </cell>
          <cell r="R2353" t="str">
            <v>CHAMPION MATTHEW</v>
          </cell>
          <cell r="S2353" t="str">
            <v>622 W 168TH ST</v>
          </cell>
          <cell r="T2353" t="str">
            <v>NEW YORK</v>
          </cell>
          <cell r="U2353" t="str">
            <v>NY</v>
          </cell>
          <cell r="V2353" t="str">
            <v>100323720</v>
          </cell>
          <cell r="AC2353" t="str">
            <v>M</v>
          </cell>
          <cell r="AD2353" t="str">
            <v>No</v>
          </cell>
          <cell r="AE2353" t="str">
            <v>NPI only</v>
          </cell>
          <cell r="AF2353" t="str">
            <v>nypother</v>
          </cell>
          <cell r="AG2353" t="str">
            <v>P</v>
          </cell>
        </row>
        <row r="2354">
          <cell r="A2354" t="str">
            <v>1447518923</v>
          </cell>
          <cell r="C2354" t="str">
            <v>NALINI COLACO</v>
          </cell>
          <cell r="G2354" t="str">
            <v>Kathryn Spaziani</v>
          </cell>
          <cell r="H2354" t="str">
            <v>(212) 305-1190</v>
          </cell>
          <cell r="J2354" t="str">
            <v>kas9171@nyp.org</v>
          </cell>
          <cell r="K2354" t="str">
            <v>Unknown</v>
          </cell>
          <cell r="L2354" t="str">
            <v>Uncategorized</v>
          </cell>
          <cell r="M2354" t="str">
            <v>No</v>
          </cell>
          <cell r="R2354" t="str">
            <v>COLACO NALINI DR.</v>
          </cell>
          <cell r="S2354" t="str">
            <v>50 W 72ND ST, APT 708</v>
          </cell>
          <cell r="T2354" t="str">
            <v>NEW YORK</v>
          </cell>
          <cell r="U2354" t="str">
            <v>NY</v>
          </cell>
          <cell r="V2354" t="str">
            <v>100234199</v>
          </cell>
          <cell r="AC2354" t="str">
            <v>M</v>
          </cell>
          <cell r="AD2354" t="str">
            <v>No</v>
          </cell>
          <cell r="AE2354" t="str">
            <v>NPI only</v>
          </cell>
          <cell r="AF2354" t="str">
            <v>nypother</v>
          </cell>
          <cell r="AG2354" t="str">
            <v>P</v>
          </cell>
        </row>
        <row r="2355">
          <cell r="A2355" t="str">
            <v>1952667107</v>
          </cell>
          <cell r="C2355" t="str">
            <v>YVONNE COVIN</v>
          </cell>
          <cell r="G2355" t="str">
            <v>Kathryn Spaziani</v>
          </cell>
          <cell r="H2355" t="str">
            <v>(212) 305-1190</v>
          </cell>
          <cell r="J2355" t="str">
            <v>kas9171@nyp.org</v>
          </cell>
          <cell r="K2355" t="str">
            <v>Unknown</v>
          </cell>
          <cell r="L2355" t="str">
            <v>Uncategorized</v>
          </cell>
          <cell r="M2355" t="str">
            <v>No</v>
          </cell>
          <cell r="R2355" t="str">
            <v>COVIN YVONNE DR.</v>
          </cell>
          <cell r="S2355" t="str">
            <v>5303 HAMILTON WOLFE RD APT 1003</v>
          </cell>
          <cell r="T2355" t="str">
            <v>SAN ANTONIO</v>
          </cell>
          <cell r="U2355" t="str">
            <v>TX</v>
          </cell>
          <cell r="V2355" t="str">
            <v>782294365</v>
          </cell>
          <cell r="AC2355" t="str">
            <v>M</v>
          </cell>
          <cell r="AD2355" t="str">
            <v>No</v>
          </cell>
          <cell r="AE2355" t="str">
            <v>NPI only</v>
          </cell>
          <cell r="AF2355" t="str">
            <v>nypother</v>
          </cell>
          <cell r="AG2355" t="str">
            <v>P</v>
          </cell>
        </row>
        <row r="2356">
          <cell r="A2356" t="str">
            <v>1255607669</v>
          </cell>
          <cell r="C2356" t="str">
            <v>DAVID FALECK</v>
          </cell>
          <cell r="G2356" t="str">
            <v>Kathryn Spaziani</v>
          </cell>
          <cell r="H2356" t="str">
            <v>(212) 305-1190</v>
          </cell>
          <cell r="J2356" t="str">
            <v>kas9171@nyp.org</v>
          </cell>
          <cell r="K2356" t="str">
            <v>Unknown</v>
          </cell>
          <cell r="L2356" t="str">
            <v>Uncategorized</v>
          </cell>
          <cell r="M2356" t="str">
            <v>No</v>
          </cell>
          <cell r="R2356" t="str">
            <v>FALECK DAVID DR.</v>
          </cell>
          <cell r="S2356" t="str">
            <v>17 E 102ND ST, 4TH FLOOR</v>
          </cell>
          <cell r="T2356" t="str">
            <v>NEW YORK</v>
          </cell>
          <cell r="U2356" t="str">
            <v>NY</v>
          </cell>
          <cell r="V2356" t="str">
            <v>100295204</v>
          </cell>
          <cell r="AC2356" t="str">
            <v>M</v>
          </cell>
          <cell r="AD2356" t="str">
            <v>No</v>
          </cell>
          <cell r="AE2356" t="str">
            <v>NPI only</v>
          </cell>
          <cell r="AF2356" t="str">
            <v>nypother</v>
          </cell>
          <cell r="AG2356" t="str">
            <v>P</v>
          </cell>
        </row>
        <row r="2357">
          <cell r="A2357" t="str">
            <v>1447517461</v>
          </cell>
          <cell r="C2357" t="str">
            <v>JUSTIN FRIED</v>
          </cell>
          <cell r="G2357" t="str">
            <v>Kathryn Spaziani</v>
          </cell>
          <cell r="H2357" t="str">
            <v>(212) 305-1190</v>
          </cell>
          <cell r="J2357" t="str">
            <v>kas9171@nyp.org</v>
          </cell>
          <cell r="K2357" t="str">
            <v>Unknown</v>
          </cell>
          <cell r="L2357" t="str">
            <v>Uncategorized</v>
          </cell>
          <cell r="M2357" t="str">
            <v>No</v>
          </cell>
          <cell r="R2357" t="str">
            <v>FRIED JUSTIN</v>
          </cell>
          <cell r="S2357" t="str">
            <v>630 W 168TH ST</v>
          </cell>
          <cell r="T2357" t="str">
            <v>NEW YORK</v>
          </cell>
          <cell r="U2357" t="str">
            <v>NY</v>
          </cell>
          <cell r="V2357" t="str">
            <v>100323725</v>
          </cell>
          <cell r="AC2357" t="str">
            <v>M</v>
          </cell>
          <cell r="AD2357" t="str">
            <v>No</v>
          </cell>
          <cell r="AE2357" t="str">
            <v>NPI only</v>
          </cell>
          <cell r="AF2357" t="str">
            <v>nypwestcampus</v>
          </cell>
          <cell r="AG2357" t="str">
            <v>P</v>
          </cell>
        </row>
        <row r="2358">
          <cell r="A2358" t="str">
            <v>1386910388</v>
          </cell>
          <cell r="C2358" t="str">
            <v>TOVA FULLER</v>
          </cell>
          <cell r="G2358" t="str">
            <v>Kathryn Spaziani</v>
          </cell>
          <cell r="H2358" t="str">
            <v>(212) 305-1190</v>
          </cell>
          <cell r="J2358" t="str">
            <v>kas9171@nyp.org</v>
          </cell>
          <cell r="K2358" t="str">
            <v>Unknown</v>
          </cell>
          <cell r="L2358" t="str">
            <v>Uncategorized</v>
          </cell>
          <cell r="M2358" t="str">
            <v>No</v>
          </cell>
          <cell r="R2358" t="str">
            <v>FULLER TOVA DR.</v>
          </cell>
          <cell r="S2358" t="str">
            <v>101 DUDLEY AVE APT 309</v>
          </cell>
          <cell r="T2358" t="str">
            <v>VENICE</v>
          </cell>
          <cell r="U2358" t="str">
            <v>CA</v>
          </cell>
          <cell r="V2358" t="str">
            <v>902912302</v>
          </cell>
          <cell r="AC2358" t="str">
            <v>M</v>
          </cell>
          <cell r="AD2358" t="str">
            <v>No</v>
          </cell>
          <cell r="AE2358" t="str">
            <v>NPI only</v>
          </cell>
          <cell r="AF2358" t="str">
            <v>nypother</v>
          </cell>
          <cell r="AG2358" t="str">
            <v>P</v>
          </cell>
        </row>
        <row r="2359">
          <cell r="A2359" t="str">
            <v>1659630192</v>
          </cell>
          <cell r="C2359" t="str">
            <v>AKASH GOEL</v>
          </cell>
          <cell r="G2359" t="str">
            <v>Kathryn Spaziani</v>
          </cell>
          <cell r="H2359" t="str">
            <v>(212) 305-1190</v>
          </cell>
          <cell r="J2359" t="str">
            <v>kas9171@nyp.org</v>
          </cell>
          <cell r="K2359" t="str">
            <v>Unknown</v>
          </cell>
          <cell r="L2359" t="str">
            <v>Uncategorized</v>
          </cell>
          <cell r="M2359" t="str">
            <v>No</v>
          </cell>
          <cell r="R2359" t="str">
            <v>GOEL AKASH</v>
          </cell>
          <cell r="S2359" t="str">
            <v>622 30TH ST</v>
          </cell>
          <cell r="T2359" t="str">
            <v>PERU</v>
          </cell>
          <cell r="U2359" t="str">
            <v>IL</v>
          </cell>
          <cell r="V2359" t="str">
            <v>613541472</v>
          </cell>
          <cell r="AC2359" t="str">
            <v>M</v>
          </cell>
          <cell r="AD2359" t="str">
            <v>No</v>
          </cell>
          <cell r="AE2359" t="str">
            <v>NPI only</v>
          </cell>
          <cell r="AF2359" t="str">
            <v>nypother</v>
          </cell>
          <cell r="AG2359" t="str">
            <v>P</v>
          </cell>
        </row>
        <row r="2360">
          <cell r="A2360" t="str">
            <v>1528326345</v>
          </cell>
          <cell r="B2360" t="str">
            <v>04166749</v>
          </cell>
          <cell r="C2360" t="str">
            <v>ANDREW GOLDSTEIN</v>
          </cell>
          <cell r="D2360" t="str">
            <v>E0408433</v>
          </cell>
          <cell r="E2360" t="str">
            <v>GOLDSTEIN ANDREW D</v>
          </cell>
          <cell r="G2360" t="str">
            <v>Kathryn Spaziani</v>
          </cell>
          <cell r="H2360" t="str">
            <v>(212) 305-1190</v>
          </cell>
          <cell r="J2360" t="str">
            <v>kas9171@nyp.org</v>
          </cell>
          <cell r="L2360" t="str">
            <v>Practitioner - Non-Primary Care Provider (PCP)</v>
          </cell>
          <cell r="M2360" t="str">
            <v>No</v>
          </cell>
          <cell r="R2360" t="str">
            <v>GOLDSTEIN ANDREW</v>
          </cell>
          <cell r="W2360" t="str">
            <v>GOLDSTEIN ANDREW D</v>
          </cell>
          <cell r="X2360" t="str">
            <v>462 1ST AVE</v>
          </cell>
          <cell r="Y2360" t="str">
            <v>NEW YORK</v>
          </cell>
          <cell r="Z2360" t="str">
            <v>NY</v>
          </cell>
          <cell r="AA2360" t="str">
            <v>10016-9196</v>
          </cell>
          <cell r="AB2360" t="str">
            <v>PHYSICIAN</v>
          </cell>
          <cell r="AC2360" t="str">
            <v>M</v>
          </cell>
          <cell r="AD2360" t="str">
            <v>No</v>
          </cell>
          <cell r="AE2360" t="str">
            <v>MMIS</v>
          </cell>
          <cell r="AF2360" t="str">
            <v>nypother</v>
          </cell>
          <cell r="AG2360" t="str">
            <v>P</v>
          </cell>
        </row>
        <row r="2361">
          <cell r="A2361" t="str">
            <v>1972861300</v>
          </cell>
          <cell r="C2361" t="str">
            <v>RUBY GREYWOODE</v>
          </cell>
          <cell r="G2361" t="str">
            <v>Kathryn Spaziani</v>
          </cell>
          <cell r="H2361" t="str">
            <v>(212) 305-1190</v>
          </cell>
          <cell r="J2361" t="str">
            <v>kas9171@nyp.org</v>
          </cell>
          <cell r="K2361" t="str">
            <v>Unknown</v>
          </cell>
          <cell r="L2361" t="str">
            <v>Uncategorized</v>
          </cell>
          <cell r="M2361" t="str">
            <v>No</v>
          </cell>
          <cell r="R2361" t="str">
            <v>GREYWOODE RUBY</v>
          </cell>
          <cell r="S2361" t="str">
            <v>622 W 168TH ST, 2ND FLOOR</v>
          </cell>
          <cell r="T2361" t="str">
            <v>NEW YORK</v>
          </cell>
          <cell r="U2361" t="str">
            <v>NY</v>
          </cell>
          <cell r="V2361" t="str">
            <v>100323725</v>
          </cell>
          <cell r="AC2361" t="str">
            <v>M</v>
          </cell>
          <cell r="AD2361" t="str">
            <v>No</v>
          </cell>
          <cell r="AE2361" t="str">
            <v>NPI only</v>
          </cell>
          <cell r="AF2361" t="str">
            <v>nypother</v>
          </cell>
          <cell r="AG2361" t="str">
            <v>P</v>
          </cell>
        </row>
        <row r="2362">
          <cell r="A2362" t="str">
            <v>1366708737</v>
          </cell>
          <cell r="B2362" t="str">
            <v>04312149</v>
          </cell>
          <cell r="C2362" t="str">
            <v>JENNIFER HEINEN</v>
          </cell>
          <cell r="D2362" t="str">
            <v>E0423478</v>
          </cell>
          <cell r="E2362" t="str">
            <v>HEINEN JENNIFER ANN</v>
          </cell>
          <cell r="G2362" t="str">
            <v>Kathryn Spaziani</v>
          </cell>
          <cell r="H2362" t="str">
            <v>(212) 305-1190</v>
          </cell>
          <cell r="J2362" t="str">
            <v>kas9171@nyp.org</v>
          </cell>
          <cell r="L2362" t="str">
            <v>Practitioner - Non-Primary Care Provider (PCP)</v>
          </cell>
          <cell r="M2362" t="str">
            <v>No</v>
          </cell>
          <cell r="R2362" t="str">
            <v>HEINEN JENNIFER DR.</v>
          </cell>
          <cell r="W2362" t="str">
            <v>HEINEN JENNIFER ANN</v>
          </cell>
          <cell r="X2362" t="str">
            <v>1275 YORK AVE</v>
          </cell>
          <cell r="Y2362" t="str">
            <v>NEW YORK</v>
          </cell>
          <cell r="Z2362" t="str">
            <v>NY</v>
          </cell>
          <cell r="AA2362" t="str">
            <v>10065-6007</v>
          </cell>
          <cell r="AB2362" t="str">
            <v>PHYSICIAN</v>
          </cell>
          <cell r="AC2362" t="str">
            <v>M</v>
          </cell>
          <cell r="AD2362" t="str">
            <v>No</v>
          </cell>
          <cell r="AE2362" t="str">
            <v>MMIS</v>
          </cell>
          <cell r="AF2362" t="str">
            <v>nypother</v>
          </cell>
          <cell r="AG2362" t="str">
            <v>P</v>
          </cell>
        </row>
        <row r="2363">
          <cell r="A2363" t="str">
            <v>1831457811</v>
          </cell>
          <cell r="C2363" t="str">
            <v>DANIEL HENDERSON</v>
          </cell>
          <cell r="G2363" t="str">
            <v>Kathryn Spaziani</v>
          </cell>
          <cell r="H2363" t="str">
            <v>(212) 305-1190</v>
          </cell>
          <cell r="J2363" t="str">
            <v>kas9171@nyp.org</v>
          </cell>
          <cell r="K2363" t="str">
            <v>Unknown</v>
          </cell>
          <cell r="L2363" t="str">
            <v>Uncategorized</v>
          </cell>
          <cell r="M2363" t="str">
            <v>No</v>
          </cell>
          <cell r="R2363" t="str">
            <v>HENDERSON DANIEL DR.</v>
          </cell>
          <cell r="S2363" t="str">
            <v>15 PARKMAN ST, WANG CENTER, 6TH FLOOR</v>
          </cell>
          <cell r="T2363" t="str">
            <v>BOSTON</v>
          </cell>
          <cell r="U2363" t="str">
            <v>MA</v>
          </cell>
          <cell r="V2363" t="str">
            <v>021143117</v>
          </cell>
          <cell r="AC2363" t="str">
            <v>M</v>
          </cell>
          <cell r="AD2363" t="str">
            <v>No</v>
          </cell>
          <cell r="AE2363" t="str">
            <v>NPI only</v>
          </cell>
          <cell r="AF2363" t="str">
            <v>nypother</v>
          </cell>
          <cell r="AG2363" t="str">
            <v>P</v>
          </cell>
        </row>
        <row r="2364">
          <cell r="A2364" t="str">
            <v>1962760819</v>
          </cell>
          <cell r="B2364" t="str">
            <v>04230219</v>
          </cell>
          <cell r="C2364" t="str">
            <v>ANDREW HIGGINS</v>
          </cell>
          <cell r="D2364" t="str">
            <v>E0414994</v>
          </cell>
          <cell r="E2364" t="str">
            <v>HIGGINS ANDREW</v>
          </cell>
          <cell r="G2364" t="str">
            <v>Kathryn Spaziani</v>
          </cell>
          <cell r="H2364" t="str">
            <v>(212) 305-1190</v>
          </cell>
          <cell r="J2364" t="str">
            <v>kas9171@nyp.org</v>
          </cell>
          <cell r="L2364" t="str">
            <v>Practitioner - Non-Primary Care Provider (PCP)</v>
          </cell>
          <cell r="M2364" t="str">
            <v>No</v>
          </cell>
          <cell r="R2364" t="str">
            <v>HIGGINS ANDREW</v>
          </cell>
          <cell r="W2364" t="str">
            <v>HIGGINS ANDREW ROSS</v>
          </cell>
          <cell r="X2364" t="str">
            <v>622 WEST 168TH STREET</v>
          </cell>
          <cell r="Y2364" t="str">
            <v>NEW YORK</v>
          </cell>
          <cell r="Z2364" t="str">
            <v>NY</v>
          </cell>
          <cell r="AA2364" t="str">
            <v>10032-3720</v>
          </cell>
          <cell r="AB2364" t="str">
            <v>PHYSICIAN</v>
          </cell>
          <cell r="AC2364" t="str">
            <v>M</v>
          </cell>
          <cell r="AD2364" t="str">
            <v>No</v>
          </cell>
          <cell r="AE2364" t="str">
            <v>MMIS</v>
          </cell>
          <cell r="AF2364" t="str">
            <v>nypwestcampus</v>
          </cell>
          <cell r="AG2364" t="str">
            <v>P</v>
          </cell>
        </row>
        <row r="2365">
          <cell r="A2365" t="str">
            <v>1255697397</v>
          </cell>
          <cell r="C2365" t="str">
            <v>VERN KERCHBERGER</v>
          </cell>
          <cell r="G2365" t="str">
            <v>Kathryn Spaziani</v>
          </cell>
          <cell r="H2365" t="str">
            <v>(212) 305-1190</v>
          </cell>
          <cell r="J2365" t="str">
            <v>kas9171@nyp.org</v>
          </cell>
          <cell r="K2365" t="str">
            <v>Unknown</v>
          </cell>
          <cell r="L2365" t="str">
            <v>Uncategorized</v>
          </cell>
          <cell r="M2365" t="str">
            <v>No</v>
          </cell>
          <cell r="R2365" t="str">
            <v>KERCHBERGER VERN DR.</v>
          </cell>
          <cell r="S2365" t="str">
            <v>1161 21ST AVE S, T-1218, MCN</v>
          </cell>
          <cell r="T2365" t="str">
            <v>NASHVILLE</v>
          </cell>
          <cell r="U2365" t="str">
            <v>TN</v>
          </cell>
          <cell r="V2365" t="str">
            <v>372322650</v>
          </cell>
          <cell r="AC2365" t="str">
            <v>M</v>
          </cell>
          <cell r="AD2365" t="str">
            <v>No</v>
          </cell>
          <cell r="AE2365" t="str">
            <v>NPI only</v>
          </cell>
          <cell r="AF2365" t="str">
            <v>nypother</v>
          </cell>
          <cell r="AG2365" t="str">
            <v>P</v>
          </cell>
        </row>
        <row r="2366">
          <cell r="A2366" t="str">
            <v>1538426242</v>
          </cell>
          <cell r="C2366" t="str">
            <v>ROBERT KNOTTS</v>
          </cell>
          <cell r="G2366" t="str">
            <v>Kathryn Spaziani</v>
          </cell>
          <cell r="H2366" t="str">
            <v>(212) 305-1190</v>
          </cell>
          <cell r="J2366" t="str">
            <v>kas9171@nyp.org</v>
          </cell>
          <cell r="K2366" t="str">
            <v>Unknown</v>
          </cell>
          <cell r="L2366" t="str">
            <v>Uncategorized</v>
          </cell>
          <cell r="M2366" t="str">
            <v>No</v>
          </cell>
          <cell r="R2366" t="str">
            <v>KNOTTS ROBERT</v>
          </cell>
          <cell r="S2366" t="str">
            <v>550 1ST AVE</v>
          </cell>
          <cell r="T2366" t="str">
            <v>NEW YORK</v>
          </cell>
          <cell r="U2366" t="str">
            <v>NY</v>
          </cell>
          <cell r="V2366" t="str">
            <v>100166402</v>
          </cell>
          <cell r="AC2366" t="str">
            <v>M</v>
          </cell>
          <cell r="AD2366" t="str">
            <v>No</v>
          </cell>
          <cell r="AE2366" t="str">
            <v>NPI only</v>
          </cell>
          <cell r="AF2366" t="str">
            <v>nypother</v>
          </cell>
          <cell r="AG2366" t="str">
            <v>P</v>
          </cell>
        </row>
        <row r="2367">
          <cell r="A2367" t="str">
            <v>1124393251</v>
          </cell>
          <cell r="C2367" t="str">
            <v>JENNIFER LEE</v>
          </cell>
          <cell r="G2367" t="str">
            <v>Kathryn Spaziani</v>
          </cell>
          <cell r="H2367" t="str">
            <v>(212) 305-1190</v>
          </cell>
          <cell r="J2367" t="str">
            <v>kas9171@nyp.org</v>
          </cell>
          <cell r="K2367" t="str">
            <v>Unknown</v>
          </cell>
          <cell r="L2367" t="str">
            <v>Uncategorized</v>
          </cell>
          <cell r="M2367" t="str">
            <v>No</v>
          </cell>
          <cell r="R2367" t="str">
            <v>LEE JENNIFER DR.</v>
          </cell>
          <cell r="S2367" t="str">
            <v>622 W 168TH ST, VC 10TH FLOOR</v>
          </cell>
          <cell r="T2367" t="str">
            <v>NEW YORK</v>
          </cell>
          <cell r="U2367" t="str">
            <v>NY</v>
          </cell>
          <cell r="V2367" t="str">
            <v>100323720</v>
          </cell>
          <cell r="AC2367" t="str">
            <v>M</v>
          </cell>
          <cell r="AD2367" t="str">
            <v>No</v>
          </cell>
          <cell r="AE2367" t="str">
            <v>NPI only</v>
          </cell>
          <cell r="AF2367" t="str">
            <v>nypwestcampus</v>
          </cell>
          <cell r="AG2367" t="str">
            <v>P</v>
          </cell>
        </row>
        <row r="2368">
          <cell r="A2368" t="str">
            <v>1821356957</v>
          </cell>
          <cell r="C2368" t="str">
            <v>AKINBOWALE OYALOWO</v>
          </cell>
          <cell r="G2368" t="str">
            <v>Kathryn Spaziani</v>
          </cell>
          <cell r="H2368" t="str">
            <v>(212) 305-1190</v>
          </cell>
          <cell r="J2368" t="str">
            <v>kas9171@nyp.org</v>
          </cell>
          <cell r="K2368" t="str">
            <v>Unknown</v>
          </cell>
          <cell r="L2368" t="str">
            <v>Uncategorized</v>
          </cell>
          <cell r="M2368" t="str">
            <v>No</v>
          </cell>
          <cell r="R2368" t="str">
            <v>OYALOWO AKINBOWALE</v>
          </cell>
          <cell r="S2368" t="str">
            <v>3400 CIVIC CENTER BLVD, DIV OF GASTROENTEROLOGY, PCAM - SOUTH PAVILION, 7TH FL</v>
          </cell>
          <cell r="T2368" t="str">
            <v>PHILADELPHIA</v>
          </cell>
          <cell r="U2368" t="str">
            <v>PA</v>
          </cell>
          <cell r="V2368" t="str">
            <v>191045127</v>
          </cell>
          <cell r="AC2368" t="str">
            <v>M</v>
          </cell>
          <cell r="AD2368" t="str">
            <v>No</v>
          </cell>
          <cell r="AE2368" t="str">
            <v>NPI only</v>
          </cell>
          <cell r="AF2368" t="str">
            <v>nypother</v>
          </cell>
          <cell r="AG2368" t="str">
            <v>P</v>
          </cell>
        </row>
        <row r="2369">
          <cell r="A2369" t="str">
            <v>1801153747</v>
          </cell>
          <cell r="C2369" t="str">
            <v>FARAH QUYYUMI</v>
          </cell>
          <cell r="G2369" t="str">
            <v>Kathryn Spaziani</v>
          </cell>
          <cell r="H2369" t="str">
            <v>(212) 305-1190</v>
          </cell>
          <cell r="J2369" t="str">
            <v>kas9171@nyp.org</v>
          </cell>
          <cell r="K2369" t="str">
            <v>Unknown</v>
          </cell>
          <cell r="L2369" t="str">
            <v>Uncategorized</v>
          </cell>
          <cell r="M2369" t="str">
            <v>No</v>
          </cell>
          <cell r="R2369" t="str">
            <v>QUYYUMI FARAH</v>
          </cell>
          <cell r="S2369" t="str">
            <v>1200 N STATE ST, CT-A7D</v>
          </cell>
          <cell r="T2369" t="str">
            <v>LOS ANGELES</v>
          </cell>
          <cell r="U2369" t="str">
            <v>CA</v>
          </cell>
          <cell r="V2369" t="str">
            <v>900331029</v>
          </cell>
          <cell r="AC2369" t="str">
            <v>M</v>
          </cell>
          <cell r="AD2369" t="str">
            <v>No</v>
          </cell>
          <cell r="AE2369" t="str">
            <v>NPI only</v>
          </cell>
          <cell r="AF2369" t="str">
            <v>nypwestcampus</v>
          </cell>
          <cell r="AG2369" t="str">
            <v>P</v>
          </cell>
        </row>
        <row r="2370">
          <cell r="A2370" t="str">
            <v>1588920805</v>
          </cell>
          <cell r="B2370" t="str">
            <v>04156992</v>
          </cell>
          <cell r="C2370" t="str">
            <v>AMANDA RAMSDELL</v>
          </cell>
          <cell r="D2370" t="str">
            <v>E0407518</v>
          </cell>
          <cell r="E2370" t="str">
            <v>RAMSDELL AMANDA</v>
          </cell>
          <cell r="G2370" t="str">
            <v>Kathryn Spaziani</v>
          </cell>
          <cell r="H2370" t="str">
            <v>(212) 305-1190</v>
          </cell>
          <cell r="J2370" t="str">
            <v>kas9171@nyp.org</v>
          </cell>
          <cell r="L2370" t="str">
            <v>Practitioner - Non-Primary Care Provider (PCP)</v>
          </cell>
          <cell r="M2370" t="str">
            <v>No</v>
          </cell>
          <cell r="R2370" t="str">
            <v>RAMSDELL AMANDA DR.</v>
          </cell>
          <cell r="W2370" t="str">
            <v>RAMSDELL AMANDA KATHERINE KNAPP</v>
          </cell>
          <cell r="X2370" t="str">
            <v>525 E 68TH ST</v>
          </cell>
          <cell r="Y2370" t="str">
            <v>NEW YORK</v>
          </cell>
          <cell r="Z2370" t="str">
            <v>NY</v>
          </cell>
          <cell r="AA2370" t="str">
            <v>10065-4870</v>
          </cell>
          <cell r="AB2370" t="str">
            <v>PHYSICIAN</v>
          </cell>
          <cell r="AC2370" t="str">
            <v>M</v>
          </cell>
          <cell r="AD2370" t="str">
            <v>No</v>
          </cell>
          <cell r="AE2370" t="str">
            <v>MMIS</v>
          </cell>
          <cell r="AF2370" t="str">
            <v>nypeastcampus</v>
          </cell>
          <cell r="AG2370" t="str">
            <v>P</v>
          </cell>
        </row>
        <row r="2371">
          <cell r="A2371" t="str">
            <v>1881960938</v>
          </cell>
          <cell r="C2371" t="str">
            <v>NATHANIEL REISINGER</v>
          </cell>
          <cell r="G2371" t="str">
            <v>Kathryn Spaziani</v>
          </cell>
          <cell r="H2371" t="str">
            <v>(212) 305-1190</v>
          </cell>
          <cell r="J2371" t="str">
            <v>kas9171@nyp.org</v>
          </cell>
          <cell r="K2371" t="str">
            <v>Unknown</v>
          </cell>
          <cell r="L2371" t="str">
            <v>Uncategorized</v>
          </cell>
          <cell r="M2371" t="str">
            <v>No</v>
          </cell>
          <cell r="R2371" t="str">
            <v>REISINGER NATHANIEL</v>
          </cell>
          <cell r="S2371" t="str">
            <v>2121 MARKET ST #223, 223</v>
          </cell>
          <cell r="T2371" t="str">
            <v>PHILADELPHIA</v>
          </cell>
          <cell r="U2371" t="str">
            <v>PA</v>
          </cell>
          <cell r="V2371" t="str">
            <v>100323720</v>
          </cell>
          <cell r="AC2371" t="str">
            <v>M</v>
          </cell>
          <cell r="AD2371" t="str">
            <v>No</v>
          </cell>
          <cell r="AE2371" t="str">
            <v>NPI only</v>
          </cell>
          <cell r="AF2371" t="str">
            <v>nypother</v>
          </cell>
          <cell r="AG2371" t="str">
            <v>P</v>
          </cell>
        </row>
        <row r="2372">
          <cell r="A2372" t="str">
            <v>1235405309</v>
          </cell>
          <cell r="B2372" t="str">
            <v>04154803</v>
          </cell>
          <cell r="C2372" t="str">
            <v>ARIELLE RODMAN</v>
          </cell>
          <cell r="D2372" t="str">
            <v>E0407299</v>
          </cell>
          <cell r="E2372" t="str">
            <v>LANGER ARIELLE LYON</v>
          </cell>
          <cell r="G2372" t="str">
            <v>Kathryn Spaziani</v>
          </cell>
          <cell r="H2372" t="str">
            <v>(212) 305-1190</v>
          </cell>
          <cell r="J2372" t="str">
            <v>kas9171@nyp.org</v>
          </cell>
          <cell r="L2372" t="str">
            <v>Practitioner - Non-Primary Care Provider (PCP)</v>
          </cell>
          <cell r="M2372" t="str">
            <v>No</v>
          </cell>
          <cell r="R2372" t="str">
            <v>LANGER ARIELLE DR.</v>
          </cell>
          <cell r="W2372" t="str">
            <v>LANGER ARIELLE LYON</v>
          </cell>
          <cell r="X2372" t="str">
            <v>622 W 168TH ST</v>
          </cell>
          <cell r="Y2372" t="str">
            <v>NEW YORK</v>
          </cell>
          <cell r="Z2372" t="str">
            <v>NY</v>
          </cell>
          <cell r="AA2372" t="str">
            <v>10032-3720</v>
          </cell>
          <cell r="AB2372" t="str">
            <v>PHYSICIAN</v>
          </cell>
          <cell r="AC2372" t="str">
            <v>M</v>
          </cell>
          <cell r="AD2372" t="str">
            <v>No</v>
          </cell>
          <cell r="AE2372" t="str">
            <v>MMIS</v>
          </cell>
          <cell r="AF2372" t="str">
            <v>nypwestcampus</v>
          </cell>
          <cell r="AG2372" t="str">
            <v>P</v>
          </cell>
        </row>
        <row r="2373">
          <cell r="A2373" t="str">
            <v>1013275528</v>
          </cell>
          <cell r="C2373" t="str">
            <v>GEOFFREY RUBIN</v>
          </cell>
          <cell r="G2373" t="str">
            <v>Kathryn Spaziani</v>
          </cell>
          <cell r="H2373" t="str">
            <v>(212) 305-1190</v>
          </cell>
          <cell r="J2373" t="str">
            <v>kas9171@nyp.org</v>
          </cell>
          <cell r="K2373" t="str">
            <v>Unknown</v>
          </cell>
          <cell r="L2373" t="str">
            <v>Uncategorized</v>
          </cell>
          <cell r="M2373" t="str">
            <v>No</v>
          </cell>
          <cell r="R2373" t="str">
            <v>RUBIN GEOFFREY</v>
          </cell>
          <cell r="S2373" t="str">
            <v>177 FORT WASHINGTON AVE</v>
          </cell>
          <cell r="T2373" t="str">
            <v>NEW YORK</v>
          </cell>
          <cell r="U2373" t="str">
            <v>NY</v>
          </cell>
          <cell r="V2373" t="str">
            <v>100323733</v>
          </cell>
          <cell r="AC2373" t="str">
            <v>M</v>
          </cell>
          <cell r="AD2373" t="str">
            <v>No</v>
          </cell>
          <cell r="AE2373" t="str">
            <v>NPI only</v>
          </cell>
          <cell r="AF2373" t="str">
            <v>nypwestcampus</v>
          </cell>
          <cell r="AG2373" t="str">
            <v>P</v>
          </cell>
        </row>
        <row r="2374">
          <cell r="A2374" t="str">
            <v>1780950113</v>
          </cell>
          <cell r="C2374" t="str">
            <v>KELLY SCHOENBECK</v>
          </cell>
          <cell r="G2374" t="str">
            <v>Kathryn Spaziani</v>
          </cell>
          <cell r="H2374" t="str">
            <v>(212) 305-1190</v>
          </cell>
          <cell r="J2374" t="str">
            <v>kas9171@nyp.org</v>
          </cell>
          <cell r="K2374" t="str">
            <v>Unknown</v>
          </cell>
          <cell r="L2374" t="str">
            <v>Uncategorized</v>
          </cell>
          <cell r="M2374" t="str">
            <v>No</v>
          </cell>
          <cell r="R2374" t="str">
            <v>SCHOENBECK KELLY</v>
          </cell>
          <cell r="S2374" t="str">
            <v>622 W 168TH ST</v>
          </cell>
          <cell r="T2374" t="str">
            <v>NEW YORK</v>
          </cell>
          <cell r="U2374" t="str">
            <v>NY</v>
          </cell>
          <cell r="V2374" t="str">
            <v>100323720</v>
          </cell>
          <cell r="AC2374" t="str">
            <v>M</v>
          </cell>
          <cell r="AD2374" t="str">
            <v>No</v>
          </cell>
          <cell r="AE2374" t="str">
            <v>NPI only</v>
          </cell>
          <cell r="AF2374" t="str">
            <v>nypother</v>
          </cell>
          <cell r="AG2374" t="str">
            <v>P</v>
          </cell>
        </row>
        <row r="2375">
          <cell r="A2375" t="str">
            <v>1760748933</v>
          </cell>
          <cell r="C2375" t="str">
            <v>GREGORY SERRAO</v>
          </cell>
          <cell r="G2375" t="str">
            <v>Kathryn Spaziani</v>
          </cell>
          <cell r="H2375" t="str">
            <v>(212) 305-1190</v>
          </cell>
          <cell r="J2375" t="str">
            <v>kas9171@nyp.org</v>
          </cell>
          <cell r="K2375" t="str">
            <v>Unknown</v>
          </cell>
          <cell r="L2375" t="str">
            <v>Uncategorized</v>
          </cell>
          <cell r="M2375" t="str">
            <v>No</v>
          </cell>
          <cell r="R2375" t="str">
            <v>SERRAO GREGORY DR.</v>
          </cell>
          <cell r="S2375" t="str">
            <v>622 W 168TH ST FL 2, SUITE 215</v>
          </cell>
          <cell r="T2375" t="str">
            <v>NEW YORK</v>
          </cell>
          <cell r="U2375" t="str">
            <v>NY</v>
          </cell>
          <cell r="V2375" t="str">
            <v>100323720</v>
          </cell>
          <cell r="AC2375" t="str">
            <v>M</v>
          </cell>
          <cell r="AD2375" t="str">
            <v>No</v>
          </cell>
          <cell r="AE2375" t="str">
            <v>NPI only</v>
          </cell>
          <cell r="AF2375" t="str">
            <v>nypother</v>
          </cell>
          <cell r="AG2375" t="str">
            <v>P</v>
          </cell>
        </row>
        <row r="2376">
          <cell r="A2376" t="str">
            <v>1851657498</v>
          </cell>
          <cell r="C2376" t="str">
            <v>ANKIT SHAH</v>
          </cell>
          <cell r="G2376" t="str">
            <v>Kathryn Spaziani</v>
          </cell>
          <cell r="H2376" t="str">
            <v>(212) 305-1190</v>
          </cell>
          <cell r="J2376" t="str">
            <v>kas9171@nyp.org</v>
          </cell>
          <cell r="K2376" t="str">
            <v>Unknown</v>
          </cell>
          <cell r="L2376" t="str">
            <v>Uncategorized</v>
          </cell>
          <cell r="M2376" t="str">
            <v>No</v>
          </cell>
          <cell r="R2376" t="str">
            <v>SHAH ANKIT DR.</v>
          </cell>
          <cell r="S2376" t="str">
            <v>622 W 168TH ST FL 2</v>
          </cell>
          <cell r="T2376" t="str">
            <v>NEW YORK</v>
          </cell>
          <cell r="U2376" t="str">
            <v>NY</v>
          </cell>
          <cell r="V2376" t="str">
            <v>100323720</v>
          </cell>
          <cell r="AC2376" t="str">
            <v>M</v>
          </cell>
          <cell r="AD2376" t="str">
            <v>No</v>
          </cell>
          <cell r="AE2376" t="str">
            <v>NPI only</v>
          </cell>
          <cell r="AF2376" t="str">
            <v>nypwestcampus</v>
          </cell>
          <cell r="AG2376" t="str">
            <v>P</v>
          </cell>
        </row>
        <row r="2377">
          <cell r="A2377" t="str">
            <v>1356617351</v>
          </cell>
          <cell r="C2377" t="str">
            <v>JORGE SUAREZ</v>
          </cell>
          <cell r="G2377" t="str">
            <v>Kathryn Spaziani</v>
          </cell>
          <cell r="H2377" t="str">
            <v>(212) 305-1190</v>
          </cell>
          <cell r="J2377" t="str">
            <v>kas9171@nyp.org</v>
          </cell>
          <cell r="K2377" t="str">
            <v>Unknown</v>
          </cell>
          <cell r="L2377" t="str">
            <v>Uncategorized</v>
          </cell>
          <cell r="M2377" t="str">
            <v>No</v>
          </cell>
          <cell r="R2377" t="str">
            <v>SUAREZ JORGE DR.</v>
          </cell>
          <cell r="S2377" t="str">
            <v>11040 SW 44TH ST</v>
          </cell>
          <cell r="T2377" t="str">
            <v>MIAMI</v>
          </cell>
          <cell r="U2377" t="str">
            <v>FL</v>
          </cell>
          <cell r="V2377" t="str">
            <v>331654727</v>
          </cell>
          <cell r="AC2377" t="str">
            <v>M</v>
          </cell>
          <cell r="AD2377" t="str">
            <v>No</v>
          </cell>
          <cell r="AE2377" t="str">
            <v>NPI only</v>
          </cell>
          <cell r="AF2377" t="str">
            <v>nypother</v>
          </cell>
          <cell r="AG2377" t="str">
            <v>P</v>
          </cell>
        </row>
        <row r="2378">
          <cell r="A2378" t="str">
            <v>1134487135</v>
          </cell>
          <cell r="C2378" t="str">
            <v>RAHUL VANJANI</v>
          </cell>
          <cell r="G2378" t="str">
            <v>Kathryn Spaziani</v>
          </cell>
          <cell r="H2378" t="str">
            <v>(212) 305-1190</v>
          </cell>
          <cell r="J2378" t="str">
            <v>kas9171@nyp.org</v>
          </cell>
          <cell r="K2378" t="str">
            <v>Unknown</v>
          </cell>
          <cell r="L2378" t="str">
            <v>Uncategorized</v>
          </cell>
          <cell r="M2378" t="str">
            <v>No</v>
          </cell>
          <cell r="R2378" t="str">
            <v>VANJANI RAHUL DR.</v>
          </cell>
          <cell r="S2378" t="str">
            <v>622 W 168TH ST, AIM CLINIC, 2ND FLOOR, RM. 240</v>
          </cell>
          <cell r="T2378" t="str">
            <v>NEW YORK</v>
          </cell>
          <cell r="U2378" t="str">
            <v>NY</v>
          </cell>
          <cell r="V2378" t="str">
            <v>100323720</v>
          </cell>
          <cell r="AC2378" t="str">
            <v>M</v>
          </cell>
          <cell r="AD2378" t="str">
            <v>No</v>
          </cell>
          <cell r="AE2378" t="str">
            <v>NPI only</v>
          </cell>
          <cell r="AF2378" t="str">
            <v>nypother</v>
          </cell>
          <cell r="AG2378" t="str">
            <v>P</v>
          </cell>
        </row>
        <row r="2379">
          <cell r="A2379" t="str">
            <v>1124394861</v>
          </cell>
          <cell r="C2379" t="str">
            <v>SIRISH VULLAGANTI</v>
          </cell>
          <cell r="G2379" t="str">
            <v>Kathryn Spaziani</v>
          </cell>
          <cell r="H2379" t="str">
            <v>(212) 305-1190</v>
          </cell>
          <cell r="J2379" t="str">
            <v>kas9171@nyp.org</v>
          </cell>
          <cell r="K2379" t="str">
            <v>Unknown</v>
          </cell>
          <cell r="L2379" t="str">
            <v>Uncategorized</v>
          </cell>
          <cell r="M2379" t="str">
            <v>No</v>
          </cell>
          <cell r="R2379" t="str">
            <v>VULLAGANTI SIRISH DR.</v>
          </cell>
          <cell r="S2379" t="str">
            <v>177 FORT WASHINGTON AVE</v>
          </cell>
          <cell r="T2379" t="str">
            <v>NEW YORK</v>
          </cell>
          <cell r="U2379" t="str">
            <v>NY</v>
          </cell>
          <cell r="V2379" t="str">
            <v>100323733</v>
          </cell>
          <cell r="AC2379" t="str">
            <v>M</v>
          </cell>
          <cell r="AD2379" t="str">
            <v>No</v>
          </cell>
          <cell r="AE2379" t="str">
            <v>NPI only</v>
          </cell>
          <cell r="AF2379" t="str">
            <v>nypother</v>
          </cell>
          <cell r="AG2379" t="str">
            <v>P</v>
          </cell>
        </row>
        <row r="2380">
          <cell r="A2380" t="str">
            <v>1891053625</v>
          </cell>
          <cell r="B2380" t="str">
            <v>04156754</v>
          </cell>
          <cell r="C2380" t="str">
            <v>JEFFERY WESSLER</v>
          </cell>
          <cell r="D2380" t="str">
            <v>E0407494</v>
          </cell>
          <cell r="E2380" t="str">
            <v>WESSLER JEFFREY</v>
          </cell>
          <cell r="G2380" t="str">
            <v>Kathryn Spaziani</v>
          </cell>
          <cell r="H2380" t="str">
            <v>(212) 305-1190</v>
          </cell>
          <cell r="J2380" t="str">
            <v>kas9171@nyp.org</v>
          </cell>
          <cell r="L2380" t="str">
            <v>Practitioner - Non-Primary Care Provider (PCP)</v>
          </cell>
          <cell r="M2380" t="str">
            <v>No</v>
          </cell>
          <cell r="R2380" t="str">
            <v>WESSLER JEFFREY</v>
          </cell>
          <cell r="W2380" t="str">
            <v>WESSLER JEFFREY D</v>
          </cell>
          <cell r="X2380" t="str">
            <v>622 W 168TH ST</v>
          </cell>
          <cell r="Y2380" t="str">
            <v>NEW YORK</v>
          </cell>
          <cell r="Z2380" t="str">
            <v>NY</v>
          </cell>
          <cell r="AA2380" t="str">
            <v>10032-3720</v>
          </cell>
          <cell r="AB2380" t="str">
            <v>PHYSICIAN</v>
          </cell>
          <cell r="AC2380" t="str">
            <v>M</v>
          </cell>
          <cell r="AD2380" t="str">
            <v>No</v>
          </cell>
          <cell r="AE2380" t="str">
            <v>MMIS</v>
          </cell>
          <cell r="AF2380" t="str">
            <v>nypwestcampus</v>
          </cell>
          <cell r="AG2380" t="str">
            <v>P</v>
          </cell>
        </row>
        <row r="2381">
          <cell r="A2381" t="str">
            <v>1285991679</v>
          </cell>
          <cell r="C2381" t="str">
            <v>AMANDA ADELEYE</v>
          </cell>
          <cell r="G2381" t="str">
            <v>Kathryn Spaziani</v>
          </cell>
          <cell r="H2381" t="str">
            <v>(212) 305-1190</v>
          </cell>
          <cell r="J2381" t="str">
            <v>kas9171@nyp.org</v>
          </cell>
          <cell r="K2381" t="str">
            <v>Unknown</v>
          </cell>
          <cell r="L2381" t="str">
            <v>Uncategorized</v>
          </cell>
          <cell r="M2381" t="str">
            <v>No</v>
          </cell>
          <cell r="R2381" t="str">
            <v>ADELEYE AMANDA</v>
          </cell>
          <cell r="S2381" t="str">
            <v>177 FORT WASHINGTON AVE</v>
          </cell>
          <cell r="T2381" t="str">
            <v>NEW YORK</v>
          </cell>
          <cell r="U2381" t="str">
            <v>NY</v>
          </cell>
          <cell r="V2381" t="str">
            <v>100323733</v>
          </cell>
          <cell r="AC2381" t="str">
            <v>M</v>
          </cell>
          <cell r="AD2381" t="str">
            <v>No</v>
          </cell>
          <cell r="AE2381" t="str">
            <v>NPI only</v>
          </cell>
          <cell r="AF2381" t="str">
            <v>nypwestcampus</v>
          </cell>
          <cell r="AG2381" t="str">
            <v>P</v>
          </cell>
        </row>
        <row r="2382">
          <cell r="A2382" t="str">
            <v>1295092070</v>
          </cell>
          <cell r="C2382" t="str">
            <v>SHANNON DEVORE</v>
          </cell>
          <cell r="G2382" t="str">
            <v>Kathryn Spaziani</v>
          </cell>
          <cell r="H2382" t="str">
            <v>(212) 305-1190</v>
          </cell>
          <cell r="J2382" t="str">
            <v>kas9171@nyp.org</v>
          </cell>
          <cell r="K2382" t="str">
            <v>Unknown</v>
          </cell>
          <cell r="L2382" t="str">
            <v>Uncategorized</v>
          </cell>
          <cell r="M2382" t="str">
            <v>No</v>
          </cell>
          <cell r="R2382" t="str">
            <v>DEVORE SHANNON DR.</v>
          </cell>
          <cell r="S2382" t="str">
            <v>622 W 168TH ST, PH 16</v>
          </cell>
          <cell r="T2382" t="str">
            <v>NEW YORK</v>
          </cell>
          <cell r="U2382" t="str">
            <v>NY</v>
          </cell>
          <cell r="V2382" t="str">
            <v>100323720</v>
          </cell>
          <cell r="AC2382" t="str">
            <v>M</v>
          </cell>
          <cell r="AD2382" t="str">
            <v>No</v>
          </cell>
          <cell r="AE2382" t="str">
            <v>NPI only</v>
          </cell>
          <cell r="AF2382" t="str">
            <v>nypwestcampus</v>
          </cell>
          <cell r="AG2382" t="str">
            <v>P</v>
          </cell>
        </row>
        <row r="2383">
          <cell r="A2383" t="str">
            <v>1770840274</v>
          </cell>
          <cell r="C2383" t="str">
            <v>CASSANDRA DUFFY</v>
          </cell>
          <cell r="G2383" t="str">
            <v>Kathryn Spaziani</v>
          </cell>
          <cell r="H2383" t="str">
            <v>(212) 305-1190</v>
          </cell>
          <cell r="J2383" t="str">
            <v>kas9171@nyp.org</v>
          </cell>
          <cell r="K2383" t="str">
            <v>Unknown</v>
          </cell>
          <cell r="L2383" t="str">
            <v>Uncategorized</v>
          </cell>
          <cell r="M2383" t="str">
            <v>No</v>
          </cell>
          <cell r="R2383" t="str">
            <v>DUFFY CASSANDRA</v>
          </cell>
          <cell r="S2383" t="str">
            <v>622 W 168TH ST</v>
          </cell>
          <cell r="T2383" t="str">
            <v>NEW YORK</v>
          </cell>
          <cell r="U2383" t="str">
            <v>NY</v>
          </cell>
          <cell r="V2383" t="str">
            <v>100323720</v>
          </cell>
          <cell r="AC2383" t="str">
            <v>M</v>
          </cell>
          <cell r="AD2383" t="str">
            <v>No</v>
          </cell>
          <cell r="AE2383" t="str">
            <v>NPI only</v>
          </cell>
          <cell r="AF2383" t="str">
            <v>nypwestcampus</v>
          </cell>
          <cell r="AG2383" t="str">
            <v>P</v>
          </cell>
        </row>
        <row r="2384">
          <cell r="A2384" t="str">
            <v>1124318472</v>
          </cell>
          <cell r="C2384" t="str">
            <v>VICTORIA FRATTO</v>
          </cell>
          <cell r="G2384" t="str">
            <v>Kathryn Spaziani</v>
          </cell>
          <cell r="H2384" t="str">
            <v>(212) 305-1190</v>
          </cell>
          <cell r="J2384" t="str">
            <v>kas9171@nyp.org</v>
          </cell>
          <cell r="K2384" t="str">
            <v>Unknown</v>
          </cell>
          <cell r="L2384" t="str">
            <v>Uncategorized</v>
          </cell>
          <cell r="M2384" t="str">
            <v>No</v>
          </cell>
          <cell r="R2384" t="str">
            <v>FRATTO VICTORIA</v>
          </cell>
          <cell r="S2384" t="str">
            <v>622 W 168TH ST, PH 16-29</v>
          </cell>
          <cell r="T2384" t="str">
            <v>NEW YORK</v>
          </cell>
          <cell r="U2384" t="str">
            <v>NY</v>
          </cell>
          <cell r="V2384" t="str">
            <v>100323720</v>
          </cell>
          <cell r="AC2384" t="str">
            <v>M</v>
          </cell>
          <cell r="AD2384" t="str">
            <v>No</v>
          </cell>
          <cell r="AE2384" t="str">
            <v>NPI only</v>
          </cell>
          <cell r="AF2384" t="str">
            <v>nypother</v>
          </cell>
          <cell r="AG2384" t="str">
            <v>P</v>
          </cell>
        </row>
        <row r="2385">
          <cell r="A2385" t="str">
            <v>1366734550</v>
          </cell>
          <cell r="C2385" t="str">
            <v>ERIN GEORGE</v>
          </cell>
          <cell r="G2385" t="str">
            <v>Kathryn Spaziani</v>
          </cell>
          <cell r="H2385" t="str">
            <v>(212) 305-1190</v>
          </cell>
          <cell r="J2385" t="str">
            <v>kas9171@nyp.org</v>
          </cell>
          <cell r="K2385" t="str">
            <v>Unknown</v>
          </cell>
          <cell r="L2385" t="str">
            <v>Uncategorized</v>
          </cell>
          <cell r="M2385" t="str">
            <v>No</v>
          </cell>
          <cell r="R2385" t="str">
            <v>GEORGE ERIN DR.</v>
          </cell>
          <cell r="S2385" t="str">
            <v>60 HAVEN AVE, APT 4B</v>
          </cell>
          <cell r="T2385" t="str">
            <v>NEW YORK</v>
          </cell>
          <cell r="U2385" t="str">
            <v>NY</v>
          </cell>
          <cell r="V2385" t="str">
            <v>100322604</v>
          </cell>
          <cell r="AC2385" t="str">
            <v>M</v>
          </cell>
          <cell r="AD2385" t="str">
            <v>No</v>
          </cell>
          <cell r="AE2385" t="str">
            <v>NPI only</v>
          </cell>
          <cell r="AF2385" t="str">
            <v>nypother</v>
          </cell>
          <cell r="AG2385" t="str">
            <v>P</v>
          </cell>
        </row>
        <row r="2386">
          <cell r="A2386" t="str">
            <v>1437286754</v>
          </cell>
          <cell r="B2386" t="str">
            <v>01885258</v>
          </cell>
          <cell r="C2386" t="str">
            <v>D'Agati Vivette</v>
          </cell>
          <cell r="D2386" t="str">
            <v>E0111519</v>
          </cell>
          <cell r="E2386" t="str">
            <v>D'AGATI VIVETTE</v>
          </cell>
          <cell r="L2386" t="str">
            <v>All Other:: Practitioner - Non-Primary Care Provider (PCP)</v>
          </cell>
          <cell r="M2386" t="str">
            <v>No</v>
          </cell>
          <cell r="R2386" t="str">
            <v>D'AGATI VIVETTE</v>
          </cell>
          <cell r="W2386" t="str">
            <v>D'AGATI VIVETTE</v>
          </cell>
          <cell r="X2386" t="str">
            <v>D'AGATI VIVETTE</v>
          </cell>
          <cell r="Y2386" t="str">
            <v>NEW YORK</v>
          </cell>
          <cell r="Z2386" t="str">
            <v>NY</v>
          </cell>
          <cell r="AA2386" t="str">
            <v>10032-3720</v>
          </cell>
          <cell r="AB2386" t="str">
            <v>PHYSICIAN</v>
          </cell>
          <cell r="AC2386" t="str">
            <v>M</v>
          </cell>
          <cell r="AD2386" t="str">
            <v>No</v>
          </cell>
          <cell r="AE2386" t="str">
            <v>MMIS</v>
          </cell>
          <cell r="AF2386" t="str">
            <v>nypwestcampus</v>
          </cell>
          <cell r="AG2386" t="str">
            <v>P</v>
          </cell>
        </row>
        <row r="2387">
          <cell r="A2387" t="str">
            <v>1134467566</v>
          </cell>
          <cell r="B2387" t="str">
            <v>03544176</v>
          </cell>
          <cell r="C2387" t="str">
            <v>Katz, Abigail T, LCSW</v>
          </cell>
          <cell r="D2387" t="str">
            <v>E0344296</v>
          </cell>
          <cell r="E2387" t="str">
            <v>KATZ ABIGAIL</v>
          </cell>
          <cell r="G2387" t="str">
            <v>Crystal Jordan</v>
          </cell>
          <cell r="H2387" t="str">
            <v>(212) 803-2863</v>
          </cell>
          <cell r="J2387" t="str">
            <v>cjordan@harlemunited.org</v>
          </cell>
          <cell r="L2387" t="str">
            <v>Mental Health:: Practitioner - Non-Primary Care Provider (PCP)</v>
          </cell>
          <cell r="M2387" t="str">
            <v>No</v>
          </cell>
          <cell r="R2387" t="str">
            <v>KATZ ABIGAIL</v>
          </cell>
          <cell r="W2387" t="str">
            <v>KATZ ABIGAIL</v>
          </cell>
          <cell r="X2387" t="str">
            <v>123 W 124TH ST # 125</v>
          </cell>
          <cell r="Y2387" t="str">
            <v>NEW YORK</v>
          </cell>
          <cell r="Z2387" t="str">
            <v>NY</v>
          </cell>
          <cell r="AA2387" t="str">
            <v>10027-4920</v>
          </cell>
          <cell r="AB2387" t="str">
            <v>CLINICAL SOCIAL WORKER (CSW)</v>
          </cell>
          <cell r="AC2387" t="str">
            <v>M</v>
          </cell>
          <cell r="AD2387" t="str">
            <v>No</v>
          </cell>
          <cell r="AE2387" t="str">
            <v>MMIS</v>
          </cell>
          <cell r="AF2387" t="str">
            <v>harlemunited</v>
          </cell>
          <cell r="AG2387" t="str">
            <v>P</v>
          </cell>
        </row>
        <row r="2388">
          <cell r="A2388" t="str">
            <v>1447320882</v>
          </cell>
          <cell r="B2388" t="str">
            <v>03385260</v>
          </cell>
          <cell r="C2388" t="str">
            <v>Mailman, Toby F, LCSW</v>
          </cell>
          <cell r="D2388" t="str">
            <v>E0325653</v>
          </cell>
          <cell r="E2388" t="str">
            <v>MAILMAN TOBY</v>
          </cell>
          <cell r="G2388" t="str">
            <v>Crystal Jordan</v>
          </cell>
          <cell r="H2388" t="str">
            <v>(212) 803-2864</v>
          </cell>
          <cell r="J2388" t="str">
            <v>cjordan@harlemunited.org</v>
          </cell>
          <cell r="L2388" t="str">
            <v>All Other:: Mental Health:: Practitioner - Non-Primary Care Provider (PCP)</v>
          </cell>
          <cell r="M2388" t="str">
            <v>No</v>
          </cell>
          <cell r="R2388" t="str">
            <v>MAILMAN TOBY MS.</v>
          </cell>
          <cell r="W2388" t="str">
            <v>MAILMAN TOBY</v>
          </cell>
          <cell r="X2388" t="str">
            <v>179 E 116TH ST</v>
          </cell>
          <cell r="Y2388" t="str">
            <v>NEW YORK</v>
          </cell>
          <cell r="Z2388" t="str">
            <v>NY</v>
          </cell>
          <cell r="AA2388" t="str">
            <v>10029-1459</v>
          </cell>
          <cell r="AB2388" t="str">
            <v>CLINICAL SOCIAL WORKER (CSW)</v>
          </cell>
          <cell r="AC2388" t="str">
            <v>M</v>
          </cell>
          <cell r="AD2388" t="str">
            <v>No</v>
          </cell>
          <cell r="AE2388" t="str">
            <v>MMIS</v>
          </cell>
          <cell r="AF2388" t="str">
            <v>harlemunited</v>
          </cell>
          <cell r="AG2388" t="str">
            <v>P</v>
          </cell>
        </row>
        <row r="2389">
          <cell r="A2389" t="str">
            <v>1326465360</v>
          </cell>
          <cell r="B2389" t="str">
            <v>03872557</v>
          </cell>
          <cell r="C2389" t="str">
            <v>Wholley, Preston T, LMSW</v>
          </cell>
          <cell r="D2389" t="str">
            <v>E0378307</v>
          </cell>
          <cell r="E2389" t="str">
            <v>WHOLLEY PRESTON</v>
          </cell>
          <cell r="G2389" t="str">
            <v>Crystal Jordan</v>
          </cell>
          <cell r="H2389" t="str">
            <v>(212) 803-2865</v>
          </cell>
          <cell r="J2389" t="str">
            <v>cjordan@harlemunited.org</v>
          </cell>
          <cell r="L2389" t="str">
            <v>Mental Health:: Practitioner - Non-Primary Care Provider (PCP)</v>
          </cell>
          <cell r="M2389" t="str">
            <v>No</v>
          </cell>
          <cell r="R2389" t="str">
            <v>WHOLLEY PRESTON</v>
          </cell>
          <cell r="W2389" t="str">
            <v>WHOLLEY PRESTON</v>
          </cell>
          <cell r="X2389" t="str">
            <v>123 W 24TH ST # 125</v>
          </cell>
          <cell r="Y2389" t="str">
            <v>NEW YORK</v>
          </cell>
          <cell r="Z2389" t="str">
            <v>NY</v>
          </cell>
          <cell r="AA2389" t="str">
            <v>10011-1901</v>
          </cell>
          <cell r="AB2389" t="str">
            <v>CLINICAL SOCIAL WORKER (CSW)</v>
          </cell>
          <cell r="AC2389" t="str">
            <v>M</v>
          </cell>
          <cell r="AD2389" t="str">
            <v>No</v>
          </cell>
          <cell r="AE2389" t="str">
            <v>MMIS</v>
          </cell>
          <cell r="AF2389" t="str">
            <v>harlemunited</v>
          </cell>
          <cell r="AG2389" t="str">
            <v>P</v>
          </cell>
        </row>
        <row r="2390">
          <cell r="A2390" t="str">
            <v>1508154840</v>
          </cell>
          <cell r="B2390" t="str">
            <v>03491930</v>
          </cell>
          <cell r="C2390" t="str">
            <v>Merrick, Kareem J, DDS</v>
          </cell>
          <cell r="D2390" t="str">
            <v>E0338705</v>
          </cell>
          <cell r="E2390" t="str">
            <v>MERRICK KAREEM</v>
          </cell>
          <cell r="G2390" t="str">
            <v>Crystal Jordan</v>
          </cell>
          <cell r="H2390" t="str">
            <v>(212) 803-2866</v>
          </cell>
          <cell r="J2390" t="str">
            <v>cjordan@harlemunited.org</v>
          </cell>
          <cell r="L2390" t="str">
            <v>All Other:: Practitioner - Non-Primary Care Provider (PCP)</v>
          </cell>
          <cell r="M2390" t="str">
            <v>Yes</v>
          </cell>
          <cell r="R2390" t="str">
            <v>MERRICK KAREEM DR.</v>
          </cell>
          <cell r="W2390" t="str">
            <v>MERRICK KAREEM</v>
          </cell>
          <cell r="X2390" t="str">
            <v>123-125WEST 124TH STREET</v>
          </cell>
          <cell r="Y2390" t="str">
            <v>NEW YORK</v>
          </cell>
          <cell r="Z2390" t="str">
            <v>NY</v>
          </cell>
          <cell r="AA2390" t="str">
            <v>10027-4920</v>
          </cell>
          <cell r="AB2390" t="str">
            <v>DENTIST</v>
          </cell>
          <cell r="AC2390" t="str">
            <v>M</v>
          </cell>
          <cell r="AD2390" t="str">
            <v>No</v>
          </cell>
          <cell r="AE2390" t="str">
            <v>MMIS</v>
          </cell>
          <cell r="AF2390" t="str">
            <v>harlemunited</v>
          </cell>
          <cell r="AG2390" t="str">
            <v>P</v>
          </cell>
        </row>
        <row r="2391">
          <cell r="A2391" t="str">
            <v>1790912558</v>
          </cell>
          <cell r="B2391" t="str">
            <v>03315033</v>
          </cell>
          <cell r="C2391" t="str">
            <v>Ngo, Linda L, DDS</v>
          </cell>
          <cell r="D2391" t="str">
            <v>E0317370</v>
          </cell>
          <cell r="E2391" t="str">
            <v>NGO LINDA L</v>
          </cell>
          <cell r="G2391" t="str">
            <v>Crystal Jordan</v>
          </cell>
          <cell r="H2391" t="str">
            <v>(212) 803-2867</v>
          </cell>
          <cell r="J2391" t="str">
            <v>cjordan@harlemunited.org</v>
          </cell>
          <cell r="L2391" t="str">
            <v>Practitioner - Non-Primary Care Provider (PCP)</v>
          </cell>
          <cell r="M2391" t="str">
            <v>No</v>
          </cell>
          <cell r="R2391" t="str">
            <v>NGO LINDA DR.</v>
          </cell>
          <cell r="W2391" t="str">
            <v>NGO LINDA L</v>
          </cell>
          <cell r="X2391" t="str">
            <v>125 E BURNSIDE AVE</v>
          </cell>
          <cell r="Y2391" t="str">
            <v>BRONX</v>
          </cell>
          <cell r="Z2391" t="str">
            <v>NY</v>
          </cell>
          <cell r="AA2391" t="str">
            <v>10453-4142</v>
          </cell>
          <cell r="AB2391" t="str">
            <v>DENTIST</v>
          </cell>
          <cell r="AC2391" t="str">
            <v>M</v>
          </cell>
          <cell r="AD2391" t="str">
            <v>No</v>
          </cell>
          <cell r="AE2391" t="str">
            <v>MMIS</v>
          </cell>
          <cell r="AF2391" t="str">
            <v>harlemunited</v>
          </cell>
          <cell r="AG2391" t="str">
            <v>P</v>
          </cell>
        </row>
        <row r="2392">
          <cell r="A2392" t="str">
            <v>1720094436</v>
          </cell>
          <cell r="B2392" t="str">
            <v>02800342</v>
          </cell>
          <cell r="C2392" t="str">
            <v>GRANIERI, EVELYN C</v>
          </cell>
          <cell r="D2392" t="str">
            <v>E0020160</v>
          </cell>
          <cell r="E2392" t="str">
            <v>GRANIERI EVELYN CARMELA MD</v>
          </cell>
          <cell r="G2392" t="str">
            <v>Kathryn Spaziani</v>
          </cell>
          <cell r="H2392" t="str">
            <v>(212) 305-1190</v>
          </cell>
          <cell r="J2392" t="str">
            <v>kas9171@nyp.org</v>
          </cell>
          <cell r="L2392" t="str">
            <v>Practitioner - Non-Primary Care Provider (PCP)</v>
          </cell>
          <cell r="M2392" t="str">
            <v>No</v>
          </cell>
          <cell r="R2392" t="str">
            <v>GRANIERI EVELYN DR.</v>
          </cell>
          <cell r="W2392" t="str">
            <v>GRANIERI EVELYN CARMELA MD</v>
          </cell>
          <cell r="X2392" t="str">
            <v>622 W 168TH ST</v>
          </cell>
          <cell r="Y2392" t="str">
            <v>NEW YORK</v>
          </cell>
          <cell r="Z2392" t="str">
            <v>NY</v>
          </cell>
          <cell r="AA2392" t="str">
            <v>10032-3720</v>
          </cell>
          <cell r="AB2392" t="str">
            <v>PHYSICIAN</v>
          </cell>
          <cell r="AC2392" t="str">
            <v>M</v>
          </cell>
          <cell r="AD2392" t="str">
            <v>No</v>
          </cell>
          <cell r="AE2392" t="str">
            <v>MMIS</v>
          </cell>
          <cell r="AF2392" t="str">
            <v>nypwestacn</v>
          </cell>
          <cell r="AG2392" t="str">
            <v>P</v>
          </cell>
        </row>
        <row r="2393">
          <cell r="A2393" t="str">
            <v>1407830565</v>
          </cell>
          <cell r="B2393" t="str">
            <v>02571786</v>
          </cell>
          <cell r="C2393" t="str">
            <v xml:space="preserve">SEDIGHI, ABDOLIAH </v>
          </cell>
          <cell r="D2393" t="str">
            <v>E0042975</v>
          </cell>
          <cell r="E2393" t="str">
            <v>SEDIGHI ABDOLLAH MD</v>
          </cell>
          <cell r="G2393" t="str">
            <v>Kathryn Spaziani</v>
          </cell>
          <cell r="H2393" t="str">
            <v>(212) 305-1190</v>
          </cell>
          <cell r="J2393" t="str">
            <v>kas9171@nyp.org</v>
          </cell>
          <cell r="L2393" t="str">
            <v>All Other:: Practitioner - Non-Primary Care Provider (PCP)</v>
          </cell>
          <cell r="M2393" t="str">
            <v>No</v>
          </cell>
          <cell r="R2393" t="str">
            <v>SEDIGHI ABDOLLAH DR.</v>
          </cell>
          <cell r="W2393" t="str">
            <v>SEDIGHI ABDOLLAH</v>
          </cell>
          <cell r="X2393" t="str">
            <v>60 PROSPECT AVE</v>
          </cell>
          <cell r="Y2393" t="str">
            <v>MIDDLETOWN</v>
          </cell>
          <cell r="Z2393" t="str">
            <v>NY</v>
          </cell>
          <cell r="AA2393" t="str">
            <v>10940-4133</v>
          </cell>
          <cell r="AB2393" t="str">
            <v>PHYSICIAN</v>
          </cell>
          <cell r="AC2393" t="str">
            <v>M</v>
          </cell>
          <cell r="AD2393" t="str">
            <v>No</v>
          </cell>
          <cell r="AE2393" t="str">
            <v>MMIS</v>
          </cell>
          <cell r="AF2393" t="str">
            <v>nypwestcampus</v>
          </cell>
          <cell r="AG2393" t="str">
            <v>P</v>
          </cell>
        </row>
        <row r="2394">
          <cell r="A2394" t="str">
            <v>1720111628</v>
          </cell>
          <cell r="B2394" t="str">
            <v>01811747</v>
          </cell>
          <cell r="C2394" t="str">
            <v>SAHS, JOHN A</v>
          </cell>
          <cell r="D2394" t="str">
            <v>E0118863</v>
          </cell>
          <cell r="E2394" t="str">
            <v>SAHS JOHN ARTHUR</v>
          </cell>
          <cell r="G2394" t="str">
            <v>Kathryn Spaziani</v>
          </cell>
          <cell r="H2394" t="str">
            <v>(212) 305-1190</v>
          </cell>
          <cell r="J2394" t="str">
            <v>kas9171@nyp.org</v>
          </cell>
          <cell r="L2394" t="str">
            <v>Practitioner - Non-Primary Care Provider (PCP)</v>
          </cell>
          <cell r="M2394" t="str">
            <v>No</v>
          </cell>
          <cell r="R2394" t="str">
            <v>SAHS JOHN</v>
          </cell>
          <cell r="W2394" t="str">
            <v>SAHS JOHN</v>
          </cell>
          <cell r="X2394" t="str">
            <v>635 W 165TH ST</v>
          </cell>
          <cell r="Y2394" t="str">
            <v>NEW YORK</v>
          </cell>
          <cell r="Z2394" t="str">
            <v>NY</v>
          </cell>
          <cell r="AA2394" t="str">
            <v>10032-3724</v>
          </cell>
          <cell r="AB2394" t="str">
            <v>PHYSICIAN</v>
          </cell>
          <cell r="AC2394" t="str">
            <v>M</v>
          </cell>
          <cell r="AD2394" t="str">
            <v>No</v>
          </cell>
          <cell r="AE2394" t="str">
            <v>MMIS</v>
          </cell>
          <cell r="AF2394" t="str">
            <v>nypwestcampus</v>
          </cell>
          <cell r="AG2394" t="str">
            <v>P</v>
          </cell>
        </row>
        <row r="2395">
          <cell r="A2395" t="str">
            <v>1720148869</v>
          </cell>
          <cell r="B2395" t="str">
            <v>00498788</v>
          </cell>
          <cell r="C2395" t="str">
            <v>HOLSTEIN, STANLEY B</v>
          </cell>
          <cell r="D2395" t="str">
            <v>E0249779</v>
          </cell>
          <cell r="E2395" t="str">
            <v>HOLSTEIN STANLEY BENJAMIN</v>
          </cell>
          <cell r="G2395" t="str">
            <v>Kathryn Spaziani</v>
          </cell>
          <cell r="H2395" t="str">
            <v>(212) 305-1190</v>
          </cell>
          <cell r="J2395" t="str">
            <v>kas9171@nyp.org</v>
          </cell>
          <cell r="L2395" t="str">
            <v>All Other:: Practitioner - Non-Primary Care Provider (PCP)</v>
          </cell>
          <cell r="M2395" t="str">
            <v>No</v>
          </cell>
          <cell r="R2395" t="str">
            <v>HOLSTEIN STANLEY</v>
          </cell>
          <cell r="W2395" t="str">
            <v>HOLSTEIN STANLEY BENJAMIN</v>
          </cell>
          <cell r="X2395" t="str">
            <v>140 LOCKWOOD AVE</v>
          </cell>
          <cell r="Y2395" t="str">
            <v>NEW ROCHELLE</v>
          </cell>
          <cell r="Z2395" t="str">
            <v>NY</v>
          </cell>
          <cell r="AA2395" t="str">
            <v>10801-4915</v>
          </cell>
          <cell r="AB2395" t="str">
            <v>PHYSICIAN</v>
          </cell>
          <cell r="AC2395" t="str">
            <v>M</v>
          </cell>
          <cell r="AD2395" t="str">
            <v>No</v>
          </cell>
          <cell r="AE2395" t="str">
            <v>MMIS</v>
          </cell>
          <cell r="AF2395" t="str">
            <v>nypwestacn</v>
          </cell>
          <cell r="AG2395" t="str">
            <v>P</v>
          </cell>
        </row>
        <row r="2396">
          <cell r="A2396" t="str">
            <v>1184808867</v>
          </cell>
          <cell r="B2396" t="str">
            <v>03579848</v>
          </cell>
          <cell r="C2396" t="str">
            <v>Parow, Aimee</v>
          </cell>
          <cell r="D2396" t="str">
            <v>E0348078</v>
          </cell>
          <cell r="E2396" t="str">
            <v>PAROW AIMEE</v>
          </cell>
          <cell r="G2396" t="str">
            <v>Kathryn Spaziani</v>
          </cell>
          <cell r="H2396" t="str">
            <v>(212) 305-1190</v>
          </cell>
          <cell r="J2396" t="str">
            <v>kas9171@nyp.org</v>
          </cell>
          <cell r="L2396" t="str">
            <v>Practitioner - Non-Primary Care Provider (PCP)</v>
          </cell>
          <cell r="M2396" t="str">
            <v>No</v>
          </cell>
          <cell r="R2396" t="str">
            <v>PAROW AIMEE</v>
          </cell>
          <cell r="W2396" t="str">
            <v>PAROW AIMEE M</v>
          </cell>
          <cell r="X2396" t="str">
            <v>525N E 68TH ST</v>
          </cell>
          <cell r="Y2396" t="str">
            <v>NEW YORK</v>
          </cell>
          <cell r="Z2396" t="str">
            <v>NY</v>
          </cell>
          <cell r="AA2396" t="str">
            <v>10065-4870</v>
          </cell>
          <cell r="AB2396" t="str">
            <v>PHYSICIAN</v>
          </cell>
          <cell r="AC2396" t="str">
            <v>M</v>
          </cell>
          <cell r="AD2396" t="str">
            <v>No</v>
          </cell>
          <cell r="AE2396" t="str">
            <v>MMIS</v>
          </cell>
          <cell r="AF2396" t="str">
            <v>nypeastcampus</v>
          </cell>
          <cell r="AG2396" t="str">
            <v>P</v>
          </cell>
        </row>
        <row r="2397">
          <cell r="A2397" t="str">
            <v>1740598846</v>
          </cell>
          <cell r="B2397" t="str">
            <v>04017341</v>
          </cell>
          <cell r="C2397" t="str">
            <v>Raquel Ramos, LCSW</v>
          </cell>
          <cell r="D2397" t="str">
            <v>E0393148</v>
          </cell>
          <cell r="E2397" t="str">
            <v>RAMOS RAQUEL E</v>
          </cell>
          <cell r="G2397" t="str">
            <v>Dianna Dragatsi</v>
          </cell>
          <cell r="H2397" t="str">
            <v>(212) 942-8529</v>
          </cell>
          <cell r="J2397" t="str">
            <v>Dragats@nyspi.columbia.edu</v>
          </cell>
          <cell r="L2397" t="str">
            <v>Uncategorized</v>
          </cell>
          <cell r="M2397" t="str">
            <v>No</v>
          </cell>
          <cell r="R2397" t="str">
            <v>RAMOS RAQUEL MS.</v>
          </cell>
          <cell r="W2397" t="str">
            <v>RAMOS RAQUEL E</v>
          </cell>
          <cell r="X2397" t="str">
            <v>513 W 166TH ST FL 4</v>
          </cell>
          <cell r="Y2397" t="str">
            <v>NEW YORK</v>
          </cell>
          <cell r="Z2397" t="str">
            <v>NY</v>
          </cell>
          <cell r="AA2397" t="str">
            <v>10032-4207</v>
          </cell>
          <cell r="AB2397" t="str">
            <v>CLINICAL SOCIAL WORKER (CSW)</v>
          </cell>
          <cell r="AC2397" t="str">
            <v>M</v>
          </cell>
          <cell r="AD2397" t="str">
            <v>No</v>
          </cell>
          <cell r="AE2397" t="str">
            <v>MMIS</v>
          </cell>
          <cell r="AF2397" t="str">
            <v>nyspi</v>
          </cell>
          <cell r="AG2397" t="str">
            <v>P</v>
          </cell>
        </row>
        <row r="2398">
          <cell r="A2398" t="str">
            <v>1649502568</v>
          </cell>
          <cell r="B2398" t="str">
            <v>02445054</v>
          </cell>
          <cell r="C2398" t="str">
            <v>Beverly Timothy</v>
          </cell>
          <cell r="D2398" t="str">
            <v>E0055628</v>
          </cell>
          <cell r="E2398" t="str">
            <v>TIMOTHY BEVERLY ANTONIA RN</v>
          </cell>
          <cell r="L2398" t="str">
            <v>All Other:: Practitioner - Primary Care Provider (PCP)</v>
          </cell>
          <cell r="M2398" t="str">
            <v>No</v>
          </cell>
          <cell r="R2398" t="str">
            <v>TIMOTHY BEVERLY</v>
          </cell>
          <cell r="W2398" t="str">
            <v>TIMOTHY BEVERLY ANTONIA</v>
          </cell>
          <cell r="X2398" t="str">
            <v>9704 SUTPHIN BLVD</v>
          </cell>
          <cell r="Y2398" t="str">
            <v>JAMAICA</v>
          </cell>
          <cell r="Z2398" t="str">
            <v>NY</v>
          </cell>
          <cell r="AA2398" t="str">
            <v>11435-4721</v>
          </cell>
          <cell r="AB2398" t="str">
            <v>MULTI-TYPE</v>
          </cell>
          <cell r="AC2398" t="str">
            <v>M</v>
          </cell>
          <cell r="AD2398" t="str">
            <v>No</v>
          </cell>
          <cell r="AE2398" t="str">
            <v>MMIS</v>
          </cell>
          <cell r="AG2398" t="str">
            <v>P</v>
          </cell>
        </row>
        <row r="2399">
          <cell r="A2399" t="str">
            <v>1417297219</v>
          </cell>
          <cell r="B2399" t="str">
            <v>03626886</v>
          </cell>
          <cell r="C2399" t="str">
            <v>Hatchett Morgan</v>
          </cell>
          <cell r="D2399" t="str">
            <v>E0352882</v>
          </cell>
          <cell r="E2399" t="str">
            <v>HATCHETT MORGAN</v>
          </cell>
          <cell r="L2399" t="str">
            <v>All Other:: Practitioner - Primary Care Provider (PCP)</v>
          </cell>
          <cell r="M2399" t="str">
            <v>Yes</v>
          </cell>
          <cell r="R2399" t="str">
            <v>HATCHETT MORGAN</v>
          </cell>
          <cell r="W2399" t="str">
            <v>HATCHETT MORGAN</v>
          </cell>
          <cell r="X2399" t="str">
            <v>3718 34TH ST</v>
          </cell>
          <cell r="Y2399" t="str">
            <v>LONG ISLAND CITY</v>
          </cell>
          <cell r="Z2399" t="str">
            <v>NY</v>
          </cell>
          <cell r="AA2399" t="str">
            <v>11101-2213</v>
          </cell>
          <cell r="AB2399" t="str">
            <v>PHYSICIAN</v>
          </cell>
          <cell r="AC2399" t="str">
            <v>M</v>
          </cell>
          <cell r="AD2399" t="str">
            <v>No</v>
          </cell>
          <cell r="AE2399" t="str">
            <v>MMIS</v>
          </cell>
          <cell r="AG2399" t="str">
            <v>P</v>
          </cell>
        </row>
        <row r="2400">
          <cell r="A2400" t="str">
            <v>1457519746</v>
          </cell>
          <cell r="B2400" t="str">
            <v>03588887</v>
          </cell>
          <cell r="C2400" t="str">
            <v xml:space="preserve">SHEARER, LEE </v>
          </cell>
          <cell r="D2400" t="str">
            <v>E0349040</v>
          </cell>
          <cell r="E2400" t="str">
            <v>SHEARER LEE</v>
          </cell>
          <cell r="G2400" t="str">
            <v>Kathryn Spaziani</v>
          </cell>
          <cell r="H2400" t="str">
            <v>(212) 305-1190</v>
          </cell>
          <cell r="J2400" t="str">
            <v>kas9171@nyp.org</v>
          </cell>
          <cell r="L2400" t="str">
            <v>All Other:: Practitioner - Primary Care Provider (PCP)</v>
          </cell>
          <cell r="M2400" t="str">
            <v>No</v>
          </cell>
          <cell r="R2400" t="str">
            <v>SHEARER LEE DR.</v>
          </cell>
          <cell r="W2400" t="str">
            <v>SHEARER LEE</v>
          </cell>
          <cell r="X2400" t="str">
            <v>505 E 70TH ST</v>
          </cell>
          <cell r="Y2400" t="str">
            <v>NEW YORK</v>
          </cell>
          <cell r="Z2400" t="str">
            <v>NY</v>
          </cell>
          <cell r="AA2400" t="str">
            <v>10021-4872</v>
          </cell>
          <cell r="AB2400" t="str">
            <v>PHYSICIAN</v>
          </cell>
          <cell r="AC2400" t="str">
            <v>M</v>
          </cell>
          <cell r="AD2400" t="str">
            <v>No</v>
          </cell>
          <cell r="AE2400" t="str">
            <v>MMIS</v>
          </cell>
          <cell r="AF2400" t="str">
            <v>nypeastcampus</v>
          </cell>
          <cell r="AG2400" t="str">
            <v>P</v>
          </cell>
        </row>
        <row r="2401">
          <cell r="A2401" t="str">
            <v>1467520965</v>
          </cell>
          <cell r="B2401" t="str">
            <v>02647001</v>
          </cell>
          <cell r="C2401" t="str">
            <v>SOBIESZCZYK, MAGDALENA E</v>
          </cell>
          <cell r="D2401" t="str">
            <v>E0035466</v>
          </cell>
          <cell r="E2401" t="str">
            <v>SOBIESZCZYK MAGDALENA E MD</v>
          </cell>
          <cell r="G2401" t="str">
            <v>Kathryn Spaziani</v>
          </cell>
          <cell r="H2401" t="str">
            <v>(212) 305-1190</v>
          </cell>
          <cell r="J2401" t="str">
            <v>kas9171@nyp.org</v>
          </cell>
          <cell r="L2401" t="str">
            <v>Practitioner - Primary Care Provider (PCP)</v>
          </cell>
          <cell r="M2401" t="str">
            <v>No</v>
          </cell>
          <cell r="R2401" t="str">
            <v>SOBIESZCZYK MAGDALENA DR.</v>
          </cell>
          <cell r="W2401" t="str">
            <v>SOBIESZCZYK MAGDALENA E MD</v>
          </cell>
          <cell r="X2401" t="str">
            <v>622 W 168TH ST</v>
          </cell>
          <cell r="Y2401" t="str">
            <v>NEW YORK</v>
          </cell>
          <cell r="Z2401" t="str">
            <v>NY</v>
          </cell>
          <cell r="AA2401" t="str">
            <v>10032-3720</v>
          </cell>
          <cell r="AB2401" t="str">
            <v>PHYSICIAN</v>
          </cell>
          <cell r="AC2401" t="str">
            <v>M</v>
          </cell>
          <cell r="AD2401" t="str">
            <v>No</v>
          </cell>
          <cell r="AE2401" t="str">
            <v>MMIS</v>
          </cell>
          <cell r="AF2401" t="str">
            <v>nypwestcampus</v>
          </cell>
          <cell r="AG2401" t="str">
            <v>P</v>
          </cell>
        </row>
        <row r="2402">
          <cell r="A2402" t="str">
            <v>1073831897</v>
          </cell>
          <cell r="B2402" t="str">
            <v>03649507</v>
          </cell>
          <cell r="C2402" t="str">
            <v xml:space="preserve">NAMBURI, SWATHI </v>
          </cell>
          <cell r="D2402" t="str">
            <v>E0355289</v>
          </cell>
          <cell r="E2402" t="str">
            <v>NAMBURI SWATHI</v>
          </cell>
          <cell r="G2402" t="str">
            <v>Kathryn Spaziani</v>
          </cell>
          <cell r="H2402" t="str">
            <v>(212) 305-1190</v>
          </cell>
          <cell r="J2402" t="str">
            <v>kas9171@nyp.org</v>
          </cell>
          <cell r="L2402" t="str">
            <v>Practitioner - Primary Care Provider (PCP)</v>
          </cell>
          <cell r="M2402" t="str">
            <v>No</v>
          </cell>
          <cell r="R2402" t="str">
            <v>NAMBURI SWATHI</v>
          </cell>
          <cell r="W2402" t="str">
            <v>NAMBURI SWATHI</v>
          </cell>
          <cell r="X2402" t="str">
            <v>630 W 168TH ST</v>
          </cell>
          <cell r="Y2402" t="str">
            <v>NEW YORK</v>
          </cell>
          <cell r="Z2402" t="str">
            <v>NY</v>
          </cell>
          <cell r="AA2402" t="str">
            <v>10032-3725</v>
          </cell>
          <cell r="AB2402" t="str">
            <v>PHYSICIAN</v>
          </cell>
          <cell r="AC2402" t="str">
            <v>M</v>
          </cell>
          <cell r="AD2402" t="str">
            <v>No</v>
          </cell>
          <cell r="AE2402" t="str">
            <v>MMIS</v>
          </cell>
          <cell r="AF2402" t="str">
            <v>nypother</v>
          </cell>
          <cell r="AG2402" t="str">
            <v>P</v>
          </cell>
        </row>
        <row r="2403">
          <cell r="A2403" t="str">
            <v>1972893725</v>
          </cell>
          <cell r="C2403" t="str">
            <v>Huah Amy</v>
          </cell>
          <cell r="G2403" t="str">
            <v>Kathryn Spaziani</v>
          </cell>
          <cell r="H2403" t="str">
            <v>(212) 305-1255</v>
          </cell>
          <cell r="J2403" t="str">
            <v>kas9171@nyp.org</v>
          </cell>
          <cell r="K2403" t="str">
            <v>Physician</v>
          </cell>
          <cell r="L2403" t="str">
            <v>Uncategorized</v>
          </cell>
          <cell r="M2403" t="str">
            <v>No</v>
          </cell>
          <cell r="R2403" t="str">
            <v>HSU AMY</v>
          </cell>
          <cell r="S2403" t="str">
            <v>3642A DAYTON AVE N, PH5-133 STEM</v>
          </cell>
          <cell r="T2403" t="str">
            <v>SEATTLE</v>
          </cell>
          <cell r="U2403" t="str">
            <v>WA</v>
          </cell>
          <cell r="V2403" t="str">
            <v>981038511</v>
          </cell>
          <cell r="AC2403" t="str">
            <v>M</v>
          </cell>
          <cell r="AD2403" t="str">
            <v>No</v>
          </cell>
          <cell r="AE2403" t="str">
            <v>NPI only</v>
          </cell>
          <cell r="AF2403" t="str">
            <v>nypother</v>
          </cell>
          <cell r="AG2403" t="str">
            <v>P</v>
          </cell>
        </row>
        <row r="2404">
          <cell r="A2404" t="str">
            <v>1356494918</v>
          </cell>
          <cell r="B2404" t="str">
            <v>02106283</v>
          </cell>
          <cell r="C2404" t="str">
            <v>Lee H. Thomas</v>
          </cell>
          <cell r="D2404" t="str">
            <v>E0089440</v>
          </cell>
          <cell r="E2404" t="str">
            <v>LEE H THOMAS MD</v>
          </cell>
          <cell r="L2404" t="str">
            <v>All Other:: Practitioner - Non-Primary Care Provider (PCP)</v>
          </cell>
          <cell r="M2404" t="str">
            <v>No</v>
          </cell>
          <cell r="R2404" t="str">
            <v>LEE H DR.</v>
          </cell>
          <cell r="W2404" t="str">
            <v>LEE H THOMAS MD</v>
          </cell>
          <cell r="X2404" t="str">
            <v>COLUMBIS PRESBY HSP</v>
          </cell>
          <cell r="Y2404" t="str">
            <v>NEW YORK</v>
          </cell>
          <cell r="Z2404" t="str">
            <v>NY</v>
          </cell>
          <cell r="AA2404" t="str">
            <v>10087-0001</v>
          </cell>
          <cell r="AB2404" t="str">
            <v>PHYSICIAN</v>
          </cell>
          <cell r="AC2404" t="str">
            <v>M</v>
          </cell>
          <cell r="AD2404" t="str">
            <v>No</v>
          </cell>
          <cell r="AE2404" t="str">
            <v>MMIS</v>
          </cell>
          <cell r="AF2404" t="str">
            <v>nypwestcampus</v>
          </cell>
          <cell r="AG2404" t="str">
            <v>P</v>
          </cell>
        </row>
        <row r="2405">
          <cell r="A2405" t="str">
            <v>1639287840</v>
          </cell>
          <cell r="B2405" t="str">
            <v>02195797</v>
          </cell>
          <cell r="C2405" t="str">
            <v>Patel Ashmi</v>
          </cell>
          <cell r="D2405" t="str">
            <v>E0080504</v>
          </cell>
          <cell r="E2405" t="str">
            <v>PATEL ASHMI A MD</v>
          </cell>
          <cell r="L2405" t="str">
            <v>Practitioner - Non-Primary Care Provider (PCP)</v>
          </cell>
          <cell r="M2405" t="str">
            <v>No</v>
          </cell>
          <cell r="R2405" t="str">
            <v>PATEL ASHMI DR.</v>
          </cell>
          <cell r="W2405" t="str">
            <v>PATEL ASHMI A MD</v>
          </cell>
          <cell r="X2405" t="str">
            <v>HARLEM FAC PRAC</v>
          </cell>
          <cell r="Y2405" t="str">
            <v>NEW YORK</v>
          </cell>
          <cell r="Z2405" t="str">
            <v>NY</v>
          </cell>
          <cell r="AA2405" t="str">
            <v>10037-1802</v>
          </cell>
          <cell r="AB2405" t="str">
            <v>PHYSICIAN</v>
          </cell>
          <cell r="AC2405" t="str">
            <v>M</v>
          </cell>
          <cell r="AD2405" t="str">
            <v>No</v>
          </cell>
          <cell r="AE2405" t="str">
            <v>MMIS</v>
          </cell>
          <cell r="AF2405" t="str">
            <v>nypwestcampus</v>
          </cell>
          <cell r="AG2405" t="str">
            <v>P</v>
          </cell>
        </row>
        <row r="2406">
          <cell r="A2406" t="str">
            <v>1679545420</v>
          </cell>
          <cell r="B2406" t="str">
            <v>02922989</v>
          </cell>
          <cell r="C2406" t="str">
            <v>Shah Deepa</v>
          </cell>
          <cell r="D2406" t="str">
            <v>E0000343</v>
          </cell>
          <cell r="E2406" t="str">
            <v>DEEPA V SHAH</v>
          </cell>
          <cell r="L2406" t="str">
            <v>Practitioner - Non-Primary Care Provider (PCP)</v>
          </cell>
          <cell r="M2406" t="str">
            <v>No</v>
          </cell>
          <cell r="R2406" t="str">
            <v>SHAH DEEPA DR.</v>
          </cell>
          <cell r="W2406" t="str">
            <v>SHAH DEEPA V MD</v>
          </cell>
          <cell r="X2406" t="str">
            <v>622 W 168TH ST</v>
          </cell>
          <cell r="Y2406" t="str">
            <v>NEW YORK</v>
          </cell>
          <cell r="Z2406" t="str">
            <v>NY</v>
          </cell>
          <cell r="AA2406" t="str">
            <v>10032-3720</v>
          </cell>
          <cell r="AB2406" t="str">
            <v>PHYSICIAN</v>
          </cell>
          <cell r="AC2406" t="str">
            <v>M</v>
          </cell>
          <cell r="AD2406" t="str">
            <v>No</v>
          </cell>
          <cell r="AE2406" t="str">
            <v>MMIS</v>
          </cell>
          <cell r="AF2406" t="str">
            <v>nypwestcampus</v>
          </cell>
          <cell r="AG2406" t="str">
            <v>P</v>
          </cell>
        </row>
        <row r="2407">
          <cell r="A2407" t="str">
            <v>1114162831</v>
          </cell>
          <cell r="B2407" t="str">
            <v>03217838</v>
          </cell>
          <cell r="C2407" t="str">
            <v>Stoepker Jeremy</v>
          </cell>
          <cell r="D2407" t="str">
            <v>E0306422</v>
          </cell>
          <cell r="E2407" t="str">
            <v>STOEPKER JEREMY ISAAC</v>
          </cell>
          <cell r="L2407" t="str">
            <v>Practitioner - Non-Primary Care Provider (PCP)</v>
          </cell>
          <cell r="M2407" t="str">
            <v>No</v>
          </cell>
          <cell r="R2407" t="str">
            <v>STOEPKER JEREMY</v>
          </cell>
          <cell r="W2407" t="str">
            <v>STOEPKER JEREMY ISAAC</v>
          </cell>
          <cell r="X2407" t="str">
            <v>622 W 168TH ST</v>
          </cell>
          <cell r="Y2407" t="str">
            <v>NEW YORK</v>
          </cell>
          <cell r="Z2407" t="str">
            <v>NY</v>
          </cell>
          <cell r="AA2407" t="str">
            <v>10032-3720</v>
          </cell>
          <cell r="AB2407" t="str">
            <v>PHYSICIAN</v>
          </cell>
          <cell r="AC2407" t="str">
            <v>M</v>
          </cell>
          <cell r="AD2407" t="str">
            <v>No</v>
          </cell>
          <cell r="AE2407" t="str">
            <v>MMIS</v>
          </cell>
          <cell r="AF2407" t="str">
            <v>nypwestcampus</v>
          </cell>
          <cell r="AG2407" t="str">
            <v>P</v>
          </cell>
        </row>
        <row r="2408">
          <cell r="A2408" t="str">
            <v>1265483838</v>
          </cell>
          <cell r="B2408" t="str">
            <v>02693543</v>
          </cell>
          <cell r="C2408" t="str">
            <v>Tiru Claudette</v>
          </cell>
          <cell r="D2408" t="str">
            <v>E0030825</v>
          </cell>
          <cell r="E2408" t="str">
            <v>TIRU CLAUDETTE O MD</v>
          </cell>
          <cell r="L2408" t="str">
            <v>Practitioner - Primary Care Provider (PCP)</v>
          </cell>
          <cell r="M2408" t="str">
            <v>No</v>
          </cell>
          <cell r="R2408" t="str">
            <v>TIRU CLAUDETTE DR.</v>
          </cell>
          <cell r="W2408" t="str">
            <v>TIRU CLAUDETTE O MD</v>
          </cell>
          <cell r="X2408" t="str">
            <v>133 E 73RD ST</v>
          </cell>
          <cell r="Y2408" t="str">
            <v>NEW YORK</v>
          </cell>
          <cell r="Z2408" t="str">
            <v>NY</v>
          </cell>
          <cell r="AA2408" t="str">
            <v>10021-3556</v>
          </cell>
          <cell r="AB2408" t="str">
            <v>PHYSICIAN</v>
          </cell>
          <cell r="AC2408" t="str">
            <v>M</v>
          </cell>
          <cell r="AD2408" t="str">
            <v>No</v>
          </cell>
          <cell r="AE2408" t="str">
            <v>MMIS</v>
          </cell>
          <cell r="AF2408" t="str">
            <v>nypwestcampus</v>
          </cell>
          <cell r="AG2408" t="str">
            <v>P</v>
          </cell>
        </row>
        <row r="2409">
          <cell r="C2409" t="str">
            <v>The Bridge, Inc.</v>
          </cell>
          <cell r="G2409" t="str">
            <v>Peter Beitchman</v>
          </cell>
          <cell r="J2409" t="str">
            <v>pbeitchman@thebridgeny.org</v>
          </cell>
          <cell r="K2409" t="str">
            <v>Unknown</v>
          </cell>
          <cell r="L2409" t="str">
            <v>CBO</v>
          </cell>
          <cell r="M2409" t="str">
            <v>No</v>
          </cell>
          <cell r="AC2409" t="str">
            <v>M</v>
          </cell>
          <cell r="AD2409" t="str">
            <v>No</v>
          </cell>
          <cell r="AE2409" t="str">
            <v>No NPI or MMIS</v>
          </cell>
          <cell r="AF2409" t="str">
            <v>thebridge</v>
          </cell>
          <cell r="AG2409" t="str">
            <v>P</v>
          </cell>
        </row>
        <row r="2410">
          <cell r="C2410" t="str">
            <v>Community League of the Heights</v>
          </cell>
          <cell r="G2410" t="str">
            <v>Yvonne Stennett</v>
          </cell>
          <cell r="J2410" t="str">
            <v>ystennett@cloth159.org</v>
          </cell>
          <cell r="K2410" t="str">
            <v>Community Advocacy and Support</v>
          </cell>
          <cell r="L2410" t="str">
            <v>CBO</v>
          </cell>
          <cell r="M2410" t="str">
            <v>No</v>
          </cell>
          <cell r="AC2410" t="str">
            <v>M</v>
          </cell>
          <cell r="AD2410" t="str">
            <v>No</v>
          </cell>
          <cell r="AE2410" t="str">
            <v>No NPI or MMIS</v>
          </cell>
          <cell r="AG2410" t="str">
            <v>P</v>
          </cell>
        </row>
        <row r="2411">
          <cell r="A2411" t="str">
            <v>1548552888</v>
          </cell>
          <cell r="B2411" t="str">
            <v>04213952</v>
          </cell>
          <cell r="C2411" t="str">
            <v>Pasamba Michelle</v>
          </cell>
          <cell r="D2411" t="str">
            <v>E0413292</v>
          </cell>
          <cell r="E2411" t="str">
            <v>PASAMBA MICHELLE ONGKINGO</v>
          </cell>
          <cell r="G2411" t="str">
            <v>Kathryn Spaziani</v>
          </cell>
          <cell r="H2411" t="str">
            <v>(212) 305-1255</v>
          </cell>
          <cell r="J2411" t="str">
            <v>kas9171@nyp.org</v>
          </cell>
          <cell r="L2411" t="str">
            <v>Practitioner - Non-Primary Care Provider (PCP)</v>
          </cell>
          <cell r="M2411" t="str">
            <v>No</v>
          </cell>
          <cell r="R2411" t="str">
            <v>PASAMBA MICHELLE</v>
          </cell>
          <cell r="W2411" t="str">
            <v>PASAMBA MICHELLE ONGKINGO</v>
          </cell>
          <cell r="X2411" t="str">
            <v>1650 GRAND CONCOURSE</v>
          </cell>
          <cell r="Y2411" t="str">
            <v>BRONX</v>
          </cell>
          <cell r="Z2411" t="str">
            <v>NY</v>
          </cell>
          <cell r="AA2411" t="str">
            <v>10457-7606</v>
          </cell>
          <cell r="AB2411" t="str">
            <v>PHYSICIAN</v>
          </cell>
          <cell r="AC2411" t="str">
            <v>M</v>
          </cell>
          <cell r="AD2411" t="str">
            <v>No</v>
          </cell>
          <cell r="AE2411" t="str">
            <v>MMIS</v>
          </cell>
          <cell r="AF2411" t="str">
            <v>nypother</v>
          </cell>
          <cell r="AG2411" t="str">
            <v>P</v>
          </cell>
        </row>
        <row r="2412">
          <cell r="A2412" t="str">
            <v>1316239668</v>
          </cell>
          <cell r="B2412" t="str">
            <v>04426642</v>
          </cell>
          <cell r="C2412" t="str">
            <v>Piracha Mohammad</v>
          </cell>
          <cell r="D2412" t="str">
            <v>E0435232</v>
          </cell>
          <cell r="E2412" t="str">
            <v>PIRACHA MOHAMMAD M</v>
          </cell>
          <cell r="G2412" t="str">
            <v>Kathryn Spaziani</v>
          </cell>
          <cell r="H2412" t="str">
            <v>(212) 305-1255</v>
          </cell>
          <cell r="J2412" t="str">
            <v>kas9171@nyp.org</v>
          </cell>
          <cell r="L2412" t="str">
            <v>Practitioner - Non-Primary Care Provider (PCP)</v>
          </cell>
          <cell r="M2412" t="str">
            <v>No</v>
          </cell>
          <cell r="R2412" t="str">
            <v>PIRACHA MOHAMMAD</v>
          </cell>
          <cell r="W2412" t="str">
            <v>PIRACHA MOHAMMAD M</v>
          </cell>
          <cell r="X2412" t="str">
            <v>525 E 68TH ST</v>
          </cell>
          <cell r="Y2412" t="str">
            <v>NEW YORK</v>
          </cell>
          <cell r="Z2412" t="str">
            <v>NY</v>
          </cell>
          <cell r="AA2412" t="str">
            <v>10065-4870</v>
          </cell>
          <cell r="AB2412" t="str">
            <v>PHYSICIAN</v>
          </cell>
          <cell r="AC2412" t="str">
            <v>M</v>
          </cell>
          <cell r="AD2412" t="str">
            <v>No</v>
          </cell>
          <cell r="AE2412" t="str">
            <v>MMIS</v>
          </cell>
          <cell r="AF2412" t="str">
            <v>nypeastcampus</v>
          </cell>
          <cell r="AG2412" t="str">
            <v>P</v>
          </cell>
        </row>
        <row r="2413">
          <cell r="A2413" t="str">
            <v>1346532686</v>
          </cell>
          <cell r="C2413" t="str">
            <v>Rasamny Lee</v>
          </cell>
          <cell r="G2413" t="str">
            <v>Kathryn Spaziani</v>
          </cell>
          <cell r="H2413" t="str">
            <v>(212) 305-1255</v>
          </cell>
          <cell r="J2413" t="str">
            <v>kas9171@nyp.org</v>
          </cell>
          <cell r="K2413" t="str">
            <v>Physician</v>
          </cell>
          <cell r="L2413" t="str">
            <v>Uncategorized</v>
          </cell>
          <cell r="M2413" t="str">
            <v>No</v>
          </cell>
          <cell r="R2413" t="str">
            <v>RASAMNY LEE</v>
          </cell>
          <cell r="S2413" t="str">
            <v>525 E 68TH ST, M312</v>
          </cell>
          <cell r="T2413" t="str">
            <v>NEW YORK</v>
          </cell>
          <cell r="U2413" t="str">
            <v>NY</v>
          </cell>
          <cell r="V2413" t="str">
            <v>100654870</v>
          </cell>
          <cell r="AC2413" t="str">
            <v>M</v>
          </cell>
          <cell r="AD2413" t="str">
            <v>No</v>
          </cell>
          <cell r="AE2413" t="str">
            <v>NPI only</v>
          </cell>
          <cell r="AF2413" t="str">
            <v>nypother</v>
          </cell>
          <cell r="AG2413" t="str">
            <v>P</v>
          </cell>
        </row>
        <row r="2414">
          <cell r="A2414" t="str">
            <v>1255697413</v>
          </cell>
          <cell r="C2414" t="str">
            <v>Reznikova Katerina</v>
          </cell>
          <cell r="G2414" t="str">
            <v>Kathryn Spaziani</v>
          </cell>
          <cell r="H2414" t="str">
            <v>(212) 305-1255</v>
          </cell>
          <cell r="J2414" t="str">
            <v>kas9171@nyp.org</v>
          </cell>
          <cell r="K2414" t="str">
            <v>Physician</v>
          </cell>
          <cell r="L2414" t="str">
            <v>Uncategorized</v>
          </cell>
          <cell r="M2414" t="str">
            <v>No</v>
          </cell>
          <cell r="R2414" t="str">
            <v>REZNIKOVA KATERINA</v>
          </cell>
          <cell r="S2414" t="str">
            <v>525 E 68TH ST</v>
          </cell>
          <cell r="T2414" t="str">
            <v>NEW YORK</v>
          </cell>
          <cell r="U2414" t="str">
            <v>NY</v>
          </cell>
          <cell r="V2414" t="str">
            <v>100654870</v>
          </cell>
          <cell r="AC2414" t="str">
            <v>M</v>
          </cell>
          <cell r="AD2414" t="str">
            <v>No</v>
          </cell>
          <cell r="AE2414" t="str">
            <v>NPI only</v>
          </cell>
          <cell r="AF2414" t="str">
            <v>nypeastcampus</v>
          </cell>
          <cell r="AG2414" t="str">
            <v>P</v>
          </cell>
        </row>
        <row r="2415">
          <cell r="A2415" t="str">
            <v>1528486446</v>
          </cell>
          <cell r="C2415" t="str">
            <v>Rim Catherine</v>
          </cell>
          <cell r="G2415" t="str">
            <v>Kathryn Spaziani</v>
          </cell>
          <cell r="H2415" t="str">
            <v>(212) 305-1255</v>
          </cell>
          <cell r="J2415" t="str">
            <v>kas9171@nyp.org</v>
          </cell>
          <cell r="K2415" t="str">
            <v>Physician</v>
          </cell>
          <cell r="L2415" t="str">
            <v>Uncategorized</v>
          </cell>
          <cell r="M2415" t="str">
            <v>No</v>
          </cell>
          <cell r="R2415" t="str">
            <v>RIM CATHERINE</v>
          </cell>
          <cell r="S2415" t="str">
            <v>525 E 68TH ST, BOX 124</v>
          </cell>
          <cell r="T2415" t="str">
            <v>NEW YORK</v>
          </cell>
          <cell r="U2415" t="str">
            <v>NY</v>
          </cell>
          <cell r="V2415" t="str">
            <v>100654870</v>
          </cell>
          <cell r="AC2415" t="str">
            <v>M</v>
          </cell>
          <cell r="AD2415" t="str">
            <v>No</v>
          </cell>
          <cell r="AE2415" t="str">
            <v>NPI only</v>
          </cell>
          <cell r="AF2415" t="str">
            <v>nypeastcampus</v>
          </cell>
          <cell r="AG2415" t="str">
            <v>P</v>
          </cell>
        </row>
        <row r="2416">
          <cell r="A2416" t="str">
            <v>1174811962</v>
          </cell>
          <cell r="C2416" t="str">
            <v>Rose Sydney</v>
          </cell>
          <cell r="G2416" t="str">
            <v>Kathryn Spaziani</v>
          </cell>
          <cell r="H2416" t="str">
            <v>(212) 305-1255</v>
          </cell>
          <cell r="J2416" t="str">
            <v>kas9171@nyp.org</v>
          </cell>
          <cell r="K2416" t="str">
            <v>Physician</v>
          </cell>
          <cell r="L2416" t="str">
            <v>Uncategorized</v>
          </cell>
          <cell r="M2416" t="str">
            <v>No</v>
          </cell>
          <cell r="R2416" t="str">
            <v>ROSE SYDNEY DR.</v>
          </cell>
          <cell r="S2416" t="str">
            <v>3181 SW SAM JACKSON PARK RD, HRC 5TH FL</v>
          </cell>
          <cell r="T2416" t="str">
            <v>PORTLAND</v>
          </cell>
          <cell r="U2416" t="str">
            <v>OR</v>
          </cell>
          <cell r="V2416" t="str">
            <v>972393011</v>
          </cell>
          <cell r="AC2416" t="str">
            <v>M</v>
          </cell>
          <cell r="AD2416" t="str">
            <v>No</v>
          </cell>
          <cell r="AE2416" t="str">
            <v>NPI only</v>
          </cell>
          <cell r="AF2416" t="str">
            <v>nypother</v>
          </cell>
          <cell r="AG2416" t="str">
            <v>P</v>
          </cell>
        </row>
        <row r="2417">
          <cell r="A2417" t="str">
            <v>1902224926</v>
          </cell>
          <cell r="C2417" t="str">
            <v>Safavynia Seyed</v>
          </cell>
          <cell r="G2417" t="str">
            <v>Kathryn Spaziani</v>
          </cell>
          <cell r="H2417" t="str">
            <v>(212) 305-1255</v>
          </cell>
          <cell r="J2417" t="str">
            <v>kas9171@nyp.org</v>
          </cell>
          <cell r="K2417" t="str">
            <v>Physician</v>
          </cell>
          <cell r="L2417" t="str">
            <v>Uncategorized</v>
          </cell>
          <cell r="M2417" t="str">
            <v>No</v>
          </cell>
          <cell r="R2417" t="str">
            <v>SAFAVYNIA SEYED</v>
          </cell>
          <cell r="S2417" t="str">
            <v>525 E 68TH ST</v>
          </cell>
          <cell r="T2417" t="str">
            <v>NEW YORK</v>
          </cell>
          <cell r="U2417" t="str">
            <v>NY</v>
          </cell>
          <cell r="V2417" t="str">
            <v>100654870</v>
          </cell>
          <cell r="AC2417" t="str">
            <v>M</v>
          </cell>
          <cell r="AD2417" t="str">
            <v>No</v>
          </cell>
          <cell r="AE2417" t="str">
            <v>NPI only</v>
          </cell>
          <cell r="AF2417" t="str">
            <v>nypeastcampus</v>
          </cell>
          <cell r="AG2417" t="str">
            <v>P</v>
          </cell>
        </row>
        <row r="2418">
          <cell r="A2418" t="str">
            <v>1205254620</v>
          </cell>
          <cell r="C2418" t="str">
            <v>JULIA KIM</v>
          </cell>
          <cell r="G2418" t="str">
            <v>Kathryn Spaziani</v>
          </cell>
          <cell r="H2418" t="str">
            <v>(212) 305-1190</v>
          </cell>
          <cell r="J2418" t="str">
            <v>kas9171@nyp.org</v>
          </cell>
          <cell r="K2418" t="str">
            <v>Unknown</v>
          </cell>
          <cell r="L2418" t="str">
            <v>Uncategorized</v>
          </cell>
          <cell r="M2418" t="str">
            <v>No</v>
          </cell>
          <cell r="R2418" t="str">
            <v>KIM JULIA DR.</v>
          </cell>
          <cell r="S2418" t="str">
            <v>1300 YORK AVE</v>
          </cell>
          <cell r="T2418" t="str">
            <v>NEW YORK</v>
          </cell>
          <cell r="U2418" t="str">
            <v>NY</v>
          </cell>
          <cell r="V2418" t="str">
            <v>100654805</v>
          </cell>
          <cell r="AC2418" t="str">
            <v>M</v>
          </cell>
          <cell r="AD2418" t="str">
            <v>No</v>
          </cell>
          <cell r="AE2418" t="str">
            <v>NPI only</v>
          </cell>
          <cell r="AF2418" t="str">
            <v>nypeastcampus</v>
          </cell>
          <cell r="AG2418" t="str">
            <v>P</v>
          </cell>
        </row>
        <row r="2419">
          <cell r="A2419" t="str">
            <v>1063755213</v>
          </cell>
          <cell r="C2419" t="str">
            <v>MARK ABRAMS</v>
          </cell>
          <cell r="G2419" t="str">
            <v>Kathryn Spaziani</v>
          </cell>
          <cell r="H2419" t="str">
            <v>(212) 305-1190</v>
          </cell>
          <cell r="J2419" t="str">
            <v>kas9171@nyp.org</v>
          </cell>
          <cell r="K2419" t="str">
            <v>Unknown</v>
          </cell>
          <cell r="L2419" t="str">
            <v>Uncategorized</v>
          </cell>
          <cell r="M2419" t="str">
            <v>No</v>
          </cell>
          <cell r="R2419" t="str">
            <v>ABRAMS MARK DR.</v>
          </cell>
          <cell r="S2419" t="str">
            <v>575 W 181ST ST, FLOOR 2</v>
          </cell>
          <cell r="T2419" t="str">
            <v>NEW YORK</v>
          </cell>
          <cell r="U2419" t="str">
            <v>NY</v>
          </cell>
          <cell r="V2419" t="str">
            <v>100335002</v>
          </cell>
          <cell r="AC2419" t="str">
            <v>M</v>
          </cell>
          <cell r="AD2419" t="str">
            <v>No</v>
          </cell>
          <cell r="AE2419" t="str">
            <v>NPI only</v>
          </cell>
          <cell r="AF2419" t="str">
            <v>nypwestcampus</v>
          </cell>
          <cell r="AG2419" t="str">
            <v>P</v>
          </cell>
        </row>
        <row r="2420">
          <cell r="A2420" t="str">
            <v>1821364969</v>
          </cell>
          <cell r="C2420" t="str">
            <v>GRACE BERRY</v>
          </cell>
          <cell r="G2420" t="str">
            <v>Kathryn Spaziani</v>
          </cell>
          <cell r="H2420" t="str">
            <v>(212) 305-1190</v>
          </cell>
          <cell r="J2420" t="str">
            <v>kas9171@nyp.org</v>
          </cell>
          <cell r="K2420" t="str">
            <v>Unknown</v>
          </cell>
          <cell r="L2420" t="str">
            <v>Uncategorized</v>
          </cell>
          <cell r="M2420" t="str">
            <v>No</v>
          </cell>
          <cell r="R2420" t="str">
            <v>BERRY GRACE</v>
          </cell>
          <cell r="S2420" t="str">
            <v>180 HARVESTER DR, SUITE 110</v>
          </cell>
          <cell r="T2420" t="str">
            <v>BURR RIDGE</v>
          </cell>
          <cell r="U2420" t="str">
            <v>IL</v>
          </cell>
          <cell r="V2420" t="str">
            <v>605277594</v>
          </cell>
          <cell r="AC2420" t="str">
            <v>M</v>
          </cell>
          <cell r="AD2420" t="str">
            <v>No</v>
          </cell>
          <cell r="AE2420" t="str">
            <v>NPI only</v>
          </cell>
          <cell r="AF2420" t="str">
            <v>nypother</v>
          </cell>
          <cell r="AG2420" t="str">
            <v>P</v>
          </cell>
        </row>
        <row r="2421">
          <cell r="A2421" t="str">
            <v>1356785356</v>
          </cell>
          <cell r="C2421" t="str">
            <v>BARRY BREAUX</v>
          </cell>
          <cell r="G2421" t="str">
            <v>Kathryn Spaziani</v>
          </cell>
          <cell r="H2421" t="str">
            <v>(212) 305-1190</v>
          </cell>
          <cell r="J2421" t="str">
            <v>kas9171@nyp.org</v>
          </cell>
          <cell r="K2421" t="str">
            <v>Unknown</v>
          </cell>
          <cell r="L2421" t="str">
            <v>Uncategorized</v>
          </cell>
          <cell r="M2421" t="str">
            <v>No</v>
          </cell>
          <cell r="R2421" t="str">
            <v>BREAUX BARRY DR.</v>
          </cell>
          <cell r="S2421" t="str">
            <v>177 FT WASHINGTN AVE, 6C12</v>
          </cell>
          <cell r="T2421" t="str">
            <v>NEW YORK</v>
          </cell>
          <cell r="U2421" t="str">
            <v>NY</v>
          </cell>
          <cell r="V2421" t="str">
            <v>100323733</v>
          </cell>
          <cell r="AC2421" t="str">
            <v>M</v>
          </cell>
          <cell r="AD2421" t="str">
            <v>No</v>
          </cell>
          <cell r="AE2421" t="str">
            <v>NPI only</v>
          </cell>
          <cell r="AF2421" t="str">
            <v>nypwestcampus</v>
          </cell>
          <cell r="AG2421" t="str">
            <v>P</v>
          </cell>
        </row>
        <row r="2422">
          <cell r="A2422" t="str">
            <v>1376986109</v>
          </cell>
          <cell r="C2422" t="str">
            <v>JESSICA FLEITMAN</v>
          </cell>
          <cell r="G2422" t="str">
            <v>Kathryn Spaziani</v>
          </cell>
          <cell r="H2422" t="str">
            <v>(212) 305-1190</v>
          </cell>
          <cell r="J2422" t="str">
            <v>kas9171@nyp.org</v>
          </cell>
          <cell r="K2422" t="str">
            <v>Unknown</v>
          </cell>
          <cell r="L2422" t="str">
            <v>Uncategorized</v>
          </cell>
          <cell r="M2422" t="str">
            <v>No</v>
          </cell>
          <cell r="R2422" t="str">
            <v>FLEITMAN JESSICA</v>
          </cell>
          <cell r="S2422" t="str">
            <v>575 W 181ST ST</v>
          </cell>
          <cell r="T2422" t="str">
            <v>NEW YORK</v>
          </cell>
          <cell r="U2422" t="str">
            <v>NY</v>
          </cell>
          <cell r="V2422" t="str">
            <v>100335002</v>
          </cell>
          <cell r="AC2422" t="str">
            <v>M</v>
          </cell>
          <cell r="AD2422" t="str">
            <v>No</v>
          </cell>
          <cell r="AE2422" t="str">
            <v>NPI only</v>
          </cell>
          <cell r="AF2422" t="str">
            <v>nypwestcampus</v>
          </cell>
          <cell r="AG2422" t="str">
            <v>P</v>
          </cell>
        </row>
        <row r="2423">
          <cell r="A2423" t="str">
            <v>1144586637</v>
          </cell>
          <cell r="C2423" t="str">
            <v>JASON HONG</v>
          </cell>
          <cell r="G2423" t="str">
            <v>Kathryn Spaziani</v>
          </cell>
          <cell r="H2423" t="str">
            <v>(212) 305-1190</v>
          </cell>
          <cell r="J2423" t="str">
            <v>kas9171@nyp.org</v>
          </cell>
          <cell r="K2423" t="str">
            <v>Unknown</v>
          </cell>
          <cell r="L2423" t="str">
            <v>Uncategorized</v>
          </cell>
          <cell r="M2423" t="str">
            <v>No</v>
          </cell>
          <cell r="R2423" t="str">
            <v>HONG JASON</v>
          </cell>
          <cell r="S2423" t="str">
            <v>325 9TH AVE</v>
          </cell>
          <cell r="T2423" t="str">
            <v>SEATTLE</v>
          </cell>
          <cell r="U2423" t="str">
            <v>WA</v>
          </cell>
          <cell r="V2423" t="str">
            <v>981042420</v>
          </cell>
          <cell r="AC2423" t="str">
            <v>M</v>
          </cell>
          <cell r="AD2423" t="str">
            <v>No</v>
          </cell>
          <cell r="AE2423" t="str">
            <v>NPI only</v>
          </cell>
          <cell r="AF2423" t="str">
            <v>nypother</v>
          </cell>
          <cell r="AG2423" t="str">
            <v>P</v>
          </cell>
        </row>
        <row r="2424">
          <cell r="A2424" t="str">
            <v>1669730958</v>
          </cell>
          <cell r="C2424" t="str">
            <v>JARED KUSHNER</v>
          </cell>
          <cell r="G2424" t="str">
            <v>Kathryn Spaziani</v>
          </cell>
          <cell r="H2424" t="str">
            <v>(212) 305-1190</v>
          </cell>
          <cell r="J2424" t="str">
            <v>kas9171@nyp.org</v>
          </cell>
          <cell r="K2424" t="str">
            <v>Unknown</v>
          </cell>
          <cell r="L2424" t="str">
            <v>Uncategorized</v>
          </cell>
          <cell r="M2424" t="str">
            <v>No</v>
          </cell>
          <cell r="R2424" t="str">
            <v>KUSHNER JARED</v>
          </cell>
          <cell r="S2424" t="str">
            <v>177 FT. WASHINGTON AVE, DEPARTMENT OF MEDICINE</v>
          </cell>
          <cell r="T2424" t="str">
            <v>NEW YORK</v>
          </cell>
          <cell r="U2424" t="str">
            <v>NY</v>
          </cell>
          <cell r="V2424" t="str">
            <v>10032</v>
          </cell>
          <cell r="AC2424" t="str">
            <v>M</v>
          </cell>
          <cell r="AD2424" t="str">
            <v>No</v>
          </cell>
          <cell r="AE2424" t="str">
            <v>NPI only</v>
          </cell>
          <cell r="AF2424" t="str">
            <v>nypwestcampus</v>
          </cell>
          <cell r="AG2424" t="str">
            <v>P</v>
          </cell>
        </row>
        <row r="2425">
          <cell r="A2425" t="str">
            <v>1497012223</v>
          </cell>
          <cell r="C2425" t="str">
            <v>CHRISTOPHER LAWTON</v>
          </cell>
          <cell r="G2425" t="str">
            <v>Kathryn Spaziani</v>
          </cell>
          <cell r="H2425" t="str">
            <v>(212) 305-1190</v>
          </cell>
          <cell r="J2425" t="str">
            <v>kas9171@nyp.org</v>
          </cell>
          <cell r="K2425" t="str">
            <v>Unknown</v>
          </cell>
          <cell r="L2425" t="str">
            <v>Uncategorized</v>
          </cell>
          <cell r="M2425" t="str">
            <v>No</v>
          </cell>
          <cell r="R2425" t="str">
            <v>LAWTON CHRISTOPHER</v>
          </cell>
          <cell r="S2425" t="str">
            <v>177 FORT WASHINGTON AVE</v>
          </cell>
          <cell r="T2425" t="str">
            <v>NEW YORK</v>
          </cell>
          <cell r="U2425" t="str">
            <v>NY</v>
          </cell>
          <cell r="V2425" t="str">
            <v>100323733</v>
          </cell>
          <cell r="AC2425" t="str">
            <v>M</v>
          </cell>
          <cell r="AD2425" t="str">
            <v>No</v>
          </cell>
          <cell r="AE2425" t="str">
            <v>NPI only</v>
          </cell>
          <cell r="AF2425" t="str">
            <v>nypother</v>
          </cell>
          <cell r="AG2425" t="str">
            <v>P</v>
          </cell>
        </row>
        <row r="2426">
          <cell r="A2426" t="str">
            <v>1255458972</v>
          </cell>
          <cell r="B2426" t="str">
            <v>02985399</v>
          </cell>
          <cell r="C2426" t="str">
            <v xml:space="preserve">WEI, ESTHER </v>
          </cell>
          <cell r="D2426" t="str">
            <v>E0005416</v>
          </cell>
          <cell r="E2426" t="str">
            <v>WEI ESTHER</v>
          </cell>
          <cell r="G2426" t="str">
            <v>Kathryn Spaziani</v>
          </cell>
          <cell r="H2426" t="str">
            <v>(212) 305-1190</v>
          </cell>
          <cell r="J2426" t="str">
            <v>kas9171@nyp.org</v>
          </cell>
          <cell r="L2426" t="str">
            <v>All Other:: Practitioner - Primary Care Provider (PCP)</v>
          </cell>
          <cell r="M2426" t="str">
            <v>No</v>
          </cell>
          <cell r="R2426" t="str">
            <v>WEI ESTHER</v>
          </cell>
          <cell r="W2426" t="str">
            <v>WEI ESTHER</v>
          </cell>
          <cell r="X2426" t="str">
            <v>505 E 70TH ST</v>
          </cell>
          <cell r="Y2426" t="str">
            <v>NEW YORK</v>
          </cell>
          <cell r="Z2426" t="str">
            <v>NY</v>
          </cell>
          <cell r="AA2426" t="str">
            <v>10021-4872</v>
          </cell>
          <cell r="AB2426" t="str">
            <v>PHYSICIAN</v>
          </cell>
          <cell r="AC2426" t="str">
            <v>M</v>
          </cell>
          <cell r="AD2426" t="str">
            <v>No</v>
          </cell>
          <cell r="AE2426" t="str">
            <v>MMIS</v>
          </cell>
          <cell r="AF2426" t="str">
            <v>nypeastcampus</v>
          </cell>
          <cell r="AG2426" t="str">
            <v>P</v>
          </cell>
        </row>
        <row r="2427">
          <cell r="A2427" t="str">
            <v>1427112176</v>
          </cell>
          <cell r="B2427" t="str">
            <v>02148781</v>
          </cell>
          <cell r="C2427" t="str">
            <v xml:space="preserve">MAZZONI, PIETRO </v>
          </cell>
          <cell r="D2427" t="str">
            <v>E0085197</v>
          </cell>
          <cell r="E2427" t="str">
            <v>MAZZONI PIETRO MD</v>
          </cell>
          <cell r="G2427" t="str">
            <v>Kathryn Spaziani</v>
          </cell>
          <cell r="H2427" t="str">
            <v>(212) 305-1190</v>
          </cell>
          <cell r="J2427" t="str">
            <v>kas9171@nyp.org</v>
          </cell>
          <cell r="L2427" t="str">
            <v>Practitioner - Non-Primary Care Provider (PCP)</v>
          </cell>
          <cell r="M2427" t="str">
            <v>No</v>
          </cell>
          <cell r="R2427" t="str">
            <v>MAZZONI PIETRO DR.</v>
          </cell>
          <cell r="W2427" t="str">
            <v>MAZZONI PIETRO MD</v>
          </cell>
          <cell r="X2427" t="str">
            <v>506 MALCOLM X BLVD # 522</v>
          </cell>
          <cell r="Y2427" t="str">
            <v>NEW YORK</v>
          </cell>
          <cell r="Z2427" t="str">
            <v>NY</v>
          </cell>
          <cell r="AA2427" t="str">
            <v>10037-1802</v>
          </cell>
          <cell r="AB2427" t="str">
            <v>PHYSICIAN</v>
          </cell>
          <cell r="AC2427" t="str">
            <v>M</v>
          </cell>
          <cell r="AD2427" t="str">
            <v>No</v>
          </cell>
          <cell r="AE2427" t="str">
            <v>MMIS</v>
          </cell>
          <cell r="AF2427" t="str">
            <v>nypwestcampus</v>
          </cell>
          <cell r="AG2427" t="str">
            <v>P</v>
          </cell>
        </row>
        <row r="2428">
          <cell r="A2428" t="str">
            <v>1881853406</v>
          </cell>
          <cell r="B2428" t="str">
            <v>03128925</v>
          </cell>
          <cell r="C2428" t="str">
            <v xml:space="preserve">ABRAMS, DARRYL </v>
          </cell>
          <cell r="D2428" t="str">
            <v>E0296388</v>
          </cell>
          <cell r="E2428" t="str">
            <v>DARRYL CHAD ABRAMS MD</v>
          </cell>
          <cell r="G2428" t="str">
            <v>Kathryn Spaziani</v>
          </cell>
          <cell r="H2428" t="str">
            <v>(212) 305-1190</v>
          </cell>
          <cell r="J2428" t="str">
            <v>kas9171@nyp.org</v>
          </cell>
          <cell r="L2428" t="str">
            <v>Practitioner - Primary Care Provider (PCP)</v>
          </cell>
          <cell r="M2428" t="str">
            <v>No</v>
          </cell>
          <cell r="R2428" t="str">
            <v>ABRAMS DARRYL DR.</v>
          </cell>
          <cell r="W2428" t="str">
            <v>ABRAMS DARRYL CHAD MD</v>
          </cell>
          <cell r="X2428" t="str">
            <v>622 WEST 168TH ST</v>
          </cell>
          <cell r="Y2428" t="str">
            <v>NEW YORK</v>
          </cell>
          <cell r="Z2428" t="str">
            <v>NY</v>
          </cell>
          <cell r="AA2428" t="str">
            <v>10032-3720</v>
          </cell>
          <cell r="AB2428" t="str">
            <v>PHYSICIAN</v>
          </cell>
          <cell r="AC2428" t="str">
            <v>M</v>
          </cell>
          <cell r="AD2428" t="str">
            <v>No</v>
          </cell>
          <cell r="AE2428" t="str">
            <v>MMIS</v>
          </cell>
          <cell r="AF2428" t="str">
            <v>nypwestacn</v>
          </cell>
          <cell r="AG2428" t="str">
            <v>P</v>
          </cell>
        </row>
        <row r="2429">
          <cell r="A2429" t="str">
            <v>1881873594</v>
          </cell>
          <cell r="B2429" t="str">
            <v>02706701</v>
          </cell>
          <cell r="C2429" t="str">
            <v>VAN NORTWICK, NICOLE A</v>
          </cell>
          <cell r="D2429" t="str">
            <v>E0029514</v>
          </cell>
          <cell r="E2429" t="str">
            <v>VAN NORTWICK NICOLE</v>
          </cell>
          <cell r="G2429" t="str">
            <v>Kathryn Spaziani</v>
          </cell>
          <cell r="H2429" t="str">
            <v>(212) 305-1190</v>
          </cell>
          <cell r="J2429" t="str">
            <v>kas9171@nyp.org</v>
          </cell>
          <cell r="L2429" t="str">
            <v>Practitioner - Non-Primary Care Provider (PCP)</v>
          </cell>
          <cell r="M2429" t="str">
            <v>No</v>
          </cell>
          <cell r="R2429" t="str">
            <v>VAN NORTWICK NICOLE DR.</v>
          </cell>
          <cell r="W2429" t="str">
            <v>VAN NORTWICK NICOLE ANNE</v>
          </cell>
          <cell r="X2429" t="str">
            <v>635 W 165TH ST FL 6</v>
          </cell>
          <cell r="Y2429" t="str">
            <v>NEW YORK</v>
          </cell>
          <cell r="Z2429" t="str">
            <v>NY</v>
          </cell>
          <cell r="AA2429" t="str">
            <v>10032-3724</v>
          </cell>
          <cell r="AB2429" t="str">
            <v>CLINICAL PSYCHOLOGIST</v>
          </cell>
          <cell r="AC2429" t="str">
            <v>M</v>
          </cell>
          <cell r="AD2429" t="str">
            <v>No</v>
          </cell>
          <cell r="AE2429" t="str">
            <v>MMIS</v>
          </cell>
          <cell r="AF2429" t="str">
            <v>nypwestcampus</v>
          </cell>
          <cell r="AG2429" t="str">
            <v>P</v>
          </cell>
        </row>
        <row r="2430">
          <cell r="A2430" t="str">
            <v>1902221351</v>
          </cell>
          <cell r="C2430" t="str">
            <v>Stember Joseph</v>
          </cell>
          <cell r="G2430" t="str">
            <v>Kathryn Spaziani</v>
          </cell>
          <cell r="H2430" t="str">
            <v>(212) 305-1255</v>
          </cell>
          <cell r="J2430" t="str">
            <v>kas9171@nyp.org</v>
          </cell>
          <cell r="K2430" t="str">
            <v>Physician</v>
          </cell>
          <cell r="L2430" t="str">
            <v>Uncategorized</v>
          </cell>
          <cell r="M2430" t="str">
            <v>No</v>
          </cell>
          <cell r="R2430" t="str">
            <v>STEMBER JOSEPH DR.</v>
          </cell>
          <cell r="S2430" t="str">
            <v>208 E BROADWAY APT J1306</v>
          </cell>
          <cell r="T2430" t="str">
            <v>NEW YORK</v>
          </cell>
          <cell r="U2430" t="str">
            <v>NY</v>
          </cell>
          <cell r="V2430" t="str">
            <v>100025540</v>
          </cell>
          <cell r="AC2430" t="str">
            <v>M</v>
          </cell>
          <cell r="AD2430" t="str">
            <v>No</v>
          </cell>
          <cell r="AE2430" t="str">
            <v>NPI only</v>
          </cell>
          <cell r="AF2430" t="str">
            <v>nypwestcampus</v>
          </cell>
          <cell r="AG2430" t="str">
            <v>P</v>
          </cell>
        </row>
        <row r="2431">
          <cell r="A2431" t="str">
            <v>1568563567</v>
          </cell>
          <cell r="B2431" t="str">
            <v>02058877</v>
          </cell>
          <cell r="C2431" t="str">
            <v>BANSAL, MIMI G</v>
          </cell>
          <cell r="D2431" t="str">
            <v>E0094175</v>
          </cell>
          <cell r="E2431" t="str">
            <v>BANSAL MIMI GOEL MD</v>
          </cell>
          <cell r="G2431" t="str">
            <v>Kathryn Spaziani</v>
          </cell>
          <cell r="H2431" t="str">
            <v>(212) 305-1190</v>
          </cell>
          <cell r="J2431" t="str">
            <v>kas9171@nyp.org</v>
          </cell>
          <cell r="L2431" t="str">
            <v>All Other:: Practitioner - Non-Primary Care Provider (PCP)</v>
          </cell>
          <cell r="M2431" t="str">
            <v>No</v>
          </cell>
          <cell r="R2431" t="str">
            <v>BANSAL MIMI DR.</v>
          </cell>
          <cell r="W2431" t="str">
            <v>BANSAL MIMI GOEL MD</v>
          </cell>
          <cell r="X2431" t="str">
            <v>560 NORTHERN BLVD</v>
          </cell>
          <cell r="Y2431" t="str">
            <v>GREAT NECK</v>
          </cell>
          <cell r="Z2431" t="str">
            <v>NY</v>
          </cell>
          <cell r="AA2431" t="str">
            <v>11021-5100</v>
          </cell>
          <cell r="AB2431" t="str">
            <v>PHYSICIAN</v>
          </cell>
          <cell r="AC2431" t="str">
            <v>M</v>
          </cell>
          <cell r="AD2431" t="str">
            <v>No</v>
          </cell>
          <cell r="AE2431" t="str">
            <v>MMIS</v>
          </cell>
          <cell r="AF2431" t="str">
            <v>nypwestacn</v>
          </cell>
          <cell r="AG2431" t="str">
            <v>P</v>
          </cell>
        </row>
        <row r="2432">
          <cell r="A2432" t="str">
            <v>1669560330</v>
          </cell>
          <cell r="B2432" t="str">
            <v>00877472</v>
          </cell>
          <cell r="C2432" t="str">
            <v>ISRAEL, HOWARD A</v>
          </cell>
          <cell r="D2432" t="str">
            <v>E0212000</v>
          </cell>
          <cell r="E2432" t="str">
            <v>ISRAEL HOWARD             DDS</v>
          </cell>
          <cell r="G2432" t="str">
            <v>Kathryn Spaziani</v>
          </cell>
          <cell r="H2432" t="str">
            <v>(212) 305-1190</v>
          </cell>
          <cell r="J2432" t="str">
            <v>kas9171@nyp.org</v>
          </cell>
          <cell r="L2432" t="str">
            <v>All Other:: Practitioner - Non-Primary Care Provider (PCP)</v>
          </cell>
          <cell r="M2432" t="str">
            <v>No</v>
          </cell>
          <cell r="R2432" t="str">
            <v>ISRAEL HOWARD DR.</v>
          </cell>
          <cell r="W2432" t="str">
            <v>ISRAEL HOWARD             DDS</v>
          </cell>
          <cell r="X2432" t="str">
            <v>630 W 168TH ST</v>
          </cell>
          <cell r="Y2432" t="str">
            <v>NEW YORK</v>
          </cell>
          <cell r="Z2432" t="str">
            <v>NY</v>
          </cell>
          <cell r="AA2432" t="str">
            <v>10032-3725</v>
          </cell>
          <cell r="AB2432" t="str">
            <v>DENTIST</v>
          </cell>
          <cell r="AC2432" t="str">
            <v>M</v>
          </cell>
          <cell r="AD2432" t="str">
            <v>No</v>
          </cell>
          <cell r="AE2432" t="str">
            <v>MMIS</v>
          </cell>
          <cell r="AF2432" t="str">
            <v>nypeastacn</v>
          </cell>
          <cell r="AG2432" t="str">
            <v>P</v>
          </cell>
        </row>
        <row r="2433">
          <cell r="A2433" t="str">
            <v>1669569745</v>
          </cell>
          <cell r="B2433" t="str">
            <v>01793044</v>
          </cell>
          <cell r="C2433" t="str">
            <v>KATZ, MELISSA D</v>
          </cell>
          <cell r="D2433" t="str">
            <v>E0120727</v>
          </cell>
          <cell r="E2433" t="str">
            <v>KATZ MELISSA D MD</v>
          </cell>
          <cell r="G2433" t="str">
            <v>Kathryn Spaziani</v>
          </cell>
          <cell r="H2433" t="str">
            <v>(212) 305-1190</v>
          </cell>
          <cell r="J2433" t="str">
            <v>kas9171@nyp.org</v>
          </cell>
          <cell r="L2433" t="str">
            <v>All Other:: Practitioner - Non-Primary Care Provider (PCP)</v>
          </cell>
          <cell r="M2433" t="str">
            <v>No</v>
          </cell>
          <cell r="R2433" t="str">
            <v>KATZ MELISSA</v>
          </cell>
          <cell r="W2433" t="str">
            <v>KATZ MELISSA DEE MD</v>
          </cell>
          <cell r="X2433" t="str">
            <v>KBAKER 2019</v>
          </cell>
          <cell r="Y2433" t="str">
            <v>NEW YORK</v>
          </cell>
          <cell r="Z2433" t="str">
            <v>NY</v>
          </cell>
          <cell r="AA2433" t="str">
            <v>10065-4870</v>
          </cell>
          <cell r="AB2433" t="str">
            <v>PHYSICIAN</v>
          </cell>
          <cell r="AC2433" t="str">
            <v>M</v>
          </cell>
          <cell r="AD2433" t="str">
            <v>No</v>
          </cell>
          <cell r="AE2433" t="str">
            <v>MMIS</v>
          </cell>
          <cell r="AF2433" t="str">
            <v>nypeastacn</v>
          </cell>
          <cell r="AG2433" t="str">
            <v>P</v>
          </cell>
        </row>
        <row r="2434">
          <cell r="A2434" t="str">
            <v>1669620670</v>
          </cell>
          <cell r="B2434" t="str">
            <v>03330898</v>
          </cell>
          <cell r="C2434" t="str">
            <v>CARRASCO, CESAR D</v>
          </cell>
          <cell r="D2434" t="str">
            <v>E0319245</v>
          </cell>
          <cell r="E2434" t="str">
            <v>CARRASCO CESAR D</v>
          </cell>
          <cell r="G2434" t="str">
            <v>Kathryn Spaziani</v>
          </cell>
          <cell r="H2434" t="str">
            <v>(212) 305-1190</v>
          </cell>
          <cell r="J2434" t="str">
            <v>kas9171@nyp.org</v>
          </cell>
          <cell r="L2434" t="str">
            <v>Practitioner - Non-Primary Care Provider (PCP)</v>
          </cell>
          <cell r="M2434" t="str">
            <v>No</v>
          </cell>
          <cell r="R2434" t="str">
            <v>CARRASCO CESAR MR.</v>
          </cell>
          <cell r="W2434" t="str">
            <v>CARRASCO CESAR D</v>
          </cell>
          <cell r="X2434" t="str">
            <v>635 W 165TH ST</v>
          </cell>
          <cell r="Y2434" t="str">
            <v>NEW YORK</v>
          </cell>
          <cell r="Z2434" t="str">
            <v>NY</v>
          </cell>
          <cell r="AA2434" t="str">
            <v>10032-3724</v>
          </cell>
          <cell r="AB2434" t="str">
            <v>CLINICAL SOCIAL WORKER (CSW)</v>
          </cell>
          <cell r="AC2434" t="str">
            <v>M</v>
          </cell>
          <cell r="AD2434" t="str">
            <v>No</v>
          </cell>
          <cell r="AE2434" t="str">
            <v>MMIS</v>
          </cell>
          <cell r="AF2434" t="str">
            <v>nypwestacn</v>
          </cell>
          <cell r="AG2434" t="str">
            <v>P</v>
          </cell>
        </row>
        <row r="2435">
          <cell r="A2435" t="str">
            <v>1134381148</v>
          </cell>
          <cell r="B2435" t="str">
            <v>03473443</v>
          </cell>
          <cell r="C2435" t="str">
            <v>CHOU, DENISE E</v>
          </cell>
          <cell r="D2435" t="str">
            <v>E0336625</v>
          </cell>
          <cell r="E2435" t="str">
            <v>CHOU DENISE</v>
          </cell>
          <cell r="G2435" t="str">
            <v>Kathryn Spaziani</v>
          </cell>
          <cell r="H2435" t="str">
            <v>(212) 305-1190</v>
          </cell>
          <cell r="J2435" t="str">
            <v>kas9171@nyp.org</v>
          </cell>
          <cell r="L2435" t="str">
            <v>All Other:: Practitioner - Non-Primary Care Provider (PCP)</v>
          </cell>
          <cell r="M2435" t="str">
            <v>No</v>
          </cell>
          <cell r="R2435" t="str">
            <v>CHOU DENISE DR.</v>
          </cell>
          <cell r="W2435" t="str">
            <v>CHOU DENISE</v>
          </cell>
          <cell r="X2435" t="str">
            <v>710 W 168TH ST</v>
          </cell>
          <cell r="Y2435" t="str">
            <v>NEW YORK</v>
          </cell>
          <cell r="Z2435" t="str">
            <v>NY</v>
          </cell>
          <cell r="AA2435" t="str">
            <v>10032-3726</v>
          </cell>
          <cell r="AB2435" t="str">
            <v>PHYSICIAN</v>
          </cell>
          <cell r="AC2435" t="str">
            <v>M</v>
          </cell>
          <cell r="AD2435" t="str">
            <v>No</v>
          </cell>
          <cell r="AE2435" t="str">
            <v>MMIS</v>
          </cell>
          <cell r="AF2435" t="str">
            <v>nypwestacn</v>
          </cell>
          <cell r="AG2435" t="str">
            <v>P</v>
          </cell>
        </row>
        <row r="2436">
          <cell r="C2436" t="str">
            <v>Jeffrey Tomlinson</v>
          </cell>
          <cell r="G2436" t="str">
            <v>Dianna Dragatsi</v>
          </cell>
          <cell r="H2436" t="str">
            <v>(212) 942-8536</v>
          </cell>
          <cell r="J2436" t="str">
            <v>Dragats@nyspi.columbia.edu</v>
          </cell>
          <cell r="K2436" t="str">
            <v>Other Practitioners</v>
          </cell>
          <cell r="L2436" t="str">
            <v>CBO</v>
          </cell>
          <cell r="M2436" t="str">
            <v>No</v>
          </cell>
          <cell r="AC2436" t="str">
            <v>M</v>
          </cell>
          <cell r="AD2436" t="str">
            <v>No</v>
          </cell>
          <cell r="AE2436" t="str">
            <v>No NPI or MMIS</v>
          </cell>
          <cell r="AF2436" t="str">
            <v>nyspi</v>
          </cell>
          <cell r="AG2436" t="str">
            <v>P</v>
          </cell>
        </row>
        <row r="2437">
          <cell r="A2437" t="str">
            <v>1295995892</v>
          </cell>
          <cell r="B2437" t="str">
            <v>03674004</v>
          </cell>
          <cell r="C2437" t="str">
            <v>Dirk Winter, MD</v>
          </cell>
          <cell r="D2437" t="str">
            <v>E0357884</v>
          </cell>
          <cell r="E2437" t="str">
            <v>WINTER DIRK C</v>
          </cell>
          <cell r="G2437" t="str">
            <v>Dianna Dragatsi</v>
          </cell>
          <cell r="H2437" t="str">
            <v>(212) 942-8537</v>
          </cell>
          <cell r="J2437" t="str">
            <v>Dragats@nyspi.columbia.edu</v>
          </cell>
          <cell r="L2437" t="str">
            <v>Practitioner - Non-Primary Care Provider (PCP)</v>
          </cell>
          <cell r="M2437" t="str">
            <v>No</v>
          </cell>
          <cell r="R2437" t="str">
            <v>WINTER DIRK</v>
          </cell>
          <cell r="W2437" t="str">
            <v>WINTER DIRK CHRISTOPHER</v>
          </cell>
          <cell r="X2437" t="str">
            <v>513 W 166TH ST FL 4</v>
          </cell>
          <cell r="Y2437" t="str">
            <v>NEW YORK</v>
          </cell>
          <cell r="Z2437" t="str">
            <v>NY</v>
          </cell>
          <cell r="AA2437" t="str">
            <v>10032-4207</v>
          </cell>
          <cell r="AB2437" t="str">
            <v>PHYSICIAN</v>
          </cell>
          <cell r="AC2437" t="str">
            <v>M</v>
          </cell>
          <cell r="AD2437" t="str">
            <v>No</v>
          </cell>
          <cell r="AE2437" t="str">
            <v>MMIS</v>
          </cell>
          <cell r="AF2437" t="str">
            <v>nyspi</v>
          </cell>
          <cell r="AG2437" t="str">
            <v>P</v>
          </cell>
        </row>
        <row r="2438">
          <cell r="A2438" t="str">
            <v>1710966379</v>
          </cell>
          <cell r="B2438" t="str">
            <v>00312258</v>
          </cell>
          <cell r="C2438" t="str">
            <v xml:space="preserve">MARY MANNING WALSH HOME </v>
          </cell>
          <cell r="D2438" t="str">
            <v>E0267881</v>
          </cell>
          <cell r="E2438" t="str">
            <v>MARY MANNING WALSH NURSING HO</v>
          </cell>
          <cell r="G2438" t="str">
            <v>Eva Eng</v>
          </cell>
          <cell r="H2438" t="str">
            <v>(212) 752-4973</v>
          </cell>
          <cell r="J2438" t="str">
            <v xml:space="preserve">eeng@archcare.org </v>
          </cell>
          <cell r="L2438" t="str">
            <v>Nursing Home</v>
          </cell>
          <cell r="M2438" t="str">
            <v>Yes</v>
          </cell>
          <cell r="R2438" t="str">
            <v>MARY MANNING WALSH NURSING HOME CO INC</v>
          </cell>
          <cell r="W2438" t="str">
            <v>MARY MANNING WALSH NURSING HO</v>
          </cell>
          <cell r="X2438" t="str">
            <v>1339 YORK AVE</v>
          </cell>
          <cell r="Y2438" t="str">
            <v>NEW YORK</v>
          </cell>
          <cell r="Z2438" t="str">
            <v>NY</v>
          </cell>
          <cell r="AA2438" t="str">
            <v>10021-4707</v>
          </cell>
          <cell r="AB2438" t="str">
            <v>LONG TERM CARE FACILITY</v>
          </cell>
          <cell r="AC2438" t="str">
            <v>M</v>
          </cell>
          <cell r="AD2438" t="str">
            <v>No</v>
          </cell>
          <cell r="AE2438" t="str">
            <v>MMIS</v>
          </cell>
          <cell r="AG2438" t="str">
            <v>P</v>
          </cell>
        </row>
        <row r="2439">
          <cell r="A2439" t="str">
            <v>1801920038</v>
          </cell>
          <cell r="B2439" t="str">
            <v>01342552</v>
          </cell>
          <cell r="C2439" t="str">
            <v>ALBERT, DAVID A</v>
          </cell>
          <cell r="D2439" t="str">
            <v>E0165687</v>
          </cell>
          <cell r="E2439" t="str">
            <v>ALBERT DAVID ALAN DDS</v>
          </cell>
          <cell r="G2439" t="str">
            <v>Kathryn Spaziani</v>
          </cell>
          <cell r="H2439" t="str">
            <v>(212) 305-1190</v>
          </cell>
          <cell r="J2439" t="str">
            <v>kas9171@nyp.org</v>
          </cell>
          <cell r="L2439" t="str">
            <v>Practitioner - Non-Primary Care Provider (PCP)</v>
          </cell>
          <cell r="M2439" t="str">
            <v>No</v>
          </cell>
          <cell r="R2439" t="str">
            <v>ALBERT DAVID</v>
          </cell>
          <cell r="W2439" t="str">
            <v>ALBERT DAVID ALAN DDS</v>
          </cell>
          <cell r="X2439" t="str">
            <v>ORAL SURGERY VC7226</v>
          </cell>
          <cell r="Y2439" t="str">
            <v>NEW YORK</v>
          </cell>
          <cell r="Z2439" t="str">
            <v>NY</v>
          </cell>
          <cell r="AA2439" t="str">
            <v>10032-3725</v>
          </cell>
          <cell r="AB2439" t="str">
            <v>DENTIST</v>
          </cell>
          <cell r="AC2439" t="str">
            <v>M</v>
          </cell>
          <cell r="AD2439" t="str">
            <v>No</v>
          </cell>
          <cell r="AE2439" t="str">
            <v>MMIS</v>
          </cell>
          <cell r="AF2439" t="str">
            <v>nypwestacn</v>
          </cell>
          <cell r="AG2439" t="str">
            <v>P</v>
          </cell>
        </row>
        <row r="2440">
          <cell r="A2440" t="str">
            <v>1588844245</v>
          </cell>
          <cell r="B2440" t="str">
            <v>03501131</v>
          </cell>
          <cell r="C2440" t="str">
            <v>ALI, ZIAD A</v>
          </cell>
          <cell r="D2440" t="str">
            <v>E0339696</v>
          </cell>
          <cell r="E2440" t="str">
            <v>ALI ZIAD ANWAR</v>
          </cell>
          <cell r="G2440" t="str">
            <v>Kathryn Spaziani</v>
          </cell>
          <cell r="H2440" t="str">
            <v>(212) 305-1190</v>
          </cell>
          <cell r="J2440" t="str">
            <v>kas9171@nyp.org</v>
          </cell>
          <cell r="L2440" t="str">
            <v>All Other:: Practitioner - Primary Care Provider (PCP)</v>
          </cell>
          <cell r="M2440" t="str">
            <v>No</v>
          </cell>
          <cell r="R2440" t="str">
            <v>ALI ZIAD DR.</v>
          </cell>
          <cell r="W2440" t="str">
            <v>ALI ZIAD ANWAR</v>
          </cell>
          <cell r="X2440" t="str">
            <v>622 W 168TH ST</v>
          </cell>
          <cell r="Y2440" t="str">
            <v>NEW YORK</v>
          </cell>
          <cell r="Z2440" t="str">
            <v>NY</v>
          </cell>
          <cell r="AA2440" t="str">
            <v>10032-3720</v>
          </cell>
          <cell r="AB2440" t="str">
            <v>PHYSICIAN</v>
          </cell>
          <cell r="AC2440" t="str">
            <v>M</v>
          </cell>
          <cell r="AD2440" t="str">
            <v>No</v>
          </cell>
          <cell r="AE2440" t="str">
            <v>MMIS</v>
          </cell>
          <cell r="AF2440" t="str">
            <v>nypwestacn</v>
          </cell>
          <cell r="AG2440" t="str">
            <v>P</v>
          </cell>
        </row>
        <row r="2441">
          <cell r="A2441" t="str">
            <v>1851415632</v>
          </cell>
          <cell r="B2441" t="str">
            <v>02819941</v>
          </cell>
          <cell r="C2441" t="str">
            <v xml:space="preserve">SPANONDIS, CATHERINE </v>
          </cell>
          <cell r="D2441" t="str">
            <v>E0018201</v>
          </cell>
          <cell r="E2441" t="str">
            <v>SPANONDIS CATHERINE</v>
          </cell>
          <cell r="G2441" t="str">
            <v>Kathryn Spaziani</v>
          </cell>
          <cell r="H2441" t="str">
            <v>(212) 305-1190</v>
          </cell>
          <cell r="J2441" t="str">
            <v>kas9171@nyp.org</v>
          </cell>
          <cell r="L2441" t="str">
            <v>All Other:: Practitioner - Primary Care Provider (PCP)</v>
          </cell>
          <cell r="M2441" t="str">
            <v>Yes</v>
          </cell>
          <cell r="R2441" t="str">
            <v>SPANONDIS CATHERINE MS.</v>
          </cell>
          <cell r="W2441" t="str">
            <v>SPANONDIS CATHERINE</v>
          </cell>
          <cell r="X2441" t="str">
            <v>622 W 168TH ST FL 2</v>
          </cell>
          <cell r="Y2441" t="str">
            <v>NEW YORK</v>
          </cell>
          <cell r="Z2441" t="str">
            <v>NY</v>
          </cell>
          <cell r="AA2441" t="str">
            <v>10032-3720</v>
          </cell>
          <cell r="AB2441" t="str">
            <v>PHYSICIAN</v>
          </cell>
          <cell r="AC2441" t="str">
            <v>M</v>
          </cell>
          <cell r="AD2441" t="str">
            <v>No</v>
          </cell>
          <cell r="AE2441" t="str">
            <v>MMIS</v>
          </cell>
          <cell r="AF2441" t="str">
            <v>nypwestcampus</v>
          </cell>
          <cell r="AG2441" t="str">
            <v>P</v>
          </cell>
        </row>
        <row r="2442">
          <cell r="A2442" t="str">
            <v>1770895153</v>
          </cell>
          <cell r="B2442" t="str">
            <v>03461676</v>
          </cell>
          <cell r="C2442" t="str">
            <v>SHAPIRO, SASHA T</v>
          </cell>
          <cell r="D2442" t="str">
            <v>E0335249</v>
          </cell>
          <cell r="E2442" t="str">
            <v>SHAPIRO SASHA</v>
          </cell>
          <cell r="G2442" t="str">
            <v>Kathryn Spaziani</v>
          </cell>
          <cell r="H2442" t="str">
            <v>(212) 305-1190</v>
          </cell>
          <cell r="J2442" t="str">
            <v>kas9171@nyp.org</v>
          </cell>
          <cell r="L2442" t="str">
            <v>Practitioner - Primary Care Provider (PCP)</v>
          </cell>
          <cell r="M2442" t="str">
            <v>No</v>
          </cell>
          <cell r="R2442" t="str">
            <v>SHAPIRO SASHA DR.</v>
          </cell>
          <cell r="W2442" t="str">
            <v>SHAPIRO SASHA</v>
          </cell>
          <cell r="X2442" t="str">
            <v>4781 BROADWAY # 83</v>
          </cell>
          <cell r="Y2442" t="str">
            <v>NEW YORK</v>
          </cell>
          <cell r="Z2442" t="str">
            <v>NY</v>
          </cell>
          <cell r="AA2442" t="str">
            <v>10034-4915</v>
          </cell>
          <cell r="AB2442" t="str">
            <v>PHYSICIAN</v>
          </cell>
          <cell r="AC2442" t="str">
            <v>M</v>
          </cell>
          <cell r="AD2442" t="str">
            <v>No</v>
          </cell>
          <cell r="AE2442" t="str">
            <v>MMIS</v>
          </cell>
          <cell r="AF2442" t="str">
            <v>nypwestcampus</v>
          </cell>
          <cell r="AG2442" t="str">
            <v>P</v>
          </cell>
        </row>
        <row r="2443">
          <cell r="A2443" t="str">
            <v>1780771865</v>
          </cell>
          <cell r="B2443" t="str">
            <v>02134563</v>
          </cell>
          <cell r="C2443" t="str">
            <v>ROACH, KEITH W</v>
          </cell>
          <cell r="D2443" t="str">
            <v>E0086614</v>
          </cell>
          <cell r="E2443" t="str">
            <v>ROACH KEITH MD</v>
          </cell>
          <cell r="G2443" t="str">
            <v>Kathryn Spaziani</v>
          </cell>
          <cell r="H2443" t="str">
            <v>(212) 305-1190</v>
          </cell>
          <cell r="J2443" t="str">
            <v>kas9171@nyp.org</v>
          </cell>
          <cell r="L2443" t="str">
            <v>All Other:: Practitioner - Primary Care Provider (PCP)</v>
          </cell>
          <cell r="M2443" t="str">
            <v>Yes</v>
          </cell>
          <cell r="R2443" t="str">
            <v>ROACH KEITH</v>
          </cell>
          <cell r="W2443" t="str">
            <v>ROACH KEITH MD</v>
          </cell>
          <cell r="X2443" t="str">
            <v>505 E 70TH ST</v>
          </cell>
          <cell r="Y2443" t="str">
            <v>NEW YORK</v>
          </cell>
          <cell r="Z2443" t="str">
            <v>NY</v>
          </cell>
          <cell r="AA2443" t="str">
            <v>10021-4872</v>
          </cell>
          <cell r="AB2443" t="str">
            <v>PHYSICIAN</v>
          </cell>
          <cell r="AC2443" t="str">
            <v>M</v>
          </cell>
          <cell r="AD2443" t="str">
            <v>No</v>
          </cell>
          <cell r="AE2443" t="str">
            <v>MMIS</v>
          </cell>
          <cell r="AF2443" t="str">
            <v>nypeastcampus</v>
          </cell>
          <cell r="AG2443" t="str">
            <v>P</v>
          </cell>
        </row>
        <row r="2444">
          <cell r="A2444" t="str">
            <v>1902914849</v>
          </cell>
          <cell r="B2444" t="str">
            <v>01538563</v>
          </cell>
          <cell r="C2444" t="str">
            <v>WEILL MEDICAL COLLEGE OF CORNELL</v>
          </cell>
          <cell r="D2444" t="str">
            <v>E0146139</v>
          </cell>
          <cell r="E2444" t="str">
            <v>CORNELL NEPHROLOGY ASSOCIATES</v>
          </cell>
          <cell r="L2444" t="str">
            <v>All Other</v>
          </cell>
          <cell r="M2444" t="str">
            <v>No</v>
          </cell>
          <cell r="R2444" t="str">
            <v>WEILL MEDICAL COLLEGE OF CORNELL</v>
          </cell>
          <cell r="W2444" t="str">
            <v>WEILL MEDICAL COLLEGE OF CORNELL</v>
          </cell>
          <cell r="X2444" t="str">
            <v>525 E 68TH ST</v>
          </cell>
          <cell r="Y2444" t="str">
            <v>NEW YORK</v>
          </cell>
          <cell r="Z2444" t="str">
            <v>NY</v>
          </cell>
          <cell r="AA2444" t="str">
            <v>10065-4870</v>
          </cell>
          <cell r="AB2444" t="str">
            <v>PHYSICIANS GROUP</v>
          </cell>
          <cell r="AC2444" t="str">
            <v>M</v>
          </cell>
          <cell r="AD2444" t="str">
            <v>No</v>
          </cell>
          <cell r="AE2444" t="str">
            <v>MMIS</v>
          </cell>
          <cell r="AG2444" t="str">
            <v>P</v>
          </cell>
        </row>
        <row r="2445">
          <cell r="A2445" t="str">
            <v>1932143815</v>
          </cell>
          <cell r="C2445" t="str">
            <v>WEILL MEDICAL COLLEGE OF CORNELL</v>
          </cell>
          <cell r="K2445" t="str">
            <v>All Other</v>
          </cell>
          <cell r="L2445" t="str">
            <v>Uncategorized</v>
          </cell>
          <cell r="M2445" t="str">
            <v>No</v>
          </cell>
          <cell r="R2445" t="str">
            <v>WEILL MEDICAL COLLEGE OF CORNELL</v>
          </cell>
          <cell r="S2445" t="str">
            <v>525 E 68TH ST</v>
          </cell>
          <cell r="T2445" t="str">
            <v>NEW YORK</v>
          </cell>
          <cell r="U2445" t="str">
            <v>NY</v>
          </cell>
          <cell r="V2445" t="str">
            <v>100214870</v>
          </cell>
          <cell r="AC2445" t="str">
            <v>M</v>
          </cell>
          <cell r="AD2445" t="str">
            <v>No</v>
          </cell>
          <cell r="AE2445" t="str">
            <v>NPI only</v>
          </cell>
          <cell r="AG2445" t="str">
            <v>P</v>
          </cell>
        </row>
        <row r="2446">
          <cell r="A2446" t="str">
            <v>1124098686</v>
          </cell>
          <cell r="B2446" t="str">
            <v>02010240</v>
          </cell>
          <cell r="C2446" t="str">
            <v>Craig Herman</v>
          </cell>
          <cell r="D2446" t="str">
            <v>E0099037</v>
          </cell>
          <cell r="E2446" t="str">
            <v>HERMAN CRAIG</v>
          </cell>
          <cell r="L2446" t="str">
            <v>All Other:: Practitioner - Non-Primary Care Provider (PCP)</v>
          </cell>
          <cell r="M2446" t="str">
            <v>No</v>
          </cell>
          <cell r="R2446" t="str">
            <v>HERMAN CRAIG DR.</v>
          </cell>
          <cell r="W2446" t="str">
            <v>HERMAN CRAIG</v>
          </cell>
          <cell r="X2446" t="str">
            <v>1120 MORRIS PARK AVE</v>
          </cell>
          <cell r="Y2446" t="str">
            <v>BRONX</v>
          </cell>
          <cell r="Z2446" t="str">
            <v>NY</v>
          </cell>
          <cell r="AA2446" t="str">
            <v>10461-1400</v>
          </cell>
          <cell r="AB2446" t="str">
            <v>PODIATRIST</v>
          </cell>
          <cell r="AC2446" t="str">
            <v>M</v>
          </cell>
          <cell r="AD2446" t="str">
            <v>No</v>
          </cell>
          <cell r="AE2446" t="str">
            <v>MMIS</v>
          </cell>
          <cell r="AG2446" t="str">
            <v>P</v>
          </cell>
        </row>
        <row r="2447">
          <cell r="A2447" t="str">
            <v>1447347513</v>
          </cell>
          <cell r="B2447" t="str">
            <v>01648457</v>
          </cell>
          <cell r="C2447" t="str">
            <v>Osorio, Snezana N.</v>
          </cell>
          <cell r="D2447" t="str">
            <v>E0135170</v>
          </cell>
          <cell r="E2447" t="str">
            <v>OSORIO SNEZANA NENA</v>
          </cell>
          <cell r="G2447" t="str">
            <v>Kathryn Spaziani</v>
          </cell>
          <cell r="H2447" t="str">
            <v>(212) 305-1190</v>
          </cell>
          <cell r="J2447" t="str">
            <v>kas9171@nyp.org</v>
          </cell>
          <cell r="L2447" t="str">
            <v>Practitioner - Primary Care Provider (PCP)</v>
          </cell>
          <cell r="M2447" t="str">
            <v>No</v>
          </cell>
          <cell r="R2447" t="str">
            <v>OSORIO SNEZANA</v>
          </cell>
          <cell r="W2447" t="str">
            <v>OSORIO SNEZANA NENA</v>
          </cell>
          <cell r="X2447" t="str">
            <v>520 E 70TH ST</v>
          </cell>
          <cell r="Y2447" t="str">
            <v>NEW YORK</v>
          </cell>
          <cell r="Z2447" t="str">
            <v>NY</v>
          </cell>
          <cell r="AA2447" t="str">
            <v>10021-9800</v>
          </cell>
          <cell r="AB2447" t="str">
            <v>PHYSICIAN</v>
          </cell>
          <cell r="AC2447" t="str">
            <v>M</v>
          </cell>
          <cell r="AD2447" t="str">
            <v>No</v>
          </cell>
          <cell r="AE2447" t="str">
            <v>MMIS</v>
          </cell>
          <cell r="AF2447" t="str">
            <v>nypeastcampus</v>
          </cell>
          <cell r="AG2447" t="str">
            <v>P</v>
          </cell>
        </row>
        <row r="2448">
          <cell r="A2448" t="str">
            <v>1457518300</v>
          </cell>
          <cell r="B2448" t="str">
            <v>03227910</v>
          </cell>
          <cell r="C2448" t="str">
            <v>Ono, Jennie G.</v>
          </cell>
          <cell r="D2448" t="str">
            <v>E0307588</v>
          </cell>
          <cell r="E2448" t="str">
            <v>ONO JENNIE G</v>
          </cell>
          <cell r="G2448" t="str">
            <v>Kathryn Spaziani</v>
          </cell>
          <cell r="H2448" t="str">
            <v>(212) 305-1190</v>
          </cell>
          <cell r="J2448" t="str">
            <v>kas9171@nyp.org</v>
          </cell>
          <cell r="L2448" t="str">
            <v>All Other:: Practitioner - Primary Care Provider (PCP)</v>
          </cell>
          <cell r="M2448" t="str">
            <v>Yes</v>
          </cell>
          <cell r="R2448" t="str">
            <v>ONO JENNIE</v>
          </cell>
          <cell r="W2448" t="str">
            <v>ONO JENNIE G</v>
          </cell>
          <cell r="X2448" t="str">
            <v>525 E 68TH STREET</v>
          </cell>
          <cell r="Y2448" t="str">
            <v>NEW YORK CITY</v>
          </cell>
          <cell r="Z2448" t="str">
            <v>NY</v>
          </cell>
          <cell r="AA2448" t="str">
            <v>10021-4780</v>
          </cell>
          <cell r="AB2448" t="str">
            <v>PHYSICIAN</v>
          </cell>
          <cell r="AC2448" t="str">
            <v>M</v>
          </cell>
          <cell r="AD2448" t="str">
            <v>No</v>
          </cell>
          <cell r="AE2448" t="str">
            <v>MMIS</v>
          </cell>
          <cell r="AF2448" t="str">
            <v>nypeastcampus</v>
          </cell>
          <cell r="AG2448" t="str">
            <v>P</v>
          </cell>
        </row>
        <row r="2449">
          <cell r="A2449" t="str">
            <v>1124231014</v>
          </cell>
          <cell r="B2449" t="str">
            <v>01811449</v>
          </cell>
          <cell r="C2449" t="str">
            <v>KURAS, MARK F</v>
          </cell>
          <cell r="D2449" t="str">
            <v>E0118893</v>
          </cell>
          <cell r="E2449" t="str">
            <v>KURAS MARK</v>
          </cell>
          <cell r="G2449" t="str">
            <v>Kathryn Spaziani</v>
          </cell>
          <cell r="H2449" t="str">
            <v>(212) 305-1190</v>
          </cell>
          <cell r="J2449" t="str">
            <v>kas9171@nyp.org</v>
          </cell>
          <cell r="L2449" t="str">
            <v>Practitioner - Non-Primary Care Provider (PCP)</v>
          </cell>
          <cell r="M2449" t="str">
            <v>No</v>
          </cell>
          <cell r="R2449" t="str">
            <v>KURAS MARK</v>
          </cell>
          <cell r="W2449" t="str">
            <v>KURAS MARK</v>
          </cell>
          <cell r="X2449" t="str">
            <v>635 W 165TH ST FL 6</v>
          </cell>
          <cell r="Y2449" t="str">
            <v>NEW YORK</v>
          </cell>
          <cell r="Z2449" t="str">
            <v>NY</v>
          </cell>
          <cell r="AA2449" t="str">
            <v>10032-3724</v>
          </cell>
          <cell r="AB2449" t="str">
            <v>CLINICAL PSYCHOLOGIST</v>
          </cell>
          <cell r="AC2449" t="str">
            <v>M</v>
          </cell>
          <cell r="AD2449" t="str">
            <v>No</v>
          </cell>
          <cell r="AE2449" t="str">
            <v>MMIS</v>
          </cell>
          <cell r="AF2449" t="str">
            <v>nypwestcampus</v>
          </cell>
          <cell r="AG2449" t="str">
            <v>P</v>
          </cell>
        </row>
        <row r="2450">
          <cell r="A2450" t="str">
            <v>1366489700</v>
          </cell>
          <cell r="B2450" t="str">
            <v>02771415</v>
          </cell>
          <cell r="C2450" t="str">
            <v>CHEUNG, JIM W</v>
          </cell>
          <cell r="D2450" t="str">
            <v>E0023051</v>
          </cell>
          <cell r="E2450" t="str">
            <v>CHEUNG JIM WAY MD</v>
          </cell>
          <cell r="G2450" t="str">
            <v>Kathryn Spaziani</v>
          </cell>
          <cell r="H2450" t="str">
            <v>(212) 305-1190</v>
          </cell>
          <cell r="J2450" t="str">
            <v>kas9171@nyp.org</v>
          </cell>
          <cell r="L2450" t="str">
            <v>All Other:: Practitioner - Non-Primary Care Provider (PCP)</v>
          </cell>
          <cell r="M2450" t="str">
            <v>No</v>
          </cell>
          <cell r="R2450" t="str">
            <v>CHEUNG JIM</v>
          </cell>
          <cell r="W2450" t="str">
            <v>CHEUNG JIM WAY MD</v>
          </cell>
          <cell r="X2450" t="str">
            <v>27005 76TH AVE</v>
          </cell>
          <cell r="Y2450" t="str">
            <v>NEW HYDE PARK</v>
          </cell>
          <cell r="Z2450" t="str">
            <v>NY</v>
          </cell>
          <cell r="AA2450" t="str">
            <v>11040-1402</v>
          </cell>
          <cell r="AB2450" t="str">
            <v>PHYSICIAN</v>
          </cell>
          <cell r="AC2450" t="str">
            <v>M</v>
          </cell>
          <cell r="AD2450" t="str">
            <v>No</v>
          </cell>
          <cell r="AE2450" t="str">
            <v>MMIS</v>
          </cell>
          <cell r="AF2450" t="str">
            <v>nypeastacn</v>
          </cell>
          <cell r="AG2450" t="str">
            <v>P</v>
          </cell>
        </row>
        <row r="2451">
          <cell r="A2451" t="str">
            <v>1558590125</v>
          </cell>
          <cell r="B2451" t="str">
            <v>03920207</v>
          </cell>
          <cell r="C2451" t="str">
            <v>Lee Raymond</v>
          </cell>
          <cell r="D2451" t="str">
            <v>E0383188</v>
          </cell>
          <cell r="E2451" t="str">
            <v>LEE RAYMOND</v>
          </cell>
          <cell r="L2451" t="str">
            <v>All Other:: Practitioner - Non-Primary Care Provider (PCP)</v>
          </cell>
          <cell r="M2451" t="str">
            <v>No</v>
          </cell>
          <cell r="R2451" t="str">
            <v>LEE RAYMOND</v>
          </cell>
          <cell r="W2451" t="str">
            <v>LEE RAYMOND</v>
          </cell>
          <cell r="X2451" t="str">
            <v>2315 BROADWAY FRNT 4</v>
          </cell>
          <cell r="Y2451" t="str">
            <v>NEW YORK</v>
          </cell>
          <cell r="Z2451" t="str">
            <v>NY</v>
          </cell>
          <cell r="AA2451" t="str">
            <v>10024-4332</v>
          </cell>
          <cell r="AB2451" t="str">
            <v>PHYSICIAN</v>
          </cell>
          <cell r="AC2451" t="str">
            <v>M</v>
          </cell>
          <cell r="AD2451" t="str">
            <v>No</v>
          </cell>
          <cell r="AE2451" t="str">
            <v>MMIS</v>
          </cell>
          <cell r="AF2451" t="str">
            <v>nypeastcampus</v>
          </cell>
          <cell r="AG2451" t="str">
            <v>P</v>
          </cell>
        </row>
        <row r="2452">
          <cell r="A2452" t="str">
            <v>1659362838</v>
          </cell>
          <cell r="B2452" t="str">
            <v>02833205</v>
          </cell>
          <cell r="C2452" t="str">
            <v>Legasto Alan</v>
          </cell>
          <cell r="D2452" t="str">
            <v>E0016875</v>
          </cell>
          <cell r="E2452" t="str">
            <v>LEGASTO ALAN CLINT MD</v>
          </cell>
          <cell r="L2452" t="str">
            <v>All Other:: Practitioner - Non-Primary Care Provider (PCP)</v>
          </cell>
          <cell r="M2452" t="str">
            <v>Yes</v>
          </cell>
          <cell r="R2452" t="str">
            <v>LEGASTO ALAN DR.</v>
          </cell>
          <cell r="W2452" t="str">
            <v>LEGASTO ALAN CLINT MD</v>
          </cell>
          <cell r="X2452" t="str">
            <v>424 E 89TH ST</v>
          </cell>
          <cell r="Y2452" t="str">
            <v>NEW YORK</v>
          </cell>
          <cell r="Z2452" t="str">
            <v>NY</v>
          </cell>
          <cell r="AA2452" t="str">
            <v>10128-6703</v>
          </cell>
          <cell r="AB2452" t="str">
            <v>PHYSICIAN</v>
          </cell>
          <cell r="AC2452" t="str">
            <v>M</v>
          </cell>
          <cell r="AD2452" t="str">
            <v>No</v>
          </cell>
          <cell r="AE2452" t="str">
            <v>MMIS</v>
          </cell>
          <cell r="AF2452" t="str">
            <v>nypeastcampus</v>
          </cell>
          <cell r="AG2452" t="str">
            <v>P</v>
          </cell>
        </row>
        <row r="2453">
          <cell r="A2453" t="str">
            <v>1609977933</v>
          </cell>
          <cell r="B2453" t="str">
            <v>01502074</v>
          </cell>
          <cell r="C2453" t="str">
            <v>McGinty Geraldine</v>
          </cell>
          <cell r="D2453" t="str">
            <v>E0149781</v>
          </cell>
          <cell r="E2453" t="str">
            <v>MCGINTY GERALDINE MD</v>
          </cell>
          <cell r="L2453" t="str">
            <v>All Other:: Practitioner - Non-Primary Care Provider (PCP)</v>
          </cell>
          <cell r="M2453" t="str">
            <v>No</v>
          </cell>
          <cell r="R2453" t="str">
            <v>MCGINTY GERALDINE</v>
          </cell>
          <cell r="W2453" t="str">
            <v>MCGINTY GERALDINE MD</v>
          </cell>
          <cell r="X2453" t="str">
            <v>765 STEWART AVE</v>
          </cell>
          <cell r="Y2453" t="str">
            <v>GARDEN CITY</v>
          </cell>
          <cell r="Z2453" t="str">
            <v>NY</v>
          </cell>
          <cell r="AA2453" t="str">
            <v>11530-4713</v>
          </cell>
          <cell r="AB2453" t="str">
            <v>PHYSICIAN</v>
          </cell>
          <cell r="AC2453" t="str">
            <v>M</v>
          </cell>
          <cell r="AD2453" t="str">
            <v>No</v>
          </cell>
          <cell r="AE2453" t="str">
            <v>MMIS</v>
          </cell>
          <cell r="AF2453" t="str">
            <v>nypeastcampus</v>
          </cell>
          <cell r="AG2453" t="str">
            <v>P</v>
          </cell>
        </row>
        <row r="2454">
          <cell r="A2454" t="str">
            <v>1184966988</v>
          </cell>
          <cell r="B2454" t="str">
            <v>04002604</v>
          </cell>
          <cell r="C2454" t="str">
            <v>Raddatz Melissa</v>
          </cell>
          <cell r="D2454" t="str">
            <v>E0391723</v>
          </cell>
          <cell r="E2454" t="str">
            <v>RADDATZ MELISSA ANNE</v>
          </cell>
          <cell r="G2454" t="str">
            <v>Kathryn Spaziani</v>
          </cell>
          <cell r="H2454" t="str">
            <v>(212) 305-1255</v>
          </cell>
          <cell r="J2454" t="str">
            <v>kas9171@nyp.org</v>
          </cell>
          <cell r="L2454" t="str">
            <v>Practitioner - Non-Primary Care Provider (PCP)</v>
          </cell>
          <cell r="M2454" t="str">
            <v>No</v>
          </cell>
          <cell r="R2454" t="str">
            <v>RADDATZ MELISSA MS.</v>
          </cell>
          <cell r="W2454" t="str">
            <v>RADDATZ MELISSA ANNE</v>
          </cell>
          <cell r="X2454" t="str">
            <v>525 E 68TH ST # 141</v>
          </cell>
          <cell r="Y2454" t="str">
            <v>NEW YORK</v>
          </cell>
          <cell r="Z2454" t="str">
            <v>NY</v>
          </cell>
          <cell r="AA2454" t="str">
            <v>10065-4870</v>
          </cell>
          <cell r="AB2454" t="str">
            <v>PHYSICIAN</v>
          </cell>
          <cell r="AC2454" t="str">
            <v>M</v>
          </cell>
          <cell r="AD2454" t="str">
            <v>No</v>
          </cell>
          <cell r="AE2454" t="str">
            <v>MMIS</v>
          </cell>
          <cell r="AF2454" t="str">
            <v>nypeastcampus</v>
          </cell>
          <cell r="AG2454" t="str">
            <v>P</v>
          </cell>
        </row>
        <row r="2455">
          <cell r="A2455" t="str">
            <v>1730314030</v>
          </cell>
          <cell r="B2455" t="str">
            <v>03922552</v>
          </cell>
          <cell r="C2455" t="str">
            <v>Syed Shahla</v>
          </cell>
          <cell r="D2455" t="str">
            <v>E0383423</v>
          </cell>
          <cell r="E2455" t="str">
            <v>SYED SHAHLA</v>
          </cell>
          <cell r="L2455" t="str">
            <v>All Other:: Practitioner - Non-Primary Care Provider (PCP)</v>
          </cell>
          <cell r="M2455" t="str">
            <v>No</v>
          </cell>
          <cell r="R2455" t="str">
            <v>SYED SHAHLA</v>
          </cell>
          <cell r="W2455" t="str">
            <v>SYED SHAHLA</v>
          </cell>
          <cell r="X2455" t="str">
            <v>525 E 68TH ST # 141</v>
          </cell>
          <cell r="Y2455" t="str">
            <v>NEW YORK</v>
          </cell>
          <cell r="Z2455" t="str">
            <v>NY</v>
          </cell>
          <cell r="AA2455" t="str">
            <v>10065-4885</v>
          </cell>
          <cell r="AB2455" t="str">
            <v>PHYSICIAN</v>
          </cell>
          <cell r="AC2455" t="str">
            <v>M</v>
          </cell>
          <cell r="AD2455" t="str">
            <v>No</v>
          </cell>
          <cell r="AE2455" t="str">
            <v>MMIS</v>
          </cell>
          <cell r="AG2455" t="str">
            <v>P</v>
          </cell>
        </row>
        <row r="2456">
          <cell r="A2456" t="str">
            <v>1588632012</v>
          </cell>
          <cell r="B2456" t="str">
            <v>03824619</v>
          </cell>
          <cell r="C2456" t="str">
            <v>Truong Quynh</v>
          </cell>
          <cell r="D2456" t="str">
            <v>E0373378</v>
          </cell>
          <cell r="E2456" t="str">
            <v>TROUNG QUYNH ANH</v>
          </cell>
          <cell r="L2456" t="str">
            <v>All Other:: Practitioner - Non-Primary Care Provider (PCP)</v>
          </cell>
          <cell r="M2456" t="str">
            <v>No</v>
          </cell>
          <cell r="R2456" t="str">
            <v>TRUONG QUYNH DR.</v>
          </cell>
          <cell r="W2456" t="str">
            <v>TRUONG QUYNH ANH</v>
          </cell>
          <cell r="X2456" t="str">
            <v>525 E 68TH ST # 141</v>
          </cell>
          <cell r="Y2456" t="str">
            <v>NEW YORK</v>
          </cell>
          <cell r="Z2456" t="str">
            <v>NY</v>
          </cell>
          <cell r="AA2456" t="str">
            <v>10065-4870</v>
          </cell>
          <cell r="AB2456" t="str">
            <v>PHYSICIAN</v>
          </cell>
          <cell r="AC2456" t="str">
            <v>M</v>
          </cell>
          <cell r="AD2456" t="str">
            <v>No</v>
          </cell>
          <cell r="AE2456" t="str">
            <v>MMIS</v>
          </cell>
          <cell r="AF2456" t="str">
            <v>nypeastcampus</v>
          </cell>
          <cell r="AG2456" t="str">
            <v>P</v>
          </cell>
        </row>
        <row r="2457">
          <cell r="A2457" t="str">
            <v>1558520890</v>
          </cell>
          <cell r="B2457" t="str">
            <v>03589411</v>
          </cell>
          <cell r="C2457" t="str">
            <v>Zitrin Jaron</v>
          </cell>
          <cell r="D2457" t="str">
            <v>E0349093</v>
          </cell>
          <cell r="E2457" t="str">
            <v>ZITRIN JARON</v>
          </cell>
          <cell r="L2457" t="str">
            <v>All Other:: Practitioner - Non-Primary Care Provider (PCP)</v>
          </cell>
          <cell r="M2457" t="str">
            <v>No</v>
          </cell>
          <cell r="R2457" t="str">
            <v>ZITRIN JARON DR.</v>
          </cell>
          <cell r="W2457" t="str">
            <v>ZITRIN JARON BENNETT</v>
          </cell>
          <cell r="X2457" t="str">
            <v>1305 YORK AVE FL 3</v>
          </cell>
          <cell r="Y2457" t="str">
            <v>NEW YORK</v>
          </cell>
          <cell r="Z2457" t="str">
            <v>NY</v>
          </cell>
          <cell r="AA2457" t="str">
            <v>10021-5663</v>
          </cell>
          <cell r="AB2457" t="str">
            <v>PHYSICIAN</v>
          </cell>
          <cell r="AC2457" t="str">
            <v>M</v>
          </cell>
          <cell r="AD2457" t="str">
            <v>No</v>
          </cell>
          <cell r="AE2457" t="str">
            <v>MMIS</v>
          </cell>
          <cell r="AF2457" t="str">
            <v>nypeastcampus</v>
          </cell>
          <cell r="AG2457" t="str">
            <v>P</v>
          </cell>
        </row>
        <row r="2458">
          <cell r="A2458" t="str">
            <v>1508154766</v>
          </cell>
          <cell r="C2458" t="str">
            <v>Al Khori Noor</v>
          </cell>
          <cell r="G2458" t="str">
            <v>Kathryn Spaziani</v>
          </cell>
          <cell r="H2458" t="str">
            <v>(212) 305-1255</v>
          </cell>
          <cell r="J2458" t="str">
            <v>kas9171@nyp.org</v>
          </cell>
          <cell r="K2458" t="str">
            <v>Physician</v>
          </cell>
          <cell r="L2458" t="str">
            <v>Uncategorized</v>
          </cell>
          <cell r="M2458" t="str">
            <v>No</v>
          </cell>
          <cell r="R2458" t="str">
            <v>AL KHORI NOOR</v>
          </cell>
          <cell r="S2458" t="str">
            <v>1000 MONROE AVE NW</v>
          </cell>
          <cell r="T2458" t="str">
            <v>GRAND RAPIDS</v>
          </cell>
          <cell r="U2458" t="str">
            <v>MI</v>
          </cell>
          <cell r="V2458" t="str">
            <v>495031455</v>
          </cell>
          <cell r="AC2458" t="str">
            <v>M</v>
          </cell>
          <cell r="AD2458" t="str">
            <v>No</v>
          </cell>
          <cell r="AE2458" t="str">
            <v>NPI only</v>
          </cell>
          <cell r="AF2458" t="str">
            <v>nypeastcampus</v>
          </cell>
          <cell r="AG2458" t="str">
            <v>P</v>
          </cell>
        </row>
        <row r="2459">
          <cell r="C2459" t="str">
            <v>Grif Alexander</v>
          </cell>
          <cell r="G2459" t="str">
            <v>Kathryn Spaziani</v>
          </cell>
          <cell r="H2459" t="str">
            <v>(212) 305-1255</v>
          </cell>
          <cell r="J2459" t="str">
            <v>kas9171@nyp.org</v>
          </cell>
          <cell r="K2459" t="str">
            <v>Physician</v>
          </cell>
          <cell r="L2459" t="str">
            <v>CBO</v>
          </cell>
          <cell r="M2459" t="str">
            <v>No</v>
          </cell>
          <cell r="AC2459" t="str">
            <v>M</v>
          </cell>
          <cell r="AD2459" t="str">
            <v>No</v>
          </cell>
          <cell r="AE2459" t="str">
            <v>No NPI or MMIS</v>
          </cell>
          <cell r="AF2459" t="str">
            <v>nypother</v>
          </cell>
          <cell r="AG2459" t="str">
            <v>P</v>
          </cell>
        </row>
        <row r="2460">
          <cell r="A2460" t="str">
            <v>1194887281</v>
          </cell>
          <cell r="B2460" t="str">
            <v>01761059</v>
          </cell>
          <cell r="C2460" t="str">
            <v>He Cong</v>
          </cell>
          <cell r="D2460" t="str">
            <v>E0123923</v>
          </cell>
          <cell r="E2460" t="str">
            <v>HE CONG MD</v>
          </cell>
          <cell r="L2460" t="str">
            <v>All Other:: Practitioner - Non-Primary Care Provider (PCP)</v>
          </cell>
          <cell r="M2460" t="str">
            <v>Yes</v>
          </cell>
          <cell r="R2460" t="str">
            <v>HE CONG</v>
          </cell>
          <cell r="W2460" t="str">
            <v>HE CONG MD</v>
          </cell>
          <cell r="X2460" t="str">
            <v>170 WILLIAM ST</v>
          </cell>
          <cell r="Y2460" t="str">
            <v>NEW YORK</v>
          </cell>
          <cell r="Z2460" t="str">
            <v>NY</v>
          </cell>
          <cell r="AA2460" t="str">
            <v>10038-2612</v>
          </cell>
          <cell r="AB2460" t="str">
            <v>PHYSICIAN</v>
          </cell>
          <cell r="AC2460" t="str">
            <v>M</v>
          </cell>
          <cell r="AD2460" t="str">
            <v>No</v>
          </cell>
          <cell r="AE2460" t="str">
            <v>MMIS</v>
          </cell>
          <cell r="AG2460" t="str">
            <v>P</v>
          </cell>
        </row>
        <row r="2461">
          <cell r="A2461" t="str">
            <v>1326356643</v>
          </cell>
          <cell r="C2461" t="str">
            <v>Wolk Risa</v>
          </cell>
          <cell r="G2461" t="str">
            <v>Kathryn Spaziani</v>
          </cell>
          <cell r="H2461" t="str">
            <v>(212) 305-1255</v>
          </cell>
          <cell r="J2461" t="str">
            <v>kas9171@nyp.org</v>
          </cell>
          <cell r="K2461" t="str">
            <v>Physician</v>
          </cell>
          <cell r="L2461" t="str">
            <v>Uncategorized</v>
          </cell>
          <cell r="M2461" t="str">
            <v>No</v>
          </cell>
          <cell r="R2461" t="str">
            <v>WOLK RISA</v>
          </cell>
          <cell r="S2461" t="str">
            <v>622 W 168TH ST, PH5-505</v>
          </cell>
          <cell r="T2461" t="str">
            <v>NEW YORK</v>
          </cell>
          <cell r="U2461" t="str">
            <v>NY</v>
          </cell>
          <cell r="V2461" t="str">
            <v>100323720</v>
          </cell>
          <cell r="AC2461" t="str">
            <v>M</v>
          </cell>
          <cell r="AD2461" t="str">
            <v>No</v>
          </cell>
          <cell r="AE2461" t="str">
            <v>NPI only</v>
          </cell>
          <cell r="AF2461" t="str">
            <v>nypwestcampus</v>
          </cell>
          <cell r="AG2461" t="str">
            <v>P</v>
          </cell>
        </row>
        <row r="2462">
          <cell r="A2462" t="str">
            <v>1255674958</v>
          </cell>
          <cell r="C2462" t="str">
            <v>Wong Joshua</v>
          </cell>
          <cell r="G2462" t="str">
            <v>Kathryn Spaziani</v>
          </cell>
          <cell r="H2462" t="str">
            <v>(212) 305-1255</v>
          </cell>
          <cell r="J2462" t="str">
            <v>kas9171@nyp.org</v>
          </cell>
          <cell r="K2462" t="str">
            <v>Physician</v>
          </cell>
          <cell r="L2462" t="str">
            <v>Uncategorized</v>
          </cell>
          <cell r="M2462" t="str">
            <v>No</v>
          </cell>
          <cell r="R2462" t="str">
            <v>WONG JOSHUA DR.</v>
          </cell>
          <cell r="S2462" t="str">
            <v>622 W 168TH ST, PH5-133 STEM</v>
          </cell>
          <cell r="T2462" t="str">
            <v>NEW YORK</v>
          </cell>
          <cell r="U2462" t="str">
            <v>NY</v>
          </cell>
          <cell r="V2462" t="str">
            <v>100323720</v>
          </cell>
          <cell r="AC2462" t="str">
            <v>M</v>
          </cell>
          <cell r="AD2462" t="str">
            <v>No</v>
          </cell>
          <cell r="AE2462" t="str">
            <v>NPI only</v>
          </cell>
          <cell r="AF2462" t="str">
            <v>nypwestcampus</v>
          </cell>
          <cell r="AG2462" t="str">
            <v>P</v>
          </cell>
        </row>
        <row r="2463">
          <cell r="A2463" t="str">
            <v>1043630957</v>
          </cell>
          <cell r="C2463" t="str">
            <v>Yeldandi Swetha</v>
          </cell>
          <cell r="G2463" t="str">
            <v>Kathryn Spaziani</v>
          </cell>
          <cell r="H2463" t="str">
            <v>(212) 305-1255</v>
          </cell>
          <cell r="J2463" t="str">
            <v>kas9171@nyp.org</v>
          </cell>
          <cell r="K2463" t="str">
            <v>Physician</v>
          </cell>
          <cell r="L2463" t="str">
            <v>Uncategorized</v>
          </cell>
          <cell r="M2463" t="str">
            <v>No</v>
          </cell>
          <cell r="R2463" t="str">
            <v>SANGHVI SWETHA</v>
          </cell>
          <cell r="S2463" t="str">
            <v>622 W 168TH ST PH 5-133</v>
          </cell>
          <cell r="T2463" t="str">
            <v>NEW YORK</v>
          </cell>
          <cell r="U2463" t="str">
            <v>NY</v>
          </cell>
          <cell r="V2463" t="str">
            <v>100323720</v>
          </cell>
          <cell r="AC2463" t="str">
            <v>M</v>
          </cell>
          <cell r="AD2463" t="str">
            <v>No</v>
          </cell>
          <cell r="AE2463" t="str">
            <v>NPI only</v>
          </cell>
          <cell r="AF2463" t="str">
            <v>nypwestcampus</v>
          </cell>
          <cell r="AG2463" t="str">
            <v>P</v>
          </cell>
        </row>
        <row r="2464">
          <cell r="A2464" t="str">
            <v>1487072195</v>
          </cell>
          <cell r="C2464" t="str">
            <v>Yen Albert</v>
          </cell>
          <cell r="G2464" t="str">
            <v>Kathryn Spaziani</v>
          </cell>
          <cell r="H2464" t="str">
            <v>(212) 305-1255</v>
          </cell>
          <cell r="J2464" t="str">
            <v>kas9171@nyp.org</v>
          </cell>
          <cell r="K2464" t="str">
            <v>Physician</v>
          </cell>
          <cell r="L2464" t="str">
            <v>Uncategorized</v>
          </cell>
          <cell r="M2464" t="str">
            <v>No</v>
          </cell>
          <cell r="R2464" t="str">
            <v>YEN ALBERT</v>
          </cell>
          <cell r="S2464" t="str">
            <v>622 W 168TH ST PH 5-133</v>
          </cell>
          <cell r="T2464" t="str">
            <v>NEW YORK</v>
          </cell>
          <cell r="U2464" t="str">
            <v>NY</v>
          </cell>
          <cell r="V2464" t="str">
            <v>100323720</v>
          </cell>
          <cell r="AC2464" t="str">
            <v>M</v>
          </cell>
          <cell r="AD2464" t="str">
            <v>No</v>
          </cell>
          <cell r="AE2464" t="str">
            <v>NPI only</v>
          </cell>
          <cell r="AF2464" t="str">
            <v>nypwestcampus</v>
          </cell>
          <cell r="AG2464" t="str">
            <v>P</v>
          </cell>
        </row>
        <row r="2465">
          <cell r="A2465" t="str">
            <v>1356617625</v>
          </cell>
          <cell r="C2465" t="str">
            <v>Miller Lumei</v>
          </cell>
          <cell r="G2465" t="str">
            <v>Kathryn Spaziani</v>
          </cell>
          <cell r="H2465" t="str">
            <v>(212) 305-1255</v>
          </cell>
          <cell r="J2465" t="str">
            <v>kas9171@nyp.org</v>
          </cell>
          <cell r="K2465" t="str">
            <v>Physician</v>
          </cell>
          <cell r="L2465" t="str">
            <v>Uncategorized</v>
          </cell>
          <cell r="M2465" t="str">
            <v>No</v>
          </cell>
          <cell r="R2465" t="str">
            <v>MILLER LUMEI DR.</v>
          </cell>
          <cell r="S2465" t="str">
            <v>5551 CENTRE AVE APT 614</v>
          </cell>
          <cell r="T2465" t="str">
            <v>PITTSBURGH</v>
          </cell>
          <cell r="U2465" t="str">
            <v>PA</v>
          </cell>
          <cell r="V2465" t="str">
            <v>152321260</v>
          </cell>
          <cell r="AC2465" t="str">
            <v>M</v>
          </cell>
          <cell r="AD2465" t="str">
            <v>No</v>
          </cell>
          <cell r="AE2465" t="str">
            <v>NPI only</v>
          </cell>
          <cell r="AF2465" t="str">
            <v>nypwestcampus</v>
          </cell>
          <cell r="AG2465" t="str">
            <v>P</v>
          </cell>
        </row>
        <row r="2466">
          <cell r="A2466" t="str">
            <v>1295026276</v>
          </cell>
          <cell r="C2466" t="str">
            <v>Mohammed Asif</v>
          </cell>
          <cell r="G2466" t="str">
            <v>Kathryn Spaziani</v>
          </cell>
          <cell r="H2466" t="str">
            <v>(212) 305-1255</v>
          </cell>
          <cell r="J2466" t="str">
            <v>kas9171@nyp.org</v>
          </cell>
          <cell r="K2466" t="str">
            <v>Physician</v>
          </cell>
          <cell r="L2466" t="str">
            <v>Uncategorized</v>
          </cell>
          <cell r="M2466" t="str">
            <v>No</v>
          </cell>
          <cell r="R2466" t="str">
            <v>MOHAMMED ASIF DR.</v>
          </cell>
          <cell r="S2466" t="str">
            <v>622 W 168TH ST</v>
          </cell>
          <cell r="T2466" t="str">
            <v>NEW YORK</v>
          </cell>
          <cell r="U2466" t="str">
            <v>NY</v>
          </cell>
          <cell r="V2466" t="str">
            <v>100323720</v>
          </cell>
          <cell r="AC2466" t="str">
            <v>M</v>
          </cell>
          <cell r="AD2466" t="str">
            <v>No</v>
          </cell>
          <cell r="AE2466" t="str">
            <v>NPI only</v>
          </cell>
          <cell r="AF2466" t="str">
            <v>nypother</v>
          </cell>
          <cell r="AG2466" t="str">
            <v>P</v>
          </cell>
        </row>
        <row r="2467">
          <cell r="A2467" t="str">
            <v>1841530458</v>
          </cell>
          <cell r="C2467" t="str">
            <v>Chang Peter</v>
          </cell>
          <cell r="G2467" t="str">
            <v>Kathryn Spaziani</v>
          </cell>
          <cell r="H2467" t="str">
            <v>(212) 305-1255</v>
          </cell>
          <cell r="J2467" t="str">
            <v>kas9171@nyp.org</v>
          </cell>
          <cell r="K2467" t="str">
            <v>Physician</v>
          </cell>
          <cell r="L2467" t="str">
            <v>Uncategorized</v>
          </cell>
          <cell r="M2467" t="str">
            <v>No</v>
          </cell>
          <cell r="R2467" t="str">
            <v>CHANG PETER DR.</v>
          </cell>
          <cell r="S2467" t="str">
            <v>180 FORT WASHINGTON AVE, HARKNESS PAVILLION, ROOM 313</v>
          </cell>
          <cell r="T2467" t="str">
            <v>NEW YORK</v>
          </cell>
          <cell r="U2467" t="str">
            <v>NY</v>
          </cell>
          <cell r="V2467" t="str">
            <v>100323722</v>
          </cell>
          <cell r="AC2467" t="str">
            <v>M</v>
          </cell>
          <cell r="AD2467" t="str">
            <v>No</v>
          </cell>
          <cell r="AE2467" t="str">
            <v>NPI only</v>
          </cell>
          <cell r="AF2467" t="str">
            <v>nypwestcampus</v>
          </cell>
          <cell r="AG2467" t="str">
            <v>P</v>
          </cell>
        </row>
        <row r="2468">
          <cell r="A2468" t="str">
            <v>1609987866</v>
          </cell>
          <cell r="B2468" t="str">
            <v>01216462</v>
          </cell>
          <cell r="C2468" t="str">
            <v>Samuels Jon</v>
          </cell>
          <cell r="D2468" t="str">
            <v>E0178247</v>
          </cell>
          <cell r="E2468" t="str">
            <v>SAMUELS JON D  MD</v>
          </cell>
          <cell r="L2468" t="str">
            <v>All Other:: Practitioner - Non-Primary Care Provider (PCP)</v>
          </cell>
          <cell r="M2468" t="str">
            <v>No</v>
          </cell>
          <cell r="R2468" t="str">
            <v>SAMUELS JON DR.</v>
          </cell>
          <cell r="W2468" t="str">
            <v>SAMUELS JON D  MD</v>
          </cell>
          <cell r="X2468" t="str">
            <v>WYCKOFF HGTS MED CTR</v>
          </cell>
          <cell r="Y2468" t="str">
            <v>BROOKLYN</v>
          </cell>
          <cell r="Z2468" t="str">
            <v>NY</v>
          </cell>
          <cell r="AA2468" t="str">
            <v>11237-4006</v>
          </cell>
          <cell r="AB2468" t="str">
            <v>PHYSICIAN</v>
          </cell>
          <cell r="AC2468" t="str">
            <v>M</v>
          </cell>
          <cell r="AD2468" t="str">
            <v>No</v>
          </cell>
          <cell r="AE2468" t="str">
            <v>MMIS</v>
          </cell>
          <cell r="AF2468" t="str">
            <v>nypeastcampus</v>
          </cell>
          <cell r="AG2468" t="str">
            <v>P</v>
          </cell>
        </row>
        <row r="2469">
          <cell r="A2469" t="str">
            <v>1194769471</v>
          </cell>
          <cell r="B2469" t="str">
            <v>02809227</v>
          </cell>
          <cell r="C2469" t="str">
            <v>Savard Peter</v>
          </cell>
          <cell r="D2469" t="str">
            <v>E0019273</v>
          </cell>
          <cell r="E2469" t="str">
            <v>SAVARD PETER MARC CHOWDHURY</v>
          </cell>
          <cell r="L2469" t="str">
            <v>All Other:: Practitioner - Non-Primary Care Provider (PCP)</v>
          </cell>
          <cell r="M2469" t="str">
            <v>No</v>
          </cell>
          <cell r="R2469" t="str">
            <v>SAVARD PETER DR.</v>
          </cell>
          <cell r="W2469" t="str">
            <v>SAVARD PETER MARC CHOWDHURY</v>
          </cell>
          <cell r="X2469" t="str">
            <v>525 E 68TH ST # 585</v>
          </cell>
          <cell r="Y2469" t="str">
            <v>NEW YORK</v>
          </cell>
          <cell r="Z2469" t="str">
            <v>NY</v>
          </cell>
          <cell r="AA2469" t="str">
            <v>10065-4870</v>
          </cell>
          <cell r="AB2469" t="str">
            <v>PHYSICIAN</v>
          </cell>
          <cell r="AC2469" t="str">
            <v>M</v>
          </cell>
          <cell r="AD2469" t="str">
            <v>No</v>
          </cell>
          <cell r="AE2469" t="str">
            <v>MMIS</v>
          </cell>
          <cell r="AF2469" t="str">
            <v>nypeastcampus</v>
          </cell>
          <cell r="AG2469" t="str">
            <v>P</v>
          </cell>
        </row>
        <row r="2470">
          <cell r="A2470" t="str">
            <v>1922374495</v>
          </cell>
          <cell r="C2470" t="str">
            <v>Belon Craig</v>
          </cell>
          <cell r="G2470" t="str">
            <v>Kathryn Spaziani</v>
          </cell>
          <cell r="H2470" t="str">
            <v>(212) 305-1255</v>
          </cell>
          <cell r="J2470" t="str">
            <v>kas9171@nyp.org</v>
          </cell>
          <cell r="K2470" t="str">
            <v>Physician</v>
          </cell>
          <cell r="L2470" t="str">
            <v>Uncategorized</v>
          </cell>
          <cell r="M2470" t="str">
            <v>No</v>
          </cell>
          <cell r="R2470" t="str">
            <v>BELON CRAIG DR.</v>
          </cell>
          <cell r="S2470" t="str">
            <v>630 W 168TH ST</v>
          </cell>
          <cell r="T2470" t="str">
            <v>NEW YORK</v>
          </cell>
          <cell r="U2470" t="str">
            <v>NY</v>
          </cell>
          <cell r="V2470" t="str">
            <v>100323725</v>
          </cell>
          <cell r="AC2470" t="str">
            <v>M</v>
          </cell>
          <cell r="AD2470" t="str">
            <v>No</v>
          </cell>
          <cell r="AE2470" t="str">
            <v>NPI only</v>
          </cell>
          <cell r="AF2470" t="str">
            <v>nypwestcampus</v>
          </cell>
          <cell r="AG2470" t="str">
            <v>P</v>
          </cell>
        </row>
        <row r="2471">
          <cell r="A2471" t="str">
            <v>1982022661</v>
          </cell>
          <cell r="C2471" t="str">
            <v>Bernstein Kyra</v>
          </cell>
          <cell r="G2471" t="str">
            <v>Kathryn Spaziani</v>
          </cell>
          <cell r="H2471" t="str">
            <v>(212) 305-1255</v>
          </cell>
          <cell r="J2471" t="str">
            <v>kas9171@nyp.org</v>
          </cell>
          <cell r="K2471" t="str">
            <v>Physician</v>
          </cell>
          <cell r="L2471" t="str">
            <v>Uncategorized</v>
          </cell>
          <cell r="M2471" t="str">
            <v>No</v>
          </cell>
          <cell r="R2471" t="str">
            <v>BERNSTEIN KYRA</v>
          </cell>
          <cell r="S2471" t="str">
            <v>622 W 168TH ST, PH5-133</v>
          </cell>
          <cell r="T2471" t="str">
            <v>NEW YORK</v>
          </cell>
          <cell r="U2471" t="str">
            <v>NY</v>
          </cell>
          <cell r="V2471" t="str">
            <v>100323720</v>
          </cell>
          <cell r="AC2471" t="str">
            <v>M</v>
          </cell>
          <cell r="AD2471" t="str">
            <v>No</v>
          </cell>
          <cell r="AE2471" t="str">
            <v>NPI only</v>
          </cell>
          <cell r="AF2471" t="str">
            <v>nypwestcampus</v>
          </cell>
          <cell r="AG2471" t="str">
            <v>P</v>
          </cell>
        </row>
        <row r="2472">
          <cell r="A2472" t="str">
            <v>1467504282</v>
          </cell>
          <cell r="B2472" t="str">
            <v>01782618</v>
          </cell>
          <cell r="C2472" t="str">
            <v>Joshi Shailendra</v>
          </cell>
          <cell r="D2472" t="str">
            <v>E0121769</v>
          </cell>
          <cell r="E2472" t="str">
            <v>JOSHI SHAILENDRA MD</v>
          </cell>
          <cell r="L2472" t="str">
            <v>All Other:: Practitioner - Non-Primary Care Provider (PCP)</v>
          </cell>
          <cell r="M2472" t="str">
            <v>No</v>
          </cell>
          <cell r="R2472" t="str">
            <v>JOSHI SHAILENDRA DR.</v>
          </cell>
          <cell r="W2472" t="str">
            <v>JOSHI SHAILENDRA MD</v>
          </cell>
          <cell r="X2472" t="str">
            <v>ANES SVCS OF CPMC</v>
          </cell>
          <cell r="Y2472" t="str">
            <v>NEW YORK</v>
          </cell>
          <cell r="Z2472" t="str">
            <v>NY</v>
          </cell>
          <cell r="AA2472" t="str">
            <v>10032-3720</v>
          </cell>
          <cell r="AB2472" t="str">
            <v>PHYSICIAN</v>
          </cell>
          <cell r="AC2472" t="str">
            <v>M</v>
          </cell>
          <cell r="AD2472" t="str">
            <v>No</v>
          </cell>
          <cell r="AE2472" t="str">
            <v>MMIS</v>
          </cell>
          <cell r="AF2472" t="str">
            <v>nypwestcampus</v>
          </cell>
          <cell r="AG2472" t="str">
            <v>P</v>
          </cell>
        </row>
        <row r="2473">
          <cell r="A2473" t="str">
            <v>1609023126</v>
          </cell>
          <cell r="B2473" t="str">
            <v>03395044</v>
          </cell>
          <cell r="C2473" t="str">
            <v>Guevara Silvia</v>
          </cell>
          <cell r="D2473" t="str">
            <v>E0327084</v>
          </cell>
          <cell r="E2473" t="str">
            <v>GUEVARA SILVIA ACNP</v>
          </cell>
          <cell r="L2473" t="str">
            <v>Practitioner - Non-Primary Care Provider (PCP)</v>
          </cell>
          <cell r="M2473" t="str">
            <v>No</v>
          </cell>
          <cell r="R2473" t="str">
            <v>GUEVARA SILVIA MRS.</v>
          </cell>
          <cell r="W2473" t="str">
            <v>GUEVARA SILVIA ACNP</v>
          </cell>
          <cell r="X2473" t="str">
            <v>622 W 168TH ST</v>
          </cell>
          <cell r="Y2473" t="str">
            <v>NEW YORK</v>
          </cell>
          <cell r="Z2473" t="str">
            <v>NY</v>
          </cell>
          <cell r="AA2473" t="str">
            <v>10032-3720</v>
          </cell>
          <cell r="AB2473" t="str">
            <v>PHYSICIAN</v>
          </cell>
          <cell r="AC2473" t="str">
            <v>M</v>
          </cell>
          <cell r="AD2473" t="str">
            <v>No</v>
          </cell>
          <cell r="AE2473" t="str">
            <v>MMIS</v>
          </cell>
          <cell r="AF2473" t="str">
            <v>nypwestcampus</v>
          </cell>
          <cell r="AG2473" t="str">
            <v>P</v>
          </cell>
        </row>
        <row r="2474">
          <cell r="A2474" t="str">
            <v>1619121050</v>
          </cell>
          <cell r="B2474" t="str">
            <v>03412062</v>
          </cell>
          <cell r="C2474" t="str">
            <v>Hua May</v>
          </cell>
          <cell r="D2474" t="str">
            <v>E0329221</v>
          </cell>
          <cell r="E2474" t="str">
            <v>HUA MAY S R</v>
          </cell>
          <cell r="L2474" t="str">
            <v>All Other:: Practitioner - Non-Primary Care Provider (PCP)</v>
          </cell>
          <cell r="M2474" t="str">
            <v>No</v>
          </cell>
          <cell r="R2474" t="str">
            <v>HUA MAY</v>
          </cell>
          <cell r="W2474" t="str">
            <v>HUA MAY S R</v>
          </cell>
          <cell r="X2474" t="str">
            <v>622 W 168TH ST</v>
          </cell>
          <cell r="Y2474" t="str">
            <v>NEW YORK</v>
          </cell>
          <cell r="Z2474" t="str">
            <v>NY</v>
          </cell>
          <cell r="AA2474" t="str">
            <v>10032-3720</v>
          </cell>
          <cell r="AB2474" t="str">
            <v>PHYSICIAN</v>
          </cell>
          <cell r="AC2474" t="str">
            <v>M</v>
          </cell>
          <cell r="AD2474" t="str">
            <v>No</v>
          </cell>
          <cell r="AE2474" t="str">
            <v>MMIS</v>
          </cell>
          <cell r="AF2474" t="str">
            <v>nypwestcampus</v>
          </cell>
          <cell r="AG2474" t="str">
            <v>P</v>
          </cell>
        </row>
        <row r="2475">
          <cell r="A2475" t="str">
            <v>1023186194</v>
          </cell>
          <cell r="B2475" t="str">
            <v>02483883</v>
          </cell>
          <cell r="C2475" t="str">
            <v>Huang Mary</v>
          </cell>
          <cell r="D2475" t="str">
            <v>E0051747</v>
          </cell>
          <cell r="E2475" t="str">
            <v>HUANG MARY YAJEN</v>
          </cell>
          <cell r="L2475" t="str">
            <v>Practitioner - Non-Primary Care Provider (PCP)</v>
          </cell>
          <cell r="M2475" t="str">
            <v>No</v>
          </cell>
          <cell r="R2475" t="str">
            <v>HUANG MARY MS.</v>
          </cell>
          <cell r="W2475" t="str">
            <v>HUANG MARY YAJEN</v>
          </cell>
          <cell r="X2475" t="str">
            <v>410 LAKEVILLE RD STE 105</v>
          </cell>
          <cell r="Y2475" t="str">
            <v>NEW HYDE PARK</v>
          </cell>
          <cell r="Z2475" t="str">
            <v>NY</v>
          </cell>
          <cell r="AA2475" t="str">
            <v>11042-1102</v>
          </cell>
          <cell r="AB2475" t="str">
            <v>PHYSICIAN</v>
          </cell>
          <cell r="AC2475" t="str">
            <v>M</v>
          </cell>
          <cell r="AD2475" t="str">
            <v>No</v>
          </cell>
          <cell r="AE2475" t="str">
            <v>MMIS</v>
          </cell>
          <cell r="AG2475" t="str">
            <v>P</v>
          </cell>
        </row>
        <row r="2476">
          <cell r="A2476" t="str">
            <v>1770875023</v>
          </cell>
          <cell r="B2476" t="str">
            <v>04550863</v>
          </cell>
          <cell r="C2476" t="str">
            <v>Vecino Stephanie</v>
          </cell>
          <cell r="D2476" t="str">
            <v>E0447842</v>
          </cell>
          <cell r="E2476" t="str">
            <v>VECINO STEPHANIE MARIE</v>
          </cell>
          <cell r="G2476" t="str">
            <v>Kathryn Spaziani</v>
          </cell>
          <cell r="H2476" t="str">
            <v>(212) 305-1255</v>
          </cell>
          <cell r="J2476" t="str">
            <v>kas9171@nyp.org</v>
          </cell>
          <cell r="L2476" t="str">
            <v>Uncategorized</v>
          </cell>
          <cell r="M2476" t="str">
            <v>No</v>
          </cell>
          <cell r="R2476" t="str">
            <v>VECINO STEPHANIE</v>
          </cell>
          <cell r="W2476" t="str">
            <v>VECINO STEPHANIE MARIE</v>
          </cell>
          <cell r="AB2476" t="str">
            <v>PHYSICIAN</v>
          </cell>
          <cell r="AC2476" t="str">
            <v>M</v>
          </cell>
          <cell r="AD2476" t="str">
            <v>No</v>
          </cell>
          <cell r="AE2476" t="str">
            <v>MMIS</v>
          </cell>
          <cell r="AF2476" t="str">
            <v>nypother</v>
          </cell>
          <cell r="AG2476" t="str">
            <v>P</v>
          </cell>
        </row>
        <row r="2477">
          <cell r="A2477" t="str">
            <v>1417986340</v>
          </cell>
          <cell r="B2477" t="str">
            <v>01741726</v>
          </cell>
          <cell r="C2477" t="str">
            <v>Health Home Program</v>
          </cell>
          <cell r="D2477" t="str">
            <v>E0333589</v>
          </cell>
          <cell r="E2477" t="str">
            <v>UPPER ROOM AIDS MINISTRY AADC</v>
          </cell>
          <cell r="G2477" t="str">
            <v>Crystal Jordan</v>
          </cell>
          <cell r="H2477" t="str">
            <v>(212) 803-2868</v>
          </cell>
          <cell r="J2477" t="str">
            <v>cjordan@harlemunited.org</v>
          </cell>
          <cell r="L2477" t="str">
            <v>All Other:: Clinic</v>
          </cell>
          <cell r="M2477" t="str">
            <v>Yes</v>
          </cell>
          <cell r="R2477" t="str">
            <v>UPPER ROOM AIDS MINISTRY, INC. ADULT DAY HEALTH CARE CENTER.</v>
          </cell>
          <cell r="W2477" t="str">
            <v>UPPER ROOM AIDS MINISTRY AADC</v>
          </cell>
          <cell r="X2477" t="str">
            <v>123-125 W 124TH ST</v>
          </cell>
          <cell r="Y2477" t="str">
            <v>NEW YORK</v>
          </cell>
          <cell r="Z2477" t="str">
            <v>NY</v>
          </cell>
          <cell r="AA2477" t="str">
            <v>10027-4920</v>
          </cell>
          <cell r="AB2477" t="str">
            <v>DIAGNOSTIC AND TREATMENT CENTER</v>
          </cell>
          <cell r="AC2477" t="str">
            <v>M</v>
          </cell>
          <cell r="AD2477" t="str">
            <v>No</v>
          </cell>
          <cell r="AE2477" t="str">
            <v>MMIS</v>
          </cell>
          <cell r="AF2477" t="str">
            <v>harlemunited</v>
          </cell>
          <cell r="AG2477" t="str">
            <v>P</v>
          </cell>
        </row>
        <row r="2478">
          <cell r="A2478" t="str">
            <v>1609087790</v>
          </cell>
          <cell r="B2478" t="str">
            <v>01756596</v>
          </cell>
          <cell r="C2478" t="str">
            <v>Adult Day Healthcare</v>
          </cell>
          <cell r="D2478" t="str">
            <v>E0124369</v>
          </cell>
          <cell r="E2478" t="str">
            <v>HARLEM UNITED COM AIDS CTR AI</v>
          </cell>
          <cell r="G2478" t="str">
            <v>Crystal Jordan</v>
          </cell>
          <cell r="H2478" t="str">
            <v>(212) 803-2869</v>
          </cell>
          <cell r="J2478" t="str">
            <v>cjordan@harlemunited.org</v>
          </cell>
          <cell r="L2478" t="str">
            <v>Case Management / Health Home</v>
          </cell>
          <cell r="M2478" t="str">
            <v>Yes</v>
          </cell>
          <cell r="R2478" t="str">
            <v>HARLEM UNITED COM AIDS CTR AI</v>
          </cell>
          <cell r="W2478" t="str">
            <v>HARLEM UNITED COM AIDS CTR AI</v>
          </cell>
          <cell r="X2478" t="str">
            <v>306 MALCOLM X BLVD</v>
          </cell>
          <cell r="Y2478" t="str">
            <v>NEW YORK</v>
          </cell>
          <cell r="Z2478" t="str">
            <v>NY</v>
          </cell>
          <cell r="AA2478" t="str">
            <v>10027-4465</v>
          </cell>
          <cell r="AB2478" t="str">
            <v>HOME HEALTH AGENCY</v>
          </cell>
          <cell r="AC2478" t="str">
            <v>M</v>
          </cell>
          <cell r="AD2478" t="str">
            <v>No</v>
          </cell>
          <cell r="AE2478" t="str">
            <v>MMIS</v>
          </cell>
          <cell r="AF2478" t="str">
            <v>harlemunited</v>
          </cell>
          <cell r="AG2478" t="str">
            <v>P</v>
          </cell>
        </row>
        <row r="2479">
          <cell r="A2479" t="str">
            <v>1750355434</v>
          </cell>
          <cell r="B2479" t="str">
            <v>01835496</v>
          </cell>
          <cell r="C2479" t="str">
            <v>FUNT, TINA K</v>
          </cell>
          <cell r="D2479" t="str">
            <v>E0116491</v>
          </cell>
          <cell r="E2479" t="str">
            <v>FUNT TINA</v>
          </cell>
          <cell r="G2479" t="str">
            <v>Kathryn Spaziani</v>
          </cell>
          <cell r="H2479" t="str">
            <v>(212) 305-1190</v>
          </cell>
          <cell r="J2479" t="str">
            <v>kas9171@nyp.org</v>
          </cell>
          <cell r="L2479" t="str">
            <v>Practitioner - Non-Primary Care Provider (PCP)</v>
          </cell>
          <cell r="M2479" t="str">
            <v>No</v>
          </cell>
          <cell r="R2479" t="str">
            <v>FUNT TINA</v>
          </cell>
          <cell r="W2479" t="str">
            <v>FUNT TINA</v>
          </cell>
          <cell r="X2479" t="str">
            <v>FUNT TINA</v>
          </cell>
          <cell r="Y2479" t="str">
            <v>GARDEN CITY</v>
          </cell>
          <cell r="Z2479" t="str">
            <v>NY</v>
          </cell>
          <cell r="AA2479" t="str">
            <v>11530-5766</v>
          </cell>
          <cell r="AB2479" t="str">
            <v>PHYSICIAN</v>
          </cell>
          <cell r="AC2479" t="str">
            <v>M</v>
          </cell>
          <cell r="AD2479" t="str">
            <v>No</v>
          </cell>
          <cell r="AE2479" t="str">
            <v>MMIS</v>
          </cell>
          <cell r="AF2479" t="str">
            <v>nypwestacn</v>
          </cell>
          <cell r="AG2479" t="str">
            <v>P</v>
          </cell>
        </row>
        <row r="2480">
          <cell r="A2480" t="str">
            <v>1235442294</v>
          </cell>
          <cell r="C2480" t="str">
            <v>LUPU, ALISSA J</v>
          </cell>
          <cell r="G2480" t="str">
            <v>Kathryn Spaziani</v>
          </cell>
          <cell r="H2480" t="str">
            <v>(212) 305-1190</v>
          </cell>
          <cell r="J2480" t="str">
            <v>kas9171@nyp.org</v>
          </cell>
          <cell r="K2480" t="str">
            <v>Physician</v>
          </cell>
          <cell r="L2480" t="str">
            <v>Uncategorized</v>
          </cell>
          <cell r="M2480" t="str">
            <v>No</v>
          </cell>
          <cell r="R2480" t="str">
            <v>LUPU ALISSA MRS.</v>
          </cell>
          <cell r="S2480" t="str">
            <v>1315 YORK AVE, JAY MONAHAN CENTER</v>
          </cell>
          <cell r="T2480" t="str">
            <v>NEW YORK</v>
          </cell>
          <cell r="U2480" t="str">
            <v>NY</v>
          </cell>
          <cell r="V2480" t="str">
            <v>100215304</v>
          </cell>
          <cell r="AC2480" t="str">
            <v>M</v>
          </cell>
          <cell r="AD2480" t="str">
            <v>No</v>
          </cell>
          <cell r="AE2480" t="str">
            <v>NPI only</v>
          </cell>
          <cell r="AF2480" t="str">
            <v>nypother</v>
          </cell>
          <cell r="AG2480" t="str">
            <v>P</v>
          </cell>
        </row>
        <row r="2481">
          <cell r="A2481" t="str">
            <v>1851364111</v>
          </cell>
          <cell r="B2481" t="str">
            <v>01370805</v>
          </cell>
          <cell r="C2481" t="str">
            <v>LANE-BRADLEY, MARIELLEN M</v>
          </cell>
          <cell r="D2481" t="str">
            <v>E0162872</v>
          </cell>
          <cell r="E2481" t="str">
            <v>LANE MARIELLEN MARGARET  MD</v>
          </cell>
          <cell r="G2481" t="str">
            <v>Kathryn Spaziani</v>
          </cell>
          <cell r="H2481" t="str">
            <v>(212) 305-1190</v>
          </cell>
          <cell r="J2481" t="str">
            <v>kas9171@nyp.org</v>
          </cell>
          <cell r="L2481" t="str">
            <v>All Other:: Practitioner - Primary Care Provider (PCP)</v>
          </cell>
          <cell r="M2481" t="str">
            <v>Yes</v>
          </cell>
          <cell r="R2481" t="str">
            <v>LANE MARIELLEN MR.</v>
          </cell>
          <cell r="W2481" t="str">
            <v>LANE MARIELLEN MARGARET  MD</v>
          </cell>
          <cell r="X2481" t="str">
            <v>3959 BROADWAY</v>
          </cell>
          <cell r="Y2481" t="str">
            <v>NEW YORK</v>
          </cell>
          <cell r="Z2481" t="str">
            <v>NY</v>
          </cell>
          <cell r="AA2481" t="str">
            <v>10032-1559</v>
          </cell>
          <cell r="AB2481" t="str">
            <v>PHYSICIAN</v>
          </cell>
          <cell r="AC2481" t="str">
            <v>M</v>
          </cell>
          <cell r="AD2481" t="str">
            <v>No</v>
          </cell>
          <cell r="AE2481" t="str">
            <v>MMIS</v>
          </cell>
          <cell r="AF2481" t="str">
            <v>nypwestcampus</v>
          </cell>
          <cell r="AG2481" t="str">
            <v>P</v>
          </cell>
        </row>
        <row r="2482">
          <cell r="A2482" t="str">
            <v>1255384236</v>
          </cell>
          <cell r="B2482" t="str">
            <v>02862811</v>
          </cell>
          <cell r="C2482" t="str">
            <v>ANGEVINE, PETER D</v>
          </cell>
          <cell r="D2482" t="str">
            <v>E0013917</v>
          </cell>
          <cell r="E2482" t="str">
            <v>ANGEVINE PETER MD</v>
          </cell>
          <cell r="G2482" t="str">
            <v>Kathryn Spaziani</v>
          </cell>
          <cell r="H2482" t="str">
            <v>(212) 305-1190</v>
          </cell>
          <cell r="J2482" t="str">
            <v>kas9171@nyp.org</v>
          </cell>
          <cell r="L2482" t="str">
            <v>Practitioner - Non-Primary Care Provider (PCP)</v>
          </cell>
          <cell r="M2482" t="str">
            <v>No</v>
          </cell>
          <cell r="R2482" t="str">
            <v>ANGEVINE PETER</v>
          </cell>
          <cell r="W2482" t="str">
            <v>ANGEVINE PETER MD</v>
          </cell>
          <cell r="X2482" t="str">
            <v>710 W 168TH ST</v>
          </cell>
          <cell r="Y2482" t="str">
            <v>NEW YORK</v>
          </cell>
          <cell r="Z2482" t="str">
            <v>NY</v>
          </cell>
          <cell r="AA2482" t="str">
            <v>10032-3726</v>
          </cell>
          <cell r="AB2482" t="str">
            <v>PHYSICIAN</v>
          </cell>
          <cell r="AC2482" t="str">
            <v>M</v>
          </cell>
          <cell r="AD2482" t="str">
            <v>No</v>
          </cell>
          <cell r="AE2482" t="str">
            <v>MMIS</v>
          </cell>
          <cell r="AF2482" t="str">
            <v>nypwestacn</v>
          </cell>
          <cell r="AG2482" t="str">
            <v>P</v>
          </cell>
        </row>
        <row r="2483">
          <cell r="A2483" t="str">
            <v>1083750061</v>
          </cell>
          <cell r="B2483" t="str">
            <v>02099998</v>
          </cell>
          <cell r="C2483" t="str">
            <v>VAAMONDE, CARLOS M</v>
          </cell>
          <cell r="D2483" t="str">
            <v>E0090069</v>
          </cell>
          <cell r="E2483" t="str">
            <v>VAAMONDE CARLOS MARTIN MD</v>
          </cell>
          <cell r="G2483" t="str">
            <v>Kathryn Spaziani</v>
          </cell>
          <cell r="H2483" t="str">
            <v>(212) 305-1190</v>
          </cell>
          <cell r="J2483" t="str">
            <v>kas9171@nyp.org</v>
          </cell>
          <cell r="L2483" t="str">
            <v>All Other:: Practitioner - Primary Care Provider (PCP)</v>
          </cell>
          <cell r="M2483" t="str">
            <v>Yes</v>
          </cell>
          <cell r="R2483" t="str">
            <v>VAAMONDE CARLOS DR.</v>
          </cell>
          <cell r="W2483" t="str">
            <v>VAAMONDE CARLOS MARTIN</v>
          </cell>
          <cell r="X2483" t="str">
            <v>CSS F24</v>
          </cell>
          <cell r="Y2483" t="str">
            <v>NEW YORK</v>
          </cell>
          <cell r="Z2483" t="str">
            <v>NY</v>
          </cell>
          <cell r="AA2483" t="str">
            <v>10065-4870</v>
          </cell>
          <cell r="AB2483" t="str">
            <v>PHYSICIAN</v>
          </cell>
          <cell r="AC2483" t="str">
            <v>M</v>
          </cell>
          <cell r="AD2483" t="str">
            <v>No</v>
          </cell>
          <cell r="AE2483" t="str">
            <v>MMIS</v>
          </cell>
          <cell r="AF2483" t="str">
            <v>nypeastcampus</v>
          </cell>
          <cell r="AG2483" t="str">
            <v>P</v>
          </cell>
        </row>
        <row r="2484">
          <cell r="A2484" t="str">
            <v>1083751739</v>
          </cell>
          <cell r="B2484" t="str">
            <v>01749935</v>
          </cell>
          <cell r="C2484" t="str">
            <v xml:space="preserve">JONES, SIAN </v>
          </cell>
          <cell r="D2484" t="str">
            <v>E0125033</v>
          </cell>
          <cell r="E2484" t="str">
            <v>JONES SIAN MD</v>
          </cell>
          <cell r="G2484" t="str">
            <v>Kathryn Spaziani</v>
          </cell>
          <cell r="H2484" t="str">
            <v>(212) 305-1190</v>
          </cell>
          <cell r="J2484" t="str">
            <v>kas9171@nyp.org</v>
          </cell>
          <cell r="L2484" t="str">
            <v>All Other:: Practitioner - Primary Care Provider (PCP)</v>
          </cell>
          <cell r="M2484" t="str">
            <v>Yes</v>
          </cell>
          <cell r="R2484" t="str">
            <v>JONES SIAN</v>
          </cell>
          <cell r="W2484" t="str">
            <v>JONES SIAN MD</v>
          </cell>
          <cell r="Y2484" t="str">
            <v>NEW YORK</v>
          </cell>
          <cell r="Z2484" t="str">
            <v>NY</v>
          </cell>
          <cell r="AA2484" t="str">
            <v>10029-6500</v>
          </cell>
          <cell r="AB2484" t="str">
            <v>PHYSICIAN</v>
          </cell>
          <cell r="AC2484" t="str">
            <v>M</v>
          </cell>
          <cell r="AD2484" t="str">
            <v>No</v>
          </cell>
          <cell r="AE2484" t="str">
            <v>MMIS</v>
          </cell>
          <cell r="AF2484" t="str">
            <v>nypeastacn</v>
          </cell>
          <cell r="AG2484" t="str">
            <v>P</v>
          </cell>
        </row>
        <row r="2485">
          <cell r="A2485" t="str">
            <v>1871795732</v>
          </cell>
          <cell r="B2485" t="str">
            <v>02990572</v>
          </cell>
          <cell r="C2485" t="str">
            <v>LEUNG, DENISE F</v>
          </cell>
          <cell r="D2485" t="str">
            <v>E0007639</v>
          </cell>
          <cell r="E2485" t="str">
            <v>LEUNG DENISE</v>
          </cell>
          <cell r="G2485" t="str">
            <v>Kathryn Spaziani</v>
          </cell>
          <cell r="H2485" t="str">
            <v>(212) 305-1190</v>
          </cell>
          <cell r="J2485" t="str">
            <v>kas9171@nyp.org</v>
          </cell>
          <cell r="L2485" t="str">
            <v>Mental Health:: Practitioner - Non-Primary Care Provider (PCP)</v>
          </cell>
          <cell r="M2485" t="str">
            <v>No</v>
          </cell>
          <cell r="R2485" t="str">
            <v>LEUNG DENISE DR.</v>
          </cell>
          <cell r="W2485" t="str">
            <v>LEUNG DENISE MD</v>
          </cell>
          <cell r="X2485" t="str">
            <v>506 LENOX AVE MLK 17-107</v>
          </cell>
          <cell r="Y2485" t="str">
            <v>NEW YORK</v>
          </cell>
          <cell r="Z2485" t="str">
            <v>NY</v>
          </cell>
          <cell r="AA2485" t="str">
            <v>10032-1802</v>
          </cell>
          <cell r="AB2485" t="str">
            <v>PHYSICIAN</v>
          </cell>
          <cell r="AC2485" t="str">
            <v>M</v>
          </cell>
          <cell r="AD2485" t="str">
            <v>No</v>
          </cell>
          <cell r="AE2485" t="str">
            <v>MMIS</v>
          </cell>
          <cell r="AF2485" t="str">
            <v>nypwestcampus</v>
          </cell>
          <cell r="AG2485" t="str">
            <v>P</v>
          </cell>
        </row>
        <row r="2486">
          <cell r="A2486" t="str">
            <v>1629173414</v>
          </cell>
          <cell r="B2486" t="str">
            <v>02867352</v>
          </cell>
          <cell r="C2486" t="str">
            <v>MORAN, ANDREW E</v>
          </cell>
          <cell r="D2486" t="str">
            <v>E0013465</v>
          </cell>
          <cell r="E2486" t="str">
            <v>MORAN ANDREW EDWARD MD</v>
          </cell>
          <cell r="G2486" t="str">
            <v>Kathryn Spaziani</v>
          </cell>
          <cell r="H2486" t="str">
            <v>(212) 305-1190</v>
          </cell>
          <cell r="J2486" t="str">
            <v>kas9171@nyp.org</v>
          </cell>
          <cell r="L2486" t="str">
            <v>Practitioner - Primary Care Provider (PCP)</v>
          </cell>
          <cell r="M2486" t="str">
            <v>Yes</v>
          </cell>
          <cell r="R2486" t="str">
            <v>MORAN ANDREW DR.</v>
          </cell>
          <cell r="W2486" t="str">
            <v>MORAN ANDREW EDWARD MD</v>
          </cell>
          <cell r="X2486" t="str">
            <v>622 W 168TH ST</v>
          </cell>
          <cell r="Y2486" t="str">
            <v>NEW YORK</v>
          </cell>
          <cell r="Z2486" t="str">
            <v>NY</v>
          </cell>
          <cell r="AA2486" t="str">
            <v>10032-3720</v>
          </cell>
          <cell r="AB2486" t="str">
            <v>PHYSICIAN</v>
          </cell>
          <cell r="AC2486" t="str">
            <v>M</v>
          </cell>
          <cell r="AD2486" t="str">
            <v>No</v>
          </cell>
          <cell r="AE2486" t="str">
            <v>MMIS</v>
          </cell>
          <cell r="AF2486" t="str">
            <v>nypwestcampus</v>
          </cell>
          <cell r="AG2486" t="str">
            <v>P</v>
          </cell>
        </row>
        <row r="2487">
          <cell r="A2487" t="str">
            <v>1780809517</v>
          </cell>
          <cell r="B2487" t="str">
            <v>02973628</v>
          </cell>
          <cell r="C2487" t="str">
            <v>SIDDIQUE, MUSTAQ A</v>
          </cell>
          <cell r="D2487" t="str">
            <v>E0005867</v>
          </cell>
          <cell r="E2487" t="str">
            <v>SIDDIQUE MUSTAQ A</v>
          </cell>
          <cell r="G2487" t="str">
            <v>Kathryn Spaziani</v>
          </cell>
          <cell r="H2487" t="str">
            <v>(212) 305-1190</v>
          </cell>
          <cell r="J2487" t="str">
            <v>kas9171@nyp.org</v>
          </cell>
          <cell r="L2487" t="str">
            <v>Mental Health:: Practitioner - Non-Primary Care Provider (PCP)</v>
          </cell>
          <cell r="M2487" t="str">
            <v>No</v>
          </cell>
          <cell r="R2487" t="str">
            <v>SIDDIQUE MUSTAQ DR.</v>
          </cell>
          <cell r="W2487" t="str">
            <v>SIDDIQUE MUSTAQ A</v>
          </cell>
          <cell r="X2487" t="str">
            <v>3959 BROADWAY FL 6</v>
          </cell>
          <cell r="Y2487" t="str">
            <v>NEW YORK</v>
          </cell>
          <cell r="Z2487" t="str">
            <v>NY</v>
          </cell>
          <cell r="AA2487" t="str">
            <v>10032-1559</v>
          </cell>
          <cell r="AB2487" t="str">
            <v>PHYSICIAN</v>
          </cell>
          <cell r="AC2487" t="str">
            <v>M</v>
          </cell>
          <cell r="AD2487" t="str">
            <v>No</v>
          </cell>
          <cell r="AE2487" t="str">
            <v>MMIS</v>
          </cell>
          <cell r="AF2487" t="str">
            <v>nypwestcampus</v>
          </cell>
          <cell r="AG2487" t="str">
            <v>P</v>
          </cell>
        </row>
        <row r="2488">
          <cell r="A2488" t="str">
            <v>1437470531</v>
          </cell>
          <cell r="B2488" t="str">
            <v>03688460</v>
          </cell>
          <cell r="C2488" t="str">
            <v>Keown, Mary</v>
          </cell>
          <cell r="D2488" t="str">
            <v>E0359338</v>
          </cell>
          <cell r="E2488" t="str">
            <v>KEOWN MARY</v>
          </cell>
          <cell r="G2488" t="str">
            <v>Kathryn Spaziani</v>
          </cell>
          <cell r="H2488" t="str">
            <v>(212) 305-1190</v>
          </cell>
          <cell r="J2488" t="str">
            <v>kas9171@nyp.org</v>
          </cell>
          <cell r="L2488" t="str">
            <v>Practitioner - Non-Primary Care Provider (PCP)</v>
          </cell>
          <cell r="M2488" t="str">
            <v>No</v>
          </cell>
          <cell r="R2488" t="str">
            <v>KEOWN MARY</v>
          </cell>
          <cell r="W2488" t="str">
            <v>KEOWN MARY KATHLEEN</v>
          </cell>
          <cell r="X2488" t="str">
            <v>525 E 68TH ST</v>
          </cell>
          <cell r="Y2488" t="str">
            <v>NEW YORK</v>
          </cell>
          <cell r="Z2488" t="str">
            <v>NY</v>
          </cell>
          <cell r="AA2488" t="str">
            <v>10065-4885</v>
          </cell>
          <cell r="AB2488" t="str">
            <v>PHYSICIAN</v>
          </cell>
          <cell r="AC2488" t="str">
            <v>M</v>
          </cell>
          <cell r="AD2488" t="str">
            <v>No</v>
          </cell>
          <cell r="AE2488" t="str">
            <v>MMIS</v>
          </cell>
          <cell r="AF2488" t="str">
            <v>nypeastcampus</v>
          </cell>
          <cell r="AG2488" t="str">
            <v>P</v>
          </cell>
        </row>
        <row r="2489">
          <cell r="A2489" t="str">
            <v>1407933195</v>
          </cell>
          <cell r="B2489" t="str">
            <v>01441212</v>
          </cell>
          <cell r="C2489" t="str">
            <v>DIMANGO, EMILY A</v>
          </cell>
          <cell r="D2489" t="str">
            <v>E0155855</v>
          </cell>
          <cell r="E2489" t="str">
            <v>DIMANGO EMILY MD</v>
          </cell>
          <cell r="G2489" t="str">
            <v>Kathryn Spaziani</v>
          </cell>
          <cell r="H2489" t="str">
            <v>(212) 305-1190</v>
          </cell>
          <cell r="J2489" t="str">
            <v>kas9171@nyp.org</v>
          </cell>
          <cell r="L2489" t="str">
            <v>All Other:: Practitioner - Primary Care Provider (PCP)</v>
          </cell>
          <cell r="M2489" t="str">
            <v>No</v>
          </cell>
          <cell r="R2489" t="str">
            <v>DIMANGO EMILY DR.</v>
          </cell>
          <cell r="W2489" t="str">
            <v>DIMANGO EMILY MD</v>
          </cell>
          <cell r="Y2489" t="str">
            <v>NEW YORK</v>
          </cell>
          <cell r="Z2489" t="str">
            <v>NY</v>
          </cell>
          <cell r="AA2489" t="str">
            <v>10032-3725</v>
          </cell>
          <cell r="AB2489" t="str">
            <v>PHYSICIAN</v>
          </cell>
          <cell r="AC2489" t="str">
            <v>M</v>
          </cell>
          <cell r="AD2489" t="str">
            <v>No</v>
          </cell>
          <cell r="AE2489" t="str">
            <v>MMIS</v>
          </cell>
          <cell r="AF2489" t="str">
            <v>nypwestacn</v>
          </cell>
          <cell r="AG2489" t="str">
            <v>P</v>
          </cell>
        </row>
        <row r="2490">
          <cell r="A2490" t="str">
            <v>1336475128</v>
          </cell>
          <cell r="B2490" t="str">
            <v>03375091</v>
          </cell>
          <cell r="C2490" t="str">
            <v>RHETT, DONYA V</v>
          </cell>
          <cell r="D2490" t="str">
            <v>E0324439</v>
          </cell>
          <cell r="E2490" t="str">
            <v>RHETT DONYA</v>
          </cell>
          <cell r="G2490" t="str">
            <v>Kathryn Spaziani</v>
          </cell>
          <cell r="H2490" t="str">
            <v>(212) 305-1190</v>
          </cell>
          <cell r="J2490" t="str">
            <v>kas9171@nyp.org</v>
          </cell>
          <cell r="L2490" t="str">
            <v>Practitioner - Non-Primary Care Provider (PCP)</v>
          </cell>
          <cell r="M2490" t="str">
            <v>No</v>
          </cell>
          <cell r="R2490" t="str">
            <v>RHETT DONYA DR.</v>
          </cell>
          <cell r="W2490" t="str">
            <v>RHETT DONYA</v>
          </cell>
          <cell r="X2490" t="str">
            <v>6 EDGECOMBE AVE</v>
          </cell>
          <cell r="Y2490" t="str">
            <v>NEW YORK</v>
          </cell>
          <cell r="Z2490" t="str">
            <v>NY</v>
          </cell>
          <cell r="AA2490" t="str">
            <v>10030-2432</v>
          </cell>
          <cell r="AB2490" t="str">
            <v>CLINICAL PSYCHOLOGIST</v>
          </cell>
          <cell r="AC2490" t="str">
            <v>M</v>
          </cell>
          <cell r="AD2490" t="str">
            <v>No</v>
          </cell>
          <cell r="AE2490" t="str">
            <v>MMIS</v>
          </cell>
          <cell r="AF2490" t="str">
            <v>nypwestcampus</v>
          </cell>
          <cell r="AG2490" t="str">
            <v>P</v>
          </cell>
        </row>
        <row r="2491">
          <cell r="A2491" t="str">
            <v>1790879146</v>
          </cell>
          <cell r="B2491" t="str">
            <v>00313548</v>
          </cell>
          <cell r="C2491" t="str">
            <v>Methodist Home for Nursing and Rehabilitation</v>
          </cell>
          <cell r="D2491" t="str">
            <v>E0267754</v>
          </cell>
          <cell r="E2491" t="str">
            <v>METHODIST CHURCH HOME FOR THE</v>
          </cell>
          <cell r="G2491" t="str">
            <v>Maria Perez</v>
          </cell>
          <cell r="H2491" t="str">
            <v>(718) 732-7110</v>
          </cell>
          <cell r="J2491" t="str">
            <v>mperez@mchny.org</v>
          </cell>
          <cell r="L2491" t="str">
            <v>All Other:: Nursing Home</v>
          </cell>
          <cell r="M2491" t="str">
            <v>Yes</v>
          </cell>
          <cell r="R2491" t="str">
            <v>METHODIST CHURCH HOME FOR THE AGED IN THE CITY OF NEW YORK</v>
          </cell>
          <cell r="W2491" t="str">
            <v>METHODIST HOME FOR NURSING &amp; REHAB</v>
          </cell>
          <cell r="X2491" t="str">
            <v>4499 MANHATTAN COLLEGE PKWY</v>
          </cell>
          <cell r="Y2491" t="str">
            <v>BRONX</v>
          </cell>
          <cell r="Z2491" t="str">
            <v>NY</v>
          </cell>
          <cell r="AA2491" t="str">
            <v>10471-3919</v>
          </cell>
          <cell r="AB2491" t="str">
            <v>LONG TERM CARE FACILITY</v>
          </cell>
          <cell r="AC2491" t="str">
            <v>M</v>
          </cell>
          <cell r="AD2491" t="str">
            <v>No</v>
          </cell>
          <cell r="AE2491" t="str">
            <v>MMIS</v>
          </cell>
          <cell r="AG2491" t="str">
            <v>P</v>
          </cell>
        </row>
        <row r="2492">
          <cell r="A2492" t="str">
            <v>1710067368</v>
          </cell>
          <cell r="B2492" t="str">
            <v>02661952</v>
          </cell>
          <cell r="C2492" t="str">
            <v>Min James</v>
          </cell>
          <cell r="D2492" t="str">
            <v>E0033974</v>
          </cell>
          <cell r="E2492" t="str">
            <v>MIN JAMES K MD</v>
          </cell>
          <cell r="L2492" t="str">
            <v>All Other:: Practitioner - Non-Primary Care Provider (PCP)</v>
          </cell>
          <cell r="M2492" t="str">
            <v>No</v>
          </cell>
          <cell r="R2492" t="str">
            <v>MIN JAMES</v>
          </cell>
          <cell r="W2492" t="str">
            <v>MIN JAMES K MD</v>
          </cell>
          <cell r="X2492" t="str">
            <v>520 E 70TH ST</v>
          </cell>
          <cell r="Y2492" t="str">
            <v>NEW YORK</v>
          </cell>
          <cell r="Z2492" t="str">
            <v>NY</v>
          </cell>
          <cell r="AA2492" t="str">
            <v>10021-9800</v>
          </cell>
          <cell r="AB2492" t="str">
            <v>PHYSICIAN</v>
          </cell>
          <cell r="AC2492" t="str">
            <v>M</v>
          </cell>
          <cell r="AD2492" t="str">
            <v>No</v>
          </cell>
          <cell r="AE2492" t="str">
            <v>MMIS</v>
          </cell>
          <cell r="AF2492" t="str">
            <v>nypeastcampus</v>
          </cell>
          <cell r="AG2492" t="str">
            <v>P</v>
          </cell>
        </row>
        <row r="2493">
          <cell r="A2493" t="str">
            <v>1699928788</v>
          </cell>
          <cell r="B2493" t="str">
            <v>03108192</v>
          </cell>
          <cell r="C2493" t="str">
            <v>FUCHS, KARIN M</v>
          </cell>
          <cell r="D2493" t="str">
            <v>E0294012</v>
          </cell>
          <cell r="E2493" t="str">
            <v>FUCHS KARIN</v>
          </cell>
          <cell r="G2493" t="str">
            <v>Kathryn Spaziani</v>
          </cell>
          <cell r="H2493" t="str">
            <v>(212) 305-1190</v>
          </cell>
          <cell r="J2493" t="str">
            <v>kas9171@nyp.org</v>
          </cell>
          <cell r="L2493" t="str">
            <v>All Other:: Practitioner - Non-Primary Care Provider (PCP)</v>
          </cell>
          <cell r="M2493" t="str">
            <v>Yes</v>
          </cell>
          <cell r="R2493" t="str">
            <v>FUCHS KARIN DR.</v>
          </cell>
          <cell r="W2493" t="str">
            <v>FUCHS KARIN MARTINA</v>
          </cell>
          <cell r="X2493" t="str">
            <v>622 WEST 168TH ST</v>
          </cell>
          <cell r="Y2493" t="str">
            <v>NEW YORK</v>
          </cell>
          <cell r="Z2493" t="str">
            <v>NY</v>
          </cell>
          <cell r="AA2493" t="str">
            <v>10032-3720</v>
          </cell>
          <cell r="AB2493" t="str">
            <v>PHYSICIAN</v>
          </cell>
          <cell r="AC2493" t="str">
            <v>M</v>
          </cell>
          <cell r="AD2493" t="str">
            <v>No</v>
          </cell>
          <cell r="AE2493" t="str">
            <v>MMIS</v>
          </cell>
          <cell r="AF2493" t="str">
            <v>nypwestacn</v>
          </cell>
          <cell r="AG2493" t="str">
            <v>P</v>
          </cell>
        </row>
        <row r="2494">
          <cell r="A2494" t="str">
            <v>1003842618</v>
          </cell>
          <cell r="B2494" t="str">
            <v>03918632</v>
          </cell>
          <cell r="C2494" t="str">
            <v xml:space="preserve">MIKKILINENI, RADHA </v>
          </cell>
          <cell r="D2494" t="str">
            <v>E0383031</v>
          </cell>
          <cell r="E2494" t="str">
            <v>MIKKILINENI RADHA</v>
          </cell>
          <cell r="G2494" t="str">
            <v>Kathryn Spaziani</v>
          </cell>
          <cell r="H2494" t="str">
            <v>(212) 305-1190</v>
          </cell>
          <cell r="J2494" t="str">
            <v>kas9171@nyp.org</v>
          </cell>
          <cell r="L2494" t="str">
            <v>All Other:: Practitioner - Non-Primary Care Provider (PCP)</v>
          </cell>
          <cell r="M2494" t="str">
            <v>No</v>
          </cell>
          <cell r="R2494" t="str">
            <v>MIKKILINENI RADHA DR.</v>
          </cell>
          <cell r="W2494" t="str">
            <v>MIKKILINENI RADHA</v>
          </cell>
          <cell r="X2494" t="str">
            <v>161 FORT WASHINGTON AVE</v>
          </cell>
          <cell r="Y2494" t="str">
            <v>NEW YORK</v>
          </cell>
          <cell r="Z2494" t="str">
            <v>NY</v>
          </cell>
          <cell r="AA2494" t="str">
            <v>10032-3729</v>
          </cell>
          <cell r="AB2494" t="str">
            <v>PHYSICIAN</v>
          </cell>
          <cell r="AC2494" t="str">
            <v>M</v>
          </cell>
          <cell r="AD2494" t="str">
            <v>No</v>
          </cell>
          <cell r="AE2494" t="str">
            <v>MMIS</v>
          </cell>
          <cell r="AF2494" t="str">
            <v>nypwestcampus</v>
          </cell>
          <cell r="AG2494" t="str">
            <v>P</v>
          </cell>
        </row>
        <row r="2495">
          <cell r="A2495" t="str">
            <v>1023104023</v>
          </cell>
          <cell r="B2495" t="str">
            <v>02294053</v>
          </cell>
          <cell r="C2495" t="str">
            <v xml:space="preserve">NICOLAIDES, ALEXANDER </v>
          </cell>
          <cell r="D2495" t="str">
            <v>E0070695</v>
          </cell>
          <cell r="E2495" t="str">
            <v>NICOLAIDES ALEXANDER</v>
          </cell>
          <cell r="G2495" t="str">
            <v>Kathryn Spaziani</v>
          </cell>
          <cell r="H2495" t="str">
            <v>(212) 305-1190</v>
          </cell>
          <cell r="J2495" t="str">
            <v>kas9171@nyp.org</v>
          </cell>
          <cell r="L2495" t="str">
            <v>All Other:: Practitioner - Non-Primary Care Provider (PCP)</v>
          </cell>
          <cell r="M2495" t="str">
            <v>No</v>
          </cell>
          <cell r="R2495" t="str">
            <v>NICOLAIDES ALEXANDER</v>
          </cell>
          <cell r="W2495" t="str">
            <v>NICOLAIDES ALEXANDER</v>
          </cell>
          <cell r="X2495" t="str">
            <v>SLRHC DERMATOLOGY</v>
          </cell>
          <cell r="Y2495" t="str">
            <v>NEW YORK</v>
          </cell>
          <cell r="Z2495" t="str">
            <v>NY</v>
          </cell>
          <cell r="AA2495" t="str">
            <v>10025-1737</v>
          </cell>
          <cell r="AB2495" t="str">
            <v>PHYSICIAN</v>
          </cell>
          <cell r="AC2495" t="str">
            <v>M</v>
          </cell>
          <cell r="AD2495" t="str">
            <v>No</v>
          </cell>
          <cell r="AE2495" t="str">
            <v>MMIS</v>
          </cell>
          <cell r="AF2495" t="str">
            <v>nypwestcampus</v>
          </cell>
          <cell r="AG2495" t="str">
            <v>P</v>
          </cell>
        </row>
        <row r="2496">
          <cell r="A2496" t="str">
            <v>1568620425</v>
          </cell>
          <cell r="B2496" t="str">
            <v>03470344</v>
          </cell>
          <cell r="C2496" t="str">
            <v>CUSANO, NATALIE E</v>
          </cell>
          <cell r="D2496" t="str">
            <v>E0336311</v>
          </cell>
          <cell r="E2496" t="str">
            <v>CUSANO NATALIE E</v>
          </cell>
          <cell r="G2496" t="str">
            <v>Kathryn Spaziani</v>
          </cell>
          <cell r="H2496" t="str">
            <v>(212) 305-1190</v>
          </cell>
          <cell r="J2496" t="str">
            <v>kas9171@nyp.org</v>
          </cell>
          <cell r="L2496" t="str">
            <v>All Other:: Practitioner - Primary Care Provider (PCP)</v>
          </cell>
          <cell r="M2496" t="str">
            <v>No</v>
          </cell>
          <cell r="R2496" t="str">
            <v>CUSANO NATALIE</v>
          </cell>
          <cell r="W2496" t="str">
            <v>CUSANO NATALIE E</v>
          </cell>
          <cell r="X2496" t="str">
            <v>622W W 168TH ST</v>
          </cell>
          <cell r="Y2496" t="str">
            <v>NEW YORK</v>
          </cell>
          <cell r="Z2496" t="str">
            <v>NY</v>
          </cell>
          <cell r="AA2496" t="str">
            <v>10032-3702</v>
          </cell>
          <cell r="AB2496" t="str">
            <v>PHYSICIAN</v>
          </cell>
          <cell r="AC2496" t="str">
            <v>M</v>
          </cell>
          <cell r="AD2496" t="str">
            <v>No</v>
          </cell>
          <cell r="AE2496" t="str">
            <v>MMIS</v>
          </cell>
          <cell r="AF2496" t="str">
            <v>nypwestacn</v>
          </cell>
          <cell r="AG2496" t="str">
            <v>P</v>
          </cell>
        </row>
        <row r="2497">
          <cell r="A2497" t="str">
            <v>1962677195</v>
          </cell>
          <cell r="C2497" t="str">
            <v>CENTER FOR WOMEN'S REPRODUCTIVE CARE</v>
          </cell>
          <cell r="K2497" t="str">
            <v>All Other</v>
          </cell>
          <cell r="L2497" t="str">
            <v>Uncategorized</v>
          </cell>
          <cell r="M2497" t="str">
            <v>No</v>
          </cell>
          <cell r="R2497" t="str">
            <v>CENTER FOR WOMEN'S REPRODUCTIVE CARE</v>
          </cell>
          <cell r="S2497" t="str">
            <v>1790 BROADWAY</v>
          </cell>
          <cell r="T2497" t="str">
            <v>NEW YORK</v>
          </cell>
          <cell r="U2497" t="str">
            <v>NY</v>
          </cell>
          <cell r="V2497" t="str">
            <v>100191412</v>
          </cell>
          <cell r="AC2497" t="str">
            <v>M</v>
          </cell>
          <cell r="AD2497" t="str">
            <v>No</v>
          </cell>
          <cell r="AE2497" t="str">
            <v>NPI only</v>
          </cell>
          <cell r="AG2497" t="str">
            <v>P</v>
          </cell>
        </row>
        <row r="2498">
          <cell r="A2498" t="str">
            <v>1295994838</v>
          </cell>
          <cell r="B2498" t="str">
            <v>03237914</v>
          </cell>
          <cell r="C2498" t="str">
            <v>QUEZADA, WILSON A</v>
          </cell>
          <cell r="D2498" t="str">
            <v>E0308639</v>
          </cell>
          <cell r="E2498" t="str">
            <v>WILSON ARISMENDY QUEZADA</v>
          </cell>
          <cell r="G2498" t="str">
            <v>Kathryn Spaziani</v>
          </cell>
          <cell r="H2498" t="str">
            <v>(212) 305-1190</v>
          </cell>
          <cell r="J2498" t="str">
            <v>kas9171@nyp.org</v>
          </cell>
          <cell r="L2498" t="str">
            <v>Practitioner - Non-Primary Care Provider (PCP)</v>
          </cell>
          <cell r="M2498" t="str">
            <v>No</v>
          </cell>
          <cell r="R2498" t="str">
            <v>QUEZADA WILSON DR.</v>
          </cell>
          <cell r="W2498" t="str">
            <v>QUEZADA WILSON ARISMENDY</v>
          </cell>
          <cell r="X2498" t="str">
            <v>622 W 168TH ST</v>
          </cell>
          <cell r="Y2498" t="str">
            <v>NEW YORK</v>
          </cell>
          <cell r="Z2498" t="str">
            <v>NY</v>
          </cell>
          <cell r="AA2498" t="str">
            <v>10032-3720</v>
          </cell>
          <cell r="AB2498" t="str">
            <v>PHYSICIAN</v>
          </cell>
          <cell r="AC2498" t="str">
            <v>M</v>
          </cell>
          <cell r="AD2498" t="str">
            <v>No</v>
          </cell>
          <cell r="AE2498" t="str">
            <v>MMIS</v>
          </cell>
          <cell r="AF2498" t="str">
            <v>nypwestcampus</v>
          </cell>
          <cell r="AG2498" t="str">
            <v>P</v>
          </cell>
        </row>
        <row r="2499">
          <cell r="A2499" t="str">
            <v>1396782629</v>
          </cell>
          <cell r="B2499" t="str">
            <v>01932714</v>
          </cell>
          <cell r="C2499" t="str">
            <v>BROWN, ROBERT S</v>
          </cell>
          <cell r="D2499" t="str">
            <v>E0106779</v>
          </cell>
          <cell r="E2499" t="str">
            <v>BROWN JR. ROBERT</v>
          </cell>
          <cell r="G2499" t="str">
            <v>Kathryn Spaziani</v>
          </cell>
          <cell r="H2499" t="str">
            <v>(212) 305-1190</v>
          </cell>
          <cell r="J2499" t="str">
            <v>kas9171@nyp.org</v>
          </cell>
          <cell r="L2499" t="str">
            <v>All Other:: Practitioner - Non-Primary Care Provider (PCP)</v>
          </cell>
          <cell r="M2499" t="str">
            <v>No</v>
          </cell>
          <cell r="R2499" t="str">
            <v>BROWN ROBERT DR.</v>
          </cell>
          <cell r="W2499" t="str">
            <v>BROWN ROBERT STEPHEN JR</v>
          </cell>
          <cell r="X2499" t="str">
            <v>622 W 168TH ST FL 14</v>
          </cell>
          <cell r="Y2499" t="str">
            <v>NEW YORK</v>
          </cell>
          <cell r="Z2499" t="str">
            <v>NY</v>
          </cell>
          <cell r="AA2499" t="str">
            <v>10032-3720</v>
          </cell>
          <cell r="AB2499" t="str">
            <v>PHYSICIAN</v>
          </cell>
          <cell r="AC2499" t="str">
            <v>M</v>
          </cell>
          <cell r="AD2499" t="str">
            <v>No</v>
          </cell>
          <cell r="AE2499" t="str">
            <v>MMIS</v>
          </cell>
          <cell r="AF2499" t="str">
            <v>nypwestcampus</v>
          </cell>
          <cell r="AG2499" t="str">
            <v>P</v>
          </cell>
        </row>
        <row r="2500">
          <cell r="A2500" t="str">
            <v>1467504886</v>
          </cell>
          <cell r="B2500" t="str">
            <v>02387268</v>
          </cell>
          <cell r="C2500" t="str">
            <v>Corrigan Devlyn</v>
          </cell>
          <cell r="D2500" t="str">
            <v>E0061397</v>
          </cell>
          <cell r="E2500" t="str">
            <v>CORRIGAN DEVLYN LEE MD</v>
          </cell>
          <cell r="L2500" t="str">
            <v>All Other:: Practitioner - Non-Primary Care Provider (PCP)</v>
          </cell>
          <cell r="M2500" t="str">
            <v>No</v>
          </cell>
          <cell r="R2500" t="str">
            <v>CORRIGAN DEVLYN DR.</v>
          </cell>
          <cell r="W2500" t="str">
            <v>CORRIGAN DEVLYN LEE MD</v>
          </cell>
          <cell r="X2500" t="str">
            <v>1879 MADISON AVE</v>
          </cell>
          <cell r="Y2500" t="str">
            <v>NEW YORK</v>
          </cell>
          <cell r="Z2500" t="str">
            <v>NY</v>
          </cell>
          <cell r="AA2500" t="str">
            <v>10035-2709</v>
          </cell>
          <cell r="AB2500" t="str">
            <v>PHYSICIAN</v>
          </cell>
          <cell r="AC2500" t="str">
            <v>M</v>
          </cell>
          <cell r="AD2500" t="str">
            <v>No</v>
          </cell>
          <cell r="AE2500" t="str">
            <v>MMIS</v>
          </cell>
          <cell r="AF2500" t="str">
            <v>nypwestcampus</v>
          </cell>
          <cell r="AG2500" t="str">
            <v>P</v>
          </cell>
        </row>
        <row r="2501">
          <cell r="A2501" t="str">
            <v>1528202454</v>
          </cell>
          <cell r="B2501" t="str">
            <v>03417067</v>
          </cell>
          <cell r="C2501" t="str">
            <v>Smith Sarah</v>
          </cell>
          <cell r="D2501" t="str">
            <v>E0329809</v>
          </cell>
          <cell r="E2501" t="str">
            <v>SMITH SARAH C MD</v>
          </cell>
          <cell r="L2501" t="str">
            <v>All Other:: Practitioner - Non-Primary Care Provider (PCP)</v>
          </cell>
          <cell r="M2501" t="str">
            <v>No</v>
          </cell>
          <cell r="R2501" t="str">
            <v>SMITH SARAH</v>
          </cell>
          <cell r="W2501" t="str">
            <v>SMITH SARAH C MD</v>
          </cell>
          <cell r="X2501" t="str">
            <v>622 W 168TH ST</v>
          </cell>
          <cell r="Y2501" t="str">
            <v>NEW YORK</v>
          </cell>
          <cell r="Z2501" t="str">
            <v>NY</v>
          </cell>
          <cell r="AA2501" t="str">
            <v>10032-3720</v>
          </cell>
          <cell r="AB2501" t="str">
            <v>PHYSICIAN</v>
          </cell>
          <cell r="AC2501" t="str">
            <v>M</v>
          </cell>
          <cell r="AD2501" t="str">
            <v>No</v>
          </cell>
          <cell r="AE2501" t="str">
            <v>MMIS</v>
          </cell>
          <cell r="AF2501" t="str">
            <v>nypwestcampus</v>
          </cell>
          <cell r="AG2501" t="str">
            <v>P</v>
          </cell>
        </row>
        <row r="2502">
          <cell r="A2502" t="str">
            <v>1063532141</v>
          </cell>
          <cell r="B2502" t="str">
            <v>03214142</v>
          </cell>
          <cell r="C2502" t="str">
            <v>Huang, Vivian Wei-Wei</v>
          </cell>
          <cell r="D2502" t="str">
            <v>E0306005</v>
          </cell>
          <cell r="E2502" t="str">
            <v>HUANG VIVIAN</v>
          </cell>
          <cell r="G2502" t="str">
            <v>Betty Cheng</v>
          </cell>
          <cell r="H2502" t="str">
            <v>(212) 379-6988</v>
          </cell>
          <cell r="I2502">
            <v>2604</v>
          </cell>
          <cell r="J2502" t="str">
            <v>bcheng@cbwchc.org</v>
          </cell>
          <cell r="L2502" t="str">
            <v>All Other:: Practitioner - Primary Care Provider (PCP)</v>
          </cell>
          <cell r="M2502" t="str">
            <v>Yes</v>
          </cell>
          <cell r="R2502" t="str">
            <v>HUANG VIVIAN DR.</v>
          </cell>
          <cell r="W2502" t="str">
            <v>HUANG VIVIAN WEI-WEI</v>
          </cell>
          <cell r="X2502" t="str">
            <v>27005 76TH AVE</v>
          </cell>
          <cell r="Y2502" t="str">
            <v>NEW HYDE PARK</v>
          </cell>
          <cell r="Z2502" t="str">
            <v>NY</v>
          </cell>
          <cell r="AA2502" t="str">
            <v>11040-1402</v>
          </cell>
          <cell r="AB2502" t="str">
            <v>PHYSICIAN</v>
          </cell>
          <cell r="AC2502" t="str">
            <v>M</v>
          </cell>
          <cell r="AD2502" t="str">
            <v>No</v>
          </cell>
          <cell r="AE2502" t="str">
            <v>MMIS</v>
          </cell>
          <cell r="AF2502" t="str">
            <v>cbwchc</v>
          </cell>
          <cell r="AG2502" t="str">
            <v>P</v>
          </cell>
        </row>
        <row r="2503">
          <cell r="A2503" t="str">
            <v>1235226317</v>
          </cell>
          <cell r="B2503" t="str">
            <v>01512330</v>
          </cell>
          <cell r="C2503" t="str">
            <v>Flynn, Patrick A</v>
          </cell>
          <cell r="D2503" t="str">
            <v>E0148757</v>
          </cell>
          <cell r="E2503" t="str">
            <v>FLYNN PATRICK ALEX MD</v>
          </cell>
          <cell r="G2503" t="str">
            <v>Kathryn Spaziani</v>
          </cell>
          <cell r="H2503" t="str">
            <v>(212) 305-1190</v>
          </cell>
          <cell r="J2503" t="str">
            <v>kas9171@nyp.org</v>
          </cell>
          <cell r="L2503" t="str">
            <v>All Other:: Practitioner - Non-Primary Care Provider (PCP)</v>
          </cell>
          <cell r="M2503" t="str">
            <v>No</v>
          </cell>
          <cell r="R2503" t="str">
            <v>FLYNN PATRICK</v>
          </cell>
          <cell r="W2503" t="str">
            <v>FLYNN PATRICK ALEX MD</v>
          </cell>
          <cell r="X2503" t="str">
            <v>525 E 68TH ST</v>
          </cell>
          <cell r="Y2503" t="str">
            <v>NEW YORK</v>
          </cell>
          <cell r="Z2503" t="str">
            <v>NY</v>
          </cell>
          <cell r="AA2503" t="str">
            <v>10065-4870</v>
          </cell>
          <cell r="AB2503" t="str">
            <v>PHYSICIAN</v>
          </cell>
          <cell r="AC2503" t="str">
            <v>M</v>
          </cell>
          <cell r="AD2503" t="str">
            <v>No</v>
          </cell>
          <cell r="AE2503" t="str">
            <v>MMIS</v>
          </cell>
          <cell r="AF2503" t="str">
            <v>nypeastcampus</v>
          </cell>
          <cell r="AG2503" t="str">
            <v>P</v>
          </cell>
        </row>
        <row r="2504">
          <cell r="A2504" t="str">
            <v>1235226333</v>
          </cell>
          <cell r="B2504" t="str">
            <v>00627725</v>
          </cell>
          <cell r="C2504" t="str">
            <v>COLEMAN, DONALD J</v>
          </cell>
          <cell r="D2504" t="str">
            <v>E0236910</v>
          </cell>
          <cell r="E2504" t="str">
            <v>COLEMAN DONALD J           MD</v>
          </cell>
          <cell r="G2504" t="str">
            <v>Kathryn Spaziani</v>
          </cell>
          <cell r="H2504" t="str">
            <v>(212) 305-1190</v>
          </cell>
          <cell r="J2504" t="str">
            <v>kas9171@nyp.org</v>
          </cell>
          <cell r="L2504" t="str">
            <v>All Other:: Practitioner - Non-Primary Care Provider (PCP)</v>
          </cell>
          <cell r="M2504" t="str">
            <v>No</v>
          </cell>
          <cell r="R2504" t="str">
            <v>COLEMAN DONALD</v>
          </cell>
          <cell r="W2504" t="str">
            <v>COLEMAN DONALD J           MD</v>
          </cell>
          <cell r="X2504" t="str">
            <v>CV STARR PAVILLION</v>
          </cell>
          <cell r="Y2504" t="str">
            <v>NEW YORK</v>
          </cell>
          <cell r="Z2504" t="str">
            <v>NY</v>
          </cell>
          <cell r="AA2504" t="str">
            <v>10021-9800</v>
          </cell>
          <cell r="AB2504" t="str">
            <v>PHYSICIAN</v>
          </cell>
          <cell r="AC2504" t="str">
            <v>M</v>
          </cell>
          <cell r="AD2504" t="str">
            <v>No</v>
          </cell>
          <cell r="AE2504" t="str">
            <v>MMIS</v>
          </cell>
          <cell r="AF2504" t="str">
            <v>nypwestacn</v>
          </cell>
          <cell r="AG2504" t="str">
            <v>P</v>
          </cell>
        </row>
        <row r="2505">
          <cell r="A2505" t="str">
            <v>1982993184</v>
          </cell>
          <cell r="B2505" t="str">
            <v>03845145</v>
          </cell>
          <cell r="C2505" t="str">
            <v>TRUSTEES OF COLUMBIA UNIVERSITY IN THE CITY OF NEW YORK</v>
          </cell>
          <cell r="D2505" t="str">
            <v>E0375440</v>
          </cell>
          <cell r="E2505" t="str">
            <v>TRUSTEES OF COLUMBIA UNIVERSITY IN</v>
          </cell>
          <cell r="L2505" t="str">
            <v>All Other</v>
          </cell>
          <cell r="M2505" t="str">
            <v>No</v>
          </cell>
          <cell r="R2505" t="str">
            <v>TRUSTEES OF COLUMBIA UNIVERSITY IN THE CITY OF NEW YORK</v>
          </cell>
          <cell r="W2505" t="str">
            <v>TRUSTEES OF COLUMBIA UNIVERSITY IN</v>
          </cell>
          <cell r="X2505" t="str">
            <v>5141 BROADWAY</v>
          </cell>
          <cell r="Y2505" t="str">
            <v>NEW YORK</v>
          </cell>
          <cell r="Z2505" t="str">
            <v>NY</v>
          </cell>
          <cell r="AA2505" t="str">
            <v>10034-1159</v>
          </cell>
          <cell r="AB2505" t="str">
            <v>PHYSICIANS GROUP</v>
          </cell>
          <cell r="AC2505" t="str">
            <v>M</v>
          </cell>
          <cell r="AD2505" t="str">
            <v>No</v>
          </cell>
          <cell r="AE2505" t="str">
            <v>MMIS</v>
          </cell>
          <cell r="AG2505" t="str">
            <v>P</v>
          </cell>
        </row>
        <row r="2506">
          <cell r="A2506" t="str">
            <v>1972895217</v>
          </cell>
          <cell r="B2506" t="str">
            <v>04262153</v>
          </cell>
          <cell r="C2506" t="str">
            <v>Samaru Mahendranauth</v>
          </cell>
          <cell r="D2506" t="str">
            <v>E0418230</v>
          </cell>
          <cell r="E2506" t="str">
            <v>SAMARU MAHENDRANAUTH</v>
          </cell>
          <cell r="G2506" t="str">
            <v>Kathryn Spaziani</v>
          </cell>
          <cell r="H2506" t="str">
            <v>(212) 305-1255</v>
          </cell>
          <cell r="J2506" t="str">
            <v>kas9171@nyp.org</v>
          </cell>
          <cell r="L2506" t="str">
            <v>All Other:: Practitioner - Non-Primary Care Provider (PCP)</v>
          </cell>
          <cell r="M2506" t="str">
            <v>No</v>
          </cell>
          <cell r="R2506" t="str">
            <v>SAMARU MAHENDRANAUTH</v>
          </cell>
          <cell r="W2506" t="str">
            <v>SAMARU MAHENDRANAUTH</v>
          </cell>
          <cell r="X2506" t="str">
            <v>525 E 68TH ST</v>
          </cell>
          <cell r="Y2506" t="str">
            <v>NEW YORK</v>
          </cell>
          <cell r="Z2506" t="str">
            <v>NY</v>
          </cell>
          <cell r="AA2506" t="str">
            <v>10065-4870</v>
          </cell>
          <cell r="AB2506" t="str">
            <v>PHYSICIAN</v>
          </cell>
          <cell r="AC2506" t="str">
            <v>M</v>
          </cell>
          <cell r="AD2506" t="str">
            <v>No</v>
          </cell>
          <cell r="AE2506" t="str">
            <v>MMIS</v>
          </cell>
          <cell r="AF2506" t="str">
            <v>nypeastcampus</v>
          </cell>
          <cell r="AG2506" t="str">
            <v>P</v>
          </cell>
        </row>
        <row r="2507">
          <cell r="A2507" t="str">
            <v>1356607535</v>
          </cell>
          <cell r="C2507" t="str">
            <v>Santiago Jason</v>
          </cell>
          <cell r="G2507" t="str">
            <v>Kathryn Spaziani</v>
          </cell>
          <cell r="H2507" t="str">
            <v>(212) 305-1255</v>
          </cell>
          <cell r="J2507" t="str">
            <v>kas9171@nyp.org</v>
          </cell>
          <cell r="K2507" t="str">
            <v>Physician</v>
          </cell>
          <cell r="L2507" t="str">
            <v>Uncategorized</v>
          </cell>
          <cell r="M2507" t="str">
            <v>No</v>
          </cell>
          <cell r="R2507" t="str">
            <v>SANTIAGO JASON</v>
          </cell>
          <cell r="S2507" t="str">
            <v>1320 YORK AVE APT 28A</v>
          </cell>
          <cell r="T2507" t="str">
            <v>NEW YORK</v>
          </cell>
          <cell r="U2507" t="str">
            <v>NY</v>
          </cell>
          <cell r="V2507" t="str">
            <v>100214875</v>
          </cell>
          <cell r="AC2507" t="str">
            <v>M</v>
          </cell>
          <cell r="AD2507" t="str">
            <v>No</v>
          </cell>
          <cell r="AE2507" t="str">
            <v>NPI only</v>
          </cell>
          <cell r="AF2507" t="str">
            <v>nypeastcampus</v>
          </cell>
          <cell r="AG2507" t="str">
            <v>P</v>
          </cell>
        </row>
        <row r="2508">
          <cell r="A2508" t="str">
            <v>1801214549</v>
          </cell>
          <cell r="C2508" t="str">
            <v>Sattler Christopher</v>
          </cell>
          <cell r="G2508" t="str">
            <v>Kathryn Spaziani</v>
          </cell>
          <cell r="H2508" t="str">
            <v>(212) 305-1255</v>
          </cell>
          <cell r="J2508" t="str">
            <v>kas9171@nyp.org</v>
          </cell>
          <cell r="K2508" t="str">
            <v>Physician</v>
          </cell>
          <cell r="L2508" t="str">
            <v>Uncategorized</v>
          </cell>
          <cell r="M2508" t="str">
            <v>No</v>
          </cell>
          <cell r="R2508" t="str">
            <v>SATTLER CHRISTOPHER</v>
          </cell>
          <cell r="S2508" t="str">
            <v>525 E 68TH ST</v>
          </cell>
          <cell r="T2508" t="str">
            <v>NEW YORK</v>
          </cell>
          <cell r="U2508" t="str">
            <v>NY</v>
          </cell>
          <cell r="V2508" t="str">
            <v>100654870</v>
          </cell>
          <cell r="AC2508" t="str">
            <v>M</v>
          </cell>
          <cell r="AD2508" t="str">
            <v>No</v>
          </cell>
          <cell r="AE2508" t="str">
            <v>NPI only</v>
          </cell>
          <cell r="AF2508" t="str">
            <v>nypeastcampus</v>
          </cell>
          <cell r="AG2508" t="str">
            <v>P</v>
          </cell>
        </row>
        <row r="2509">
          <cell r="A2509" t="str">
            <v>1497917413</v>
          </cell>
          <cell r="B2509" t="str">
            <v>04630764</v>
          </cell>
          <cell r="C2509" t="str">
            <v>Yim Peter</v>
          </cell>
          <cell r="D2509" t="str">
            <v>E0456054</v>
          </cell>
          <cell r="E2509" t="str">
            <v>YIM PETER D</v>
          </cell>
          <cell r="G2509" t="str">
            <v>Kathryn Spaziani</v>
          </cell>
          <cell r="H2509" t="str">
            <v>(212) 305-1255</v>
          </cell>
          <cell r="J2509" t="str">
            <v>kas9171@nyp.org</v>
          </cell>
          <cell r="L2509" t="str">
            <v>Uncategorized</v>
          </cell>
          <cell r="M2509" t="str">
            <v>No</v>
          </cell>
          <cell r="R2509" t="str">
            <v>YIM PETER</v>
          </cell>
          <cell r="W2509" t="str">
            <v>YIM PETER D</v>
          </cell>
          <cell r="AB2509" t="str">
            <v>PHYSICIAN</v>
          </cell>
          <cell r="AC2509" t="str">
            <v>M</v>
          </cell>
          <cell r="AD2509" t="str">
            <v>No</v>
          </cell>
          <cell r="AE2509" t="str">
            <v>MMIS</v>
          </cell>
          <cell r="AF2509" t="str">
            <v>nypwestcampus</v>
          </cell>
          <cell r="AG2509" t="str">
            <v>P</v>
          </cell>
        </row>
        <row r="2510">
          <cell r="A2510" t="str">
            <v>1023029410</v>
          </cell>
          <cell r="B2510" t="str">
            <v>01135964</v>
          </cell>
          <cell r="C2510" t="str">
            <v>Gomillion Matthew</v>
          </cell>
          <cell r="D2510" t="str">
            <v>E0186282</v>
          </cell>
          <cell r="E2510" t="str">
            <v>GOMILLION MATTHEW C MD</v>
          </cell>
          <cell r="L2510" t="str">
            <v>All Other:: Practitioner - Non-Primary Care Provider (PCP)</v>
          </cell>
          <cell r="M2510" t="str">
            <v>No</v>
          </cell>
          <cell r="R2510" t="str">
            <v>GOMILLION MATTHEW DR.</v>
          </cell>
          <cell r="W2510" t="str">
            <v>GOMILLION MATTHEW C MD</v>
          </cell>
          <cell r="X2510" t="str">
            <v>BOX 585</v>
          </cell>
          <cell r="Y2510" t="str">
            <v>NEW YORK</v>
          </cell>
          <cell r="Z2510" t="str">
            <v>NY</v>
          </cell>
          <cell r="AA2510" t="str">
            <v>10065-4870</v>
          </cell>
          <cell r="AB2510" t="str">
            <v>PHYSICIAN</v>
          </cell>
          <cell r="AC2510" t="str">
            <v>M</v>
          </cell>
          <cell r="AD2510" t="str">
            <v>No</v>
          </cell>
          <cell r="AE2510" t="str">
            <v>MMIS</v>
          </cell>
          <cell r="AF2510" t="str">
            <v>nypeastcampus</v>
          </cell>
          <cell r="AG2510" t="str">
            <v>P</v>
          </cell>
        </row>
        <row r="2511">
          <cell r="A2511" t="str">
            <v>1194833459</v>
          </cell>
          <cell r="B2511" t="str">
            <v>01550178</v>
          </cell>
          <cell r="C2511" t="str">
            <v>Jose Dizon</v>
          </cell>
          <cell r="D2511" t="str">
            <v>E0144980</v>
          </cell>
          <cell r="E2511" t="str">
            <v>DIZON JOSE M MD</v>
          </cell>
          <cell r="G2511" t="str">
            <v>Kathryn Spaziani</v>
          </cell>
          <cell r="H2511" t="str">
            <v>(212) 305-1255</v>
          </cell>
          <cell r="J2511" t="str">
            <v>kas9171@nyp.org</v>
          </cell>
          <cell r="L2511" t="str">
            <v>All Other:: Practitioner - Non-Primary Care Provider (PCP)</v>
          </cell>
          <cell r="M2511" t="str">
            <v>No</v>
          </cell>
          <cell r="R2511" t="str">
            <v>DIZON JOSE DR.</v>
          </cell>
          <cell r="W2511" t="str">
            <v>DIZON JOSE M MD</v>
          </cell>
          <cell r="Y2511" t="str">
            <v>BRONX</v>
          </cell>
          <cell r="Z2511" t="str">
            <v>NY</v>
          </cell>
          <cell r="AA2511" t="str">
            <v>10466-2697</v>
          </cell>
          <cell r="AB2511" t="str">
            <v>PHYSICIAN</v>
          </cell>
          <cell r="AC2511" t="str">
            <v>M</v>
          </cell>
          <cell r="AD2511" t="str">
            <v>No</v>
          </cell>
          <cell r="AE2511" t="str">
            <v>MMIS</v>
          </cell>
          <cell r="AF2511" t="str">
            <v>nypwestcampus</v>
          </cell>
          <cell r="AG2511" t="str">
            <v>P</v>
          </cell>
        </row>
        <row r="2512">
          <cell r="A2512" t="str">
            <v>1417976267</v>
          </cell>
          <cell r="B2512" t="str">
            <v>00186067</v>
          </cell>
          <cell r="C2512" t="str">
            <v>James Reiffel</v>
          </cell>
          <cell r="D2512" t="str">
            <v>E0276888</v>
          </cell>
          <cell r="E2512" t="str">
            <v>REIFFEL JAMES A            MD</v>
          </cell>
          <cell r="G2512" t="str">
            <v>Kathryn Spaziani</v>
          </cell>
          <cell r="H2512" t="str">
            <v>(212) 305-1256</v>
          </cell>
          <cell r="J2512" t="str">
            <v>kas9171@nyp.org</v>
          </cell>
          <cell r="L2512" t="str">
            <v>Practitioner - Non-Primary Care Provider (PCP)</v>
          </cell>
          <cell r="M2512" t="str">
            <v>No</v>
          </cell>
          <cell r="R2512" t="str">
            <v>REIFFEL JAMES DR.</v>
          </cell>
          <cell r="W2512" t="str">
            <v>REIFFEL JAMES A            MD</v>
          </cell>
          <cell r="X2512" t="str">
            <v>630 W 168TH ST</v>
          </cell>
          <cell r="Y2512" t="str">
            <v>NEW YORK</v>
          </cell>
          <cell r="Z2512" t="str">
            <v>NY</v>
          </cell>
          <cell r="AA2512" t="str">
            <v>10032-3725</v>
          </cell>
          <cell r="AB2512" t="str">
            <v>PHYSICIAN</v>
          </cell>
          <cell r="AC2512" t="str">
            <v>M</v>
          </cell>
          <cell r="AD2512" t="str">
            <v>No</v>
          </cell>
          <cell r="AE2512" t="str">
            <v>MMIS</v>
          </cell>
          <cell r="AF2512" t="str">
            <v>nypother</v>
          </cell>
          <cell r="AG2512" t="str">
            <v>P</v>
          </cell>
        </row>
        <row r="2513">
          <cell r="A2513" t="str">
            <v>1861421992</v>
          </cell>
          <cell r="B2513" t="str">
            <v>01086740</v>
          </cell>
          <cell r="C2513" t="str">
            <v>Carrie Ruzal-Shapiro</v>
          </cell>
          <cell r="D2513" t="str">
            <v>E0191198</v>
          </cell>
          <cell r="E2513" t="str">
            <v>RUZAL SHAPIRO CARRIE B MD</v>
          </cell>
          <cell r="G2513" t="str">
            <v>Kathryn Spaziani</v>
          </cell>
          <cell r="H2513" t="str">
            <v>(212) 305-1257</v>
          </cell>
          <cell r="J2513" t="str">
            <v>kas9171@nyp.org</v>
          </cell>
          <cell r="L2513" t="str">
            <v>All Other:: Practitioner - Non-Primary Care Provider (PCP)</v>
          </cell>
          <cell r="M2513" t="str">
            <v>No</v>
          </cell>
          <cell r="R2513" t="str">
            <v>RUZAL-SHAPIRO CARRIE</v>
          </cell>
          <cell r="W2513" t="str">
            <v>RUZAL SHAPIRO CARRIE B MD</v>
          </cell>
          <cell r="Y2513" t="str">
            <v>NEW YORK</v>
          </cell>
          <cell r="Z2513" t="str">
            <v>NY</v>
          </cell>
          <cell r="AA2513" t="str">
            <v>10032-3720</v>
          </cell>
          <cell r="AB2513" t="str">
            <v>PHYSICIAN</v>
          </cell>
          <cell r="AC2513" t="str">
            <v>M</v>
          </cell>
          <cell r="AD2513" t="str">
            <v>No</v>
          </cell>
          <cell r="AE2513" t="str">
            <v>MMIS</v>
          </cell>
          <cell r="AF2513" t="str">
            <v>nypwestcampus</v>
          </cell>
          <cell r="AG2513" t="str">
            <v>P</v>
          </cell>
        </row>
        <row r="2514">
          <cell r="A2514" t="str">
            <v>1538232962</v>
          </cell>
          <cell r="B2514" t="str">
            <v>00983500</v>
          </cell>
          <cell r="C2514" t="str">
            <v>Arsenio Tio</v>
          </cell>
          <cell r="D2514" t="str">
            <v>E0201430</v>
          </cell>
          <cell r="E2514" t="str">
            <v>TIO ARSENIO MIGUEL         MD</v>
          </cell>
          <cell r="G2514" t="str">
            <v>Kathryn Spaziani</v>
          </cell>
          <cell r="H2514" t="str">
            <v>(212) 305-1258</v>
          </cell>
          <cell r="J2514" t="str">
            <v>kas9171@nyp.org</v>
          </cell>
          <cell r="L2514" t="str">
            <v>Practitioner - Primary Care Provider (PCP)</v>
          </cell>
          <cell r="M2514" t="str">
            <v>Yes</v>
          </cell>
          <cell r="R2514" t="str">
            <v>TIO ARSENIO</v>
          </cell>
          <cell r="W2514" t="str">
            <v>TIO ARSENIO MIGUEL         MD</v>
          </cell>
          <cell r="X2514" t="str">
            <v>231 SHERMAN AVE</v>
          </cell>
          <cell r="Y2514" t="str">
            <v>NEW YORK</v>
          </cell>
          <cell r="Z2514" t="str">
            <v>NY</v>
          </cell>
          <cell r="AA2514" t="str">
            <v>10034-2502</v>
          </cell>
          <cell r="AB2514" t="str">
            <v>PHYSICIAN</v>
          </cell>
          <cell r="AC2514" t="str">
            <v>M</v>
          </cell>
          <cell r="AD2514" t="str">
            <v>No</v>
          </cell>
          <cell r="AE2514" t="str">
            <v>MMIS</v>
          </cell>
          <cell r="AF2514" t="str">
            <v>nypwestcampus</v>
          </cell>
          <cell r="AG2514" t="str">
            <v>P</v>
          </cell>
        </row>
        <row r="2515">
          <cell r="A2515" t="str">
            <v>1134205495</v>
          </cell>
          <cell r="B2515" t="str">
            <v>01177215</v>
          </cell>
          <cell r="C2515" t="str">
            <v>ROSENBERG, RICHARD M</v>
          </cell>
          <cell r="D2515" t="str">
            <v>E0182167</v>
          </cell>
          <cell r="E2515" t="str">
            <v>ROSENBERG RICHARD M MD</v>
          </cell>
          <cell r="G2515" t="str">
            <v>Kathryn Spaziani</v>
          </cell>
          <cell r="H2515" t="str">
            <v>(212) 305-1190</v>
          </cell>
          <cell r="J2515" t="str">
            <v>kas9171@nyp.org</v>
          </cell>
          <cell r="L2515" t="str">
            <v>All Other:: Practitioner - Non-Primary Care Provider (PCP)</v>
          </cell>
          <cell r="M2515" t="str">
            <v>No</v>
          </cell>
          <cell r="R2515" t="str">
            <v>ROSENBERG RICHARD MR.</v>
          </cell>
          <cell r="W2515" t="str">
            <v>ROSENBERG RICHARD M MD</v>
          </cell>
          <cell r="X2515" t="str">
            <v>ASSOC EMERG VC2-205</v>
          </cell>
          <cell r="Y2515" t="str">
            <v>NEW YORK</v>
          </cell>
          <cell r="Z2515" t="str">
            <v>NY</v>
          </cell>
          <cell r="AA2515" t="str">
            <v>10032-3720</v>
          </cell>
          <cell r="AB2515" t="str">
            <v>PHYSICIAN</v>
          </cell>
          <cell r="AC2515" t="str">
            <v>M</v>
          </cell>
          <cell r="AD2515" t="str">
            <v>No</v>
          </cell>
          <cell r="AE2515" t="str">
            <v>MMIS</v>
          </cell>
          <cell r="AF2515" t="str">
            <v>nypwestcampus</v>
          </cell>
          <cell r="AG2515" t="str">
            <v>P</v>
          </cell>
        </row>
        <row r="2516">
          <cell r="A2516" t="str">
            <v>1013013671</v>
          </cell>
          <cell r="B2516" t="str">
            <v>01554461</v>
          </cell>
          <cell r="C2516" t="str">
            <v>LIBRE, PETER E</v>
          </cell>
          <cell r="D2516" t="str">
            <v>E0144551</v>
          </cell>
          <cell r="E2516" t="str">
            <v>LIBRE PETER EUGENE MD</v>
          </cell>
          <cell r="G2516" t="str">
            <v>Kathryn Spaziani</v>
          </cell>
          <cell r="H2516" t="str">
            <v>(212) 305-1190</v>
          </cell>
          <cell r="J2516" t="str">
            <v>kas9171@nyp.org</v>
          </cell>
          <cell r="L2516" t="str">
            <v>Practitioner - Non-Primary Care Provider (PCP)</v>
          </cell>
          <cell r="M2516" t="str">
            <v>No</v>
          </cell>
          <cell r="R2516" t="str">
            <v>LIBRE PETER DR.</v>
          </cell>
          <cell r="W2516" t="str">
            <v>LIBRE PETER EUGENE MD</v>
          </cell>
          <cell r="X2516" t="str">
            <v>635 W 165TH ST</v>
          </cell>
          <cell r="Y2516" t="str">
            <v>NEW YORK</v>
          </cell>
          <cell r="Z2516" t="str">
            <v>NY</v>
          </cell>
          <cell r="AA2516" t="str">
            <v>10032-3724</v>
          </cell>
          <cell r="AB2516" t="str">
            <v>PHYSICIAN</v>
          </cell>
          <cell r="AC2516" t="str">
            <v>M</v>
          </cell>
          <cell r="AD2516" t="str">
            <v>No</v>
          </cell>
          <cell r="AE2516" t="str">
            <v>MMIS</v>
          </cell>
          <cell r="AF2516" t="str">
            <v>nypwestcampus</v>
          </cell>
          <cell r="AG2516" t="str">
            <v>P</v>
          </cell>
        </row>
        <row r="2517">
          <cell r="A2517" t="str">
            <v>1689603789</v>
          </cell>
          <cell r="B2517" t="str">
            <v>02679409</v>
          </cell>
          <cell r="C2517" t="str">
            <v xml:space="preserve">SMOK, DOROTHY </v>
          </cell>
          <cell r="D2517" t="str">
            <v>E0032237</v>
          </cell>
          <cell r="E2517" t="str">
            <v>SMOK DOROTHY MD</v>
          </cell>
          <cell r="G2517" t="str">
            <v>Kathryn Spaziani</v>
          </cell>
          <cell r="H2517" t="str">
            <v>(212) 305-1190</v>
          </cell>
          <cell r="J2517" t="str">
            <v>kas9171@nyp.org</v>
          </cell>
          <cell r="L2517" t="str">
            <v>All Other:: Practitioner - Non-Primary Care Provider (PCP)</v>
          </cell>
          <cell r="M2517" t="str">
            <v>Yes</v>
          </cell>
          <cell r="R2517" t="str">
            <v>SMOK DOROTHY</v>
          </cell>
          <cell r="W2517" t="str">
            <v>SMOK DOROTHY MD</v>
          </cell>
          <cell r="X2517" t="str">
            <v>622 W 168TH ST</v>
          </cell>
          <cell r="Y2517" t="str">
            <v>NEW YORK</v>
          </cell>
          <cell r="Z2517" t="str">
            <v>NY</v>
          </cell>
          <cell r="AA2517" t="str">
            <v>10032-3720</v>
          </cell>
          <cell r="AB2517" t="str">
            <v>PHYSICIAN</v>
          </cell>
          <cell r="AC2517" t="str">
            <v>M</v>
          </cell>
          <cell r="AD2517" t="str">
            <v>No</v>
          </cell>
          <cell r="AE2517" t="str">
            <v>MMIS</v>
          </cell>
          <cell r="AF2517" t="str">
            <v>nypwestcampus</v>
          </cell>
          <cell r="AG2517" t="str">
            <v>P</v>
          </cell>
        </row>
        <row r="2518">
          <cell r="A2518" t="str">
            <v>1093771552</v>
          </cell>
          <cell r="B2518" t="str">
            <v>01025263</v>
          </cell>
          <cell r="C2518" t="str">
            <v>POH, MAUREEN B</v>
          </cell>
          <cell r="D2518" t="str">
            <v>E0197338</v>
          </cell>
          <cell r="E2518" t="str">
            <v>POH MAUREEN B              MD</v>
          </cell>
          <cell r="G2518" t="str">
            <v>Kathryn Spaziani</v>
          </cell>
          <cell r="H2518" t="str">
            <v>(212) 305-1190</v>
          </cell>
          <cell r="J2518" t="str">
            <v>kas9171@nyp.org</v>
          </cell>
          <cell r="L2518" t="str">
            <v>Practitioner - Non-Primary Care Provider (PCP)</v>
          </cell>
          <cell r="M2518" t="str">
            <v>No</v>
          </cell>
          <cell r="R2518" t="str">
            <v>POH MAUREEN DR.</v>
          </cell>
          <cell r="W2518" t="str">
            <v>POH MAUREEN B              MD</v>
          </cell>
          <cell r="X2518" t="str">
            <v>DERM &amp; MED RES ASC</v>
          </cell>
          <cell r="Y2518" t="str">
            <v>VALHALLA</v>
          </cell>
          <cell r="Z2518" t="str">
            <v>NY</v>
          </cell>
          <cell r="AA2518" t="str">
            <v>10595</v>
          </cell>
          <cell r="AB2518" t="str">
            <v>PHYSICIAN</v>
          </cell>
          <cell r="AC2518" t="str">
            <v>M</v>
          </cell>
          <cell r="AD2518" t="str">
            <v>No</v>
          </cell>
          <cell r="AE2518" t="str">
            <v>MMIS</v>
          </cell>
          <cell r="AF2518" t="str">
            <v>nypwestcampus</v>
          </cell>
          <cell r="AG2518" t="str">
            <v>P</v>
          </cell>
        </row>
        <row r="2519">
          <cell r="A2519" t="str">
            <v>1992009617</v>
          </cell>
          <cell r="B2519" t="str">
            <v>03518412</v>
          </cell>
          <cell r="C2519" t="str">
            <v>STEERE, KATHERINE A</v>
          </cell>
          <cell r="D2519" t="str">
            <v>E0341539</v>
          </cell>
          <cell r="E2519" t="str">
            <v>STEERE KATHERINE</v>
          </cell>
          <cell r="G2519" t="str">
            <v>Kathryn Spaziani</v>
          </cell>
          <cell r="H2519" t="str">
            <v>(212) 305-1190</v>
          </cell>
          <cell r="J2519" t="str">
            <v>kas9171@nyp.org</v>
          </cell>
          <cell r="L2519" t="str">
            <v>Practitioner - Non-Primary Care Provider (PCP)</v>
          </cell>
          <cell r="M2519" t="str">
            <v>No</v>
          </cell>
          <cell r="R2519" t="str">
            <v>STEERE KATHERINE</v>
          </cell>
          <cell r="W2519" t="str">
            <v>STEERE KATHERINE</v>
          </cell>
          <cell r="X2519" t="str">
            <v>622 W 168TH ST</v>
          </cell>
          <cell r="Y2519" t="str">
            <v>NEW YORK</v>
          </cell>
          <cell r="Z2519" t="str">
            <v>NY</v>
          </cell>
          <cell r="AA2519" t="str">
            <v>10032-3720</v>
          </cell>
          <cell r="AB2519" t="str">
            <v>THERAPIST</v>
          </cell>
          <cell r="AC2519" t="str">
            <v>M</v>
          </cell>
          <cell r="AD2519" t="str">
            <v>No</v>
          </cell>
          <cell r="AE2519" t="str">
            <v>MMIS</v>
          </cell>
          <cell r="AF2519" t="str">
            <v>nypother</v>
          </cell>
          <cell r="AG2519" t="str">
            <v>P</v>
          </cell>
        </row>
        <row r="2520">
          <cell r="A2520" t="str">
            <v>1649286139</v>
          </cell>
          <cell r="C2520" t="str">
            <v>WEILL MEDICAL COLLEGE OF CORNELL</v>
          </cell>
          <cell r="K2520" t="str">
            <v>All Other</v>
          </cell>
          <cell r="L2520" t="str">
            <v>Uncategorized</v>
          </cell>
          <cell r="M2520" t="str">
            <v>No</v>
          </cell>
          <cell r="R2520" t="str">
            <v>WEILL MEDICAL COLLEGE OF CORNELL</v>
          </cell>
          <cell r="S2520" t="str">
            <v>3611 21ST ST</v>
          </cell>
          <cell r="T2520" t="str">
            <v>LONG ISLAND CITY</v>
          </cell>
          <cell r="U2520" t="str">
            <v>NY</v>
          </cell>
          <cell r="V2520" t="str">
            <v>111064705</v>
          </cell>
          <cell r="AC2520" t="str">
            <v>M</v>
          </cell>
          <cell r="AD2520" t="str">
            <v>No</v>
          </cell>
          <cell r="AE2520" t="str">
            <v>NPI only</v>
          </cell>
          <cell r="AG2520" t="str">
            <v>P</v>
          </cell>
        </row>
        <row r="2521">
          <cell r="A2521" t="str">
            <v>1699723296</v>
          </cell>
          <cell r="B2521" t="str">
            <v>02710369</v>
          </cell>
          <cell r="C2521" t="str">
            <v>WEILL MEDICAL COLLEGE OF CORNELL</v>
          </cell>
          <cell r="D2521" t="str">
            <v>E0029149</v>
          </cell>
          <cell r="E2521" t="str">
            <v>CORNELL UNIVERSITY MEDICAL COLLEGE</v>
          </cell>
          <cell r="L2521" t="str">
            <v>All Other</v>
          </cell>
          <cell r="M2521" t="str">
            <v>No</v>
          </cell>
          <cell r="R2521" t="str">
            <v>WEILL MEDICAL COLLEGE OF CORNELL</v>
          </cell>
          <cell r="W2521" t="str">
            <v>WEILL MEDICAL COLLEGE OF CORNELL</v>
          </cell>
          <cell r="X2521" t="str">
            <v>520 E 70TH ST</v>
          </cell>
          <cell r="Y2521" t="str">
            <v>NEW YORK</v>
          </cell>
          <cell r="Z2521" t="str">
            <v>NY</v>
          </cell>
          <cell r="AA2521" t="str">
            <v>10021-9800</v>
          </cell>
          <cell r="AB2521" t="str">
            <v>PHYSICIANS GROUP</v>
          </cell>
          <cell r="AC2521" t="str">
            <v>M</v>
          </cell>
          <cell r="AD2521" t="str">
            <v>No</v>
          </cell>
          <cell r="AE2521" t="str">
            <v>MMIS</v>
          </cell>
          <cell r="AG2521" t="str">
            <v>P</v>
          </cell>
        </row>
        <row r="2522">
          <cell r="A2522" t="str">
            <v>1881604866</v>
          </cell>
          <cell r="C2522" t="str">
            <v>WEILL MEDICAL COLLEGE OF CORNELL</v>
          </cell>
          <cell r="K2522" t="str">
            <v>All Other</v>
          </cell>
          <cell r="L2522" t="str">
            <v>Uncategorized</v>
          </cell>
          <cell r="M2522" t="str">
            <v>No</v>
          </cell>
          <cell r="R2522" t="str">
            <v>WEILL MEDICAL COLLEGE OF CORNELL</v>
          </cell>
          <cell r="S2522" t="str">
            <v>525 E 68TH ST</v>
          </cell>
          <cell r="T2522" t="str">
            <v>NEW YORK</v>
          </cell>
          <cell r="U2522" t="str">
            <v>NY</v>
          </cell>
          <cell r="V2522" t="str">
            <v>100214870</v>
          </cell>
          <cell r="AC2522" t="str">
            <v>M</v>
          </cell>
          <cell r="AD2522" t="str">
            <v>No</v>
          </cell>
          <cell r="AE2522" t="str">
            <v>NPI only</v>
          </cell>
          <cell r="AG2522" t="str">
            <v>P</v>
          </cell>
        </row>
        <row r="2523">
          <cell r="A2523" t="str">
            <v>1922148576</v>
          </cell>
          <cell r="B2523" t="str">
            <v>01748558</v>
          </cell>
          <cell r="C2523" t="str">
            <v>WEILL MEDICAL COLLEGE OF CORNELL</v>
          </cell>
          <cell r="D2523" t="str">
            <v>E0125171</v>
          </cell>
          <cell r="E2523" t="str">
            <v>CORNELL UNIV MED COLLEGE</v>
          </cell>
          <cell r="L2523" t="str">
            <v>All Other</v>
          </cell>
          <cell r="M2523" t="str">
            <v>No</v>
          </cell>
          <cell r="R2523" t="str">
            <v>WEILL MEDICAL COLLEGE OF CORNELL</v>
          </cell>
          <cell r="W2523" t="str">
            <v>WEILL MEDICAL COLLEGE OF CORNELL</v>
          </cell>
          <cell r="X2523" t="str">
            <v>525 E 68TH ST</v>
          </cell>
          <cell r="Y2523" t="str">
            <v>NEW YORK</v>
          </cell>
          <cell r="Z2523" t="str">
            <v>NY</v>
          </cell>
          <cell r="AA2523" t="str">
            <v>10065-4870</v>
          </cell>
          <cell r="AB2523" t="str">
            <v>PHYSICIANS GROUP</v>
          </cell>
          <cell r="AC2523" t="str">
            <v>M</v>
          </cell>
          <cell r="AD2523" t="str">
            <v>No</v>
          </cell>
          <cell r="AE2523" t="str">
            <v>MMIS</v>
          </cell>
          <cell r="AG2523" t="str">
            <v>P</v>
          </cell>
        </row>
        <row r="2524">
          <cell r="A2524" t="str">
            <v>1932127743</v>
          </cell>
          <cell r="B2524" t="str">
            <v>00501244</v>
          </cell>
          <cell r="C2524" t="str">
            <v>WEILL MEDICAL COLLEGE OF CORNELL</v>
          </cell>
          <cell r="D2524" t="str">
            <v>E0249534</v>
          </cell>
          <cell r="E2524" t="str">
            <v>CORNELL INTERNAL MED ASSOC</v>
          </cell>
          <cell r="L2524" t="str">
            <v>All Other</v>
          </cell>
          <cell r="M2524" t="str">
            <v>No</v>
          </cell>
          <cell r="R2524" t="str">
            <v>WEILL MEDICAL COLLEGE OF CORNELL</v>
          </cell>
          <cell r="W2524" t="str">
            <v>WEILL MEDICAL COLLEGE OF CORNELL</v>
          </cell>
          <cell r="X2524" t="str">
            <v>505 E 70TH ST</v>
          </cell>
          <cell r="Y2524" t="str">
            <v>NEW YORK</v>
          </cell>
          <cell r="Z2524" t="str">
            <v>NY</v>
          </cell>
          <cell r="AA2524" t="str">
            <v>10021-4872</v>
          </cell>
          <cell r="AB2524" t="str">
            <v>PHYSICIANS GROUP</v>
          </cell>
          <cell r="AC2524" t="str">
            <v>M</v>
          </cell>
          <cell r="AD2524" t="str">
            <v>No</v>
          </cell>
          <cell r="AE2524" t="str">
            <v>MMIS</v>
          </cell>
          <cell r="AG2524" t="str">
            <v>P</v>
          </cell>
        </row>
        <row r="2525">
          <cell r="A2525" t="str">
            <v>1073804654</v>
          </cell>
          <cell r="C2525" t="str">
            <v>Santoriello Dominick</v>
          </cell>
          <cell r="G2525" t="str">
            <v>Kathryn Spaziani</v>
          </cell>
          <cell r="H2525" t="str">
            <v>(212) 305-1192</v>
          </cell>
          <cell r="J2525" t="str">
            <v>kas9171@nyp.org</v>
          </cell>
          <cell r="K2525" t="str">
            <v>Physician</v>
          </cell>
          <cell r="L2525" t="str">
            <v>Uncategorized</v>
          </cell>
          <cell r="M2525" t="str">
            <v>No</v>
          </cell>
          <cell r="R2525" t="str">
            <v>SANTORIELLO DOMINICK</v>
          </cell>
          <cell r="S2525" t="str">
            <v>550 FIRST AVENUE, NYU LANGONE MEDICAL CENTER</v>
          </cell>
          <cell r="T2525" t="str">
            <v>NEW YORK</v>
          </cell>
          <cell r="U2525" t="str">
            <v>NY</v>
          </cell>
          <cell r="V2525" t="str">
            <v>10016</v>
          </cell>
          <cell r="AC2525" t="str">
            <v>M</v>
          </cell>
          <cell r="AD2525" t="str">
            <v>No</v>
          </cell>
          <cell r="AE2525" t="str">
            <v>NPI only</v>
          </cell>
          <cell r="AF2525" t="str">
            <v>nypwestcampus</v>
          </cell>
          <cell r="AG2525" t="str">
            <v>P</v>
          </cell>
        </row>
        <row r="2526">
          <cell r="A2526" t="str">
            <v>1508932864</v>
          </cell>
          <cell r="B2526" t="str">
            <v>02618775</v>
          </cell>
          <cell r="C2526" t="str">
            <v>Barron Beth</v>
          </cell>
          <cell r="D2526" t="str">
            <v>E0038280</v>
          </cell>
          <cell r="E2526" t="str">
            <v>BARRON BETH MD</v>
          </cell>
          <cell r="L2526" t="str">
            <v>Practitioner - Primary Care Provider (PCP)</v>
          </cell>
          <cell r="M2526" t="str">
            <v>No</v>
          </cell>
          <cell r="R2526" t="str">
            <v>BARRON BETH DR.</v>
          </cell>
          <cell r="W2526" t="str">
            <v>BARRON BETH MD</v>
          </cell>
          <cell r="X2526" t="str">
            <v>NY PRESBYTERIAN HOSP</v>
          </cell>
          <cell r="Y2526" t="str">
            <v>NEW YORK</v>
          </cell>
          <cell r="Z2526" t="str">
            <v>NY</v>
          </cell>
          <cell r="AA2526" t="str">
            <v>10032-3720</v>
          </cell>
          <cell r="AB2526" t="str">
            <v>PHYSICIAN</v>
          </cell>
          <cell r="AC2526" t="str">
            <v>M</v>
          </cell>
          <cell r="AD2526" t="str">
            <v>No</v>
          </cell>
          <cell r="AE2526" t="str">
            <v>MMIS</v>
          </cell>
          <cell r="AF2526" t="str">
            <v>nypwestcampus</v>
          </cell>
          <cell r="AG2526" t="str">
            <v>P</v>
          </cell>
        </row>
        <row r="2527">
          <cell r="A2527" t="str">
            <v>1174699037</v>
          </cell>
          <cell r="B2527" t="str">
            <v>01847745</v>
          </cell>
          <cell r="C2527" t="str">
            <v>Basulto Dean</v>
          </cell>
          <cell r="D2527" t="str">
            <v>E0115266</v>
          </cell>
          <cell r="E2527" t="str">
            <v>BASULTO DEAN ANTHONY MD</v>
          </cell>
          <cell r="L2527" t="str">
            <v>Practitioner - Non-Primary Care Provider (PCP)</v>
          </cell>
          <cell r="M2527" t="str">
            <v>No</v>
          </cell>
          <cell r="R2527" t="str">
            <v>BASULTO DEAN DR.</v>
          </cell>
          <cell r="W2527" t="str">
            <v>BASULTO DEAN ANTHONY MD</v>
          </cell>
          <cell r="X2527" t="str">
            <v>610 W 158TH ST</v>
          </cell>
          <cell r="Y2527" t="str">
            <v>NEW YORK</v>
          </cell>
          <cell r="Z2527" t="str">
            <v>NY</v>
          </cell>
          <cell r="AA2527" t="str">
            <v>10032-7104</v>
          </cell>
          <cell r="AB2527" t="str">
            <v>PHYSICIAN</v>
          </cell>
          <cell r="AC2527" t="str">
            <v>M</v>
          </cell>
          <cell r="AD2527" t="str">
            <v>No</v>
          </cell>
          <cell r="AE2527" t="str">
            <v>MMIS</v>
          </cell>
          <cell r="AG2527" t="str">
            <v>P</v>
          </cell>
        </row>
        <row r="2528">
          <cell r="A2528" t="str">
            <v>1962580092</v>
          </cell>
          <cell r="B2528" t="str">
            <v>01990849</v>
          </cell>
          <cell r="C2528" t="str">
            <v>Bhattacharya Alokananda</v>
          </cell>
          <cell r="D2528" t="str">
            <v>E0100975</v>
          </cell>
          <cell r="E2528" t="str">
            <v>BHATTACHARYA ALEKANANDA MD</v>
          </cell>
          <cell r="L2528" t="str">
            <v>Practitioner - Primary Care Provider (PCP)</v>
          </cell>
          <cell r="M2528" t="str">
            <v>No</v>
          </cell>
          <cell r="R2528" t="str">
            <v>BHATTACHARYA ALOKANANDA DR.</v>
          </cell>
          <cell r="W2528" t="str">
            <v>BHATTACHARYA ALOKANANDA MD</v>
          </cell>
          <cell r="Y2528" t="str">
            <v>NEW YORK</v>
          </cell>
          <cell r="Z2528" t="str">
            <v>NY</v>
          </cell>
          <cell r="AA2528" t="str">
            <v>10032-3720</v>
          </cell>
          <cell r="AB2528" t="str">
            <v>PHYSICIAN</v>
          </cell>
          <cell r="AC2528" t="str">
            <v>M</v>
          </cell>
          <cell r="AD2528" t="str">
            <v>No</v>
          </cell>
          <cell r="AE2528" t="str">
            <v>MMIS</v>
          </cell>
          <cell r="AF2528" t="str">
            <v>nypwestcampus</v>
          </cell>
          <cell r="AG2528" t="str">
            <v>P</v>
          </cell>
        </row>
        <row r="2529">
          <cell r="A2529" t="str">
            <v>1780759894</v>
          </cell>
          <cell r="B2529" t="str">
            <v>02356114</v>
          </cell>
          <cell r="C2529" t="str">
            <v>Bourjolly Wilson</v>
          </cell>
          <cell r="D2529" t="str">
            <v>E0064494</v>
          </cell>
          <cell r="E2529" t="str">
            <v>BOURJOLLY WILSON MD</v>
          </cell>
          <cell r="L2529" t="str">
            <v>Practitioner - Non-Primary Care Provider (PCP)</v>
          </cell>
          <cell r="M2529" t="str">
            <v>No</v>
          </cell>
          <cell r="R2529" t="str">
            <v>BOURJOLLY WILSON DR.</v>
          </cell>
          <cell r="W2529" t="str">
            <v>BOURJOLLY WILSON MD</v>
          </cell>
          <cell r="X2529" t="str">
            <v>LINCOLN HSP</v>
          </cell>
          <cell r="Y2529" t="str">
            <v>BRONX</v>
          </cell>
          <cell r="Z2529" t="str">
            <v>NY</v>
          </cell>
          <cell r="AA2529" t="str">
            <v>10451-5589</v>
          </cell>
          <cell r="AB2529" t="str">
            <v>PHYSICIAN</v>
          </cell>
          <cell r="AC2529" t="str">
            <v>M</v>
          </cell>
          <cell r="AD2529" t="str">
            <v>No</v>
          </cell>
          <cell r="AE2529" t="str">
            <v>MMIS</v>
          </cell>
          <cell r="AF2529" t="str">
            <v>nypwestcampus</v>
          </cell>
          <cell r="AG2529" t="str">
            <v>P</v>
          </cell>
        </row>
        <row r="2530">
          <cell r="A2530" t="str">
            <v>1841239829</v>
          </cell>
          <cell r="B2530" t="str">
            <v>01732829</v>
          </cell>
          <cell r="C2530" t="str">
            <v>TRUSTEES OF COLUMBIA UNIVERSITY IN THE CITY OF NEW YORK</v>
          </cell>
          <cell r="D2530" t="str">
            <v>E0126740</v>
          </cell>
          <cell r="E2530" t="str">
            <v>TRUSTEES OF COLUMBIA UNIV</v>
          </cell>
          <cell r="L2530" t="str">
            <v>All Other</v>
          </cell>
          <cell r="M2530" t="str">
            <v>No</v>
          </cell>
          <cell r="R2530" t="str">
            <v>TRUSTEES OF COLUMBIA UNIVERSITY IN THE CITY OF NEW YORK</v>
          </cell>
          <cell r="W2530" t="str">
            <v>TRUSTEES OF COLUMBIA UNIVERSITY IN</v>
          </cell>
          <cell r="X2530" t="str">
            <v>622 W 168TH ST</v>
          </cell>
          <cell r="Y2530" t="str">
            <v>NEW YORK</v>
          </cell>
          <cell r="Z2530" t="str">
            <v>NY</v>
          </cell>
          <cell r="AA2530" t="str">
            <v>10032-3720</v>
          </cell>
          <cell r="AB2530" t="str">
            <v>PHYSICIANS GROUP</v>
          </cell>
          <cell r="AC2530" t="str">
            <v>M</v>
          </cell>
          <cell r="AD2530" t="str">
            <v>No</v>
          </cell>
          <cell r="AE2530" t="str">
            <v>MMIS</v>
          </cell>
          <cell r="AG2530" t="str">
            <v>P</v>
          </cell>
        </row>
        <row r="2531">
          <cell r="A2531" t="str">
            <v>1558520197</v>
          </cell>
          <cell r="B2531" t="str">
            <v>03978154</v>
          </cell>
          <cell r="C2531" t="str">
            <v xml:space="preserve">PAREKH, MADHAVI </v>
          </cell>
          <cell r="D2531" t="str">
            <v>E0389198</v>
          </cell>
          <cell r="E2531" t="str">
            <v>PAREKH MADHAVI JAYANT</v>
          </cell>
          <cell r="G2531" t="str">
            <v>Kathryn Spaziani</v>
          </cell>
          <cell r="H2531" t="str">
            <v>(212) 305-1190</v>
          </cell>
          <cell r="J2531" t="str">
            <v>kas9171@nyp.org</v>
          </cell>
          <cell r="L2531" t="str">
            <v>Practitioner - Non-Primary Care Provider (PCP)</v>
          </cell>
          <cell r="M2531" t="str">
            <v>No</v>
          </cell>
          <cell r="R2531" t="str">
            <v>PAREKH MADHAVI DR.</v>
          </cell>
          <cell r="W2531" t="str">
            <v>PAREKH MADHAVI JAYANT</v>
          </cell>
          <cell r="X2531" t="str">
            <v>630 W 168TH ST # 4</v>
          </cell>
          <cell r="Y2531" t="str">
            <v>NEW YORK</v>
          </cell>
          <cell r="Z2531" t="str">
            <v>NY</v>
          </cell>
          <cell r="AA2531" t="str">
            <v>10032-3725</v>
          </cell>
          <cell r="AB2531" t="str">
            <v>PHYSICIAN</v>
          </cell>
          <cell r="AC2531" t="str">
            <v>M</v>
          </cell>
          <cell r="AD2531" t="str">
            <v>No</v>
          </cell>
          <cell r="AE2531" t="str">
            <v>MMIS</v>
          </cell>
          <cell r="AF2531" t="str">
            <v>nypwestcampus</v>
          </cell>
          <cell r="AG2531" t="str">
            <v>P</v>
          </cell>
        </row>
        <row r="2532">
          <cell r="A2532" t="str">
            <v>1558537555</v>
          </cell>
          <cell r="B2532" t="str">
            <v>02978187</v>
          </cell>
          <cell r="C2532" t="str">
            <v>RILEY, CLAIRE S</v>
          </cell>
          <cell r="D2532" t="str">
            <v>E0006307</v>
          </cell>
          <cell r="E2532" t="str">
            <v>CLAIRE SEBASTIAN RILEY</v>
          </cell>
          <cell r="G2532" t="str">
            <v>Kathryn Spaziani</v>
          </cell>
          <cell r="H2532" t="str">
            <v>(212) 305-1190</v>
          </cell>
          <cell r="J2532" t="str">
            <v>kas9171@nyp.org</v>
          </cell>
          <cell r="L2532" t="str">
            <v>Practitioner - Non-Primary Care Provider (PCP)</v>
          </cell>
          <cell r="M2532" t="str">
            <v>No</v>
          </cell>
          <cell r="R2532" t="str">
            <v>RILEY CLAIRE MISS</v>
          </cell>
          <cell r="W2532" t="str">
            <v>RILEY CLAIRE SEBASTIAN MD</v>
          </cell>
          <cell r="X2532" t="str">
            <v>710 W 168TH ST</v>
          </cell>
          <cell r="Y2532" t="str">
            <v>NEW YORK</v>
          </cell>
          <cell r="Z2532" t="str">
            <v>NY</v>
          </cell>
          <cell r="AA2532" t="str">
            <v>10032-3726</v>
          </cell>
          <cell r="AB2532" t="str">
            <v>PHYSICIAN</v>
          </cell>
          <cell r="AC2532" t="str">
            <v>M</v>
          </cell>
          <cell r="AD2532" t="str">
            <v>No</v>
          </cell>
          <cell r="AE2532" t="str">
            <v>MMIS</v>
          </cell>
          <cell r="AF2532" t="str">
            <v>nypwestcampus</v>
          </cell>
          <cell r="AG2532" t="str">
            <v>P</v>
          </cell>
        </row>
        <row r="2533">
          <cell r="A2533" t="str">
            <v>1154661494</v>
          </cell>
          <cell r="B2533" t="str">
            <v>03989200</v>
          </cell>
          <cell r="C2533" t="str">
            <v>KREISL, WILLIAM C</v>
          </cell>
          <cell r="D2533" t="str">
            <v>E0390255</v>
          </cell>
          <cell r="E2533" t="str">
            <v>KREISL WILLIAM C</v>
          </cell>
          <cell r="G2533" t="str">
            <v>Kathryn Spaziani</v>
          </cell>
          <cell r="H2533" t="str">
            <v>(212) 305-1190</v>
          </cell>
          <cell r="J2533" t="str">
            <v>kas9171@nyp.org</v>
          </cell>
          <cell r="L2533" t="str">
            <v>Practitioner - Non-Primary Care Provider (PCP)</v>
          </cell>
          <cell r="M2533" t="str">
            <v>No</v>
          </cell>
          <cell r="R2533" t="str">
            <v>KREISL WILLIAM</v>
          </cell>
          <cell r="W2533" t="str">
            <v>KREISL WILLIAM CHARLES</v>
          </cell>
          <cell r="X2533" t="str">
            <v>710 W 168TH ST</v>
          </cell>
          <cell r="Y2533" t="str">
            <v>NEW YORK</v>
          </cell>
          <cell r="Z2533" t="str">
            <v>NY</v>
          </cell>
          <cell r="AA2533" t="str">
            <v>10032-3726</v>
          </cell>
          <cell r="AB2533" t="str">
            <v>PHYSICIAN</v>
          </cell>
          <cell r="AC2533" t="str">
            <v>M</v>
          </cell>
          <cell r="AD2533" t="str">
            <v>No</v>
          </cell>
          <cell r="AE2533" t="str">
            <v>MMIS</v>
          </cell>
          <cell r="AF2533" t="str">
            <v>nypwestcampus</v>
          </cell>
          <cell r="AG2533" t="str">
            <v>P</v>
          </cell>
        </row>
        <row r="2534">
          <cell r="A2534" t="str">
            <v>1871570226</v>
          </cell>
          <cell r="B2534" t="str">
            <v>01671205</v>
          </cell>
          <cell r="C2534" t="str">
            <v>Jerome Elizabeth</v>
          </cell>
          <cell r="D2534" t="str">
            <v>E0132896</v>
          </cell>
          <cell r="E2534" t="str">
            <v>JEROME ELIZABETH HEIDI MD</v>
          </cell>
          <cell r="L2534" t="str">
            <v>All Other:: Practitioner - Non-Primary Care Provider (PCP)</v>
          </cell>
          <cell r="M2534" t="str">
            <v>No</v>
          </cell>
          <cell r="R2534" t="str">
            <v>JEROME ELIZABETH DR.</v>
          </cell>
          <cell r="W2534" t="str">
            <v>JEROME ELIZABETH HEIDI MD</v>
          </cell>
          <cell r="X2534" t="str">
            <v>CORNELL ANESTHESIA</v>
          </cell>
          <cell r="Y2534" t="str">
            <v>NEW YORK</v>
          </cell>
          <cell r="Z2534" t="str">
            <v>NY</v>
          </cell>
          <cell r="AA2534" t="str">
            <v>10065-4870</v>
          </cell>
          <cell r="AB2534" t="str">
            <v>PHYSICIAN</v>
          </cell>
          <cell r="AC2534" t="str">
            <v>M</v>
          </cell>
          <cell r="AD2534" t="str">
            <v>No</v>
          </cell>
          <cell r="AE2534" t="str">
            <v>MMIS</v>
          </cell>
          <cell r="AF2534" t="str">
            <v>nypwestcampus</v>
          </cell>
          <cell r="AG2534" t="str">
            <v>P</v>
          </cell>
        </row>
        <row r="2535">
          <cell r="A2535" t="str">
            <v>1831403278</v>
          </cell>
          <cell r="B2535" t="str">
            <v>03965620</v>
          </cell>
          <cell r="C2535" t="str">
            <v>THEVENTHIRAN, ALEX B</v>
          </cell>
          <cell r="D2535" t="str">
            <v>E0387901</v>
          </cell>
          <cell r="E2535" t="str">
            <v>THEVENTHIRAN ALEX B</v>
          </cell>
          <cell r="G2535" t="str">
            <v>Kathryn Spaziani</v>
          </cell>
          <cell r="H2535" t="str">
            <v>(212) 305-1190</v>
          </cell>
          <cell r="J2535" t="str">
            <v>kas9171@nyp.org</v>
          </cell>
          <cell r="L2535" t="str">
            <v>All Other:: Practitioner - Non-Primary Care Provider (PCP)</v>
          </cell>
          <cell r="M2535" t="str">
            <v>No</v>
          </cell>
          <cell r="R2535" t="str">
            <v>THEVENTHIRAN ALEX DR.</v>
          </cell>
          <cell r="W2535" t="str">
            <v>THEVENTHIRAN ALEX B</v>
          </cell>
          <cell r="X2535" t="str">
            <v>635 W 165TH ST</v>
          </cell>
          <cell r="Y2535" t="str">
            <v>NEW YORK</v>
          </cell>
          <cell r="Z2535" t="str">
            <v>NY</v>
          </cell>
          <cell r="AA2535" t="str">
            <v>10032-3724</v>
          </cell>
          <cell r="AB2535" t="str">
            <v>PHYSICIAN</v>
          </cell>
          <cell r="AC2535" t="str">
            <v>M</v>
          </cell>
          <cell r="AD2535" t="str">
            <v>No</v>
          </cell>
          <cell r="AE2535" t="str">
            <v>MMIS</v>
          </cell>
          <cell r="AF2535" t="str">
            <v>nypother</v>
          </cell>
          <cell r="AG2535" t="str">
            <v>P</v>
          </cell>
        </row>
        <row r="2536">
          <cell r="A2536" t="str">
            <v>1841224342</v>
          </cell>
          <cell r="B2536" t="str">
            <v>03477552</v>
          </cell>
          <cell r="C2536" t="str">
            <v>SINGH, HARSIMRAN S</v>
          </cell>
          <cell r="D2536" t="str">
            <v>E0334902</v>
          </cell>
          <cell r="E2536" t="str">
            <v>SINGH HARSIMRAN SACHDEVA</v>
          </cell>
          <cell r="G2536" t="str">
            <v>Kathryn Spaziani</v>
          </cell>
          <cell r="H2536" t="str">
            <v>(212) 305-1190</v>
          </cell>
          <cell r="J2536" t="str">
            <v>kas9171@nyp.org</v>
          </cell>
          <cell r="L2536" t="str">
            <v>All Other:: Practitioner - Non-Primary Care Provider (PCP)</v>
          </cell>
          <cell r="M2536" t="str">
            <v>No</v>
          </cell>
          <cell r="R2536" t="str">
            <v>SINGH HARSIMRAN DR.</v>
          </cell>
          <cell r="W2536" t="str">
            <v>SINGH HARSIMRAN SACHDEVA</v>
          </cell>
          <cell r="X2536" t="str">
            <v>520 EAST 70TH STREET</v>
          </cell>
          <cell r="Y2536" t="str">
            <v>NEW YORK</v>
          </cell>
          <cell r="Z2536" t="str">
            <v>NY</v>
          </cell>
          <cell r="AA2536" t="str">
            <v>10021-9800</v>
          </cell>
          <cell r="AB2536" t="str">
            <v>PHYSICIAN</v>
          </cell>
          <cell r="AC2536" t="str">
            <v>M</v>
          </cell>
          <cell r="AD2536" t="str">
            <v>No</v>
          </cell>
          <cell r="AE2536" t="str">
            <v>MMIS</v>
          </cell>
          <cell r="AF2536" t="str">
            <v>nypwestcampus</v>
          </cell>
          <cell r="AG2536" t="str">
            <v>P</v>
          </cell>
        </row>
        <row r="2537">
          <cell r="A2537" t="str">
            <v>1609035583</v>
          </cell>
          <cell r="B2537" t="str">
            <v>03255598</v>
          </cell>
          <cell r="C2537" t="str">
            <v>NOBLE, KIMBERLY G</v>
          </cell>
          <cell r="D2537" t="str">
            <v>E0310699</v>
          </cell>
          <cell r="E2537" t="str">
            <v>NOBLE KIMBERLY</v>
          </cell>
          <cell r="G2537" t="str">
            <v>Kathryn Spaziani</v>
          </cell>
          <cell r="H2537" t="str">
            <v>(212) 305-1190</v>
          </cell>
          <cell r="J2537" t="str">
            <v>kas9171@nyp.org</v>
          </cell>
          <cell r="L2537" t="str">
            <v>Practitioner - Primary Care Provider (PCP)</v>
          </cell>
          <cell r="M2537" t="str">
            <v>Yes</v>
          </cell>
          <cell r="R2537" t="str">
            <v>NOBLE KIMBERLY DR.</v>
          </cell>
          <cell r="W2537" t="str">
            <v>NOBLE KIMBERLY GAYLE</v>
          </cell>
          <cell r="X2537" t="str">
            <v>3969 BROADWAY</v>
          </cell>
          <cell r="Y2537" t="str">
            <v>NEW YORK</v>
          </cell>
          <cell r="Z2537" t="str">
            <v>NY</v>
          </cell>
          <cell r="AA2537" t="str">
            <v>10032-1537</v>
          </cell>
          <cell r="AB2537" t="str">
            <v>PHYSICIAN</v>
          </cell>
          <cell r="AC2537" t="str">
            <v>M</v>
          </cell>
          <cell r="AD2537" t="str">
            <v>No</v>
          </cell>
          <cell r="AE2537" t="str">
            <v>MMIS</v>
          </cell>
          <cell r="AF2537" t="str">
            <v>nypother</v>
          </cell>
          <cell r="AG2537" t="str">
            <v>P</v>
          </cell>
        </row>
        <row r="2538">
          <cell r="A2538" t="str">
            <v>1326115999</v>
          </cell>
          <cell r="B2538" t="str">
            <v>01971035</v>
          </cell>
          <cell r="C2538" t="str">
            <v>ROBERTS, JAMES K</v>
          </cell>
          <cell r="D2538" t="str">
            <v>E0102953</v>
          </cell>
          <cell r="E2538" t="str">
            <v>ROBERTS JAMES KIRKLAND MD</v>
          </cell>
          <cell r="G2538" t="str">
            <v>Kathryn Spaziani</v>
          </cell>
          <cell r="H2538" t="str">
            <v>(212) 305-1190</v>
          </cell>
          <cell r="J2538" t="str">
            <v>kas9171@nyp.org</v>
          </cell>
          <cell r="L2538" t="str">
            <v>Practitioner - Non-Primary Care Provider (PCP)</v>
          </cell>
          <cell r="M2538" t="str">
            <v>No</v>
          </cell>
          <cell r="R2538" t="str">
            <v>ROBERTS JAMES DR.</v>
          </cell>
          <cell r="W2538" t="str">
            <v>ROBERTS JAMES KIRKLAND MD</v>
          </cell>
          <cell r="X2538" t="str">
            <v># 201A</v>
          </cell>
          <cell r="Y2538" t="str">
            <v>NEW YORK</v>
          </cell>
          <cell r="Z2538" t="str">
            <v>NY</v>
          </cell>
          <cell r="AA2538" t="str">
            <v>10025-1716</v>
          </cell>
          <cell r="AB2538" t="str">
            <v>PHYSICIAN</v>
          </cell>
          <cell r="AC2538" t="str">
            <v>M</v>
          </cell>
          <cell r="AD2538" t="str">
            <v>No</v>
          </cell>
          <cell r="AE2538" t="str">
            <v>MMIS</v>
          </cell>
          <cell r="AF2538" t="str">
            <v>nypwestcampus</v>
          </cell>
          <cell r="AG2538" t="str">
            <v>P</v>
          </cell>
        </row>
        <row r="2539">
          <cell r="A2539" t="str">
            <v>1962692178</v>
          </cell>
          <cell r="B2539" t="str">
            <v>03479090</v>
          </cell>
          <cell r="C2539" t="str">
            <v>Rainaldi, Matthew A.</v>
          </cell>
          <cell r="D2539" t="str">
            <v>E0337171</v>
          </cell>
          <cell r="E2539" t="str">
            <v>RAINALDI MATTHEW A</v>
          </cell>
          <cell r="G2539" t="str">
            <v>Kathryn Spaziani</v>
          </cell>
          <cell r="H2539" t="str">
            <v>(212) 305-1190</v>
          </cell>
          <cell r="J2539" t="str">
            <v>kas9171@nyp.org</v>
          </cell>
          <cell r="L2539" t="str">
            <v>All Other:: Practitioner - Non-Primary Care Provider (PCP)</v>
          </cell>
          <cell r="M2539" t="str">
            <v>No</v>
          </cell>
          <cell r="R2539" t="str">
            <v>RAINALDI MATTHEW</v>
          </cell>
          <cell r="W2539" t="str">
            <v>RAINALDI MATTHEW A</v>
          </cell>
          <cell r="X2539" t="str">
            <v>525 E 68TH ST</v>
          </cell>
          <cell r="Y2539" t="str">
            <v>NEW YORK</v>
          </cell>
          <cell r="Z2539" t="str">
            <v>NY</v>
          </cell>
          <cell r="AA2539" t="str">
            <v>10065-4885</v>
          </cell>
          <cell r="AB2539" t="str">
            <v>PHYSICIAN</v>
          </cell>
          <cell r="AC2539" t="str">
            <v>M</v>
          </cell>
          <cell r="AD2539" t="str">
            <v>No</v>
          </cell>
          <cell r="AE2539" t="str">
            <v>MMIS</v>
          </cell>
          <cell r="AF2539" t="str">
            <v>nypeastcampus</v>
          </cell>
          <cell r="AG2539" t="str">
            <v>P</v>
          </cell>
        </row>
        <row r="2540">
          <cell r="A2540" t="str">
            <v>1922064435</v>
          </cell>
          <cell r="B2540" t="str">
            <v>01726521</v>
          </cell>
          <cell r="C2540" t="str">
            <v>RESNICK, DAVID J</v>
          </cell>
          <cell r="D2540" t="str">
            <v>E0127370</v>
          </cell>
          <cell r="E2540" t="str">
            <v>RESNICK DAVID J</v>
          </cell>
          <cell r="G2540" t="str">
            <v>Kathryn Spaziani</v>
          </cell>
          <cell r="H2540" t="str">
            <v>(212) 305-1190</v>
          </cell>
          <cell r="J2540" t="str">
            <v>kas9171@nyp.org</v>
          </cell>
          <cell r="L2540" t="str">
            <v>All Other:: Practitioner - Non-Primary Care Provider (PCP)</v>
          </cell>
          <cell r="M2540" t="str">
            <v>No</v>
          </cell>
          <cell r="R2540" t="str">
            <v>RESNICK DAVID DR.</v>
          </cell>
          <cell r="W2540" t="str">
            <v>RESNICK DAVID J</v>
          </cell>
          <cell r="X2540" t="str">
            <v>2507 SOUTH RD</v>
          </cell>
          <cell r="Y2540" t="str">
            <v>POUGHKEEPSIE</v>
          </cell>
          <cell r="Z2540" t="str">
            <v>NY</v>
          </cell>
          <cell r="AA2540" t="str">
            <v>12601-5465</v>
          </cell>
          <cell r="AB2540" t="str">
            <v>PHYSICIAN</v>
          </cell>
          <cell r="AC2540" t="str">
            <v>M</v>
          </cell>
          <cell r="AD2540" t="str">
            <v>No</v>
          </cell>
          <cell r="AE2540" t="str">
            <v>MMIS</v>
          </cell>
          <cell r="AF2540" t="str">
            <v>nypwestcampus</v>
          </cell>
          <cell r="AG2540" t="str">
            <v>P</v>
          </cell>
        </row>
        <row r="2541">
          <cell r="A2541" t="str">
            <v>1922171602</v>
          </cell>
          <cell r="B2541" t="str">
            <v>00930369</v>
          </cell>
          <cell r="C2541" t="str">
            <v>HORN, EVELYN M</v>
          </cell>
          <cell r="D2541" t="str">
            <v>E0206721</v>
          </cell>
          <cell r="E2541" t="str">
            <v>HORN EVELYN M MD</v>
          </cell>
          <cell r="G2541" t="str">
            <v>Kathryn Spaziani</v>
          </cell>
          <cell r="H2541" t="str">
            <v>(212) 305-1190</v>
          </cell>
          <cell r="J2541" t="str">
            <v>kas9171@nyp.org</v>
          </cell>
          <cell r="L2541" t="str">
            <v>All Other:: Practitioner - Non-Primary Care Provider (PCP)</v>
          </cell>
          <cell r="M2541" t="str">
            <v>No</v>
          </cell>
          <cell r="R2541" t="str">
            <v>HORN EVELYN DR.</v>
          </cell>
          <cell r="W2541" t="str">
            <v>HORN EVELYN M MD</v>
          </cell>
          <cell r="X2541" t="str">
            <v>622 W 168TH ST</v>
          </cell>
          <cell r="Y2541" t="str">
            <v>NEW YORK</v>
          </cell>
          <cell r="Z2541" t="str">
            <v>NY</v>
          </cell>
          <cell r="AA2541" t="str">
            <v>10032-3720</v>
          </cell>
          <cell r="AB2541" t="str">
            <v>PHYSICIAN</v>
          </cell>
          <cell r="AC2541" t="str">
            <v>M</v>
          </cell>
          <cell r="AD2541" t="str">
            <v>No</v>
          </cell>
          <cell r="AE2541" t="str">
            <v>MMIS</v>
          </cell>
          <cell r="AF2541" t="str">
            <v>nypeastacn</v>
          </cell>
          <cell r="AG2541" t="str">
            <v>P</v>
          </cell>
        </row>
        <row r="2542">
          <cell r="A2542" t="str">
            <v>1972759744</v>
          </cell>
          <cell r="B2542" t="str">
            <v>03174792</v>
          </cell>
          <cell r="C2542" t="str">
            <v xml:space="preserve">ROBINSON, ALICIA </v>
          </cell>
          <cell r="D2542" t="str">
            <v>E0301579</v>
          </cell>
          <cell r="E2542" t="str">
            <v>ROBINSON ALICIA</v>
          </cell>
          <cell r="G2542" t="str">
            <v>Kathryn Spaziani</v>
          </cell>
          <cell r="H2542" t="str">
            <v>(212) 305-1190</v>
          </cell>
          <cell r="J2542" t="str">
            <v>kas9171@nyp.org</v>
          </cell>
          <cell r="L2542" t="str">
            <v>Practitioner - Non-Primary Care Provider (PCP)</v>
          </cell>
          <cell r="M2542" t="str">
            <v>No</v>
          </cell>
          <cell r="R2542" t="str">
            <v>ROBINSON ALICIA MISS</v>
          </cell>
          <cell r="W2542" t="str">
            <v>ROBINSON ALICIA</v>
          </cell>
          <cell r="X2542" t="str">
            <v>4588 BROADWAY</v>
          </cell>
          <cell r="Y2542" t="str">
            <v>NEW YORK</v>
          </cell>
          <cell r="Z2542" t="str">
            <v>NY</v>
          </cell>
          <cell r="AA2542" t="str">
            <v>10040-2101</v>
          </cell>
          <cell r="AB2542" t="str">
            <v>CLINICAL SOCIAL WORKER (CSW)</v>
          </cell>
          <cell r="AC2542" t="str">
            <v>M</v>
          </cell>
          <cell r="AD2542" t="str">
            <v>No</v>
          </cell>
          <cell r="AE2542" t="str">
            <v>MMIS</v>
          </cell>
          <cell r="AF2542" t="str">
            <v>nypother</v>
          </cell>
          <cell r="AG2542" t="str">
            <v>P</v>
          </cell>
        </row>
        <row r="2543">
          <cell r="A2543" t="str">
            <v>1972764819</v>
          </cell>
          <cell r="B2543" t="str">
            <v>03918201</v>
          </cell>
          <cell r="C2543" t="str">
            <v>MCDONOUGH, TIFFANI L</v>
          </cell>
          <cell r="D2543" t="str">
            <v>E0382988</v>
          </cell>
          <cell r="E2543" t="str">
            <v>MCDONOUGH TIFFANI</v>
          </cell>
          <cell r="G2543" t="str">
            <v>Kathryn Spaziani</v>
          </cell>
          <cell r="H2543" t="str">
            <v>(212) 305-1190</v>
          </cell>
          <cell r="J2543" t="str">
            <v>kas9171@nyp.org</v>
          </cell>
          <cell r="L2543" t="str">
            <v>Practitioner - Non-Primary Care Provider (PCP)</v>
          </cell>
          <cell r="M2543" t="str">
            <v>No</v>
          </cell>
          <cell r="R2543" t="str">
            <v>MCDONOUGH TIFFANI DR.</v>
          </cell>
          <cell r="W2543" t="str">
            <v>MCDONOUGH TIFFANI LEIGH</v>
          </cell>
          <cell r="X2543" t="str">
            <v>180 FORT WASHINGTON AVE</v>
          </cell>
          <cell r="Y2543" t="str">
            <v>NEW YORK</v>
          </cell>
          <cell r="Z2543" t="str">
            <v>NY</v>
          </cell>
          <cell r="AA2543" t="str">
            <v>10032-3722</v>
          </cell>
          <cell r="AB2543" t="str">
            <v>PHYSICIAN</v>
          </cell>
          <cell r="AC2543" t="str">
            <v>M</v>
          </cell>
          <cell r="AD2543" t="str">
            <v>No</v>
          </cell>
          <cell r="AE2543" t="str">
            <v>MMIS</v>
          </cell>
          <cell r="AF2543" t="str">
            <v>nypwestcampus</v>
          </cell>
          <cell r="AG2543" t="str">
            <v>P</v>
          </cell>
        </row>
        <row r="2544">
          <cell r="A2544" t="str">
            <v>1336106418</v>
          </cell>
          <cell r="B2544" t="str">
            <v>01115035</v>
          </cell>
          <cell r="C2544" t="str">
            <v>ODEL, JEFFERY G</v>
          </cell>
          <cell r="D2544" t="str">
            <v>E0188374</v>
          </cell>
          <cell r="E2544" t="str">
            <v>ODEL JEFFREY G MD</v>
          </cell>
          <cell r="G2544" t="str">
            <v>Kathryn Spaziani</v>
          </cell>
          <cell r="H2544" t="str">
            <v>(212) 305-1190</v>
          </cell>
          <cell r="J2544" t="str">
            <v>kas9171@nyp.org</v>
          </cell>
          <cell r="L2544" t="str">
            <v>All Other:: Practitioner - Non-Primary Care Provider (PCP)</v>
          </cell>
          <cell r="M2544" t="str">
            <v>No</v>
          </cell>
          <cell r="R2544" t="str">
            <v>ODEL JEFFREY DR.</v>
          </cell>
          <cell r="W2544" t="str">
            <v>ODEL JEFFREY G MD</v>
          </cell>
          <cell r="X2544" t="str">
            <v>635 W 165TH ST</v>
          </cell>
          <cell r="Y2544" t="str">
            <v>NEW YORK</v>
          </cell>
          <cell r="Z2544" t="str">
            <v>NY</v>
          </cell>
          <cell r="AA2544" t="str">
            <v>10032-3724</v>
          </cell>
          <cell r="AB2544" t="str">
            <v>PHYSICIAN</v>
          </cell>
          <cell r="AC2544" t="str">
            <v>M</v>
          </cell>
          <cell r="AD2544" t="str">
            <v>No</v>
          </cell>
          <cell r="AE2544" t="str">
            <v>MMIS</v>
          </cell>
          <cell r="AF2544" t="str">
            <v>nypwestcampus</v>
          </cell>
          <cell r="AG2544" t="str">
            <v>P</v>
          </cell>
        </row>
        <row r="2545">
          <cell r="A2545" t="str">
            <v>1609080993</v>
          </cell>
          <cell r="B2545" t="str">
            <v>02706307</v>
          </cell>
          <cell r="C2545" t="str">
            <v xml:space="preserve">GUSHUE, GEORGE </v>
          </cell>
          <cell r="D2545" t="str">
            <v>E0029554</v>
          </cell>
          <cell r="E2545" t="str">
            <v>GUSHUE GEORGE</v>
          </cell>
          <cell r="G2545" t="str">
            <v>Kathryn Spaziani</v>
          </cell>
          <cell r="H2545" t="str">
            <v>(212) 305-1190</v>
          </cell>
          <cell r="J2545" t="str">
            <v>kas9171@nyp.org</v>
          </cell>
          <cell r="L2545" t="str">
            <v>Practitioner - Non-Primary Care Provider (PCP)</v>
          </cell>
          <cell r="M2545" t="str">
            <v>No</v>
          </cell>
          <cell r="R2545" t="str">
            <v>GUSHUE GEORGE DR.</v>
          </cell>
          <cell r="W2545" t="str">
            <v>GUSHUE GEORGE VINCENT</v>
          </cell>
          <cell r="X2545" t="str">
            <v>635 W 165TH ST FL 6</v>
          </cell>
          <cell r="Y2545" t="str">
            <v>NEW YORK</v>
          </cell>
          <cell r="Z2545" t="str">
            <v>NY</v>
          </cell>
          <cell r="AA2545" t="str">
            <v>10032-3724</v>
          </cell>
          <cell r="AB2545" t="str">
            <v>CLINICAL PSYCHOLOGIST</v>
          </cell>
          <cell r="AC2545" t="str">
            <v>M</v>
          </cell>
          <cell r="AD2545" t="str">
            <v>No</v>
          </cell>
          <cell r="AE2545" t="str">
            <v>MMIS</v>
          </cell>
          <cell r="AF2545" t="str">
            <v>nypwestacn</v>
          </cell>
          <cell r="AG2545" t="str">
            <v>P</v>
          </cell>
        </row>
        <row r="2546">
          <cell r="A2546" t="str">
            <v>1275682213</v>
          </cell>
          <cell r="B2546" t="str">
            <v>02840820</v>
          </cell>
          <cell r="C2546" t="str">
            <v xml:space="preserve">MOHAN, SUMIT </v>
          </cell>
          <cell r="D2546" t="str">
            <v>E0016115</v>
          </cell>
          <cell r="E2546" t="str">
            <v>MOHAN SUMIT MD</v>
          </cell>
          <cell r="G2546" t="str">
            <v>Kathryn Spaziani</v>
          </cell>
          <cell r="H2546" t="str">
            <v>(212) 305-1190</v>
          </cell>
          <cell r="J2546" t="str">
            <v>kas9171@nyp.org</v>
          </cell>
          <cell r="L2546" t="str">
            <v>All Other:: Practitioner - Non-Primary Care Provider (PCP)</v>
          </cell>
          <cell r="M2546" t="str">
            <v>No</v>
          </cell>
          <cell r="R2546" t="str">
            <v>MOHAN SUMIT DR.</v>
          </cell>
          <cell r="W2546" t="str">
            <v>MOHAN SUMIT MD</v>
          </cell>
          <cell r="X2546" t="str">
            <v>506 MALCOLM X BLVD</v>
          </cell>
          <cell r="Y2546" t="str">
            <v>NEW YORK</v>
          </cell>
          <cell r="Z2546" t="str">
            <v>NY</v>
          </cell>
          <cell r="AA2546" t="str">
            <v>10037-1802</v>
          </cell>
          <cell r="AB2546" t="str">
            <v>PHYSICIAN</v>
          </cell>
          <cell r="AC2546" t="str">
            <v>M</v>
          </cell>
          <cell r="AD2546" t="str">
            <v>No</v>
          </cell>
          <cell r="AE2546" t="str">
            <v>MMIS</v>
          </cell>
          <cell r="AF2546" t="str">
            <v>nypwestcampus</v>
          </cell>
          <cell r="AG2546" t="str">
            <v>P</v>
          </cell>
        </row>
        <row r="2547">
          <cell r="A2547" t="str">
            <v>1275686594</v>
          </cell>
          <cell r="B2547" t="str">
            <v>02706449</v>
          </cell>
          <cell r="C2547" t="str">
            <v xml:space="preserve">MUSABEGOVICH, AIDA </v>
          </cell>
          <cell r="D2547" t="str">
            <v>E0029540</v>
          </cell>
          <cell r="E2547" t="str">
            <v>MUSABEGOVICH AIDA</v>
          </cell>
          <cell r="G2547" t="str">
            <v>Kathryn Spaziani</v>
          </cell>
          <cell r="H2547" t="str">
            <v>(212) 305-1190</v>
          </cell>
          <cell r="J2547" t="str">
            <v>kas9171@nyp.org</v>
          </cell>
          <cell r="L2547" t="str">
            <v>Practitioner - Non-Primary Care Provider (PCP)</v>
          </cell>
          <cell r="M2547" t="str">
            <v>No</v>
          </cell>
          <cell r="R2547" t="str">
            <v>MUSABEGOVICH AIDA DR.</v>
          </cell>
          <cell r="W2547" t="str">
            <v>MUSABEGOVICH AIDA</v>
          </cell>
          <cell r="X2547" t="str">
            <v>3959 BROADWAY FL 6 NORTH</v>
          </cell>
          <cell r="Y2547" t="str">
            <v>NEW YORK</v>
          </cell>
          <cell r="Z2547" t="str">
            <v>NY</v>
          </cell>
          <cell r="AA2547" t="str">
            <v>10032-1559</v>
          </cell>
          <cell r="AB2547" t="str">
            <v>CLINICAL PSYCHOLOGIST</v>
          </cell>
          <cell r="AC2547" t="str">
            <v>M</v>
          </cell>
          <cell r="AD2547" t="str">
            <v>No</v>
          </cell>
          <cell r="AE2547" t="str">
            <v>MMIS</v>
          </cell>
          <cell r="AF2547" t="str">
            <v>nypwestcampus</v>
          </cell>
          <cell r="AG2547" t="str">
            <v>P</v>
          </cell>
        </row>
        <row r="2548">
          <cell r="A2548" t="str">
            <v>1477704419</v>
          </cell>
          <cell r="B2548" t="str">
            <v>03557040</v>
          </cell>
          <cell r="C2548" t="str">
            <v>Bartolotta Roger</v>
          </cell>
          <cell r="D2548" t="str">
            <v>E0345674</v>
          </cell>
          <cell r="E2548" t="str">
            <v>BARTOLOTTA ROGER</v>
          </cell>
          <cell r="L2548" t="str">
            <v>All Other:: Practitioner - Non-Primary Care Provider (PCP)</v>
          </cell>
          <cell r="M2548" t="str">
            <v>No</v>
          </cell>
          <cell r="R2548" t="str">
            <v>BARTOLOTTA ROGER DR.</v>
          </cell>
          <cell r="W2548" t="str">
            <v>BARTOLOTTA ROGER J</v>
          </cell>
          <cell r="X2548" t="str">
            <v>525 E 68TH ST # 141</v>
          </cell>
          <cell r="Y2548" t="str">
            <v>NEW YORK</v>
          </cell>
          <cell r="Z2548" t="str">
            <v>NY</v>
          </cell>
          <cell r="AA2548" t="str">
            <v>10065-4870</v>
          </cell>
          <cell r="AB2548" t="str">
            <v>PHYSICIAN</v>
          </cell>
          <cell r="AC2548" t="str">
            <v>M</v>
          </cell>
          <cell r="AD2548" t="str">
            <v>No</v>
          </cell>
          <cell r="AE2548" t="str">
            <v>MMIS</v>
          </cell>
          <cell r="AF2548" t="str">
            <v>nypeastcampus</v>
          </cell>
          <cell r="AG2548" t="str">
            <v>P</v>
          </cell>
        </row>
        <row r="2549">
          <cell r="A2549" t="str">
            <v>1578738852</v>
          </cell>
          <cell r="B2549" t="str">
            <v>03589420</v>
          </cell>
          <cell r="C2549" t="str">
            <v>Fisher Jessica</v>
          </cell>
          <cell r="D2549" t="str">
            <v>E0349094</v>
          </cell>
          <cell r="E2549" t="str">
            <v>FISHER JESSICA</v>
          </cell>
          <cell r="L2549" t="str">
            <v>All Other:: Practitioner - Non-Primary Care Provider (PCP)</v>
          </cell>
          <cell r="M2549" t="str">
            <v>No</v>
          </cell>
          <cell r="R2549" t="str">
            <v>FISHER JESSICA</v>
          </cell>
          <cell r="W2549" t="str">
            <v>FISHER JESSICA</v>
          </cell>
          <cell r="X2549" t="str">
            <v>416 E 55TH ST</v>
          </cell>
          <cell r="Y2549" t="str">
            <v>NEW YORK</v>
          </cell>
          <cell r="Z2549" t="str">
            <v>NY</v>
          </cell>
          <cell r="AA2549" t="str">
            <v>10022-5252</v>
          </cell>
          <cell r="AB2549" t="str">
            <v>PHYSICIAN</v>
          </cell>
          <cell r="AC2549" t="str">
            <v>M</v>
          </cell>
          <cell r="AD2549" t="str">
            <v>No</v>
          </cell>
          <cell r="AE2549" t="str">
            <v>MMIS</v>
          </cell>
          <cell r="AF2549" t="str">
            <v>nypeastcampus</v>
          </cell>
          <cell r="AG2549" t="str">
            <v>P</v>
          </cell>
        </row>
        <row r="2550">
          <cell r="A2550" t="str">
            <v>1518224450</v>
          </cell>
          <cell r="C2550" t="str">
            <v>Montes Lucresia</v>
          </cell>
          <cell r="G2550" t="str">
            <v>Kathryn Spaziani</v>
          </cell>
          <cell r="H2550" t="str">
            <v>(212) 305-1255</v>
          </cell>
          <cell r="J2550" t="str">
            <v>kas9171@nyp.org</v>
          </cell>
          <cell r="K2550" t="str">
            <v>Physician</v>
          </cell>
          <cell r="L2550" t="str">
            <v>Uncategorized</v>
          </cell>
          <cell r="M2550" t="str">
            <v>No</v>
          </cell>
          <cell r="R2550" t="str">
            <v>MONTES LUCRESIA</v>
          </cell>
          <cell r="S2550" t="str">
            <v>1111 AMSTERDAM AVE</v>
          </cell>
          <cell r="T2550" t="str">
            <v>NEW YORK</v>
          </cell>
          <cell r="U2550" t="str">
            <v>NY</v>
          </cell>
          <cell r="V2550" t="str">
            <v>100251716</v>
          </cell>
          <cell r="AC2550" t="str">
            <v>M</v>
          </cell>
          <cell r="AD2550" t="str">
            <v>No</v>
          </cell>
          <cell r="AE2550" t="str">
            <v>NPI only</v>
          </cell>
          <cell r="AF2550" t="str">
            <v>nypother</v>
          </cell>
          <cell r="AG2550" t="str">
            <v>P</v>
          </cell>
        </row>
        <row r="2551">
          <cell r="A2551" t="str">
            <v>1275823858</v>
          </cell>
          <cell r="C2551" t="str">
            <v>Musa Hussein</v>
          </cell>
          <cell r="G2551" t="str">
            <v>Kathryn Spaziani</v>
          </cell>
          <cell r="H2551" t="str">
            <v>(212) 305-1255</v>
          </cell>
          <cell r="J2551" t="str">
            <v>kas9171@nyp.org</v>
          </cell>
          <cell r="K2551" t="str">
            <v>Physician</v>
          </cell>
          <cell r="L2551" t="str">
            <v>Uncategorized</v>
          </cell>
          <cell r="M2551" t="str">
            <v>No</v>
          </cell>
          <cell r="R2551" t="str">
            <v>MUSA HUSSEIN</v>
          </cell>
          <cell r="S2551" t="str">
            <v>622 W 168TH ST</v>
          </cell>
          <cell r="T2551" t="str">
            <v>NEW YORK</v>
          </cell>
          <cell r="U2551" t="str">
            <v>NY</v>
          </cell>
          <cell r="V2551" t="str">
            <v>100323720</v>
          </cell>
          <cell r="AC2551" t="str">
            <v>M</v>
          </cell>
          <cell r="AD2551" t="str">
            <v>No</v>
          </cell>
          <cell r="AE2551" t="str">
            <v>NPI only</v>
          </cell>
          <cell r="AF2551" t="str">
            <v>nypother</v>
          </cell>
          <cell r="AG2551" t="str">
            <v>P</v>
          </cell>
        </row>
        <row r="2552">
          <cell r="A2552" t="str">
            <v>1578829065</v>
          </cell>
          <cell r="B2552" t="str">
            <v>04617103</v>
          </cell>
          <cell r="C2552" t="str">
            <v>Niles Clyde</v>
          </cell>
          <cell r="D2552" t="str">
            <v>E0452985</v>
          </cell>
          <cell r="E2552" t="str">
            <v>NILES CLYDE MATTHEW</v>
          </cell>
          <cell r="G2552" t="str">
            <v>Kathryn Spaziani</v>
          </cell>
          <cell r="H2552" t="str">
            <v>(212) 305-1255</v>
          </cell>
          <cell r="J2552" t="str">
            <v>kas9171@nyp.org</v>
          </cell>
          <cell r="L2552" t="str">
            <v>Uncategorized</v>
          </cell>
          <cell r="M2552" t="str">
            <v>No</v>
          </cell>
          <cell r="R2552" t="str">
            <v>NILES CLYDE DR.</v>
          </cell>
          <cell r="W2552" t="str">
            <v>NILES CLYDE MATTHEW</v>
          </cell>
          <cell r="AB2552" t="str">
            <v>PHYSICIAN</v>
          </cell>
          <cell r="AC2552" t="str">
            <v>M</v>
          </cell>
          <cell r="AD2552" t="str">
            <v>No</v>
          </cell>
          <cell r="AE2552" t="str">
            <v>MMIS</v>
          </cell>
          <cell r="AF2552" t="str">
            <v>nypwestcampus</v>
          </cell>
          <cell r="AG2552" t="str">
            <v>P</v>
          </cell>
        </row>
        <row r="2553">
          <cell r="A2553" t="str">
            <v>1588920516</v>
          </cell>
          <cell r="C2553" t="str">
            <v>Orji Obinna</v>
          </cell>
          <cell r="G2553" t="str">
            <v>Kathryn Spaziani</v>
          </cell>
          <cell r="H2553" t="str">
            <v>(212) 305-1255</v>
          </cell>
          <cell r="J2553" t="str">
            <v>kas9171@nyp.org</v>
          </cell>
          <cell r="K2553" t="str">
            <v>Physician</v>
          </cell>
          <cell r="L2553" t="str">
            <v>Uncategorized</v>
          </cell>
          <cell r="M2553" t="str">
            <v>No</v>
          </cell>
          <cell r="R2553" t="str">
            <v>ORJI OBINNA</v>
          </cell>
          <cell r="S2553" t="str">
            <v>9 BRIDLE CT</v>
          </cell>
          <cell r="T2553" t="str">
            <v>JACKSON</v>
          </cell>
          <cell r="U2553" t="str">
            <v>NJ</v>
          </cell>
          <cell r="V2553" t="str">
            <v>085274486</v>
          </cell>
          <cell r="AC2553" t="str">
            <v>M</v>
          </cell>
          <cell r="AD2553" t="str">
            <v>No</v>
          </cell>
          <cell r="AE2553" t="str">
            <v>NPI only</v>
          </cell>
          <cell r="AF2553" t="str">
            <v>nypwestcampus</v>
          </cell>
          <cell r="AG2553" t="str">
            <v>P</v>
          </cell>
        </row>
        <row r="2554">
          <cell r="A2554" t="str">
            <v>1174937304</v>
          </cell>
          <cell r="C2554" t="str">
            <v>Fullerton Douglas</v>
          </cell>
          <cell r="G2554" t="str">
            <v>Kathryn Spaziani</v>
          </cell>
          <cell r="H2554" t="str">
            <v>(212) 305-1255</v>
          </cell>
          <cell r="J2554" t="str">
            <v>kas9171@nyp.org</v>
          </cell>
          <cell r="K2554" t="str">
            <v>Physician</v>
          </cell>
          <cell r="L2554" t="str">
            <v>Uncategorized</v>
          </cell>
          <cell r="M2554" t="str">
            <v>No</v>
          </cell>
          <cell r="R2554" t="str">
            <v>FULLERTON DOUGLAS</v>
          </cell>
          <cell r="S2554" t="str">
            <v>1320 YORK AVE, APT. 22N</v>
          </cell>
          <cell r="T2554" t="str">
            <v>NEW YORK</v>
          </cell>
          <cell r="U2554" t="str">
            <v>NY</v>
          </cell>
          <cell r="V2554" t="str">
            <v>100214800</v>
          </cell>
          <cell r="AC2554" t="str">
            <v>M</v>
          </cell>
          <cell r="AD2554" t="str">
            <v>No</v>
          </cell>
          <cell r="AE2554" t="str">
            <v>NPI only</v>
          </cell>
          <cell r="AF2554" t="str">
            <v>nypeastcampus</v>
          </cell>
          <cell r="AG2554" t="str">
            <v>P</v>
          </cell>
        </row>
        <row r="2555">
          <cell r="A2555" t="str">
            <v>1376576892</v>
          </cell>
          <cell r="C2555" t="str">
            <v>TRUSTEES OF COLUMBIA UNIVERSITY IN THE CITY OF NEW YORK</v>
          </cell>
          <cell r="K2555" t="str">
            <v>All Other</v>
          </cell>
          <cell r="L2555" t="str">
            <v>Uncategorized</v>
          </cell>
          <cell r="M2555" t="str">
            <v>No</v>
          </cell>
          <cell r="R2555" t="str">
            <v>TRUSTEES OF COLUMBIA UNIVERSITY IN THE CITY OF NEW YORK</v>
          </cell>
          <cell r="S2555" t="str">
            <v>635 W 165TH ST, FLANZER SUITE</v>
          </cell>
          <cell r="T2555" t="str">
            <v>NEW YORK</v>
          </cell>
          <cell r="U2555" t="str">
            <v>NY</v>
          </cell>
          <cell r="V2555" t="str">
            <v>100323724</v>
          </cell>
          <cell r="AC2555" t="str">
            <v>M</v>
          </cell>
          <cell r="AD2555" t="str">
            <v>No</v>
          </cell>
          <cell r="AE2555" t="str">
            <v>NPI only</v>
          </cell>
          <cell r="AG2555" t="str">
            <v>P</v>
          </cell>
        </row>
        <row r="2556">
          <cell r="A2556" t="str">
            <v>1457554792</v>
          </cell>
          <cell r="B2556" t="str">
            <v>03203849</v>
          </cell>
          <cell r="C2556" t="str">
            <v>TRUSTEES OF COLUMBIA UNIVERSITY IN THE CITY OF NEW YORK</v>
          </cell>
          <cell r="D2556" t="str">
            <v>E0304884</v>
          </cell>
          <cell r="E2556" t="str">
            <v>TRUSTEES OF COLUMBIA UNIVERSITY IN</v>
          </cell>
          <cell r="L2556" t="str">
            <v>All Other</v>
          </cell>
          <cell r="M2556" t="str">
            <v>No</v>
          </cell>
          <cell r="R2556" t="str">
            <v>TRUSTEES OF COLUMBIA UNIVERSITY IN THE CITY OF NEW YORK</v>
          </cell>
          <cell r="W2556" t="str">
            <v>TRUSTEES OF COLUMBIA UNIVERSITY IN</v>
          </cell>
          <cell r="X2556" t="str">
            <v>622 W 168TH ST</v>
          </cell>
          <cell r="Y2556" t="str">
            <v>NEW YORK</v>
          </cell>
          <cell r="Z2556" t="str">
            <v>NY</v>
          </cell>
          <cell r="AA2556" t="str">
            <v>10032-3720</v>
          </cell>
          <cell r="AB2556" t="str">
            <v>PHYSICIANS GROUP</v>
          </cell>
          <cell r="AC2556" t="str">
            <v>M</v>
          </cell>
          <cell r="AD2556" t="str">
            <v>No</v>
          </cell>
          <cell r="AE2556" t="str">
            <v>MMIS</v>
          </cell>
          <cell r="AG2556" t="str">
            <v>P</v>
          </cell>
        </row>
        <row r="2557">
          <cell r="A2557" t="str">
            <v>1679747182</v>
          </cell>
          <cell r="B2557" t="str">
            <v>03508812</v>
          </cell>
          <cell r="C2557" t="str">
            <v>HAMEED, FARAH</v>
          </cell>
          <cell r="D2557" t="str">
            <v>E0340486</v>
          </cell>
          <cell r="E2557" t="str">
            <v>HAMEED FARAH</v>
          </cell>
          <cell r="G2557" t="str">
            <v>Kathryn Spaziani</v>
          </cell>
          <cell r="H2557" t="str">
            <v>(212) 305-1253</v>
          </cell>
          <cell r="J2557" t="str">
            <v>kas9171@nyp.org</v>
          </cell>
          <cell r="L2557" t="str">
            <v>All Other:: Practitioner - Non-Primary Care Provider (PCP)</v>
          </cell>
          <cell r="M2557" t="str">
            <v>No</v>
          </cell>
          <cell r="R2557" t="str">
            <v>HAMEED FARAH DR.</v>
          </cell>
          <cell r="W2557" t="str">
            <v>HAMEED FARAH</v>
          </cell>
          <cell r="X2557" t="str">
            <v>16 E 60TH ST</v>
          </cell>
          <cell r="Y2557" t="str">
            <v>NEW YORK</v>
          </cell>
          <cell r="Z2557" t="str">
            <v>NY</v>
          </cell>
          <cell r="AA2557" t="str">
            <v>10022-1096</v>
          </cell>
          <cell r="AB2557" t="str">
            <v>PHYSICIAN</v>
          </cell>
          <cell r="AC2557" t="str">
            <v>M</v>
          </cell>
          <cell r="AD2557" t="str">
            <v>No</v>
          </cell>
          <cell r="AE2557" t="str">
            <v>MMIS</v>
          </cell>
          <cell r="AF2557" t="str">
            <v>nypwestcampus</v>
          </cell>
          <cell r="AG2557" t="str">
            <v>P</v>
          </cell>
        </row>
        <row r="2558">
          <cell r="A2558" t="str">
            <v>1215202841</v>
          </cell>
          <cell r="B2558" t="str">
            <v>03437767</v>
          </cell>
          <cell r="C2558" t="str">
            <v xml:space="preserve">PHO, ANTHONY </v>
          </cell>
          <cell r="D2558" t="str">
            <v>E0332370</v>
          </cell>
          <cell r="E2558" t="str">
            <v>PHO ANTHONY TUANDUC</v>
          </cell>
          <cell r="G2558" t="str">
            <v>Kathryn Spaziani</v>
          </cell>
          <cell r="H2558" t="str">
            <v>(212) 305-1190</v>
          </cell>
          <cell r="J2558" t="str">
            <v>kas9171@nyp.org</v>
          </cell>
          <cell r="L2558" t="str">
            <v>All Other:: Practitioner - Non-Primary Care Provider (PCP)</v>
          </cell>
          <cell r="M2558" t="str">
            <v>No</v>
          </cell>
          <cell r="R2558" t="str">
            <v>PHO ANTHONY MR.</v>
          </cell>
          <cell r="W2558" t="str">
            <v>PHO ANTHONY TUANDUC</v>
          </cell>
          <cell r="X2558" t="str">
            <v>505 E 70TH ST</v>
          </cell>
          <cell r="Y2558" t="str">
            <v>NEW YORK</v>
          </cell>
          <cell r="Z2558" t="str">
            <v>NY</v>
          </cell>
          <cell r="AA2558" t="str">
            <v>10021-4872</v>
          </cell>
          <cell r="AB2558" t="str">
            <v>PHYSICIAN</v>
          </cell>
          <cell r="AC2558" t="str">
            <v>M</v>
          </cell>
          <cell r="AD2558" t="str">
            <v>No</v>
          </cell>
          <cell r="AE2558" t="str">
            <v>MMIS</v>
          </cell>
          <cell r="AF2558" t="str">
            <v>nypeastcampus</v>
          </cell>
          <cell r="AG2558" t="str">
            <v>P</v>
          </cell>
        </row>
        <row r="2559">
          <cell r="A2559" t="str">
            <v>1083811707</v>
          </cell>
          <cell r="B2559" t="str">
            <v>03174701</v>
          </cell>
          <cell r="C2559" t="str">
            <v xml:space="preserve">LEVINE, ALYSON </v>
          </cell>
          <cell r="D2559" t="str">
            <v>E0301570</v>
          </cell>
          <cell r="E2559" t="str">
            <v>LEVINE ALYSON</v>
          </cell>
          <cell r="G2559" t="str">
            <v>Kathryn Spaziani</v>
          </cell>
          <cell r="H2559" t="str">
            <v>(212) 305-1190</v>
          </cell>
          <cell r="J2559" t="str">
            <v>kas9171@nyp.org</v>
          </cell>
          <cell r="L2559" t="str">
            <v>Practitioner - Non-Primary Care Provider (PCP)</v>
          </cell>
          <cell r="M2559" t="str">
            <v>No</v>
          </cell>
          <cell r="R2559" t="str">
            <v>LEVINE ALYSON DR.</v>
          </cell>
          <cell r="W2559" t="str">
            <v>LEVINE ALYSON ANDREASEN</v>
          </cell>
          <cell r="X2559" t="str">
            <v>161 FORT WASHINGTON AVE</v>
          </cell>
          <cell r="Y2559" t="str">
            <v>NEW YORK</v>
          </cell>
          <cell r="Z2559" t="str">
            <v>NY</v>
          </cell>
          <cell r="AA2559" t="str">
            <v>10032-3729</v>
          </cell>
          <cell r="AB2559" t="str">
            <v>PHYSICIAN</v>
          </cell>
          <cell r="AC2559" t="str">
            <v>M</v>
          </cell>
          <cell r="AD2559" t="str">
            <v>No</v>
          </cell>
          <cell r="AE2559" t="str">
            <v>MMIS</v>
          </cell>
          <cell r="AF2559" t="str">
            <v>nypwestcampus</v>
          </cell>
          <cell r="AG2559" t="str">
            <v>P</v>
          </cell>
        </row>
        <row r="2560">
          <cell r="A2560" t="str">
            <v>1538269790</v>
          </cell>
          <cell r="B2560" t="str">
            <v>01644279</v>
          </cell>
          <cell r="C2560" t="str">
            <v>WALTHER, ROBERT R</v>
          </cell>
          <cell r="D2560" t="str">
            <v>E0135587</v>
          </cell>
          <cell r="E2560" t="str">
            <v>WALTHER ROBERT R MD</v>
          </cell>
          <cell r="G2560" t="str">
            <v>Kathryn Spaziani</v>
          </cell>
          <cell r="H2560" t="str">
            <v>(212) 305-1190</v>
          </cell>
          <cell r="J2560" t="str">
            <v>kas9171@nyp.org</v>
          </cell>
          <cell r="L2560" t="str">
            <v>Practitioner - Non-Primary Care Provider (PCP)</v>
          </cell>
          <cell r="M2560" t="str">
            <v>No</v>
          </cell>
          <cell r="R2560" t="str">
            <v>WALTHER ROBERT</v>
          </cell>
          <cell r="W2560" t="str">
            <v>WALTHER ROBERT R</v>
          </cell>
          <cell r="X2560" t="str">
            <v>630 W 168TH ST STE VC15-207</v>
          </cell>
          <cell r="Y2560" t="str">
            <v>NEW YORK</v>
          </cell>
          <cell r="Z2560" t="str">
            <v>NY</v>
          </cell>
          <cell r="AA2560" t="str">
            <v>10032-3725</v>
          </cell>
          <cell r="AB2560" t="str">
            <v>PHYSICIAN</v>
          </cell>
          <cell r="AC2560" t="str">
            <v>M</v>
          </cell>
          <cell r="AD2560" t="str">
            <v>No</v>
          </cell>
          <cell r="AE2560" t="str">
            <v>MMIS</v>
          </cell>
          <cell r="AF2560" t="str">
            <v>nypwestcampus</v>
          </cell>
          <cell r="AG2560" t="str">
            <v>P</v>
          </cell>
        </row>
        <row r="2561">
          <cell r="A2561" t="str">
            <v>1841522919</v>
          </cell>
          <cell r="B2561" t="str">
            <v>03708954</v>
          </cell>
          <cell r="C2561" t="str">
            <v>WEBB, LEIGH-ANN J</v>
          </cell>
          <cell r="D2561" t="str">
            <v>E0361385</v>
          </cell>
          <cell r="E2561" t="str">
            <v>WEBB LEIGH-ANN JONES</v>
          </cell>
          <cell r="G2561" t="str">
            <v>Kathryn Spaziani</v>
          </cell>
          <cell r="H2561" t="str">
            <v>(212) 305-1190</v>
          </cell>
          <cell r="J2561" t="str">
            <v>kas9171@nyp.org</v>
          </cell>
          <cell r="L2561" t="str">
            <v>Practitioner - Non-Primary Care Provider (PCP)</v>
          </cell>
          <cell r="M2561" t="str">
            <v>No</v>
          </cell>
          <cell r="R2561" t="str">
            <v>WEBB LEIGH-ANN DR.</v>
          </cell>
          <cell r="W2561" t="str">
            <v>WEBB LEIGH-ANN JONES</v>
          </cell>
          <cell r="X2561" t="str">
            <v>622 W 168TH ST PH 1-137</v>
          </cell>
          <cell r="Y2561" t="str">
            <v>NEW YORK</v>
          </cell>
          <cell r="Z2561" t="str">
            <v>NY</v>
          </cell>
          <cell r="AA2561" t="str">
            <v>10032-3720</v>
          </cell>
          <cell r="AB2561" t="str">
            <v>PHYSICIAN</v>
          </cell>
          <cell r="AC2561" t="str">
            <v>M</v>
          </cell>
          <cell r="AD2561" t="str">
            <v>No</v>
          </cell>
          <cell r="AE2561" t="str">
            <v>MMIS</v>
          </cell>
          <cell r="AF2561" t="str">
            <v>nypwestcampus</v>
          </cell>
          <cell r="AG2561" t="str">
            <v>P</v>
          </cell>
        </row>
        <row r="2562">
          <cell r="A2562" t="str">
            <v>1447465125</v>
          </cell>
          <cell r="B2562" t="str">
            <v>02706605</v>
          </cell>
          <cell r="C2562" t="str">
            <v>GOREN, GAYLE S</v>
          </cell>
          <cell r="D2562" t="str">
            <v>E0029524</v>
          </cell>
          <cell r="E2562" t="str">
            <v>GOREN GAYLE</v>
          </cell>
          <cell r="G2562" t="str">
            <v>Kathryn Spaziani</v>
          </cell>
          <cell r="H2562" t="str">
            <v>(212) 305-1190</v>
          </cell>
          <cell r="J2562" t="str">
            <v>kas9171@nyp.org</v>
          </cell>
          <cell r="L2562" t="str">
            <v>Practitioner - Non-Primary Care Provider (PCP)</v>
          </cell>
          <cell r="M2562" t="str">
            <v>No</v>
          </cell>
          <cell r="R2562" t="str">
            <v>GOREN GAYLE DR.</v>
          </cell>
          <cell r="W2562" t="str">
            <v>GOREN GAYLE</v>
          </cell>
          <cell r="X2562" t="str">
            <v>635 W 165TH ST</v>
          </cell>
          <cell r="Y2562" t="str">
            <v>NEW YORK</v>
          </cell>
          <cell r="Z2562" t="str">
            <v>NY</v>
          </cell>
          <cell r="AA2562" t="str">
            <v>10032-3724</v>
          </cell>
          <cell r="AB2562" t="str">
            <v>PHYSICIAN</v>
          </cell>
          <cell r="AC2562" t="str">
            <v>M</v>
          </cell>
          <cell r="AD2562" t="str">
            <v>No</v>
          </cell>
          <cell r="AE2562" t="str">
            <v>MMIS</v>
          </cell>
          <cell r="AF2562" t="str">
            <v>nypwestacn</v>
          </cell>
          <cell r="AG2562" t="str">
            <v>P</v>
          </cell>
        </row>
        <row r="2563">
          <cell r="A2563" t="str">
            <v>1538147608</v>
          </cell>
          <cell r="B2563" t="str">
            <v>02945260</v>
          </cell>
          <cell r="C2563" t="str">
            <v>Duke Gavin</v>
          </cell>
          <cell r="D2563" t="str">
            <v>E0002683</v>
          </cell>
          <cell r="E2563" t="str">
            <v>DUKE GAVIN</v>
          </cell>
          <cell r="L2563" t="str">
            <v>All Other:: Practitioner - Non-Primary Care Provider (PCP)</v>
          </cell>
          <cell r="M2563" t="str">
            <v>No</v>
          </cell>
          <cell r="R2563" t="str">
            <v>DUKE GAVIN DR.</v>
          </cell>
          <cell r="W2563" t="str">
            <v>DUKE GAVIN LANCE MD</v>
          </cell>
          <cell r="X2563" t="str">
            <v>525 E 68TH ST</v>
          </cell>
          <cell r="Y2563" t="str">
            <v>NEW YORK</v>
          </cell>
          <cell r="Z2563" t="str">
            <v>NY</v>
          </cell>
          <cell r="AA2563" t="str">
            <v>10065-4870</v>
          </cell>
          <cell r="AB2563" t="str">
            <v>PHYSICIAN</v>
          </cell>
          <cell r="AC2563" t="str">
            <v>M</v>
          </cell>
          <cell r="AD2563" t="str">
            <v>No</v>
          </cell>
          <cell r="AE2563" t="str">
            <v>MMIS</v>
          </cell>
          <cell r="AF2563" t="str">
            <v>nypeastcampus</v>
          </cell>
          <cell r="AG2563" t="str">
            <v>P</v>
          </cell>
        </row>
        <row r="2564">
          <cell r="A2564" t="str">
            <v>1437136710</v>
          </cell>
          <cell r="B2564" t="str">
            <v>01574363</v>
          </cell>
          <cell r="C2564" t="str">
            <v>Greenberg Stephen</v>
          </cell>
          <cell r="D2564" t="str">
            <v>E0142568</v>
          </cell>
          <cell r="E2564" t="str">
            <v>GREENBERG STEVEN DAVID MD</v>
          </cell>
          <cell r="L2564" t="str">
            <v>All Other:: Practitioner - Non-Primary Care Provider (PCP)</v>
          </cell>
          <cell r="M2564" t="str">
            <v>No</v>
          </cell>
          <cell r="R2564" t="str">
            <v>GREENBERG STEPHEN DR.</v>
          </cell>
          <cell r="W2564" t="str">
            <v>GREENBERG STEPHEN DAVID MD</v>
          </cell>
          <cell r="X2564" t="str">
            <v>YONKERS GENERAL HOSP</v>
          </cell>
          <cell r="Y2564" t="str">
            <v>YONKERS</v>
          </cell>
          <cell r="Z2564" t="str">
            <v>NY</v>
          </cell>
          <cell r="AA2564" t="str">
            <v>10703-3402</v>
          </cell>
          <cell r="AB2564" t="str">
            <v>PHYSICIAN</v>
          </cell>
          <cell r="AC2564" t="str">
            <v>M</v>
          </cell>
          <cell r="AD2564" t="str">
            <v>No</v>
          </cell>
          <cell r="AE2564" t="str">
            <v>MMIS</v>
          </cell>
          <cell r="AF2564" t="str">
            <v>nypeastcampus</v>
          </cell>
          <cell r="AG2564" t="str">
            <v>P</v>
          </cell>
        </row>
        <row r="2565">
          <cell r="A2565" t="str">
            <v>1477759611</v>
          </cell>
          <cell r="B2565" t="str">
            <v>03458871</v>
          </cell>
          <cell r="C2565" t="str">
            <v>COLETTA LUCAS, JACLYN M</v>
          </cell>
          <cell r="D2565" t="str">
            <v>E0334875</v>
          </cell>
          <cell r="E2565" t="str">
            <v>COLETTA LUCAS JACLYN MARIE</v>
          </cell>
          <cell r="G2565" t="str">
            <v>Kathryn Spaziani</v>
          </cell>
          <cell r="H2565" t="str">
            <v>(212) 305-1190</v>
          </cell>
          <cell r="J2565" t="str">
            <v>kas9171@nyp.org</v>
          </cell>
          <cell r="L2565" t="str">
            <v>All Other:: Practitioner - Non-Primary Care Provider (PCP)</v>
          </cell>
          <cell r="M2565" t="str">
            <v>No</v>
          </cell>
          <cell r="R2565" t="str">
            <v>COLETTA LUCAS JACLYN DR.</v>
          </cell>
          <cell r="W2565" t="str">
            <v>COLETTA LUCAS JACLYN MARIE</v>
          </cell>
          <cell r="X2565" t="str">
            <v>5141 BROADWAY FL 3</v>
          </cell>
          <cell r="Y2565" t="str">
            <v>NEW YORK</v>
          </cell>
          <cell r="Z2565" t="str">
            <v>NY</v>
          </cell>
          <cell r="AA2565" t="str">
            <v>10034-1159</v>
          </cell>
          <cell r="AB2565" t="str">
            <v>PHYSICIAN</v>
          </cell>
          <cell r="AC2565" t="str">
            <v>M</v>
          </cell>
          <cell r="AD2565" t="str">
            <v>No</v>
          </cell>
          <cell r="AE2565" t="str">
            <v>MMIS</v>
          </cell>
          <cell r="AF2565" t="str">
            <v>nypwestacn</v>
          </cell>
          <cell r="AG2565" t="str">
            <v>P</v>
          </cell>
        </row>
        <row r="2566">
          <cell r="A2566" t="str">
            <v>1598817454</v>
          </cell>
          <cell r="B2566" t="str">
            <v>01825070</v>
          </cell>
          <cell r="C2566" t="str">
            <v>Goodman Stephanie</v>
          </cell>
          <cell r="D2566" t="str">
            <v>E0117531</v>
          </cell>
          <cell r="E2566" t="str">
            <v>GOODMAN STEPHANIE R MD</v>
          </cell>
          <cell r="L2566" t="str">
            <v>All Other:: Practitioner - Non-Primary Care Provider (PCP)</v>
          </cell>
          <cell r="M2566" t="str">
            <v>No</v>
          </cell>
          <cell r="R2566" t="str">
            <v>GOODMAN STEPHANIE DR.</v>
          </cell>
          <cell r="W2566" t="str">
            <v>GOODMAN STEPHANIE R MD</v>
          </cell>
          <cell r="X2566" t="str">
            <v>ANES SVCS OF CPMC</v>
          </cell>
          <cell r="Y2566" t="str">
            <v>NEW YORK</v>
          </cell>
          <cell r="Z2566" t="str">
            <v>NY</v>
          </cell>
          <cell r="AA2566" t="str">
            <v>10032-3720</v>
          </cell>
          <cell r="AB2566" t="str">
            <v>PHYSICIAN</v>
          </cell>
          <cell r="AC2566" t="str">
            <v>M</v>
          </cell>
          <cell r="AD2566" t="str">
            <v>No</v>
          </cell>
          <cell r="AE2566" t="str">
            <v>MMIS</v>
          </cell>
          <cell r="AF2566" t="str">
            <v>nypwestcampus</v>
          </cell>
          <cell r="AG2566" t="str">
            <v>P</v>
          </cell>
        </row>
        <row r="2567">
          <cell r="A2567" t="str">
            <v>1629105044</v>
          </cell>
          <cell r="B2567" t="str">
            <v>01809058</v>
          </cell>
          <cell r="C2567" t="str">
            <v>Borczuk Alain</v>
          </cell>
          <cell r="D2567" t="str">
            <v>E0119132</v>
          </cell>
          <cell r="E2567" t="str">
            <v>BORCZUK ALAIN C MD</v>
          </cell>
          <cell r="L2567" t="str">
            <v>All Other:: Practitioner - Non-Primary Care Provider (PCP)</v>
          </cell>
          <cell r="M2567" t="str">
            <v>No</v>
          </cell>
          <cell r="R2567" t="str">
            <v>BORCZUK ALAIN</v>
          </cell>
          <cell r="W2567" t="str">
            <v>BORCZUK ALAIN C MD</v>
          </cell>
          <cell r="X2567" t="str">
            <v>300 COMMUNITY DR</v>
          </cell>
          <cell r="Y2567" t="str">
            <v>MANHASSET</v>
          </cell>
          <cell r="Z2567" t="str">
            <v>NY</v>
          </cell>
          <cell r="AA2567" t="str">
            <v>11030-3816</v>
          </cell>
          <cell r="AB2567" t="str">
            <v>PHYSICIAN</v>
          </cell>
          <cell r="AC2567" t="str">
            <v>M</v>
          </cell>
          <cell r="AD2567" t="str">
            <v>No</v>
          </cell>
          <cell r="AE2567" t="str">
            <v>MMIS</v>
          </cell>
          <cell r="AF2567" t="str">
            <v>nypeastcampus</v>
          </cell>
          <cell r="AG2567" t="str">
            <v>P</v>
          </cell>
        </row>
        <row r="2568">
          <cell r="A2568" t="str">
            <v>1306973722</v>
          </cell>
          <cell r="B2568" t="str">
            <v>02863330</v>
          </cell>
          <cell r="C2568" t="str">
            <v>Canoll Peter</v>
          </cell>
          <cell r="D2568" t="str">
            <v>E0013865</v>
          </cell>
          <cell r="E2568" t="str">
            <v>CANOLL PETER</v>
          </cell>
          <cell r="L2568" t="str">
            <v>All Other:: Practitioner - Non-Primary Care Provider (PCP)</v>
          </cell>
          <cell r="M2568" t="str">
            <v>No</v>
          </cell>
          <cell r="R2568" t="str">
            <v>CANOLL PETER</v>
          </cell>
          <cell r="W2568" t="str">
            <v>CANOLL PETER</v>
          </cell>
          <cell r="X2568" t="str">
            <v>630 W 168TH ST STE P</v>
          </cell>
          <cell r="Y2568" t="str">
            <v>NEW YORK</v>
          </cell>
          <cell r="Z2568" t="str">
            <v>NY</v>
          </cell>
          <cell r="AA2568" t="str">
            <v>10032-3725</v>
          </cell>
          <cell r="AB2568" t="str">
            <v>PHYSICIAN</v>
          </cell>
          <cell r="AC2568" t="str">
            <v>M</v>
          </cell>
          <cell r="AD2568" t="str">
            <v>No</v>
          </cell>
          <cell r="AE2568" t="str">
            <v>MMIS</v>
          </cell>
          <cell r="AF2568" t="str">
            <v>nypwestcampus</v>
          </cell>
          <cell r="AG2568" t="str">
            <v>P</v>
          </cell>
        </row>
        <row r="2569">
          <cell r="A2569" t="str">
            <v>1609838986</v>
          </cell>
          <cell r="B2569" t="str">
            <v>01541895</v>
          </cell>
          <cell r="C2569" t="str">
            <v>ALWEISS, GARY S</v>
          </cell>
          <cell r="D2569" t="str">
            <v>E0145806</v>
          </cell>
          <cell r="E2569" t="str">
            <v>ALWEISS GARY S MD</v>
          </cell>
          <cell r="G2569" t="str">
            <v>Kathryn Spaziani</v>
          </cell>
          <cell r="H2569" t="str">
            <v>(212) 305-1190</v>
          </cell>
          <cell r="J2569" t="str">
            <v>kas9171@nyp.org</v>
          </cell>
          <cell r="L2569" t="str">
            <v>Practitioner - Non-Primary Care Provider (PCP)</v>
          </cell>
          <cell r="M2569" t="str">
            <v>No</v>
          </cell>
          <cell r="R2569" t="str">
            <v>ALWEISS GARY</v>
          </cell>
          <cell r="W2569" t="str">
            <v>ALWEISS GARY S MD</v>
          </cell>
          <cell r="X2569" t="str">
            <v>25 ROCKWOOD PL STE 105</v>
          </cell>
          <cell r="Y2569" t="str">
            <v>ENGLEWOOD</v>
          </cell>
          <cell r="Z2569" t="str">
            <v>NJ</v>
          </cell>
          <cell r="AA2569" t="str">
            <v>07631-4958</v>
          </cell>
          <cell r="AB2569" t="str">
            <v>PHYSICIAN</v>
          </cell>
          <cell r="AC2569" t="str">
            <v>M</v>
          </cell>
          <cell r="AD2569" t="str">
            <v>No</v>
          </cell>
          <cell r="AE2569" t="str">
            <v>MMIS</v>
          </cell>
          <cell r="AF2569" t="str">
            <v>nypwestacn</v>
          </cell>
          <cell r="AG2569" t="str">
            <v>P</v>
          </cell>
        </row>
        <row r="2570">
          <cell r="A2570" t="str">
            <v>1306873443</v>
          </cell>
          <cell r="B2570" t="str">
            <v>00849647</v>
          </cell>
          <cell r="C2570" t="str">
            <v>CANTOR, RICHARD S</v>
          </cell>
          <cell r="D2570" t="str">
            <v>E0214778</v>
          </cell>
          <cell r="E2570" t="str">
            <v>CANTOR RICHARD S           MD</v>
          </cell>
          <cell r="G2570" t="str">
            <v>Kathryn Spaziani</v>
          </cell>
          <cell r="H2570" t="str">
            <v>(212) 305-1190</v>
          </cell>
          <cell r="J2570" t="str">
            <v>kas9171@nyp.org</v>
          </cell>
          <cell r="L2570" t="str">
            <v>All Other:: Practitioner - Non-Primary Care Provider (PCP)</v>
          </cell>
          <cell r="M2570" t="str">
            <v>No</v>
          </cell>
          <cell r="R2570" t="str">
            <v>CANTOR RICHARD DR.</v>
          </cell>
          <cell r="W2570" t="str">
            <v>CANTOR RICHARD S           MD</v>
          </cell>
          <cell r="X2570" t="str">
            <v>GOOD SAMARITAN HOSP</v>
          </cell>
          <cell r="Y2570" t="str">
            <v>SUFFERN</v>
          </cell>
          <cell r="Z2570" t="str">
            <v>NY</v>
          </cell>
          <cell r="AA2570" t="str">
            <v>10901</v>
          </cell>
          <cell r="AB2570" t="str">
            <v>PHYSICIAN</v>
          </cell>
          <cell r="AC2570" t="str">
            <v>M</v>
          </cell>
          <cell r="AD2570" t="str">
            <v>No</v>
          </cell>
          <cell r="AE2570" t="str">
            <v>MMIS</v>
          </cell>
          <cell r="AF2570" t="str">
            <v>nypwestacn</v>
          </cell>
          <cell r="AG2570" t="str">
            <v>P</v>
          </cell>
        </row>
        <row r="2571">
          <cell r="A2571" t="str">
            <v>1306925722</v>
          </cell>
          <cell r="B2571" t="str">
            <v>02851063</v>
          </cell>
          <cell r="C2571" t="str">
            <v>KIM, ROBERT J</v>
          </cell>
          <cell r="D2571" t="str">
            <v>E0015091</v>
          </cell>
          <cell r="E2571" t="str">
            <v>KIM ROBERT JASON MD</v>
          </cell>
          <cell r="G2571" t="str">
            <v>Kathryn Spaziani</v>
          </cell>
          <cell r="H2571" t="str">
            <v>(212) 305-1190</v>
          </cell>
          <cell r="J2571" t="str">
            <v>kas9171@nyp.org</v>
          </cell>
          <cell r="L2571" t="str">
            <v>All Other:: Practitioner - Non-Primary Care Provider (PCP)</v>
          </cell>
          <cell r="M2571" t="str">
            <v>No</v>
          </cell>
          <cell r="R2571" t="str">
            <v>KIM ROBERT DR.</v>
          </cell>
          <cell r="W2571" t="str">
            <v>KIM ROBERT JASON</v>
          </cell>
          <cell r="X2571" t="str">
            <v>525 E 68TH ST FL 4</v>
          </cell>
          <cell r="Y2571" t="str">
            <v>NEW YORK</v>
          </cell>
          <cell r="Z2571" t="str">
            <v>NY</v>
          </cell>
          <cell r="AA2571" t="str">
            <v>10065-4870</v>
          </cell>
          <cell r="AB2571" t="str">
            <v>PHYSICIAN</v>
          </cell>
          <cell r="AC2571" t="str">
            <v>M</v>
          </cell>
          <cell r="AD2571" t="str">
            <v>No</v>
          </cell>
          <cell r="AE2571" t="str">
            <v>MMIS</v>
          </cell>
          <cell r="AF2571" t="str">
            <v>nypeastacn</v>
          </cell>
          <cell r="AG2571" t="str">
            <v>P</v>
          </cell>
        </row>
        <row r="2572">
          <cell r="A2572" t="str">
            <v>1306938337</v>
          </cell>
          <cell r="B2572" t="str">
            <v>00760370</v>
          </cell>
          <cell r="C2572" t="str">
            <v>SLANKARD, MARJORIE L</v>
          </cell>
          <cell r="D2572" t="str">
            <v>E0223678</v>
          </cell>
          <cell r="E2572" t="str">
            <v>SLANKARD MARJORIE L</v>
          </cell>
          <cell r="G2572" t="str">
            <v>Kathryn Spaziani</v>
          </cell>
          <cell r="H2572" t="str">
            <v>(212) 305-1190</v>
          </cell>
          <cell r="J2572" t="str">
            <v>kas9171@nyp.org</v>
          </cell>
          <cell r="L2572" t="str">
            <v>Practitioner - Non-Primary Care Provider (PCP)</v>
          </cell>
          <cell r="M2572" t="str">
            <v>No</v>
          </cell>
          <cell r="R2572" t="str">
            <v>SLANKARD MARJORIE DR.</v>
          </cell>
          <cell r="W2572" t="str">
            <v>SLANKARD MARJORIE L</v>
          </cell>
          <cell r="Y2572" t="str">
            <v>NEW YORK</v>
          </cell>
          <cell r="Z2572" t="str">
            <v>NY</v>
          </cell>
          <cell r="AA2572" t="str">
            <v>10032-3725</v>
          </cell>
          <cell r="AB2572" t="str">
            <v>PHYSICIAN</v>
          </cell>
          <cell r="AC2572" t="str">
            <v>M</v>
          </cell>
          <cell r="AD2572" t="str">
            <v>No</v>
          </cell>
          <cell r="AE2572" t="str">
            <v>MMIS</v>
          </cell>
          <cell r="AF2572" t="str">
            <v>nypother</v>
          </cell>
          <cell r="AG2572" t="str">
            <v>P</v>
          </cell>
        </row>
        <row r="2573">
          <cell r="A2573" t="str">
            <v>1316055189</v>
          </cell>
          <cell r="B2573" t="str">
            <v>02797804</v>
          </cell>
          <cell r="C2573" t="str">
            <v>Hsing, Deyin Doreen</v>
          </cell>
          <cell r="D2573" t="str">
            <v>E0020414</v>
          </cell>
          <cell r="E2573" t="str">
            <v>HSING DEYIN DOREEN</v>
          </cell>
          <cell r="G2573" t="str">
            <v>Kathryn Spaziani</v>
          </cell>
          <cell r="H2573" t="str">
            <v>(212) 305-1190</v>
          </cell>
          <cell r="J2573" t="str">
            <v>kas9171@nyp.org</v>
          </cell>
          <cell r="L2573" t="str">
            <v>Practitioner - Non-Primary Care Provider (PCP)</v>
          </cell>
          <cell r="M2573" t="str">
            <v>No</v>
          </cell>
          <cell r="R2573" t="str">
            <v>HSING DEYIN</v>
          </cell>
          <cell r="W2573" t="str">
            <v>HSING DEYIN DOREEN</v>
          </cell>
          <cell r="X2573" t="str">
            <v>525 E 68TH ST # M508</v>
          </cell>
          <cell r="Y2573" t="str">
            <v>NEW YORK</v>
          </cell>
          <cell r="Z2573" t="str">
            <v>NY</v>
          </cell>
          <cell r="AA2573" t="str">
            <v>10065-4870</v>
          </cell>
          <cell r="AB2573" t="str">
            <v>PHYSICIAN</v>
          </cell>
          <cell r="AC2573" t="str">
            <v>M</v>
          </cell>
          <cell r="AD2573" t="str">
            <v>No</v>
          </cell>
          <cell r="AE2573" t="str">
            <v>MMIS</v>
          </cell>
          <cell r="AF2573" t="str">
            <v>nypeastcampus</v>
          </cell>
          <cell r="AG2573" t="str">
            <v>P</v>
          </cell>
        </row>
        <row r="2574">
          <cell r="A2574" t="str">
            <v>1316112071</v>
          </cell>
          <cell r="B2574" t="str">
            <v>02668500</v>
          </cell>
          <cell r="C2574" t="str">
            <v xml:space="preserve">KRAEBBER, MARKUS </v>
          </cell>
          <cell r="D2574" t="str">
            <v>E0033324</v>
          </cell>
          <cell r="E2574" t="str">
            <v>KRAEBBER MARKUS JAMES MD</v>
          </cell>
          <cell r="G2574" t="str">
            <v>Kathryn Spaziani</v>
          </cell>
          <cell r="H2574" t="str">
            <v>(212) 305-1190</v>
          </cell>
          <cell r="J2574" t="str">
            <v>kas9171@nyp.org</v>
          </cell>
          <cell r="L2574" t="str">
            <v>Practitioner - Non-Primary Care Provider (PCP)</v>
          </cell>
          <cell r="M2574" t="str">
            <v>No</v>
          </cell>
          <cell r="R2574" t="str">
            <v>KRAEBBER MARKUS</v>
          </cell>
          <cell r="W2574" t="str">
            <v>KRAEBBER MARKUS JAMES MD</v>
          </cell>
          <cell r="X2574" t="str">
            <v>3959 BROADWAY</v>
          </cell>
          <cell r="Y2574" t="str">
            <v>NEW YORK</v>
          </cell>
          <cell r="Z2574" t="str">
            <v>NY</v>
          </cell>
          <cell r="AA2574" t="str">
            <v>10032-1559</v>
          </cell>
          <cell r="AB2574" t="str">
            <v>PHYSICIAN</v>
          </cell>
          <cell r="AC2574" t="str">
            <v>M</v>
          </cell>
          <cell r="AD2574" t="str">
            <v>No</v>
          </cell>
          <cell r="AE2574" t="str">
            <v>MMIS</v>
          </cell>
          <cell r="AF2574" t="str">
            <v>nypwestcampus</v>
          </cell>
          <cell r="AG2574" t="str">
            <v>P</v>
          </cell>
        </row>
        <row r="2575">
          <cell r="A2575" t="str">
            <v>1285893503</v>
          </cell>
          <cell r="B2575" t="str">
            <v>03768210</v>
          </cell>
          <cell r="C2575" t="str">
            <v>Yap, Vivien L.</v>
          </cell>
          <cell r="D2575" t="str">
            <v>E0367568</v>
          </cell>
          <cell r="E2575" t="str">
            <v>YAP VIVIEN LIM</v>
          </cell>
          <cell r="G2575" t="str">
            <v>Kathryn Spaziani</v>
          </cell>
          <cell r="H2575" t="str">
            <v>(212) 305-1190</v>
          </cell>
          <cell r="J2575" t="str">
            <v>kas9171@nyp.org</v>
          </cell>
          <cell r="L2575" t="str">
            <v>Practitioner - Non-Primary Care Provider (PCP)</v>
          </cell>
          <cell r="M2575" t="str">
            <v>No</v>
          </cell>
          <cell r="R2575" t="str">
            <v>YAP VIVIEN DR.</v>
          </cell>
          <cell r="W2575" t="str">
            <v>YAP VIVIEN LIM</v>
          </cell>
          <cell r="X2575" t="str">
            <v>252 E 68TH ST # N-506</v>
          </cell>
          <cell r="Y2575" t="str">
            <v>NEW YORK</v>
          </cell>
          <cell r="Z2575" t="str">
            <v>NY</v>
          </cell>
          <cell r="AA2575" t="str">
            <v>10065-6001</v>
          </cell>
          <cell r="AB2575" t="str">
            <v>PHYSICIAN</v>
          </cell>
          <cell r="AC2575" t="str">
            <v>M</v>
          </cell>
          <cell r="AD2575" t="str">
            <v>No</v>
          </cell>
          <cell r="AE2575" t="str">
            <v>MMIS</v>
          </cell>
          <cell r="AF2575" t="str">
            <v>nypeastcampus</v>
          </cell>
          <cell r="AG2575" t="str">
            <v>P</v>
          </cell>
        </row>
        <row r="2576">
          <cell r="A2576" t="str">
            <v>1295002160</v>
          </cell>
          <cell r="B2576" t="str">
            <v>03922772</v>
          </cell>
          <cell r="C2576" t="str">
            <v>DANVERS, ANTOINETTE A</v>
          </cell>
          <cell r="D2576" t="str">
            <v>E0383445</v>
          </cell>
          <cell r="E2576" t="str">
            <v>DANVERS ANTOINETTE</v>
          </cell>
          <cell r="G2576" t="str">
            <v>Kathryn Spaziani</v>
          </cell>
          <cell r="H2576" t="str">
            <v>(212) 305-1190</v>
          </cell>
          <cell r="J2576" t="str">
            <v>kas9171@nyp.org</v>
          </cell>
          <cell r="L2576" t="str">
            <v>All Other:: Practitioner - Non-Primary Care Provider (PCP)</v>
          </cell>
          <cell r="M2576" t="str">
            <v>No</v>
          </cell>
          <cell r="R2576" t="str">
            <v>DANVERS ANTOINETTE DR.</v>
          </cell>
          <cell r="W2576" t="str">
            <v>DANVERS ANTOINETTE</v>
          </cell>
          <cell r="X2576" t="str">
            <v>1790 BROADWAY</v>
          </cell>
          <cell r="Y2576" t="str">
            <v>NEW YORK</v>
          </cell>
          <cell r="Z2576" t="str">
            <v>NY</v>
          </cell>
          <cell r="AA2576" t="str">
            <v>10019-1412</v>
          </cell>
          <cell r="AB2576" t="str">
            <v>PHYSICIAN</v>
          </cell>
          <cell r="AC2576" t="str">
            <v>M</v>
          </cell>
          <cell r="AD2576" t="str">
            <v>No</v>
          </cell>
          <cell r="AE2576" t="str">
            <v>MMIS</v>
          </cell>
          <cell r="AF2576" t="str">
            <v>nypwestacn</v>
          </cell>
          <cell r="AG2576" t="str">
            <v>P</v>
          </cell>
        </row>
        <row r="2577">
          <cell r="A2577" t="str">
            <v>1487819603</v>
          </cell>
          <cell r="B2577" t="str">
            <v>03051705</v>
          </cell>
          <cell r="C2577" t="str">
            <v>Antal, Zoltan</v>
          </cell>
          <cell r="D2577" t="str">
            <v>E0287362</v>
          </cell>
          <cell r="E2577" t="str">
            <v>ANTAL ZOLTAN</v>
          </cell>
          <cell r="G2577" t="str">
            <v>Kathryn Spaziani</v>
          </cell>
          <cell r="H2577" t="str">
            <v>(212) 305-1190</v>
          </cell>
          <cell r="J2577" t="str">
            <v>kas9171@nyp.org</v>
          </cell>
          <cell r="L2577" t="str">
            <v>All Other:: Practitioner - Non-Primary Care Provider (PCP)</v>
          </cell>
          <cell r="M2577" t="str">
            <v>Yes</v>
          </cell>
          <cell r="R2577" t="str">
            <v>ANTAL ZOLTAN</v>
          </cell>
          <cell r="W2577" t="str">
            <v>ANTAL ZOLTAN MD</v>
          </cell>
          <cell r="X2577" t="str">
            <v>525 E 68TH ST # M-6</v>
          </cell>
          <cell r="Y2577" t="str">
            <v>NEW YORK</v>
          </cell>
          <cell r="Z2577" t="str">
            <v>NY</v>
          </cell>
          <cell r="AA2577" t="str">
            <v>10065-4870</v>
          </cell>
          <cell r="AB2577" t="str">
            <v>PHYSICIAN</v>
          </cell>
          <cell r="AC2577" t="str">
            <v>M</v>
          </cell>
          <cell r="AD2577" t="str">
            <v>No</v>
          </cell>
          <cell r="AE2577" t="str">
            <v>MMIS</v>
          </cell>
          <cell r="AF2577" t="str">
            <v>nypeastacn</v>
          </cell>
          <cell r="AG2577" t="str">
            <v>P</v>
          </cell>
        </row>
        <row r="2578">
          <cell r="A2578" t="str">
            <v>1295887776</v>
          </cell>
          <cell r="B2578" t="str">
            <v>02700636</v>
          </cell>
          <cell r="C2578" t="str">
            <v>Baird Jeffrey</v>
          </cell>
          <cell r="D2578" t="str">
            <v>E0030118</v>
          </cell>
          <cell r="E2578" t="str">
            <v>BAIRD JEFFREY M MD</v>
          </cell>
          <cell r="L2578" t="str">
            <v>All Other:: Practitioner - Non-Primary Care Provider (PCP)</v>
          </cell>
          <cell r="M2578" t="str">
            <v>No</v>
          </cell>
          <cell r="R2578" t="str">
            <v>BAIRD JEFFREY DR.</v>
          </cell>
          <cell r="W2578" t="str">
            <v>BAIRD JEFFREY M MD</v>
          </cell>
          <cell r="X2578" t="str">
            <v>622 W 168TH ST</v>
          </cell>
          <cell r="Y2578" t="str">
            <v>NEW YORK</v>
          </cell>
          <cell r="Z2578" t="str">
            <v>NY</v>
          </cell>
          <cell r="AA2578" t="str">
            <v>10032-3720</v>
          </cell>
          <cell r="AB2578" t="str">
            <v>PHYSICIAN</v>
          </cell>
          <cell r="AC2578" t="str">
            <v>M</v>
          </cell>
          <cell r="AD2578" t="str">
            <v>No</v>
          </cell>
          <cell r="AE2578" t="str">
            <v>MMIS</v>
          </cell>
          <cell r="AF2578" t="str">
            <v>nypwestcampus</v>
          </cell>
          <cell r="AG2578" t="str">
            <v>P</v>
          </cell>
        </row>
        <row r="2579">
          <cell r="A2579" t="str">
            <v>1780736025</v>
          </cell>
          <cell r="B2579" t="str">
            <v>01817830</v>
          </cell>
          <cell r="C2579" t="str">
            <v>Brentjens Tricia</v>
          </cell>
          <cell r="D2579" t="str">
            <v>E0118254</v>
          </cell>
          <cell r="E2579" t="str">
            <v>BRENTJENS TRICIA E MD</v>
          </cell>
          <cell r="L2579" t="str">
            <v>All Other:: Practitioner - Non-Primary Care Provider (PCP)</v>
          </cell>
          <cell r="M2579" t="str">
            <v>No</v>
          </cell>
          <cell r="R2579" t="str">
            <v>BRENTJENS TRICIA</v>
          </cell>
          <cell r="W2579" t="str">
            <v>BRENTJENS TRICIA E MD</v>
          </cell>
          <cell r="X2579" t="str">
            <v>ANES SVCS OF CPMC</v>
          </cell>
          <cell r="Y2579" t="str">
            <v>NEW YORK</v>
          </cell>
          <cell r="Z2579" t="str">
            <v>NY</v>
          </cell>
          <cell r="AA2579" t="str">
            <v>10032-3720</v>
          </cell>
          <cell r="AB2579" t="str">
            <v>PHYSICIAN</v>
          </cell>
          <cell r="AC2579" t="str">
            <v>M</v>
          </cell>
          <cell r="AD2579" t="str">
            <v>No</v>
          </cell>
          <cell r="AE2579" t="str">
            <v>MMIS</v>
          </cell>
          <cell r="AF2579" t="str">
            <v>nypwestcampus</v>
          </cell>
          <cell r="AG2579" t="str">
            <v>P</v>
          </cell>
        </row>
        <row r="2580">
          <cell r="A2580" t="str">
            <v>1386804383</v>
          </cell>
          <cell r="B2580" t="str">
            <v>03593368</v>
          </cell>
          <cell r="C2580" t="str">
            <v>Darrah Daniela</v>
          </cell>
          <cell r="D2580" t="str">
            <v>E0349420</v>
          </cell>
          <cell r="E2580" t="str">
            <v>DARRAH DANIELA MARIE</v>
          </cell>
          <cell r="L2580" t="str">
            <v>All Other:: Practitioner - Non-Primary Care Provider (PCP)</v>
          </cell>
          <cell r="M2580" t="str">
            <v>No</v>
          </cell>
          <cell r="R2580" t="str">
            <v>DARRAH DANIELA</v>
          </cell>
          <cell r="W2580" t="str">
            <v>DARRAH DANIELA MARIE</v>
          </cell>
          <cell r="X2580" t="str">
            <v>622 W 168TH ST</v>
          </cell>
          <cell r="Y2580" t="str">
            <v>NEW YORK</v>
          </cell>
          <cell r="Z2580" t="str">
            <v>NY</v>
          </cell>
          <cell r="AA2580" t="str">
            <v>10032-3720</v>
          </cell>
          <cell r="AB2580" t="str">
            <v>PHYSICIAN</v>
          </cell>
          <cell r="AC2580" t="str">
            <v>M</v>
          </cell>
          <cell r="AD2580" t="str">
            <v>No</v>
          </cell>
          <cell r="AE2580" t="str">
            <v>MMIS</v>
          </cell>
          <cell r="AF2580" t="str">
            <v>nypwestcampus</v>
          </cell>
          <cell r="AG2580" t="str">
            <v>P</v>
          </cell>
        </row>
        <row r="2581">
          <cell r="A2581" t="str">
            <v>1164478228</v>
          </cell>
          <cell r="C2581" t="str">
            <v>Ferrer Ronald</v>
          </cell>
          <cell r="G2581" t="str">
            <v>Kathryn Spaziani</v>
          </cell>
          <cell r="H2581" t="str">
            <v>(212) 305-1255</v>
          </cell>
          <cell r="J2581" t="str">
            <v>kas9171@nyp.org</v>
          </cell>
          <cell r="K2581" t="str">
            <v>Physician</v>
          </cell>
          <cell r="L2581" t="str">
            <v>Uncategorized</v>
          </cell>
          <cell r="M2581" t="str">
            <v>No</v>
          </cell>
          <cell r="R2581" t="str">
            <v>FERRER RONALD</v>
          </cell>
          <cell r="S2581" t="str">
            <v>703 MAIN ST, ST. JOSEPH'S REGIONAL MEDICAL CENTER</v>
          </cell>
          <cell r="T2581" t="str">
            <v>PATERSON</v>
          </cell>
          <cell r="U2581" t="str">
            <v>NJ</v>
          </cell>
          <cell r="V2581" t="str">
            <v>075032621</v>
          </cell>
          <cell r="AC2581" t="str">
            <v>M</v>
          </cell>
          <cell r="AD2581" t="str">
            <v>No</v>
          </cell>
          <cell r="AE2581" t="str">
            <v>NPI only</v>
          </cell>
          <cell r="AF2581" t="str">
            <v>nypwestcampus</v>
          </cell>
          <cell r="AG2581" t="str">
            <v>P</v>
          </cell>
        </row>
        <row r="2582">
          <cell r="A2582" t="str">
            <v>1285073650</v>
          </cell>
          <cell r="B2582" t="str">
            <v>04231903</v>
          </cell>
          <cell r="C2582" t="str">
            <v>Fish Douglas</v>
          </cell>
          <cell r="D2582" t="str">
            <v>E0415183</v>
          </cell>
          <cell r="E2582" t="str">
            <v>FISH DOUGLAS JOHN</v>
          </cell>
          <cell r="G2582" t="str">
            <v>Kathryn Spaziani</v>
          </cell>
          <cell r="H2582" t="str">
            <v>(212) 305-1255</v>
          </cell>
          <cell r="J2582" t="str">
            <v>kas9171@nyp.org</v>
          </cell>
          <cell r="L2582" t="str">
            <v>Practitioner - Non-Primary Care Provider (PCP)</v>
          </cell>
          <cell r="M2582" t="str">
            <v>No</v>
          </cell>
          <cell r="R2582" t="str">
            <v>FISH DOUGLAS</v>
          </cell>
          <cell r="W2582" t="str">
            <v>FISH DOUGLAS JOHN</v>
          </cell>
          <cell r="X2582" t="str">
            <v>1101 NOTT ST</v>
          </cell>
          <cell r="Y2582" t="str">
            <v>SCHENECTADY</v>
          </cell>
          <cell r="Z2582" t="str">
            <v>NY</v>
          </cell>
          <cell r="AA2582" t="str">
            <v>12308-2425</v>
          </cell>
          <cell r="AB2582" t="str">
            <v>PHYSICIAN</v>
          </cell>
          <cell r="AC2582" t="str">
            <v>M</v>
          </cell>
          <cell r="AD2582" t="str">
            <v>No</v>
          </cell>
          <cell r="AE2582" t="str">
            <v>MMIS</v>
          </cell>
          <cell r="AF2582" t="str">
            <v>nypother</v>
          </cell>
          <cell r="AG2582" t="str">
            <v>P</v>
          </cell>
        </row>
        <row r="2583">
          <cell r="A2583" t="str">
            <v>1710324991</v>
          </cell>
          <cell r="B2583" t="str">
            <v>03624462</v>
          </cell>
          <cell r="C2583" t="str">
            <v>Gaffney Alan</v>
          </cell>
          <cell r="D2583" t="str">
            <v>E0352704</v>
          </cell>
          <cell r="E2583" t="str">
            <v>GAFFNEY ALAN MICHAEL</v>
          </cell>
          <cell r="L2583" t="str">
            <v>All Other:: Practitioner - Non-Primary Care Provider (PCP)</v>
          </cell>
          <cell r="M2583" t="str">
            <v>No</v>
          </cell>
          <cell r="R2583" t="str">
            <v>GAFFNEY ALAN</v>
          </cell>
          <cell r="W2583" t="str">
            <v>GAFFNEY ALAN MICHAEL</v>
          </cell>
          <cell r="X2583" t="str">
            <v>622 W 168TH ST</v>
          </cell>
          <cell r="Y2583" t="str">
            <v>NEW YORK</v>
          </cell>
          <cell r="Z2583" t="str">
            <v>NY</v>
          </cell>
          <cell r="AA2583" t="str">
            <v>10032-3720</v>
          </cell>
          <cell r="AB2583" t="str">
            <v>PHYSICIAN</v>
          </cell>
          <cell r="AC2583" t="str">
            <v>M</v>
          </cell>
          <cell r="AD2583" t="str">
            <v>No</v>
          </cell>
          <cell r="AE2583" t="str">
            <v>MMIS</v>
          </cell>
          <cell r="AG2583" t="str">
            <v>P</v>
          </cell>
        </row>
        <row r="2584">
          <cell r="A2584" t="str">
            <v>1841386711</v>
          </cell>
          <cell r="B2584" t="str">
            <v>01883687</v>
          </cell>
          <cell r="C2584" t="str">
            <v>LUCHSINGER, JOSE A</v>
          </cell>
          <cell r="D2584" t="str">
            <v>E0111676</v>
          </cell>
          <cell r="E2584" t="str">
            <v>LUCHSINGER JOSE A</v>
          </cell>
          <cell r="G2584" t="str">
            <v>Kathryn Spaziani</v>
          </cell>
          <cell r="H2584" t="str">
            <v>(212) 305-1190</v>
          </cell>
          <cell r="J2584" t="str">
            <v>kas9171@nyp.org</v>
          </cell>
          <cell r="L2584" t="str">
            <v>All Other:: Practitioner - Primary Care Provider (PCP)</v>
          </cell>
          <cell r="M2584" t="str">
            <v>Yes</v>
          </cell>
          <cell r="R2584" t="str">
            <v>LUCHSINGER JOSE DR.</v>
          </cell>
          <cell r="W2584" t="str">
            <v>LUCHSINGER JOSE A</v>
          </cell>
          <cell r="X2584" t="str">
            <v>ASSOC IN EMERG SVCS</v>
          </cell>
          <cell r="Y2584" t="str">
            <v>NEW YORK</v>
          </cell>
          <cell r="Z2584" t="str">
            <v>NY</v>
          </cell>
          <cell r="AA2584" t="str">
            <v>10032-3720</v>
          </cell>
          <cell r="AB2584" t="str">
            <v>PHYSICIAN</v>
          </cell>
          <cell r="AC2584" t="str">
            <v>M</v>
          </cell>
          <cell r="AD2584" t="str">
            <v>No</v>
          </cell>
          <cell r="AE2584" t="str">
            <v>MMIS</v>
          </cell>
          <cell r="AF2584" t="str">
            <v>nypwestcampus</v>
          </cell>
          <cell r="AG2584" t="str">
            <v>P</v>
          </cell>
        </row>
        <row r="2585">
          <cell r="A2585" t="str">
            <v>1649545583</v>
          </cell>
          <cell r="B2585" t="str">
            <v>03994570</v>
          </cell>
          <cell r="C2585" t="str">
            <v>Kiros Weldeab Meron</v>
          </cell>
          <cell r="D2585" t="str">
            <v>E0390885</v>
          </cell>
          <cell r="E2585" t="str">
            <v>KIROS WELDEAB MERON</v>
          </cell>
          <cell r="G2585" t="str">
            <v>Kathryn Spaziani</v>
          </cell>
          <cell r="H2585" t="str">
            <v>(212) 305-1255</v>
          </cell>
          <cell r="J2585" t="str">
            <v>kas9171@nyp.org</v>
          </cell>
          <cell r="L2585" t="str">
            <v>Practitioner - Non-Primary Care Provider (PCP)</v>
          </cell>
          <cell r="M2585" t="str">
            <v>No</v>
          </cell>
          <cell r="R2585" t="str">
            <v>KIROS WELDEAB MERON</v>
          </cell>
          <cell r="W2585" t="str">
            <v>KIROS WELDEAB MERON</v>
          </cell>
          <cell r="X2585" t="str">
            <v>170 WILLIAM ST</v>
          </cell>
          <cell r="Y2585" t="str">
            <v>NEW YORK</v>
          </cell>
          <cell r="Z2585" t="str">
            <v>NY</v>
          </cell>
          <cell r="AA2585" t="str">
            <v>10038-2612</v>
          </cell>
          <cell r="AB2585" t="str">
            <v>PHYSICIAN</v>
          </cell>
          <cell r="AC2585" t="str">
            <v>M</v>
          </cell>
          <cell r="AD2585" t="str">
            <v>No</v>
          </cell>
          <cell r="AE2585" t="str">
            <v>MMIS</v>
          </cell>
          <cell r="AF2585" t="str">
            <v>nypeastcampus</v>
          </cell>
          <cell r="AG2585" t="str">
            <v>P</v>
          </cell>
        </row>
        <row r="2586">
          <cell r="A2586" t="str">
            <v>1750799318</v>
          </cell>
          <cell r="B2586" t="str">
            <v>03996201</v>
          </cell>
          <cell r="C2586" t="str">
            <v>Wieland Matthew</v>
          </cell>
          <cell r="D2586" t="str">
            <v>E0390981</v>
          </cell>
          <cell r="E2586" t="str">
            <v>WIELAND MATTHEW</v>
          </cell>
          <cell r="G2586" t="str">
            <v>Kathryn Spaziani</v>
          </cell>
          <cell r="H2586" t="str">
            <v>(212) 305-1255</v>
          </cell>
          <cell r="J2586" t="str">
            <v>kas9171@nyp.org</v>
          </cell>
          <cell r="L2586" t="str">
            <v>Practitioner - Non-Primary Care Provider (PCP)</v>
          </cell>
          <cell r="M2586" t="str">
            <v>No</v>
          </cell>
          <cell r="R2586" t="str">
            <v>WIELAND MATTHEW</v>
          </cell>
          <cell r="W2586" t="str">
            <v>WIELAND MATTHEW</v>
          </cell>
          <cell r="X2586" t="str">
            <v>622 W 168TH ST</v>
          </cell>
          <cell r="Y2586" t="str">
            <v>NEW YORK</v>
          </cell>
          <cell r="Z2586" t="str">
            <v>NY</v>
          </cell>
          <cell r="AA2586" t="str">
            <v>10032-3720</v>
          </cell>
          <cell r="AB2586" t="str">
            <v>PHYSICIAN</v>
          </cell>
          <cell r="AC2586" t="str">
            <v>M</v>
          </cell>
          <cell r="AD2586" t="str">
            <v>No</v>
          </cell>
          <cell r="AE2586" t="str">
            <v>MMIS</v>
          </cell>
          <cell r="AF2586" t="str">
            <v>nypwestcampus</v>
          </cell>
          <cell r="AG2586" t="str">
            <v>P</v>
          </cell>
        </row>
        <row r="2587">
          <cell r="A2587" t="str">
            <v>1609809722</v>
          </cell>
          <cell r="B2587" t="str">
            <v>00620228</v>
          </cell>
          <cell r="C2587" t="str">
            <v>Wyer Peter</v>
          </cell>
          <cell r="D2587" t="str">
            <v>E0237660</v>
          </cell>
          <cell r="E2587" t="str">
            <v>WYER PETER C               MD</v>
          </cell>
          <cell r="L2587" t="str">
            <v>Uncategorized</v>
          </cell>
          <cell r="M2587" t="str">
            <v>No</v>
          </cell>
          <cell r="R2587" t="str">
            <v>WYER PETER</v>
          </cell>
          <cell r="W2587" t="str">
            <v>WYER PETER C               MD</v>
          </cell>
          <cell r="X2587" t="str">
            <v>705 E 187TH ST</v>
          </cell>
          <cell r="Y2587" t="str">
            <v>BRONX</v>
          </cell>
          <cell r="Z2587" t="str">
            <v>NY</v>
          </cell>
          <cell r="AA2587" t="str">
            <v>10458-6803</v>
          </cell>
          <cell r="AB2587" t="str">
            <v>PHYSICIAN</v>
          </cell>
          <cell r="AC2587" t="str">
            <v>M</v>
          </cell>
          <cell r="AD2587" t="str">
            <v>No</v>
          </cell>
          <cell r="AE2587" t="str">
            <v>MMIS</v>
          </cell>
          <cell r="AF2587" t="str">
            <v>nypwestcampus</v>
          </cell>
          <cell r="AG2587" t="str">
            <v>P</v>
          </cell>
        </row>
        <row r="2588">
          <cell r="A2588" t="str">
            <v>1619109089</v>
          </cell>
          <cell r="B2588" t="str">
            <v>03756512</v>
          </cell>
          <cell r="C2588" t="str">
            <v>CATHOLIC MANAGED LONG TERM CARE INC</v>
          </cell>
          <cell r="D2588" t="str">
            <v>E0366373</v>
          </cell>
          <cell r="E2588" t="str">
            <v>CATHOLIC MANAGED LONG TERM INC</v>
          </cell>
          <cell r="L2588" t="str">
            <v>All Other</v>
          </cell>
          <cell r="M2588" t="str">
            <v>Yes</v>
          </cell>
          <cell r="R2588" t="str">
            <v>CATHOLIC MANAGED LONG TERM CARE INC</v>
          </cell>
          <cell r="W2588" t="str">
            <v>CATHOLIC MANAGED LONG TERM INC</v>
          </cell>
          <cell r="X2588" t="str">
            <v>1432 5TH AVE</v>
          </cell>
          <cell r="Y2588" t="str">
            <v>NEW YORK</v>
          </cell>
          <cell r="Z2588" t="str">
            <v>NY</v>
          </cell>
          <cell r="AA2588" t="str">
            <v>10035-4521</v>
          </cell>
          <cell r="AB2588" t="str">
            <v>PHYSICIANS GROUP</v>
          </cell>
          <cell r="AC2588" t="str">
            <v>M</v>
          </cell>
          <cell r="AD2588" t="str">
            <v>No</v>
          </cell>
          <cell r="AE2588" t="str">
            <v>MMIS</v>
          </cell>
          <cell r="AG2588" t="str">
            <v>P</v>
          </cell>
        </row>
        <row r="2589">
          <cell r="B2589" t="str">
            <v>03173113</v>
          </cell>
          <cell r="C2589" t="str">
            <v>ELDERPLAN INC MAP</v>
          </cell>
          <cell r="D2589" t="str">
            <v>E0301364</v>
          </cell>
          <cell r="E2589" t="str">
            <v>ELDERPLAN INC MAP</v>
          </cell>
          <cell r="G2589" t="str">
            <v>Jay Gormley, VP of Planning, Research, and Innovation</v>
          </cell>
          <cell r="H2589" t="str">
            <v>(212) 356-5419</v>
          </cell>
          <cell r="J2589" t="str">
            <v>jgormley@mjhs.org</v>
          </cell>
          <cell r="L2589" t="str">
            <v>Uncategorized</v>
          </cell>
          <cell r="M2589" t="str">
            <v>No</v>
          </cell>
          <cell r="W2589" t="str">
            <v>ELDERPLAN INC MAP</v>
          </cell>
          <cell r="X2589" t="str">
            <v>745 64TH ST</v>
          </cell>
          <cell r="Y2589" t="str">
            <v>BROOKLYN</v>
          </cell>
          <cell r="Z2589" t="str">
            <v>NY</v>
          </cell>
          <cell r="AA2589" t="str">
            <v>11220-4753</v>
          </cell>
          <cell r="AB2589" t="str">
            <v>CAPITATION PROVIDER</v>
          </cell>
          <cell r="AC2589" t="str">
            <v>M</v>
          </cell>
          <cell r="AD2589" t="str">
            <v>No</v>
          </cell>
          <cell r="AE2589" t="str">
            <v>MMIS</v>
          </cell>
          <cell r="AG2589" t="str">
            <v>P</v>
          </cell>
        </row>
        <row r="2590">
          <cell r="A2590" t="str">
            <v>1528196631</v>
          </cell>
          <cell r="B2590" t="str">
            <v>01084624</v>
          </cell>
          <cell r="C2590" t="str">
            <v>BALL, SUSAN C</v>
          </cell>
          <cell r="D2590" t="str">
            <v>E0191410</v>
          </cell>
          <cell r="E2590" t="str">
            <v>BALL SUSAN C MD</v>
          </cell>
          <cell r="G2590" t="str">
            <v>Kathryn Spaziani</v>
          </cell>
          <cell r="H2590" t="str">
            <v>(212) 305-1190</v>
          </cell>
          <cell r="J2590" t="str">
            <v>kas9171@nyp.org</v>
          </cell>
          <cell r="L2590" t="str">
            <v>All Other:: Practitioner - Primary Care Provider (PCP)</v>
          </cell>
          <cell r="M2590" t="str">
            <v>Yes</v>
          </cell>
          <cell r="R2590" t="str">
            <v>BALL SUSAN DR.</v>
          </cell>
          <cell r="W2590" t="str">
            <v>BALL SUSAN C MD</v>
          </cell>
          <cell r="X2590" t="str">
            <v>525 E 68TH ST</v>
          </cell>
          <cell r="Y2590" t="str">
            <v>NEW YORK</v>
          </cell>
          <cell r="Z2590" t="str">
            <v>NY</v>
          </cell>
          <cell r="AA2590" t="str">
            <v>10065-4870</v>
          </cell>
          <cell r="AB2590" t="str">
            <v>PHYSICIAN</v>
          </cell>
          <cell r="AC2590" t="str">
            <v>M</v>
          </cell>
          <cell r="AD2590" t="str">
            <v>No</v>
          </cell>
          <cell r="AE2590" t="str">
            <v>MMIS</v>
          </cell>
          <cell r="AF2590" t="str">
            <v>nypeastacn</v>
          </cell>
          <cell r="AG2590" t="str">
            <v>P</v>
          </cell>
        </row>
        <row r="2591">
          <cell r="A2591" t="str">
            <v>1285878694</v>
          </cell>
          <cell r="B2591" t="str">
            <v>03834342</v>
          </cell>
          <cell r="C2591" t="str">
            <v>KHARA SIMPSON</v>
          </cell>
          <cell r="D2591" t="str">
            <v>E0374337</v>
          </cell>
          <cell r="E2591" t="str">
            <v>SIMPSON KHARA MICHELLE</v>
          </cell>
          <cell r="G2591" t="str">
            <v>Kathryn Spaziani</v>
          </cell>
          <cell r="H2591" t="str">
            <v>(212) 305-1190</v>
          </cell>
          <cell r="J2591" t="str">
            <v>kas9171@nyp.org</v>
          </cell>
          <cell r="L2591" t="str">
            <v>All Other:: Practitioner - Non-Primary Care Provider (PCP)</v>
          </cell>
          <cell r="M2591" t="str">
            <v>No</v>
          </cell>
          <cell r="R2591" t="str">
            <v>SIMPSON KHARA</v>
          </cell>
          <cell r="W2591" t="str">
            <v>SIMPSON KHARA MICHELLE</v>
          </cell>
          <cell r="X2591" t="str">
            <v>622 W 168TH ST</v>
          </cell>
          <cell r="Y2591" t="str">
            <v>NEW YORK</v>
          </cell>
          <cell r="Z2591" t="str">
            <v>NY</v>
          </cell>
          <cell r="AA2591" t="str">
            <v>10032-3720</v>
          </cell>
          <cell r="AB2591" t="str">
            <v>PHYSICIAN</v>
          </cell>
          <cell r="AC2591" t="str">
            <v>M</v>
          </cell>
          <cell r="AD2591" t="str">
            <v>No</v>
          </cell>
          <cell r="AE2591" t="str">
            <v>MMIS</v>
          </cell>
          <cell r="AF2591" t="str">
            <v>nypwestcampus</v>
          </cell>
          <cell r="AG2591" t="str">
            <v>P</v>
          </cell>
        </row>
        <row r="2592">
          <cell r="A2592" t="str">
            <v>1972604700</v>
          </cell>
          <cell r="B2592" t="str">
            <v>00340698</v>
          </cell>
          <cell r="C2592" t="str">
            <v>DARAS, MICHAEL D</v>
          </cell>
          <cell r="D2592" t="str">
            <v>E0265081</v>
          </cell>
          <cell r="E2592" t="str">
            <v>DARAS MICHAEL              MD</v>
          </cell>
          <cell r="G2592" t="str">
            <v>Kathryn Spaziani</v>
          </cell>
          <cell r="H2592" t="str">
            <v>(212) 305-1190</v>
          </cell>
          <cell r="J2592" t="str">
            <v>kas9171@nyp.org</v>
          </cell>
          <cell r="L2592" t="str">
            <v>Practitioner - Non-Primary Care Provider (PCP)</v>
          </cell>
          <cell r="M2592" t="str">
            <v>No</v>
          </cell>
          <cell r="R2592" t="str">
            <v>DARAS MICHAEL DR.</v>
          </cell>
          <cell r="W2592" t="str">
            <v>DARAS MICHAEL              MD</v>
          </cell>
          <cell r="X2592" t="str">
            <v>MONTROSE MED BLDG</v>
          </cell>
          <cell r="Y2592" t="str">
            <v>BROOKLYN</v>
          </cell>
          <cell r="Z2592" t="str">
            <v>NY</v>
          </cell>
          <cell r="AA2592" t="str">
            <v>11206-2722</v>
          </cell>
          <cell r="AB2592" t="str">
            <v>PHYSICIAN</v>
          </cell>
          <cell r="AC2592" t="str">
            <v>M</v>
          </cell>
          <cell r="AD2592" t="str">
            <v>No</v>
          </cell>
          <cell r="AE2592" t="str">
            <v>MMIS</v>
          </cell>
          <cell r="AF2592" t="str">
            <v>nypwestacn</v>
          </cell>
          <cell r="AG2592" t="str">
            <v>P</v>
          </cell>
        </row>
        <row r="2593">
          <cell r="A2593" t="str">
            <v>1972687887</v>
          </cell>
          <cell r="B2593" t="str">
            <v>03182950</v>
          </cell>
          <cell r="C2593" t="str">
            <v xml:space="preserve">BEARELLY, SRILAXMI </v>
          </cell>
          <cell r="D2593" t="str">
            <v>E0302498</v>
          </cell>
          <cell r="E2593" t="str">
            <v>SRILAXMI BEARELLY</v>
          </cell>
          <cell r="G2593" t="str">
            <v>Kathryn Spaziani</v>
          </cell>
          <cell r="H2593" t="str">
            <v>(212) 305-1190</v>
          </cell>
          <cell r="J2593" t="str">
            <v>kas9171@nyp.org</v>
          </cell>
          <cell r="L2593" t="str">
            <v>All Other:: Practitioner - Non-Primary Care Provider (PCP)</v>
          </cell>
          <cell r="M2593" t="str">
            <v>No</v>
          </cell>
          <cell r="R2593" t="str">
            <v>BEARELLY SRILAXMI</v>
          </cell>
          <cell r="W2593" t="str">
            <v>BEARELLY SRILAXMI</v>
          </cell>
          <cell r="X2593" t="str">
            <v>635 W 165TH ST BSMT</v>
          </cell>
          <cell r="Y2593" t="str">
            <v>NEW YORK</v>
          </cell>
          <cell r="Z2593" t="str">
            <v>NY</v>
          </cell>
          <cell r="AA2593" t="str">
            <v>10032-3724</v>
          </cell>
          <cell r="AB2593" t="str">
            <v>PHYSICIAN</v>
          </cell>
          <cell r="AC2593" t="str">
            <v>M</v>
          </cell>
          <cell r="AD2593" t="str">
            <v>No</v>
          </cell>
          <cell r="AE2593" t="str">
            <v>MMIS</v>
          </cell>
          <cell r="AF2593" t="str">
            <v>nypwestacn</v>
          </cell>
          <cell r="AG2593" t="str">
            <v>P</v>
          </cell>
        </row>
        <row r="2594">
          <cell r="A2594" t="str">
            <v>1790722940</v>
          </cell>
          <cell r="B2594" t="str">
            <v>02757326</v>
          </cell>
          <cell r="C2594" t="str">
            <v>Tedore Tiffany</v>
          </cell>
          <cell r="D2594" t="str">
            <v>E0024459</v>
          </cell>
          <cell r="E2594" t="str">
            <v>TEDORE TIFFANY MD</v>
          </cell>
          <cell r="L2594" t="str">
            <v>All Other:: Practitioner - Non-Primary Care Provider (PCP)</v>
          </cell>
          <cell r="M2594" t="str">
            <v>No</v>
          </cell>
          <cell r="R2594" t="str">
            <v>TEDORE TIFFANY</v>
          </cell>
          <cell r="W2594" t="str">
            <v>TEDORE TIFFANY MD</v>
          </cell>
          <cell r="X2594" t="str">
            <v>525 E 68TH ST</v>
          </cell>
          <cell r="Y2594" t="str">
            <v>NEW YORK</v>
          </cell>
          <cell r="Z2594" t="str">
            <v>NY</v>
          </cell>
          <cell r="AA2594" t="str">
            <v>10065-4870</v>
          </cell>
          <cell r="AB2594" t="str">
            <v>PHYSICIAN</v>
          </cell>
          <cell r="AC2594" t="str">
            <v>M</v>
          </cell>
          <cell r="AD2594" t="str">
            <v>No</v>
          </cell>
          <cell r="AE2594" t="str">
            <v>MMIS</v>
          </cell>
          <cell r="AF2594" t="str">
            <v>nypeastcampus</v>
          </cell>
          <cell r="AG2594" t="str">
            <v>P</v>
          </cell>
        </row>
        <row r="2595">
          <cell r="A2595" t="str">
            <v>1881980639</v>
          </cell>
          <cell r="C2595" t="str">
            <v>Tennessee Tracey</v>
          </cell>
          <cell r="G2595" t="str">
            <v>Kathryn Spaziani</v>
          </cell>
          <cell r="H2595" t="str">
            <v>(212) 305-1255</v>
          </cell>
          <cell r="J2595" t="str">
            <v>kas9171@nyp.org</v>
          </cell>
          <cell r="K2595" t="str">
            <v>Physician</v>
          </cell>
          <cell r="L2595" t="str">
            <v>Uncategorized</v>
          </cell>
          <cell r="M2595" t="str">
            <v>No</v>
          </cell>
          <cell r="R2595" t="str">
            <v>TENNESSEE TRACEY</v>
          </cell>
          <cell r="S2595" t="str">
            <v>1 GUSTAVE L LEVY PL, ANESTHESIOLOGY - BOX 1010</v>
          </cell>
          <cell r="T2595" t="str">
            <v>NEW YORK</v>
          </cell>
          <cell r="U2595" t="str">
            <v>NY</v>
          </cell>
          <cell r="V2595" t="str">
            <v>100296500</v>
          </cell>
          <cell r="AC2595" t="str">
            <v>M</v>
          </cell>
          <cell r="AD2595" t="str">
            <v>No</v>
          </cell>
          <cell r="AE2595" t="str">
            <v>NPI only</v>
          </cell>
          <cell r="AF2595" t="str">
            <v>nypeastcampus</v>
          </cell>
          <cell r="AG2595" t="str">
            <v>P</v>
          </cell>
        </row>
        <row r="2596">
          <cell r="A2596" t="str">
            <v>1871505396</v>
          </cell>
          <cell r="B2596" t="str">
            <v>01153819</v>
          </cell>
          <cell r="C2596" t="str">
            <v>Thomas Stephen</v>
          </cell>
          <cell r="D2596" t="str">
            <v>E0184503</v>
          </cell>
          <cell r="E2596" t="str">
            <v>THOMAS STEPHEN J MD</v>
          </cell>
          <cell r="L2596" t="str">
            <v>All Other:: Practitioner - Non-Primary Care Provider (PCP)</v>
          </cell>
          <cell r="M2596" t="str">
            <v>No</v>
          </cell>
          <cell r="R2596" t="str">
            <v>THOMAS STEPHEN DR.</v>
          </cell>
          <cell r="W2596" t="str">
            <v>THOMAS STEPHEN J MD</v>
          </cell>
          <cell r="X2596" t="str">
            <v>525 E 68TH ST</v>
          </cell>
          <cell r="Y2596" t="str">
            <v>NEW YORK</v>
          </cell>
          <cell r="Z2596" t="str">
            <v>NY</v>
          </cell>
          <cell r="AA2596" t="str">
            <v>10065-4870</v>
          </cell>
          <cell r="AB2596" t="str">
            <v>PHYSICIAN</v>
          </cell>
          <cell r="AC2596" t="str">
            <v>M</v>
          </cell>
          <cell r="AD2596" t="str">
            <v>No</v>
          </cell>
          <cell r="AE2596" t="str">
            <v>MMIS</v>
          </cell>
          <cell r="AF2596" t="str">
            <v>nypeastcampus</v>
          </cell>
          <cell r="AG2596" t="str">
            <v>P</v>
          </cell>
        </row>
        <row r="2597">
          <cell r="A2597" t="str">
            <v>1912291378</v>
          </cell>
          <cell r="C2597" t="str">
            <v>Thompson Kawanna</v>
          </cell>
          <cell r="G2597" t="str">
            <v>Kathryn Spaziani</v>
          </cell>
          <cell r="H2597" t="str">
            <v>(212) 305-1255</v>
          </cell>
          <cell r="J2597" t="str">
            <v>kas9171@nyp.org</v>
          </cell>
          <cell r="K2597" t="str">
            <v>Physician</v>
          </cell>
          <cell r="L2597" t="str">
            <v>Uncategorized</v>
          </cell>
          <cell r="M2597" t="str">
            <v>No</v>
          </cell>
          <cell r="R2597" t="str">
            <v>THOMPSON KAWANNA MS.</v>
          </cell>
          <cell r="S2597" t="str">
            <v>525 E 68TH ST</v>
          </cell>
          <cell r="T2597" t="str">
            <v>NEW YORK</v>
          </cell>
          <cell r="U2597" t="str">
            <v>NY</v>
          </cell>
          <cell r="V2597" t="str">
            <v>100654870</v>
          </cell>
          <cell r="AC2597" t="str">
            <v>M</v>
          </cell>
          <cell r="AD2597" t="str">
            <v>No</v>
          </cell>
          <cell r="AE2597" t="str">
            <v>NPI only</v>
          </cell>
          <cell r="AF2597" t="str">
            <v>nypeastcampus</v>
          </cell>
          <cell r="AG2597" t="str">
            <v>P</v>
          </cell>
        </row>
        <row r="2598">
          <cell r="A2598" t="str">
            <v>1588676019</v>
          </cell>
          <cell r="B2598" t="str">
            <v>01452217</v>
          </cell>
          <cell r="C2598" t="str">
            <v>Tjan Joseph</v>
          </cell>
          <cell r="D2598" t="str">
            <v>E0154756</v>
          </cell>
          <cell r="E2598" t="str">
            <v>TJAN JOSEPH MD</v>
          </cell>
          <cell r="L2598" t="str">
            <v>Practitioner - Non-Primary Care Provider (PCP)</v>
          </cell>
          <cell r="M2598" t="str">
            <v>No</v>
          </cell>
          <cell r="R2598" t="str">
            <v>TJAN JOSEPH DR.</v>
          </cell>
          <cell r="W2598" t="str">
            <v>TJAN JOSEPH MD</v>
          </cell>
          <cell r="X2598" t="str">
            <v>CORNELL ANESTH ASSOC</v>
          </cell>
          <cell r="Y2598" t="str">
            <v>NEW YORK</v>
          </cell>
          <cell r="Z2598" t="str">
            <v>NY</v>
          </cell>
          <cell r="AA2598" t="str">
            <v>10065-4870</v>
          </cell>
          <cell r="AB2598" t="str">
            <v>PHYSICIAN</v>
          </cell>
          <cell r="AC2598" t="str">
            <v>M</v>
          </cell>
          <cell r="AD2598" t="str">
            <v>No</v>
          </cell>
          <cell r="AE2598" t="str">
            <v>MMIS</v>
          </cell>
          <cell r="AF2598" t="str">
            <v>nypeastcampus</v>
          </cell>
          <cell r="AG2598" t="str">
            <v>P</v>
          </cell>
        </row>
        <row r="2599">
          <cell r="A2599" t="str">
            <v>1902946189</v>
          </cell>
          <cell r="C2599" t="str">
            <v>Torres Cresencio</v>
          </cell>
          <cell r="G2599" t="str">
            <v>Kathryn Spaziani</v>
          </cell>
          <cell r="H2599" t="str">
            <v>(212) 305-1255</v>
          </cell>
          <cell r="J2599" t="str">
            <v>kas9171@nyp.org</v>
          </cell>
          <cell r="K2599" t="str">
            <v>Physician</v>
          </cell>
          <cell r="L2599" t="str">
            <v>Uncategorized</v>
          </cell>
          <cell r="M2599" t="str">
            <v>No</v>
          </cell>
          <cell r="R2599" t="str">
            <v>TORRES CRESCENCIO</v>
          </cell>
          <cell r="S2599" t="str">
            <v>1300 YORK AVE, DEPATMENT OF CARDIAC ANESTHESIA</v>
          </cell>
          <cell r="T2599" t="str">
            <v>NEW YORK</v>
          </cell>
          <cell r="U2599" t="str">
            <v>NY</v>
          </cell>
          <cell r="V2599" t="str">
            <v>100214805</v>
          </cell>
          <cell r="AC2599" t="str">
            <v>M</v>
          </cell>
          <cell r="AD2599" t="str">
            <v>No</v>
          </cell>
          <cell r="AE2599" t="str">
            <v>NPI only</v>
          </cell>
          <cell r="AF2599" t="str">
            <v>nypeastcampus</v>
          </cell>
          <cell r="AG2599" t="str">
            <v>P</v>
          </cell>
        </row>
        <row r="2600">
          <cell r="A2600" t="str">
            <v>1497767941</v>
          </cell>
          <cell r="B2600" t="str">
            <v>00250353</v>
          </cell>
          <cell r="C2600" t="str">
            <v>Turner Liebert</v>
          </cell>
          <cell r="D2600" t="str">
            <v>E0273469</v>
          </cell>
          <cell r="E2600" t="str">
            <v>TURNER LIEBERT             MD</v>
          </cell>
          <cell r="L2600" t="str">
            <v>All Other:: Practitioner - Non-Primary Care Provider (PCP)</v>
          </cell>
          <cell r="M2600" t="str">
            <v>No</v>
          </cell>
          <cell r="R2600" t="str">
            <v>TURNER LIEBERT DR.</v>
          </cell>
          <cell r="W2600" t="str">
            <v>TURNER LIEBERT</v>
          </cell>
          <cell r="Y2600" t="str">
            <v>NEW YORK</v>
          </cell>
          <cell r="Z2600" t="str">
            <v>NY</v>
          </cell>
          <cell r="AA2600" t="str">
            <v>10065-4885</v>
          </cell>
          <cell r="AB2600" t="str">
            <v>PHYSICIAN</v>
          </cell>
          <cell r="AC2600" t="str">
            <v>M</v>
          </cell>
          <cell r="AD2600" t="str">
            <v>No</v>
          </cell>
          <cell r="AE2600" t="str">
            <v>MMIS</v>
          </cell>
          <cell r="AF2600" t="str">
            <v>nypeastcampus</v>
          </cell>
          <cell r="AG2600" t="str">
            <v>P</v>
          </cell>
        </row>
        <row r="2601">
          <cell r="A2601" t="str">
            <v>1043458854</v>
          </cell>
          <cell r="B2601" t="str">
            <v>03281101</v>
          </cell>
          <cell r="C2601" t="str">
            <v>Usenko Jaroslav</v>
          </cell>
          <cell r="D2601" t="str">
            <v>E0313612</v>
          </cell>
          <cell r="E2601" t="str">
            <v>USENKO JAROSLAV K</v>
          </cell>
          <cell r="L2601" t="str">
            <v>All Other:: Practitioner - Non-Primary Care Provider (PCP)</v>
          </cell>
          <cell r="M2601" t="str">
            <v>No</v>
          </cell>
          <cell r="R2601" t="str">
            <v>USENKO JAROSLAV</v>
          </cell>
          <cell r="W2601" t="str">
            <v>USENKO JAROSLAV K</v>
          </cell>
          <cell r="X2601" t="str">
            <v>525 E 68TH ST</v>
          </cell>
          <cell r="Y2601" t="str">
            <v>NEW YORK</v>
          </cell>
          <cell r="Z2601" t="str">
            <v>NY</v>
          </cell>
          <cell r="AA2601" t="str">
            <v>10065-4870</v>
          </cell>
          <cell r="AB2601" t="str">
            <v>PHYSICIAN</v>
          </cell>
          <cell r="AC2601" t="str">
            <v>M</v>
          </cell>
          <cell r="AD2601" t="str">
            <v>No</v>
          </cell>
          <cell r="AE2601" t="str">
            <v>MMIS</v>
          </cell>
          <cell r="AF2601" t="str">
            <v>nypeastcampus</v>
          </cell>
          <cell r="AG2601" t="str">
            <v>P</v>
          </cell>
        </row>
        <row r="2602">
          <cell r="A2602" t="str">
            <v>1538194709</v>
          </cell>
          <cell r="B2602" t="str">
            <v>00309875</v>
          </cell>
          <cell r="C2602" t="str">
            <v>Isabella Geriatric Center, Inc.</v>
          </cell>
          <cell r="D2602" t="str">
            <v>E0268107</v>
          </cell>
          <cell r="E2602" t="str">
            <v>ISABELLA GERIATRIC CTR INC</v>
          </cell>
          <cell r="G2602" t="str">
            <v>Rocco Meliambro</v>
          </cell>
          <cell r="H2602" t="str">
            <v>(212) 342-9308</v>
          </cell>
          <cell r="J2602" t="str">
            <v>rmeliambro@isabella.org</v>
          </cell>
          <cell r="L2602" t="str">
            <v>All Other:: Nursing Home</v>
          </cell>
          <cell r="M2602" t="str">
            <v>Yes</v>
          </cell>
          <cell r="R2602" t="str">
            <v>ISABELLA GERIATRIC CENTER, INC.</v>
          </cell>
          <cell r="W2602" t="str">
            <v>ISABELLA GERIATRIC CTR INC</v>
          </cell>
          <cell r="X2602" t="str">
            <v>515 AUDUBON AVE</v>
          </cell>
          <cell r="Y2602" t="str">
            <v>NEW YORK</v>
          </cell>
          <cell r="Z2602" t="str">
            <v>NY</v>
          </cell>
          <cell r="AA2602" t="str">
            <v>10040-3403</v>
          </cell>
          <cell r="AB2602" t="str">
            <v>LONG TERM CARE FACILITY</v>
          </cell>
          <cell r="AC2602" t="str">
            <v>M</v>
          </cell>
          <cell r="AD2602" t="str">
            <v>No</v>
          </cell>
          <cell r="AE2602" t="str">
            <v>MMIS</v>
          </cell>
          <cell r="AG2602" t="str">
            <v>P</v>
          </cell>
        </row>
        <row r="2603">
          <cell r="A2603" t="str">
            <v>1639393069</v>
          </cell>
          <cell r="B2603" t="str">
            <v>02925253</v>
          </cell>
          <cell r="C2603" t="str">
            <v xml:space="preserve">SOTO-ARMSTRONG, MIGDALIA </v>
          </cell>
          <cell r="D2603" t="str">
            <v>E0000567</v>
          </cell>
          <cell r="E2603" t="str">
            <v>SOTO ARMSTRONG MIGDALIA</v>
          </cell>
          <cell r="G2603" t="str">
            <v>Kathryn Spaziani</v>
          </cell>
          <cell r="H2603" t="str">
            <v>(212) 305-1190</v>
          </cell>
          <cell r="J2603" t="str">
            <v>kas9171@nyp.org</v>
          </cell>
          <cell r="L2603" t="str">
            <v>All Other:: Practitioner - Non-Primary Care Provider (PCP)</v>
          </cell>
          <cell r="M2603" t="str">
            <v>Yes</v>
          </cell>
          <cell r="R2603" t="str">
            <v>SOTOARMSTRONG MIGDALIA MS.</v>
          </cell>
          <cell r="W2603" t="str">
            <v>SOTO ARMSTRONG MIGDALIA</v>
          </cell>
          <cell r="X2603" t="str">
            <v>21 AUDUBON AVE</v>
          </cell>
          <cell r="Y2603" t="str">
            <v>NEW YORK</v>
          </cell>
          <cell r="Z2603" t="str">
            <v>NY</v>
          </cell>
          <cell r="AA2603" t="str">
            <v>10032-4220</v>
          </cell>
          <cell r="AB2603" t="str">
            <v>PHYSICIAN</v>
          </cell>
          <cell r="AC2603" t="str">
            <v>M</v>
          </cell>
          <cell r="AD2603" t="str">
            <v>No</v>
          </cell>
          <cell r="AE2603" t="str">
            <v>MMIS</v>
          </cell>
          <cell r="AF2603" t="str">
            <v>nypwestcampus</v>
          </cell>
          <cell r="AG2603" t="str">
            <v>P</v>
          </cell>
        </row>
        <row r="2604">
          <cell r="C2604" t="str">
            <v>Washington Heights CORNER Project</v>
          </cell>
          <cell r="G2604" t="str">
            <v>Taeko Frost, MPH, Executive Director</v>
          </cell>
          <cell r="H2604" t="str">
            <v>(212) 923-7600</v>
          </cell>
          <cell r="I2604">
            <v>123</v>
          </cell>
          <cell r="J2604" t="str">
            <v>taeko@cornerproject.org</v>
          </cell>
          <cell r="K2604" t="str">
            <v>Peer Supports</v>
          </cell>
          <cell r="L2604" t="str">
            <v>CBO</v>
          </cell>
          <cell r="M2604" t="str">
            <v>No</v>
          </cell>
          <cell r="AC2604" t="str">
            <v>M</v>
          </cell>
          <cell r="AD2604" t="str">
            <v>No</v>
          </cell>
          <cell r="AE2604" t="str">
            <v>No NPI or MMIS</v>
          </cell>
          <cell r="AG2604" t="str">
            <v>P</v>
          </cell>
        </row>
        <row r="2605">
          <cell r="A2605" t="str">
            <v>1124398300</v>
          </cell>
          <cell r="C2605" t="str">
            <v>FLYNN, MELISSA A</v>
          </cell>
          <cell r="G2605" t="str">
            <v>Kathryn Spaziani</v>
          </cell>
          <cell r="H2605" t="str">
            <v>(212) 305-1190</v>
          </cell>
          <cell r="J2605" t="str">
            <v>kas9171@nyp.org</v>
          </cell>
          <cell r="K2605" t="str">
            <v>Physician</v>
          </cell>
          <cell r="L2605" t="str">
            <v>Practitioner - Non-Primary Care Provider (PCP)</v>
          </cell>
          <cell r="M2605" t="str">
            <v>No</v>
          </cell>
          <cell r="R2605" t="str">
            <v>FLYNN MELISSA MRS.</v>
          </cell>
          <cell r="S2605" t="str">
            <v>525 E 68TH ST</v>
          </cell>
          <cell r="T2605" t="str">
            <v>NEW YORK</v>
          </cell>
          <cell r="U2605" t="str">
            <v>NY</v>
          </cell>
          <cell r="V2605" t="str">
            <v>10021</v>
          </cell>
          <cell r="AC2605" t="str">
            <v>M</v>
          </cell>
          <cell r="AD2605" t="str">
            <v>No</v>
          </cell>
          <cell r="AE2605" t="str">
            <v>NPI only</v>
          </cell>
          <cell r="AF2605" t="str">
            <v>nypeastacn</v>
          </cell>
          <cell r="AG2605" t="str">
            <v>P</v>
          </cell>
        </row>
        <row r="2606">
          <cell r="A2606" t="str">
            <v>1194739284</v>
          </cell>
          <cell r="B2606" t="str">
            <v>00967491</v>
          </cell>
          <cell r="C2606" t="str">
            <v xml:space="preserve">DORO, STEPHEN </v>
          </cell>
          <cell r="D2606" t="str">
            <v>E0203017</v>
          </cell>
          <cell r="E2606" t="str">
            <v>DORO STEPHEN               MD</v>
          </cell>
          <cell r="G2606" t="str">
            <v>Kathryn Spaziani</v>
          </cell>
          <cell r="H2606" t="str">
            <v>(212) 305-1190</v>
          </cell>
          <cell r="J2606" t="str">
            <v>kas9171@nyp.org</v>
          </cell>
          <cell r="L2606" t="str">
            <v>Practitioner - Non-Primary Care Provider (PCP)</v>
          </cell>
          <cell r="M2606" t="str">
            <v>Yes</v>
          </cell>
          <cell r="R2606" t="str">
            <v>DORO STEPHEN</v>
          </cell>
          <cell r="W2606" t="str">
            <v>DORO STEPHEN               MD</v>
          </cell>
          <cell r="X2606" t="str">
            <v>STE 903</v>
          </cell>
          <cell r="Y2606" t="str">
            <v>NEW YORK</v>
          </cell>
          <cell r="Z2606" t="str">
            <v>NY</v>
          </cell>
          <cell r="AA2606" t="str">
            <v>10022-1236</v>
          </cell>
          <cell r="AB2606" t="str">
            <v>PHYSICIAN</v>
          </cell>
          <cell r="AC2606" t="str">
            <v>M</v>
          </cell>
          <cell r="AD2606" t="str">
            <v>No</v>
          </cell>
          <cell r="AE2606" t="str">
            <v>MMIS</v>
          </cell>
          <cell r="AF2606" t="str">
            <v>nypwestacn</v>
          </cell>
          <cell r="AG2606" t="str">
            <v>P</v>
          </cell>
        </row>
        <row r="2607">
          <cell r="A2607" t="str">
            <v>1750517520</v>
          </cell>
          <cell r="B2607" t="str">
            <v>03918605</v>
          </cell>
          <cell r="C2607" t="str">
            <v>Nair Sreejit</v>
          </cell>
          <cell r="D2607" t="str">
            <v>E0383028</v>
          </cell>
          <cell r="E2607" t="str">
            <v>NAIR SREEJIT</v>
          </cell>
          <cell r="L2607" t="str">
            <v>Uncategorized</v>
          </cell>
          <cell r="M2607" t="str">
            <v>No</v>
          </cell>
          <cell r="R2607" t="str">
            <v>NAIR SREEJIT DR.</v>
          </cell>
          <cell r="W2607" t="str">
            <v>NAIR SREEJIT</v>
          </cell>
          <cell r="X2607" t="str">
            <v>625 E FORDHAM RD</v>
          </cell>
          <cell r="Y2607" t="str">
            <v>BRONX</v>
          </cell>
          <cell r="Z2607" t="str">
            <v>NY</v>
          </cell>
          <cell r="AA2607" t="str">
            <v>10458-5048</v>
          </cell>
          <cell r="AB2607" t="str">
            <v>PHYSICIAN</v>
          </cell>
          <cell r="AC2607" t="str">
            <v>M</v>
          </cell>
          <cell r="AD2607" t="str">
            <v>No</v>
          </cell>
          <cell r="AE2607" t="str">
            <v>MMIS</v>
          </cell>
          <cell r="AG2607" t="str">
            <v>P</v>
          </cell>
        </row>
        <row r="2608">
          <cell r="A2608" t="str">
            <v>1114194008</v>
          </cell>
          <cell r="B2608" t="str">
            <v>03727153</v>
          </cell>
          <cell r="C2608" t="str">
            <v>FUFA, DURETTI T</v>
          </cell>
          <cell r="D2608" t="str">
            <v>E0363304</v>
          </cell>
          <cell r="E2608" t="str">
            <v>FUFA DURETTI TEFERI</v>
          </cell>
          <cell r="G2608" t="str">
            <v>Kathryn Spaziani</v>
          </cell>
          <cell r="H2608" t="str">
            <v>(212) 305-1190</v>
          </cell>
          <cell r="J2608" t="str">
            <v>kas9171@nyp.org</v>
          </cell>
          <cell r="L2608" t="str">
            <v>Practitioner - Non-Primary Care Provider (PCP)</v>
          </cell>
          <cell r="M2608" t="str">
            <v>No</v>
          </cell>
          <cell r="R2608" t="str">
            <v>FUFA DURETTI DR.</v>
          </cell>
          <cell r="W2608" t="str">
            <v>FUFA DURETTI TEFERI</v>
          </cell>
          <cell r="X2608" t="str">
            <v>523 E 68TH ST</v>
          </cell>
          <cell r="Y2608" t="str">
            <v>NEW YORK</v>
          </cell>
          <cell r="Z2608" t="str">
            <v>NY</v>
          </cell>
          <cell r="AA2608" t="str">
            <v>10065-4870</v>
          </cell>
          <cell r="AB2608" t="str">
            <v>PHYSICIAN</v>
          </cell>
          <cell r="AC2608" t="str">
            <v>M</v>
          </cell>
          <cell r="AD2608" t="str">
            <v>No</v>
          </cell>
          <cell r="AE2608" t="str">
            <v>MMIS</v>
          </cell>
          <cell r="AF2608" t="str">
            <v>nypeastacn</v>
          </cell>
          <cell r="AG2608" t="str">
            <v>P</v>
          </cell>
        </row>
        <row r="2609">
          <cell r="A2609" t="str">
            <v>1114205622</v>
          </cell>
          <cell r="B2609" t="str">
            <v>03375248</v>
          </cell>
          <cell r="C2609" t="str">
            <v>ROCHE, CATHERINE A</v>
          </cell>
          <cell r="D2609" t="str">
            <v>E0324454</v>
          </cell>
          <cell r="E2609" t="str">
            <v>ROCHE CATHERINE</v>
          </cell>
          <cell r="G2609" t="str">
            <v>Kathryn Spaziani</v>
          </cell>
          <cell r="H2609" t="str">
            <v>(212) 305-1190</v>
          </cell>
          <cell r="J2609" t="str">
            <v>kas9171@nyp.org</v>
          </cell>
          <cell r="L2609" t="str">
            <v>Practitioner - Non-Primary Care Provider (PCP)</v>
          </cell>
          <cell r="M2609" t="str">
            <v>No</v>
          </cell>
          <cell r="R2609" t="str">
            <v>ROCHE CATHERINE DR.</v>
          </cell>
          <cell r="W2609" t="str">
            <v>ROCHE CATHERINE</v>
          </cell>
          <cell r="X2609" t="str">
            <v>635 W 165TH ST</v>
          </cell>
          <cell r="Y2609" t="str">
            <v>NEW YORK</v>
          </cell>
          <cell r="Z2609" t="str">
            <v>NY</v>
          </cell>
          <cell r="AA2609" t="str">
            <v>10032-3724</v>
          </cell>
          <cell r="AB2609" t="str">
            <v>CLINICAL PSYCHOLOGIST</v>
          </cell>
          <cell r="AC2609" t="str">
            <v>M</v>
          </cell>
          <cell r="AD2609" t="str">
            <v>No</v>
          </cell>
          <cell r="AE2609" t="str">
            <v>MMIS</v>
          </cell>
          <cell r="AF2609" t="str">
            <v>nypwestcampus</v>
          </cell>
          <cell r="AG2609" t="str">
            <v>P</v>
          </cell>
        </row>
        <row r="2610">
          <cell r="A2610" t="str">
            <v>1760641864</v>
          </cell>
          <cell r="B2610" t="str">
            <v>03056457</v>
          </cell>
          <cell r="C2610" t="str">
            <v>SETHI, NITIN K</v>
          </cell>
          <cell r="D2610" t="str">
            <v>E0287932</v>
          </cell>
          <cell r="E2610" t="str">
            <v>SETHI NITIN KUMAR MD</v>
          </cell>
          <cell r="G2610" t="str">
            <v>Kathryn Spaziani</v>
          </cell>
          <cell r="H2610" t="str">
            <v>(212) 305-1190</v>
          </cell>
          <cell r="J2610" t="str">
            <v>kas9171@nyp.org</v>
          </cell>
          <cell r="L2610" t="str">
            <v>All Other:: Practitioner - Non-Primary Care Provider (PCP)</v>
          </cell>
          <cell r="M2610" t="str">
            <v>No</v>
          </cell>
          <cell r="R2610" t="str">
            <v>SETHI NITIN DR.</v>
          </cell>
          <cell r="W2610" t="str">
            <v>SETHI NITIN KUMAR MD</v>
          </cell>
          <cell r="X2610" t="str">
            <v>NEUROLOGY FACULTY PRACTICE</v>
          </cell>
          <cell r="Y2610" t="str">
            <v>NEW YORK</v>
          </cell>
          <cell r="Z2610" t="str">
            <v>NY</v>
          </cell>
          <cell r="AA2610" t="str">
            <v>10021-9800</v>
          </cell>
          <cell r="AB2610" t="str">
            <v>PHYSICIAN</v>
          </cell>
          <cell r="AC2610" t="str">
            <v>M</v>
          </cell>
          <cell r="AD2610" t="str">
            <v>No</v>
          </cell>
          <cell r="AE2610" t="str">
            <v>MMIS</v>
          </cell>
          <cell r="AF2610" t="str">
            <v>nypeastcampus</v>
          </cell>
          <cell r="AG2610" t="str">
            <v>P</v>
          </cell>
        </row>
        <row r="2611">
          <cell r="A2611" t="str">
            <v>1639148208</v>
          </cell>
          <cell r="B2611" t="str">
            <v>02152321</v>
          </cell>
          <cell r="C2611" t="str">
            <v>DIFELICE, GREGORY S</v>
          </cell>
          <cell r="D2611" t="str">
            <v>E0084843</v>
          </cell>
          <cell r="E2611" t="str">
            <v>DIFELICE GREGORY SCOTT</v>
          </cell>
          <cell r="G2611" t="str">
            <v>Kathryn Spaziani</v>
          </cell>
          <cell r="H2611" t="str">
            <v>(212) 305-1190</v>
          </cell>
          <cell r="J2611" t="str">
            <v>kas9171@nyp.org</v>
          </cell>
          <cell r="L2611" t="str">
            <v>All Other:: Practitioner - Non-Primary Care Provider (PCP)</v>
          </cell>
          <cell r="M2611" t="str">
            <v>No</v>
          </cell>
          <cell r="R2611" t="str">
            <v>DIFELICE GREGORY</v>
          </cell>
          <cell r="W2611" t="str">
            <v>DIFELICE GREGORY SCOTT</v>
          </cell>
          <cell r="X2611" t="str">
            <v>JACOBI MEDICAL CTR</v>
          </cell>
          <cell r="Y2611" t="str">
            <v>BRONX</v>
          </cell>
          <cell r="Z2611" t="str">
            <v>NY</v>
          </cell>
          <cell r="AA2611" t="str">
            <v>10461-1138</v>
          </cell>
          <cell r="AB2611" t="str">
            <v>PHYSICIAN</v>
          </cell>
          <cell r="AC2611" t="str">
            <v>M</v>
          </cell>
          <cell r="AD2611" t="str">
            <v>No</v>
          </cell>
          <cell r="AE2611" t="str">
            <v>MMIS</v>
          </cell>
          <cell r="AF2611" t="str">
            <v>nypeastacn</v>
          </cell>
          <cell r="AG2611" t="str">
            <v>P</v>
          </cell>
        </row>
        <row r="2612">
          <cell r="A2612" t="str">
            <v>1962607846</v>
          </cell>
          <cell r="B2612" t="str">
            <v>03722185</v>
          </cell>
          <cell r="C2612" t="str">
            <v>MENDELSOHN CURENAJ, FELICIA A</v>
          </cell>
          <cell r="D2612" t="str">
            <v>E0362810</v>
          </cell>
          <cell r="E2612" t="str">
            <v>MENDELSOHN FELICIA A</v>
          </cell>
          <cell r="G2612" t="str">
            <v>Kathryn Spaziani</v>
          </cell>
          <cell r="H2612" t="str">
            <v>(212) 305-1190</v>
          </cell>
          <cell r="J2612" t="str">
            <v>kas9171@nyp.org</v>
          </cell>
          <cell r="L2612" t="str">
            <v>All Other:: Practitioner - Non-Primary Care Provider (PCP)</v>
          </cell>
          <cell r="M2612" t="str">
            <v>No</v>
          </cell>
          <cell r="R2612" t="str">
            <v>MENDELSOHN CURANAJ FELICIA DR.</v>
          </cell>
          <cell r="W2612" t="str">
            <v>MENDELSOHN FELICIA A</v>
          </cell>
          <cell r="X2612" t="str">
            <v>525 E 68TH ST</v>
          </cell>
          <cell r="Y2612" t="str">
            <v>NEW YORK</v>
          </cell>
          <cell r="Z2612" t="str">
            <v>NY</v>
          </cell>
          <cell r="AA2612" t="str">
            <v>10065-4870</v>
          </cell>
          <cell r="AB2612" t="str">
            <v>PHYSICIAN</v>
          </cell>
          <cell r="AC2612" t="str">
            <v>M</v>
          </cell>
          <cell r="AD2612" t="str">
            <v>No</v>
          </cell>
          <cell r="AE2612" t="str">
            <v>MMIS</v>
          </cell>
          <cell r="AF2612" t="str">
            <v>nypeastcampus</v>
          </cell>
          <cell r="AG2612" t="str">
            <v>P</v>
          </cell>
        </row>
        <row r="2613">
          <cell r="A2613" t="str">
            <v>1447222625</v>
          </cell>
          <cell r="B2613" t="str">
            <v>02040655</v>
          </cell>
          <cell r="C2613" t="str">
            <v>ABELES, GWEN D</v>
          </cell>
          <cell r="D2613" t="str">
            <v>E0095997</v>
          </cell>
          <cell r="E2613" t="str">
            <v>ABELES GWEN DEE MD</v>
          </cell>
          <cell r="G2613" t="str">
            <v>Kathryn Spaziani</v>
          </cell>
          <cell r="H2613" t="str">
            <v>(212) 305-1190</v>
          </cell>
          <cell r="J2613" t="str">
            <v>kas9171@nyp.org</v>
          </cell>
          <cell r="L2613" t="str">
            <v>Practitioner - Non-Primary Care Provider (PCP)</v>
          </cell>
          <cell r="M2613" t="str">
            <v>No</v>
          </cell>
          <cell r="R2613" t="str">
            <v>ABELES GWEN</v>
          </cell>
          <cell r="W2613" t="str">
            <v>ABELES GWEN DEE MD</v>
          </cell>
          <cell r="X2613" t="str">
            <v>PREL PLZA STE 18</v>
          </cell>
          <cell r="Y2613" t="str">
            <v>ORANGEBURG</v>
          </cell>
          <cell r="Z2613" t="str">
            <v>NY</v>
          </cell>
          <cell r="AA2613" t="str">
            <v>10962-1723</v>
          </cell>
          <cell r="AB2613" t="str">
            <v>PHYSICIAN</v>
          </cell>
          <cell r="AC2613" t="str">
            <v>M</v>
          </cell>
          <cell r="AD2613" t="str">
            <v>No</v>
          </cell>
          <cell r="AE2613" t="str">
            <v>MMIS</v>
          </cell>
          <cell r="AF2613" t="str">
            <v>nypwestacn</v>
          </cell>
          <cell r="AG2613" t="str">
            <v>P</v>
          </cell>
        </row>
        <row r="2614">
          <cell r="A2614" t="str">
            <v>1790969269</v>
          </cell>
          <cell r="B2614" t="str">
            <v>02998649</v>
          </cell>
          <cell r="C2614" t="str">
            <v>WCMC NYP Dialysis</v>
          </cell>
          <cell r="D2614" t="str">
            <v>E0274062</v>
          </cell>
          <cell r="E2614" t="str">
            <v>NY HOSPITAL</v>
          </cell>
          <cell r="G2614" t="str">
            <v>Kathryn Spaziani</v>
          </cell>
          <cell r="H2614" t="str">
            <v>(212) 305-1190</v>
          </cell>
          <cell r="J2614" t="str">
            <v>kas9171@nyp.org</v>
          </cell>
          <cell r="L2614" t="str">
            <v>All Other:: Case Management / Health Home:: Clinic:: Hospital:: Mental Health:: Pharmacy:: Substance Abuse</v>
          </cell>
          <cell r="M2614" t="str">
            <v>Yes</v>
          </cell>
          <cell r="R2614" t="str">
            <v>THE NEW YORK AND PRESBYTERIAN HOSPITAL</v>
          </cell>
          <cell r="W2614" t="str">
            <v>NEW YORK PRESBYTERIAN HOSPITAL</v>
          </cell>
          <cell r="X2614" t="str">
            <v>525 E 68TH ST</v>
          </cell>
          <cell r="Y2614" t="str">
            <v>NEW YORK</v>
          </cell>
          <cell r="Z2614" t="str">
            <v>NY</v>
          </cell>
          <cell r="AA2614" t="str">
            <v>10065-4870</v>
          </cell>
          <cell r="AB2614" t="str">
            <v>HOSPITAL</v>
          </cell>
          <cell r="AC2614" t="str">
            <v>M</v>
          </cell>
          <cell r="AD2614" t="str">
            <v>No</v>
          </cell>
          <cell r="AE2614" t="str">
            <v>MMIS</v>
          </cell>
          <cell r="AF2614" t="str">
            <v>nypeastcampus</v>
          </cell>
          <cell r="AG2614" t="str">
            <v>P</v>
          </cell>
        </row>
        <row r="2615">
          <cell r="A2615" t="str">
            <v>1356652937</v>
          </cell>
          <cell r="B2615" t="str">
            <v>02040462</v>
          </cell>
          <cell r="C2615" t="str">
            <v>LONDON, CATHLEEN</v>
          </cell>
          <cell r="D2615" t="str">
            <v>E0096016</v>
          </cell>
          <cell r="E2615" t="str">
            <v>LONDON CATHLEEN GREENBERG</v>
          </cell>
          <cell r="G2615" t="str">
            <v>Kathryn Spaziani</v>
          </cell>
          <cell r="H2615" t="str">
            <v>(212) 305-1289</v>
          </cell>
          <cell r="J2615" t="str">
            <v>kas9171@nyp.org</v>
          </cell>
          <cell r="L2615" t="str">
            <v>All Other:: Practitioner - Primary Care Provider (PCP)</v>
          </cell>
          <cell r="M2615" t="str">
            <v>No</v>
          </cell>
          <cell r="R2615" t="str">
            <v>LONDON CATHLEEN DR.</v>
          </cell>
          <cell r="W2615" t="str">
            <v>LONDON CATHLEEN GREENBERG</v>
          </cell>
          <cell r="X2615" t="str">
            <v>425 E 61ST ST FL 11</v>
          </cell>
          <cell r="Y2615" t="str">
            <v>NEW YORK</v>
          </cell>
          <cell r="Z2615" t="str">
            <v>NY</v>
          </cell>
          <cell r="AA2615" t="str">
            <v>10065-8788</v>
          </cell>
          <cell r="AB2615" t="str">
            <v>PHYSICIAN</v>
          </cell>
          <cell r="AC2615" t="str">
            <v>M</v>
          </cell>
          <cell r="AD2615" t="str">
            <v>No</v>
          </cell>
          <cell r="AE2615" t="str">
            <v>MMIS</v>
          </cell>
          <cell r="AF2615" t="str">
            <v>nypother</v>
          </cell>
          <cell r="AG2615" t="str">
            <v>P</v>
          </cell>
        </row>
        <row r="2616">
          <cell r="A2616" t="str">
            <v>1962559427</v>
          </cell>
          <cell r="B2616" t="str">
            <v>01846419</v>
          </cell>
          <cell r="C2616" t="str">
            <v>LORICH, DEAN</v>
          </cell>
          <cell r="D2616" t="str">
            <v>E0115399</v>
          </cell>
          <cell r="E2616" t="str">
            <v>LORICH DEAN GERARD MD</v>
          </cell>
          <cell r="G2616" t="str">
            <v>Kathryn Spaziani</v>
          </cell>
          <cell r="H2616" t="str">
            <v>(212) 305-1290</v>
          </cell>
          <cell r="J2616" t="str">
            <v>kas9171@nyp.org</v>
          </cell>
          <cell r="L2616" t="str">
            <v>Practitioner - Non-Primary Care Provider (PCP)</v>
          </cell>
          <cell r="M2616" t="str">
            <v>No</v>
          </cell>
          <cell r="R2616" t="str">
            <v>LORICH DEAN DR.</v>
          </cell>
          <cell r="W2616" t="str">
            <v>LORICH DEAN GERARD MD</v>
          </cell>
          <cell r="X2616" t="str">
            <v>JACOBI MEDICAL CTR</v>
          </cell>
          <cell r="Y2616" t="str">
            <v>BRONX</v>
          </cell>
          <cell r="Z2616" t="str">
            <v>NY</v>
          </cell>
          <cell r="AA2616" t="str">
            <v>10461-1138</v>
          </cell>
          <cell r="AB2616" t="str">
            <v>PHYSICIAN</v>
          </cell>
          <cell r="AC2616" t="str">
            <v>M</v>
          </cell>
          <cell r="AD2616" t="str">
            <v>No</v>
          </cell>
          <cell r="AE2616" t="str">
            <v>MMIS</v>
          </cell>
          <cell r="AF2616" t="str">
            <v>nypeastcampus</v>
          </cell>
          <cell r="AG2616" t="str">
            <v>P</v>
          </cell>
        </row>
        <row r="2617">
          <cell r="A2617" t="str">
            <v>1245278498</v>
          </cell>
          <cell r="B2617" t="str">
            <v>02768894</v>
          </cell>
          <cell r="C2617" t="str">
            <v>LEE, JAMES A</v>
          </cell>
          <cell r="D2617" t="str">
            <v>E0023303</v>
          </cell>
          <cell r="E2617" t="str">
            <v>LEE JAMES MD</v>
          </cell>
          <cell r="G2617" t="str">
            <v>Kathryn Spaziani</v>
          </cell>
          <cell r="H2617" t="str">
            <v>(212) 305-1190</v>
          </cell>
          <cell r="J2617" t="str">
            <v>kas9171@nyp.org</v>
          </cell>
          <cell r="L2617" t="str">
            <v>All Other:: Practitioner - Non-Primary Care Provider (PCP)</v>
          </cell>
          <cell r="M2617" t="str">
            <v>No</v>
          </cell>
          <cell r="R2617" t="str">
            <v>LEE JAMES DR.</v>
          </cell>
          <cell r="W2617" t="str">
            <v>LEE JAMES MD</v>
          </cell>
          <cell r="X2617" t="str">
            <v>161 FORT WASHINGTON AVE</v>
          </cell>
          <cell r="Y2617" t="str">
            <v>NEW YORK</v>
          </cell>
          <cell r="Z2617" t="str">
            <v>NY</v>
          </cell>
          <cell r="AA2617" t="str">
            <v>10032-3729</v>
          </cell>
          <cell r="AB2617" t="str">
            <v>PHYSICIAN</v>
          </cell>
          <cell r="AC2617" t="str">
            <v>M</v>
          </cell>
          <cell r="AD2617" t="str">
            <v>No</v>
          </cell>
          <cell r="AE2617" t="str">
            <v>MMIS</v>
          </cell>
          <cell r="AF2617" t="str">
            <v>nypwestcampus</v>
          </cell>
          <cell r="AG2617" t="str">
            <v>P</v>
          </cell>
        </row>
        <row r="2618">
          <cell r="A2618" t="str">
            <v>1346412897</v>
          </cell>
          <cell r="B2618" t="str">
            <v>03922929</v>
          </cell>
          <cell r="C2618" t="str">
            <v>Henke Vanessa</v>
          </cell>
          <cell r="D2618" t="str">
            <v>E0383460</v>
          </cell>
          <cell r="E2618" t="str">
            <v>HENKE VANESSA</v>
          </cell>
          <cell r="L2618" t="str">
            <v>All Other:: Practitioner - Non-Primary Care Provider (PCP)</v>
          </cell>
          <cell r="M2618" t="str">
            <v>No</v>
          </cell>
          <cell r="R2618" t="str">
            <v>HENKE VANESSA DR.</v>
          </cell>
          <cell r="W2618" t="str">
            <v>HENKE VANESSA</v>
          </cell>
          <cell r="X2618" t="str">
            <v>525 E 68TH ST</v>
          </cell>
          <cell r="Y2618" t="str">
            <v>NEW YORK</v>
          </cell>
          <cell r="Z2618" t="str">
            <v>NY</v>
          </cell>
          <cell r="AA2618" t="str">
            <v>10065-4870</v>
          </cell>
          <cell r="AB2618" t="str">
            <v>PHYSICIAN</v>
          </cell>
          <cell r="AC2618" t="str">
            <v>M</v>
          </cell>
          <cell r="AD2618" t="str">
            <v>No</v>
          </cell>
          <cell r="AE2618" t="str">
            <v>MMIS</v>
          </cell>
          <cell r="AG2618" t="str">
            <v>P</v>
          </cell>
        </row>
        <row r="2619">
          <cell r="A2619" t="str">
            <v>1558372870</v>
          </cell>
          <cell r="B2619" t="str">
            <v>02558423</v>
          </cell>
          <cell r="C2619" t="str">
            <v>Hill Shanna</v>
          </cell>
          <cell r="D2619" t="str">
            <v>E0044309</v>
          </cell>
          <cell r="E2619" t="str">
            <v>HILL SHANNA SYKES MD</v>
          </cell>
          <cell r="L2619" t="str">
            <v>All Other:: Practitioner - Non-Primary Care Provider (PCP)</v>
          </cell>
          <cell r="M2619" t="str">
            <v>No</v>
          </cell>
          <cell r="R2619" t="str">
            <v>HILL SHANNA DR.</v>
          </cell>
          <cell r="W2619" t="str">
            <v>HILL SHANNA SYKES MD</v>
          </cell>
          <cell r="X2619" t="str">
            <v>525 E 68TH ST # 585</v>
          </cell>
          <cell r="Y2619" t="str">
            <v>NEW YORK</v>
          </cell>
          <cell r="Z2619" t="str">
            <v>NY</v>
          </cell>
          <cell r="AA2619" t="str">
            <v>10065-4870</v>
          </cell>
          <cell r="AB2619" t="str">
            <v>PHYSICIAN</v>
          </cell>
          <cell r="AC2619" t="str">
            <v>M</v>
          </cell>
          <cell r="AD2619" t="str">
            <v>No</v>
          </cell>
          <cell r="AE2619" t="str">
            <v>MMIS</v>
          </cell>
          <cell r="AF2619" t="str">
            <v>nypeastcampus</v>
          </cell>
          <cell r="AG2619" t="str">
            <v>P</v>
          </cell>
        </row>
        <row r="2620">
          <cell r="A2620" t="str">
            <v>1538401765</v>
          </cell>
          <cell r="C2620" t="str">
            <v>Hoffmeister Kurt</v>
          </cell>
          <cell r="G2620" t="str">
            <v>Kathryn Spaziani</v>
          </cell>
          <cell r="H2620" t="str">
            <v>(212) 305-1255</v>
          </cell>
          <cell r="J2620" t="str">
            <v>kas9171@nyp.org</v>
          </cell>
          <cell r="K2620" t="str">
            <v>Physician</v>
          </cell>
          <cell r="L2620" t="str">
            <v>Uncategorized</v>
          </cell>
          <cell r="M2620" t="str">
            <v>No</v>
          </cell>
          <cell r="R2620" t="str">
            <v>HOFFMEISTER KURT MR.</v>
          </cell>
          <cell r="S2620" t="str">
            <v>622 W 168TH ST, PH5-133 STEM</v>
          </cell>
          <cell r="T2620" t="str">
            <v>NEW YORK</v>
          </cell>
          <cell r="U2620" t="str">
            <v>NY</v>
          </cell>
          <cell r="V2620" t="str">
            <v>100323720</v>
          </cell>
          <cell r="AC2620" t="str">
            <v>M</v>
          </cell>
          <cell r="AD2620" t="str">
            <v>No</v>
          </cell>
          <cell r="AE2620" t="str">
            <v>NPI only</v>
          </cell>
          <cell r="AF2620" t="str">
            <v>nypwestcampus</v>
          </cell>
          <cell r="AG2620" t="str">
            <v>P</v>
          </cell>
        </row>
        <row r="2621">
          <cell r="A2621" t="str">
            <v>1972747749</v>
          </cell>
          <cell r="B2621" t="str">
            <v>03607696</v>
          </cell>
          <cell r="C2621" t="str">
            <v>LEE, SONG E</v>
          </cell>
          <cell r="D2621" t="str">
            <v>E0350952</v>
          </cell>
          <cell r="E2621" t="str">
            <v>LEE SONG EUN</v>
          </cell>
          <cell r="G2621" t="str">
            <v>Kathryn Spaziani</v>
          </cell>
          <cell r="H2621" t="str">
            <v>(212) 305-1190</v>
          </cell>
          <cell r="J2621" t="str">
            <v>kas9171@nyp.org</v>
          </cell>
          <cell r="L2621" t="str">
            <v>Practitioner - Non-Primary Care Provider (PCP)</v>
          </cell>
          <cell r="M2621" t="str">
            <v>No</v>
          </cell>
          <cell r="R2621" t="str">
            <v>LEE SONG EUN</v>
          </cell>
          <cell r="W2621" t="str">
            <v>LEE SONG EUN</v>
          </cell>
          <cell r="X2621" t="str">
            <v>635 W 165TH ST</v>
          </cell>
          <cell r="Y2621" t="str">
            <v>NEW YORK</v>
          </cell>
          <cell r="Z2621" t="str">
            <v>NY</v>
          </cell>
          <cell r="AA2621" t="str">
            <v>10032-3724</v>
          </cell>
          <cell r="AB2621" t="str">
            <v>PHYSICIAN</v>
          </cell>
          <cell r="AC2621" t="str">
            <v>M</v>
          </cell>
          <cell r="AD2621" t="str">
            <v>No</v>
          </cell>
          <cell r="AE2621" t="str">
            <v>MMIS</v>
          </cell>
          <cell r="AF2621" t="str">
            <v>nypother</v>
          </cell>
          <cell r="AG2621" t="str">
            <v>P</v>
          </cell>
        </row>
        <row r="2622">
          <cell r="A2622" t="str">
            <v>1720130685</v>
          </cell>
          <cell r="B2622" t="str">
            <v>02640471</v>
          </cell>
          <cell r="C2622" t="str">
            <v>Hache Manon</v>
          </cell>
          <cell r="D2622" t="str">
            <v>E0036116</v>
          </cell>
          <cell r="E2622" t="str">
            <v>HACHE MANON</v>
          </cell>
          <cell r="L2622" t="str">
            <v>All Other:: Practitioner - Non-Primary Care Provider (PCP)</v>
          </cell>
          <cell r="M2622" t="str">
            <v>No</v>
          </cell>
          <cell r="R2622" t="str">
            <v>HACHE MANON DR.</v>
          </cell>
          <cell r="W2622" t="str">
            <v>HACHE MANON</v>
          </cell>
          <cell r="X2622" t="str">
            <v>622 W 168TH ST</v>
          </cell>
          <cell r="Y2622" t="str">
            <v>NEW YORK</v>
          </cell>
          <cell r="Z2622" t="str">
            <v>NY</v>
          </cell>
          <cell r="AA2622" t="str">
            <v>10032-3720</v>
          </cell>
          <cell r="AB2622" t="str">
            <v>PHYSICIAN</v>
          </cell>
          <cell r="AC2622" t="str">
            <v>M</v>
          </cell>
          <cell r="AD2622" t="str">
            <v>No</v>
          </cell>
          <cell r="AE2622" t="str">
            <v>MMIS</v>
          </cell>
          <cell r="AF2622" t="str">
            <v>nypwestcampus</v>
          </cell>
          <cell r="AG2622" t="str">
            <v>P</v>
          </cell>
        </row>
        <row r="2623">
          <cell r="A2623" t="str">
            <v>1578664397</v>
          </cell>
          <cell r="B2623" t="str">
            <v>02639554</v>
          </cell>
          <cell r="C2623" t="str">
            <v>Houck Philipp</v>
          </cell>
          <cell r="D2623" t="str">
            <v>E0036208</v>
          </cell>
          <cell r="E2623" t="str">
            <v>HOUCK PHILIPP JOANNIS MD</v>
          </cell>
          <cell r="L2623" t="str">
            <v>All Other:: Practitioner - Non-Primary Care Provider (PCP)</v>
          </cell>
          <cell r="M2623" t="str">
            <v>No</v>
          </cell>
          <cell r="R2623" t="str">
            <v>HOUCK PHILIPP</v>
          </cell>
          <cell r="W2623" t="str">
            <v>HOUCK PHILIPP JOANNIS MD</v>
          </cell>
          <cell r="X2623" t="str">
            <v>622 W 168TH ST</v>
          </cell>
          <cell r="Y2623" t="str">
            <v>NEW YORK</v>
          </cell>
          <cell r="Z2623" t="str">
            <v>NY</v>
          </cell>
          <cell r="AA2623" t="str">
            <v>10032-3720</v>
          </cell>
          <cell r="AB2623" t="str">
            <v>PHYSICIAN</v>
          </cell>
          <cell r="AC2623" t="str">
            <v>M</v>
          </cell>
          <cell r="AD2623" t="str">
            <v>No</v>
          </cell>
          <cell r="AE2623" t="str">
            <v>MMIS</v>
          </cell>
          <cell r="AF2623" t="str">
            <v>nypwestcampus</v>
          </cell>
          <cell r="AG2623" t="str">
            <v>P</v>
          </cell>
        </row>
        <row r="2624">
          <cell r="A2624" t="str">
            <v>1366718033</v>
          </cell>
          <cell r="C2624" t="str">
            <v>Arthur Katherine</v>
          </cell>
          <cell r="G2624" t="str">
            <v>Kathryn Spaziani</v>
          </cell>
          <cell r="H2624" t="str">
            <v>(212) 305-1255</v>
          </cell>
          <cell r="J2624" t="str">
            <v>kas9171@nyp.org</v>
          </cell>
          <cell r="K2624" t="str">
            <v>Physician</v>
          </cell>
          <cell r="L2624" t="str">
            <v>Uncategorized</v>
          </cell>
          <cell r="M2624" t="str">
            <v>No</v>
          </cell>
          <cell r="R2624" t="str">
            <v>ARTHUR KATHERINE</v>
          </cell>
          <cell r="S2624" t="str">
            <v>80 DEKALB AVE APT 14A</v>
          </cell>
          <cell r="T2624" t="str">
            <v>BROOKLYN</v>
          </cell>
          <cell r="U2624" t="str">
            <v>NY</v>
          </cell>
          <cell r="V2624" t="str">
            <v>112015437</v>
          </cell>
          <cell r="AC2624" t="str">
            <v>M</v>
          </cell>
          <cell r="AD2624" t="str">
            <v>No</v>
          </cell>
          <cell r="AE2624" t="str">
            <v>NPI only</v>
          </cell>
          <cell r="AF2624" t="str">
            <v>nypeastcampus</v>
          </cell>
          <cell r="AG2624" t="str">
            <v>P</v>
          </cell>
        </row>
        <row r="2625">
          <cell r="A2625" t="str">
            <v>1033475439</v>
          </cell>
          <cell r="C2625" t="str">
            <v>Band Eric</v>
          </cell>
          <cell r="G2625" t="str">
            <v>Kathryn Spaziani</v>
          </cell>
          <cell r="H2625" t="str">
            <v>(212) 305-1255</v>
          </cell>
          <cell r="J2625" t="str">
            <v>kas9171@nyp.org</v>
          </cell>
          <cell r="K2625" t="str">
            <v>Physician</v>
          </cell>
          <cell r="L2625" t="str">
            <v>Uncategorized</v>
          </cell>
          <cell r="M2625" t="str">
            <v>No</v>
          </cell>
          <cell r="R2625" t="str">
            <v>BAND ERIC DR.</v>
          </cell>
          <cell r="S2625" t="str">
            <v>27 PARK ST</v>
          </cell>
          <cell r="T2625" t="str">
            <v>HYANNIS</v>
          </cell>
          <cell r="U2625" t="str">
            <v>MA</v>
          </cell>
          <cell r="V2625" t="str">
            <v>026015230</v>
          </cell>
          <cell r="AC2625" t="str">
            <v>M</v>
          </cell>
          <cell r="AD2625" t="str">
            <v>No</v>
          </cell>
          <cell r="AE2625" t="str">
            <v>NPI only</v>
          </cell>
          <cell r="AF2625" t="str">
            <v>nypeastcampus</v>
          </cell>
          <cell r="AG2625" t="str">
            <v>P</v>
          </cell>
        </row>
        <row r="2626">
          <cell r="A2626" t="str">
            <v>1164765467</v>
          </cell>
          <cell r="C2626" t="str">
            <v>Banton Daryl</v>
          </cell>
          <cell r="G2626" t="str">
            <v>Kathryn Spaziani</v>
          </cell>
          <cell r="H2626" t="str">
            <v>(212) 305-1255</v>
          </cell>
          <cell r="J2626" t="str">
            <v>kas9171@nyp.org</v>
          </cell>
          <cell r="K2626" t="str">
            <v>Physician</v>
          </cell>
          <cell r="L2626" t="str">
            <v>Uncategorized</v>
          </cell>
          <cell r="M2626" t="str">
            <v>No</v>
          </cell>
          <cell r="R2626" t="str">
            <v>BANTON DARYL</v>
          </cell>
          <cell r="S2626" t="str">
            <v>621 MADISON AVE APT B</v>
          </cell>
          <cell r="T2626" t="str">
            <v>CHARLOTTESVILLE</v>
          </cell>
          <cell r="U2626" t="str">
            <v>VA</v>
          </cell>
          <cell r="V2626" t="str">
            <v>229032115</v>
          </cell>
          <cell r="AC2626" t="str">
            <v>M</v>
          </cell>
          <cell r="AD2626" t="str">
            <v>No</v>
          </cell>
          <cell r="AE2626" t="str">
            <v>NPI only</v>
          </cell>
          <cell r="AF2626" t="str">
            <v>nypeastcampus</v>
          </cell>
          <cell r="AG2626" t="str">
            <v>P</v>
          </cell>
        </row>
        <row r="2627">
          <cell r="A2627" t="str">
            <v>1164543096</v>
          </cell>
          <cell r="B2627" t="str">
            <v>03111135</v>
          </cell>
          <cell r="C2627" t="str">
            <v>Michael Rasiej,?MD</v>
          </cell>
          <cell r="D2627" t="str">
            <v>E0294373</v>
          </cell>
          <cell r="E2627" t="str">
            <v>RASIEJ MICHAEL J</v>
          </cell>
          <cell r="G2627" t="str">
            <v>Kathryn Spaziani</v>
          </cell>
          <cell r="H2627" t="str">
            <v>(212) 305-1263</v>
          </cell>
          <cell r="J2627" t="str">
            <v>kas9171@nyp.org</v>
          </cell>
          <cell r="L2627" t="str">
            <v>All Other:: Practitioner - Non-Primary Care Provider (PCP)</v>
          </cell>
          <cell r="M2627" t="str">
            <v>No</v>
          </cell>
          <cell r="R2627" t="str">
            <v>RASIEJ MICHAEL</v>
          </cell>
          <cell r="W2627" t="str">
            <v>RASIEJ MICHAEL J</v>
          </cell>
          <cell r="X2627" t="str">
            <v>622 W 168TH ST</v>
          </cell>
          <cell r="Y2627" t="str">
            <v>NEW YORK</v>
          </cell>
          <cell r="Z2627" t="str">
            <v>NY</v>
          </cell>
          <cell r="AA2627" t="str">
            <v>10032-3720</v>
          </cell>
          <cell r="AB2627" t="str">
            <v>PHYSICIAN</v>
          </cell>
          <cell r="AC2627" t="str">
            <v>M</v>
          </cell>
          <cell r="AD2627" t="str">
            <v>No</v>
          </cell>
          <cell r="AE2627" t="str">
            <v>MMIS</v>
          </cell>
          <cell r="AF2627" t="str">
            <v>nypwestcampus</v>
          </cell>
          <cell r="AG2627" t="str">
            <v>P</v>
          </cell>
        </row>
        <row r="2628">
          <cell r="A2628" t="str">
            <v>1750586665</v>
          </cell>
          <cell r="B2628" t="str">
            <v>03980274</v>
          </cell>
          <cell r="C2628" t="str">
            <v>Lynch Lisa</v>
          </cell>
          <cell r="D2628" t="str">
            <v>E0389389</v>
          </cell>
          <cell r="E2628" t="str">
            <v>LYNCH LISA RENEE</v>
          </cell>
          <cell r="G2628" t="str">
            <v>Kathryn Spaziani</v>
          </cell>
          <cell r="H2628" t="str">
            <v>(212) 305-1255</v>
          </cell>
          <cell r="J2628" t="str">
            <v>kas9171@nyp.org</v>
          </cell>
          <cell r="L2628" t="str">
            <v>All Other:: Practitioner - Non-Primary Care Provider (PCP)</v>
          </cell>
          <cell r="M2628" t="str">
            <v>No</v>
          </cell>
          <cell r="R2628" t="str">
            <v>LYNCH LISA DR.</v>
          </cell>
          <cell r="W2628" t="str">
            <v>LYNCH LISA RENEE</v>
          </cell>
          <cell r="X2628" t="str">
            <v>622 W 168TH ST</v>
          </cell>
          <cell r="Y2628" t="str">
            <v>NEW YORK</v>
          </cell>
          <cell r="Z2628" t="str">
            <v>NY</v>
          </cell>
          <cell r="AA2628" t="str">
            <v>10032-3720</v>
          </cell>
          <cell r="AB2628" t="str">
            <v>PHYSICIAN</v>
          </cell>
          <cell r="AC2628" t="str">
            <v>M</v>
          </cell>
          <cell r="AD2628" t="str">
            <v>No</v>
          </cell>
          <cell r="AE2628" t="str">
            <v>MMIS</v>
          </cell>
          <cell r="AF2628" t="str">
            <v>nypwestcampus</v>
          </cell>
          <cell r="AG2628" t="str">
            <v>P</v>
          </cell>
        </row>
        <row r="2629">
          <cell r="A2629" t="str">
            <v>1124252945</v>
          </cell>
          <cell r="B2629" t="str">
            <v>03919968</v>
          </cell>
          <cell r="C2629" t="str">
            <v>Monteleone Matthew</v>
          </cell>
          <cell r="D2629" t="str">
            <v>E0383164</v>
          </cell>
          <cell r="E2629" t="str">
            <v>MONTELEONE MATTHEW</v>
          </cell>
          <cell r="L2629" t="str">
            <v>All Other:: Practitioner - Non-Primary Care Provider (PCP)</v>
          </cell>
          <cell r="M2629" t="str">
            <v>No</v>
          </cell>
          <cell r="R2629" t="str">
            <v>MONTELEONE MATTHEW DR.</v>
          </cell>
          <cell r="W2629" t="str">
            <v>MONTELEONE MATTHEW</v>
          </cell>
          <cell r="X2629" t="str">
            <v>622 WEST 168TH STREET</v>
          </cell>
          <cell r="Y2629" t="str">
            <v>NEW YORK</v>
          </cell>
          <cell r="Z2629" t="str">
            <v>NY</v>
          </cell>
          <cell r="AA2629" t="str">
            <v>10032-3720</v>
          </cell>
          <cell r="AB2629" t="str">
            <v>PHYSICIAN</v>
          </cell>
          <cell r="AC2629" t="str">
            <v>M</v>
          </cell>
          <cell r="AD2629" t="str">
            <v>No</v>
          </cell>
          <cell r="AE2629" t="str">
            <v>MMIS</v>
          </cell>
          <cell r="AF2629" t="str">
            <v>nypwestcampus</v>
          </cell>
          <cell r="AG2629" t="str">
            <v>P</v>
          </cell>
        </row>
        <row r="2630">
          <cell r="A2630" t="str">
            <v>1245382571</v>
          </cell>
          <cell r="B2630" t="str">
            <v>01130996</v>
          </cell>
          <cell r="C2630" t="str">
            <v>Brown Anthony</v>
          </cell>
          <cell r="D2630" t="str">
            <v>E0186779</v>
          </cell>
          <cell r="E2630" t="str">
            <v>BROWN ANTHONY REUBEN MD</v>
          </cell>
          <cell r="L2630" t="str">
            <v>All Other:: Practitioner - Non-Primary Care Provider (PCP)</v>
          </cell>
          <cell r="M2630" t="str">
            <v>No</v>
          </cell>
          <cell r="R2630" t="str">
            <v>BROWN ANTHONY DR.</v>
          </cell>
          <cell r="W2630" t="str">
            <v>BROWN ANTHONY REUBEN MD</v>
          </cell>
          <cell r="X2630" t="str">
            <v>COLUMBIA PRESBY</v>
          </cell>
          <cell r="Y2630" t="str">
            <v>NEW YORK</v>
          </cell>
          <cell r="Z2630" t="str">
            <v>NY</v>
          </cell>
          <cell r="AA2630" t="str">
            <v>10032-3720</v>
          </cell>
          <cell r="AB2630" t="str">
            <v>PHYSICIAN</v>
          </cell>
          <cell r="AC2630" t="str">
            <v>M</v>
          </cell>
          <cell r="AD2630" t="str">
            <v>No</v>
          </cell>
          <cell r="AE2630" t="str">
            <v>MMIS</v>
          </cell>
          <cell r="AF2630" t="str">
            <v>nypwestcampus</v>
          </cell>
          <cell r="AG2630" t="str">
            <v>P</v>
          </cell>
        </row>
        <row r="2631">
          <cell r="A2631" t="str">
            <v>1790837979</v>
          </cell>
          <cell r="B2631" t="str">
            <v>01872600</v>
          </cell>
          <cell r="C2631" t="str">
            <v>Emala Charles</v>
          </cell>
          <cell r="D2631" t="str">
            <v>E0112784</v>
          </cell>
          <cell r="E2631" t="str">
            <v>EMALA CHARLES W MD</v>
          </cell>
          <cell r="L2631" t="str">
            <v>All Other:: Practitioner - Non-Primary Care Provider (PCP)</v>
          </cell>
          <cell r="M2631" t="str">
            <v>No</v>
          </cell>
          <cell r="R2631" t="str">
            <v>EMALA CHARLES DR.</v>
          </cell>
          <cell r="W2631" t="str">
            <v>EMALA CHARLES W MD</v>
          </cell>
          <cell r="X2631" t="str">
            <v>NY PRESBYTERIAN HOSP</v>
          </cell>
          <cell r="Y2631" t="str">
            <v>NEW YORK</v>
          </cell>
          <cell r="Z2631" t="str">
            <v>NY</v>
          </cell>
          <cell r="AA2631" t="str">
            <v>10032-3720</v>
          </cell>
          <cell r="AB2631" t="str">
            <v>PHYSICIAN</v>
          </cell>
          <cell r="AC2631" t="str">
            <v>M</v>
          </cell>
          <cell r="AD2631" t="str">
            <v>No</v>
          </cell>
          <cell r="AE2631" t="str">
            <v>MMIS</v>
          </cell>
          <cell r="AF2631" t="str">
            <v>nypwestcampus</v>
          </cell>
          <cell r="AG2631" t="str">
            <v>P</v>
          </cell>
        </row>
        <row r="2632">
          <cell r="A2632" t="str">
            <v>1376709246</v>
          </cell>
          <cell r="B2632" t="str">
            <v>03412071</v>
          </cell>
          <cell r="C2632" t="str">
            <v>Maniker Robert</v>
          </cell>
          <cell r="D2632" t="str">
            <v>E0329223</v>
          </cell>
          <cell r="E2632" t="str">
            <v>MANIKER ROBERT BRADLEY</v>
          </cell>
          <cell r="L2632" t="str">
            <v>All Other:: Practitioner - Non-Primary Care Provider (PCP)</v>
          </cell>
          <cell r="M2632" t="str">
            <v>No</v>
          </cell>
          <cell r="R2632" t="str">
            <v>MANIKER ROBERT DR.</v>
          </cell>
          <cell r="W2632" t="str">
            <v>MANIKER ROBERT BRADLEY</v>
          </cell>
          <cell r="X2632" t="str">
            <v>622 W 168TH ST</v>
          </cell>
          <cell r="Y2632" t="str">
            <v>NEW YORK</v>
          </cell>
          <cell r="Z2632" t="str">
            <v>NY</v>
          </cell>
          <cell r="AA2632" t="str">
            <v>10032-3720</v>
          </cell>
          <cell r="AB2632" t="str">
            <v>PHYSICIAN</v>
          </cell>
          <cell r="AC2632" t="str">
            <v>M</v>
          </cell>
          <cell r="AD2632" t="str">
            <v>No</v>
          </cell>
          <cell r="AE2632" t="str">
            <v>MMIS</v>
          </cell>
          <cell r="AF2632" t="str">
            <v>nypwestcampus</v>
          </cell>
          <cell r="AG2632" t="str">
            <v>P</v>
          </cell>
        </row>
        <row r="2633">
          <cell r="A2633" t="str">
            <v>1194960096</v>
          </cell>
          <cell r="C2633" t="str">
            <v>Ankrah Reginald</v>
          </cell>
          <cell r="G2633" t="str">
            <v>Kathryn Spaziani</v>
          </cell>
          <cell r="H2633" t="str">
            <v>(212) 305-1255</v>
          </cell>
          <cell r="J2633" t="str">
            <v>kas9171@nyp.org</v>
          </cell>
          <cell r="K2633" t="str">
            <v>Physician</v>
          </cell>
          <cell r="L2633" t="str">
            <v>Practitioner - Non-Primary Care Provider (PCP)</v>
          </cell>
          <cell r="M2633" t="str">
            <v>No</v>
          </cell>
          <cell r="R2633" t="str">
            <v>ANKRAH REGINALD</v>
          </cell>
          <cell r="S2633" t="str">
            <v>622 W 168TH ST</v>
          </cell>
          <cell r="T2633" t="str">
            <v>NEW YORK</v>
          </cell>
          <cell r="U2633" t="str">
            <v>NY</v>
          </cell>
          <cell r="V2633" t="str">
            <v>100323720</v>
          </cell>
          <cell r="AC2633" t="str">
            <v>M</v>
          </cell>
          <cell r="AD2633" t="str">
            <v>No</v>
          </cell>
          <cell r="AE2633" t="str">
            <v>NPI only</v>
          </cell>
          <cell r="AF2633" t="str">
            <v>nypwestcampus</v>
          </cell>
          <cell r="AG2633" t="str">
            <v>P</v>
          </cell>
        </row>
        <row r="2634">
          <cell r="A2634" t="str">
            <v>1083856207</v>
          </cell>
          <cell r="C2634" t="str">
            <v>Assem Sophia</v>
          </cell>
          <cell r="G2634" t="str">
            <v>Kathryn Spaziani</v>
          </cell>
          <cell r="H2634" t="str">
            <v>(212) 305-1255</v>
          </cell>
          <cell r="J2634" t="str">
            <v>kas9171@nyp.org</v>
          </cell>
          <cell r="K2634" t="str">
            <v>Physician</v>
          </cell>
          <cell r="L2634" t="str">
            <v>Uncategorized</v>
          </cell>
          <cell r="M2634" t="str">
            <v>No</v>
          </cell>
          <cell r="R2634" t="str">
            <v>ASSEM SOPHIA</v>
          </cell>
          <cell r="S2634" t="str">
            <v>622 WEST 168TH STREET, NEW YORK PRESBYTERIAN HOSPITAL, DEPT. OF ANESTHESIOLOGY</v>
          </cell>
          <cell r="T2634" t="str">
            <v>NEW YORK</v>
          </cell>
          <cell r="U2634" t="str">
            <v>NY</v>
          </cell>
          <cell r="V2634" t="str">
            <v>100323720</v>
          </cell>
          <cell r="AC2634" t="str">
            <v>M</v>
          </cell>
          <cell r="AD2634" t="str">
            <v>No</v>
          </cell>
          <cell r="AE2634" t="str">
            <v>NPI only</v>
          </cell>
          <cell r="AF2634" t="str">
            <v>nypwestcampus</v>
          </cell>
          <cell r="AG2634" t="str">
            <v>P</v>
          </cell>
        </row>
        <row r="2635">
          <cell r="A2635" t="str">
            <v>1467504431</v>
          </cell>
          <cell r="C2635" t="str">
            <v>Bosede Kareem</v>
          </cell>
          <cell r="G2635" t="str">
            <v>Kathryn Spaziani</v>
          </cell>
          <cell r="H2635" t="str">
            <v>(212) 305-1255</v>
          </cell>
          <cell r="J2635" t="str">
            <v>kas9171@nyp.org</v>
          </cell>
          <cell r="K2635" t="str">
            <v>Physician</v>
          </cell>
          <cell r="L2635" t="str">
            <v>Uncategorized</v>
          </cell>
          <cell r="M2635" t="str">
            <v>No</v>
          </cell>
          <cell r="R2635" t="str">
            <v>BOSEDE KAREEM MR.</v>
          </cell>
          <cell r="S2635" t="str">
            <v>506 MALCOLM X BLVD</v>
          </cell>
          <cell r="T2635" t="str">
            <v>NEW YORK</v>
          </cell>
          <cell r="U2635" t="str">
            <v>NY</v>
          </cell>
          <cell r="V2635" t="str">
            <v>100371802</v>
          </cell>
          <cell r="AC2635" t="str">
            <v>M</v>
          </cell>
          <cell r="AD2635" t="str">
            <v>No</v>
          </cell>
          <cell r="AE2635" t="str">
            <v>NPI only</v>
          </cell>
          <cell r="AF2635" t="str">
            <v>nypwestcampus</v>
          </cell>
          <cell r="AG2635" t="str">
            <v>P</v>
          </cell>
        </row>
        <row r="2636">
          <cell r="A2636" t="str">
            <v>1578623765</v>
          </cell>
          <cell r="C2636" t="str">
            <v>Boyd Donald</v>
          </cell>
          <cell r="G2636" t="str">
            <v>Kathryn Spaziani</v>
          </cell>
          <cell r="H2636" t="str">
            <v>(212) 305-1255</v>
          </cell>
          <cell r="J2636" t="str">
            <v>kas9171@nyp.org</v>
          </cell>
          <cell r="K2636" t="str">
            <v>Physician</v>
          </cell>
          <cell r="L2636" t="str">
            <v>Uncategorized</v>
          </cell>
          <cell r="M2636" t="str">
            <v>No</v>
          </cell>
          <cell r="R2636" t="str">
            <v>BOYD DONALD MR.</v>
          </cell>
          <cell r="S2636" t="str">
            <v>622 W 168TH ST</v>
          </cell>
          <cell r="T2636" t="str">
            <v>NEW YORK</v>
          </cell>
          <cell r="U2636" t="str">
            <v>NY</v>
          </cell>
          <cell r="V2636" t="str">
            <v>100323720</v>
          </cell>
          <cell r="AC2636" t="str">
            <v>M</v>
          </cell>
          <cell r="AD2636" t="str">
            <v>No</v>
          </cell>
          <cell r="AE2636" t="str">
            <v>NPI only</v>
          </cell>
          <cell r="AF2636" t="str">
            <v>nypwestcampus</v>
          </cell>
          <cell r="AG2636" t="str">
            <v>P</v>
          </cell>
        </row>
        <row r="2637">
          <cell r="A2637" t="str">
            <v>1811039464</v>
          </cell>
          <cell r="B2637" t="str">
            <v>03025174</v>
          </cell>
          <cell r="C2637" t="str">
            <v>Cauley Keith</v>
          </cell>
          <cell r="D2637" t="str">
            <v>E0284446</v>
          </cell>
          <cell r="E2637" t="str">
            <v>CAULEY KEITH MD</v>
          </cell>
          <cell r="L2637" t="str">
            <v>All Other:: Practitioner - Non-Primary Care Provider (PCP)</v>
          </cell>
          <cell r="M2637" t="str">
            <v>No</v>
          </cell>
          <cell r="R2637" t="str">
            <v>CAULEY KEITH DR.</v>
          </cell>
          <cell r="W2637" t="str">
            <v>CAULEY KEITH ALAN MD</v>
          </cell>
          <cell r="X2637" t="str">
            <v>622 W 168TH ST</v>
          </cell>
          <cell r="Y2637" t="str">
            <v>NEW YORK</v>
          </cell>
          <cell r="Z2637" t="str">
            <v>NY</v>
          </cell>
          <cell r="AA2637" t="str">
            <v>10032-3720</v>
          </cell>
          <cell r="AB2637" t="str">
            <v>PHYSICIAN</v>
          </cell>
          <cell r="AC2637" t="str">
            <v>M</v>
          </cell>
          <cell r="AD2637" t="str">
            <v>No</v>
          </cell>
          <cell r="AE2637" t="str">
            <v>MMIS</v>
          </cell>
          <cell r="AF2637" t="str">
            <v>nypwestcampus</v>
          </cell>
          <cell r="AG2637" t="str">
            <v>P</v>
          </cell>
        </row>
        <row r="2638">
          <cell r="A2638" t="str">
            <v>1710997721</v>
          </cell>
          <cell r="B2638" t="str">
            <v>00677156</v>
          </cell>
          <cell r="C2638" t="str">
            <v>Dinner Miles</v>
          </cell>
          <cell r="D2638" t="str">
            <v>E0231983</v>
          </cell>
          <cell r="E2638" t="str">
            <v>DINNER MILES</v>
          </cell>
          <cell r="L2638" t="str">
            <v>All Other:: Practitioner - Non-Primary Care Provider (PCP)</v>
          </cell>
          <cell r="M2638" t="str">
            <v>No</v>
          </cell>
          <cell r="R2638" t="str">
            <v>DINNER MILES</v>
          </cell>
          <cell r="W2638" t="str">
            <v>DINNER MILES</v>
          </cell>
          <cell r="Y2638" t="str">
            <v>NEW YORK</v>
          </cell>
          <cell r="Z2638" t="str">
            <v>NY</v>
          </cell>
          <cell r="AA2638" t="str">
            <v>10065-4885</v>
          </cell>
          <cell r="AB2638" t="str">
            <v>PHYSICIAN</v>
          </cell>
          <cell r="AC2638" t="str">
            <v>M</v>
          </cell>
          <cell r="AD2638" t="str">
            <v>No</v>
          </cell>
          <cell r="AE2638" t="str">
            <v>MMIS</v>
          </cell>
          <cell r="AF2638" t="str">
            <v>nypeastcampus</v>
          </cell>
          <cell r="AG2638" t="str">
            <v>P</v>
          </cell>
        </row>
        <row r="2639">
          <cell r="A2639" t="str">
            <v>1750427829</v>
          </cell>
          <cell r="C2639" t="str">
            <v>Pastor Gideon</v>
          </cell>
          <cell r="G2639" t="str">
            <v>Kathryn Spaziani</v>
          </cell>
          <cell r="H2639" t="str">
            <v>(212) 305-1255</v>
          </cell>
          <cell r="J2639" t="str">
            <v>kas9171@nyp.org</v>
          </cell>
          <cell r="K2639" t="str">
            <v>Physician</v>
          </cell>
          <cell r="L2639" t="str">
            <v>Uncategorized</v>
          </cell>
          <cell r="M2639" t="str">
            <v>No</v>
          </cell>
          <cell r="R2639" t="str">
            <v>PASTOR GIDEON MR.</v>
          </cell>
          <cell r="S2639" t="str">
            <v>622 W 168TH ST</v>
          </cell>
          <cell r="T2639" t="str">
            <v>NEW YORK</v>
          </cell>
          <cell r="U2639" t="str">
            <v>NY</v>
          </cell>
          <cell r="V2639" t="str">
            <v>100323720</v>
          </cell>
          <cell r="AC2639" t="str">
            <v>M</v>
          </cell>
          <cell r="AD2639" t="str">
            <v>No</v>
          </cell>
          <cell r="AE2639" t="str">
            <v>NPI only</v>
          </cell>
          <cell r="AF2639" t="str">
            <v>nypwestcampus</v>
          </cell>
          <cell r="AG2639" t="str">
            <v>P</v>
          </cell>
        </row>
        <row r="2640">
          <cell r="A2640" t="str">
            <v>1619111341</v>
          </cell>
          <cell r="B2640" t="str">
            <v>03251741</v>
          </cell>
          <cell r="C2640" t="str">
            <v>Pinyavat Teeda</v>
          </cell>
          <cell r="D2640" t="str">
            <v>E0310276</v>
          </cell>
          <cell r="E2640" t="str">
            <v>PINYAVAT TEEDA MD</v>
          </cell>
          <cell r="L2640" t="str">
            <v>All Other:: Practitioner - Non-Primary Care Provider (PCP)</v>
          </cell>
          <cell r="M2640" t="str">
            <v>No</v>
          </cell>
          <cell r="R2640" t="str">
            <v>PINYAVAT TEEDA DR.</v>
          </cell>
          <cell r="W2640" t="str">
            <v>PINYAVAT TEEDA MD</v>
          </cell>
          <cell r="X2640" t="str">
            <v>622 W 168TH ST</v>
          </cell>
          <cell r="Y2640" t="str">
            <v>NEW YORK</v>
          </cell>
          <cell r="Z2640" t="str">
            <v>NY</v>
          </cell>
          <cell r="AA2640" t="str">
            <v>10032-3720</v>
          </cell>
          <cell r="AB2640" t="str">
            <v>PHYSICIAN</v>
          </cell>
          <cell r="AC2640" t="str">
            <v>M</v>
          </cell>
          <cell r="AD2640" t="str">
            <v>No</v>
          </cell>
          <cell r="AE2640" t="str">
            <v>MMIS</v>
          </cell>
          <cell r="AF2640" t="str">
            <v>nypwestcampus</v>
          </cell>
          <cell r="AG2640" t="str">
            <v>P</v>
          </cell>
        </row>
        <row r="2641">
          <cell r="A2641" t="str">
            <v>1598094732</v>
          </cell>
          <cell r="C2641" t="str">
            <v>Rainey Amanda</v>
          </cell>
          <cell r="G2641" t="str">
            <v>Kathryn Spaziani</v>
          </cell>
          <cell r="H2641" t="str">
            <v>(212) 305-1255</v>
          </cell>
          <cell r="J2641" t="str">
            <v>kas9171@nyp.org</v>
          </cell>
          <cell r="K2641" t="str">
            <v>Physician</v>
          </cell>
          <cell r="L2641" t="str">
            <v>Uncategorized</v>
          </cell>
          <cell r="M2641" t="str">
            <v>No</v>
          </cell>
          <cell r="R2641" t="str">
            <v>RAINEY LEEPER AMANDA</v>
          </cell>
          <cell r="S2641" t="str">
            <v>622 W 168TH ST</v>
          </cell>
          <cell r="T2641" t="str">
            <v>NEW YORK</v>
          </cell>
          <cell r="U2641" t="str">
            <v>NY</v>
          </cell>
          <cell r="V2641" t="str">
            <v>100323720</v>
          </cell>
          <cell r="AC2641" t="str">
            <v>M</v>
          </cell>
          <cell r="AD2641" t="str">
            <v>No</v>
          </cell>
          <cell r="AE2641" t="str">
            <v>NPI only</v>
          </cell>
          <cell r="AF2641" t="str">
            <v>nypwestcampus</v>
          </cell>
          <cell r="AG2641" t="str">
            <v>P</v>
          </cell>
        </row>
        <row r="2642">
          <cell r="A2642" t="str">
            <v>1558663674</v>
          </cell>
          <cell r="C2642" t="str">
            <v>Reznik Tatyana</v>
          </cell>
          <cell r="G2642" t="str">
            <v>Kathryn Spaziani</v>
          </cell>
          <cell r="H2642" t="str">
            <v>(212) 305-1255</v>
          </cell>
          <cell r="J2642" t="str">
            <v>kas9171@nyp.org</v>
          </cell>
          <cell r="K2642" t="str">
            <v>Physician</v>
          </cell>
          <cell r="L2642" t="str">
            <v>Practitioner - Non-Primary Care Provider (PCP)</v>
          </cell>
          <cell r="M2642" t="str">
            <v>No</v>
          </cell>
          <cell r="R2642" t="str">
            <v>REZNIK TATYANA</v>
          </cell>
          <cell r="S2642" t="str">
            <v>622 W 168TH ST</v>
          </cell>
          <cell r="T2642" t="str">
            <v>NEW YORK</v>
          </cell>
          <cell r="U2642" t="str">
            <v>NY</v>
          </cell>
          <cell r="V2642" t="str">
            <v>100323720</v>
          </cell>
          <cell r="AC2642" t="str">
            <v>M</v>
          </cell>
          <cell r="AD2642" t="str">
            <v>No</v>
          </cell>
          <cell r="AE2642" t="str">
            <v>NPI only</v>
          </cell>
          <cell r="AF2642" t="str">
            <v>nypwestcampus</v>
          </cell>
          <cell r="AG2642" t="str">
            <v>P</v>
          </cell>
        </row>
        <row r="2643">
          <cell r="A2643" t="str">
            <v>1871850230</v>
          </cell>
          <cell r="B2643" t="str">
            <v>04263058</v>
          </cell>
          <cell r="C2643" t="str">
            <v>CRISTINE ESPINOSA</v>
          </cell>
          <cell r="D2643" t="str">
            <v>E0418330</v>
          </cell>
          <cell r="E2643" t="str">
            <v>ESPINOSO CRISTINE MARIA</v>
          </cell>
          <cell r="G2643" t="str">
            <v>Kathryn Spaziani</v>
          </cell>
          <cell r="H2643" t="str">
            <v>(212) 305-1190</v>
          </cell>
          <cell r="J2643" t="str">
            <v>kas9171@nyp.org</v>
          </cell>
          <cell r="L2643" t="str">
            <v>All Other:: Practitioner - Primary Care Provider (PCP)</v>
          </cell>
          <cell r="M2643" t="str">
            <v>No</v>
          </cell>
          <cell r="R2643" t="str">
            <v>ESPINOSA CRISTINE MS.</v>
          </cell>
          <cell r="W2643" t="str">
            <v>ESPINOSA CRISTINE MARIA</v>
          </cell>
          <cell r="X2643" t="str">
            <v>1044 STATE ST</v>
          </cell>
          <cell r="Y2643" t="str">
            <v>SCHENECTADY</v>
          </cell>
          <cell r="Z2643" t="str">
            <v>NY</v>
          </cell>
          <cell r="AA2643" t="str">
            <v>12307-1508</v>
          </cell>
          <cell r="AB2643" t="str">
            <v>PHYSICIAN</v>
          </cell>
          <cell r="AC2643" t="str">
            <v>M</v>
          </cell>
          <cell r="AD2643" t="str">
            <v>No</v>
          </cell>
          <cell r="AE2643" t="str">
            <v>MMIS</v>
          </cell>
          <cell r="AF2643" t="str">
            <v>nypother</v>
          </cell>
          <cell r="AG2643" t="str">
            <v>P</v>
          </cell>
        </row>
        <row r="2644">
          <cell r="A2644" t="str">
            <v>1003172172</v>
          </cell>
          <cell r="C2644" t="str">
            <v>ARUNA HARDUARSINGH</v>
          </cell>
          <cell r="G2644" t="str">
            <v>Kathryn Spaziani</v>
          </cell>
          <cell r="H2644" t="str">
            <v>(212) 305-1190</v>
          </cell>
          <cell r="J2644" t="str">
            <v>kas9171@nyp.org</v>
          </cell>
          <cell r="K2644" t="str">
            <v>Unknown</v>
          </cell>
          <cell r="L2644" t="str">
            <v>Uncategorized</v>
          </cell>
          <cell r="M2644" t="str">
            <v>No</v>
          </cell>
          <cell r="R2644" t="str">
            <v>HARDUARSINGH-PERMAUL ARUNA MISS</v>
          </cell>
          <cell r="S2644" t="str">
            <v>3020 14TH ST NW</v>
          </cell>
          <cell r="T2644" t="str">
            <v>WASHINGTON</v>
          </cell>
          <cell r="U2644" t="str">
            <v>DC</v>
          </cell>
          <cell r="V2644" t="str">
            <v>200096865</v>
          </cell>
          <cell r="AC2644" t="str">
            <v>M</v>
          </cell>
          <cell r="AD2644" t="str">
            <v>No</v>
          </cell>
          <cell r="AE2644" t="str">
            <v>NPI only</v>
          </cell>
          <cell r="AF2644" t="str">
            <v>nypother</v>
          </cell>
          <cell r="AG2644" t="str">
            <v>P</v>
          </cell>
        </row>
        <row r="2645">
          <cell r="A2645" t="str">
            <v>1518200963</v>
          </cell>
          <cell r="C2645" t="str">
            <v>EMILY HOLT</v>
          </cell>
          <cell r="G2645" t="str">
            <v>Kathryn Spaziani</v>
          </cell>
          <cell r="H2645" t="str">
            <v>(212) 305-1190</v>
          </cell>
          <cell r="J2645" t="str">
            <v>kas9171@nyp.org</v>
          </cell>
          <cell r="K2645" t="str">
            <v>Unknown</v>
          </cell>
          <cell r="L2645" t="str">
            <v>Uncategorized</v>
          </cell>
          <cell r="M2645" t="str">
            <v>No</v>
          </cell>
          <cell r="R2645" t="str">
            <v>HOLT EMILY DR.</v>
          </cell>
          <cell r="S2645" t="str">
            <v>622 W 168TH ST</v>
          </cell>
          <cell r="T2645" t="str">
            <v>NEW YORK</v>
          </cell>
          <cell r="U2645" t="str">
            <v>NY</v>
          </cell>
          <cell r="V2645" t="str">
            <v>100323720</v>
          </cell>
          <cell r="AC2645" t="str">
            <v>M</v>
          </cell>
          <cell r="AD2645" t="str">
            <v>No</v>
          </cell>
          <cell r="AE2645" t="str">
            <v>NPI only</v>
          </cell>
          <cell r="AF2645" t="str">
            <v>nypwestcampus</v>
          </cell>
          <cell r="AG2645" t="str">
            <v>P</v>
          </cell>
        </row>
        <row r="2646">
          <cell r="A2646" t="str">
            <v>1952643231</v>
          </cell>
          <cell r="C2646" t="str">
            <v>ZANE MARTINDALE</v>
          </cell>
          <cell r="G2646" t="str">
            <v>Kathryn Spaziani</v>
          </cell>
          <cell r="H2646" t="str">
            <v>(212) 305-1190</v>
          </cell>
          <cell r="J2646" t="str">
            <v>kas9171@nyp.org</v>
          </cell>
          <cell r="K2646" t="str">
            <v>Unknown</v>
          </cell>
          <cell r="L2646" t="str">
            <v>Uncategorized</v>
          </cell>
          <cell r="M2646" t="str">
            <v>No</v>
          </cell>
          <cell r="R2646" t="str">
            <v>MARTINDALE ZANE</v>
          </cell>
          <cell r="S2646" t="str">
            <v>610 W 158TH ST</v>
          </cell>
          <cell r="T2646" t="str">
            <v>NEW YORK</v>
          </cell>
          <cell r="U2646" t="str">
            <v>NY</v>
          </cell>
          <cell r="V2646" t="str">
            <v>100327104</v>
          </cell>
          <cell r="AC2646" t="str">
            <v>M</v>
          </cell>
          <cell r="AD2646" t="str">
            <v>No</v>
          </cell>
          <cell r="AE2646" t="str">
            <v>NPI only</v>
          </cell>
          <cell r="AF2646" t="str">
            <v>nypwestcampus</v>
          </cell>
          <cell r="AG2646" t="str">
            <v>P</v>
          </cell>
        </row>
        <row r="2647">
          <cell r="A2647" t="str">
            <v>1386986776</v>
          </cell>
          <cell r="B2647" t="str">
            <v>04547926</v>
          </cell>
          <cell r="C2647" t="str">
            <v>OLIVIA PERLMUTT</v>
          </cell>
          <cell r="D2647" t="str">
            <v>E0447662</v>
          </cell>
          <cell r="E2647" t="str">
            <v>PERLMUTT OLIVIA SEEHUSEN</v>
          </cell>
          <cell r="G2647" t="str">
            <v>Kathryn Spaziani</v>
          </cell>
          <cell r="H2647" t="str">
            <v>(212) 305-1190</v>
          </cell>
          <cell r="J2647" t="str">
            <v>kas9171@nyp.org</v>
          </cell>
          <cell r="L2647" t="str">
            <v>Practitioner - Non-Primary Care Provider (PCP)</v>
          </cell>
          <cell r="M2647" t="str">
            <v>No</v>
          </cell>
          <cell r="R2647" t="str">
            <v>PERLMUTT OLIVIA</v>
          </cell>
          <cell r="W2647" t="str">
            <v>PERLMUTT OLIVIA SEEHUSEN</v>
          </cell>
          <cell r="AB2647" t="str">
            <v>PHYSICIAN</v>
          </cell>
          <cell r="AC2647" t="str">
            <v>M</v>
          </cell>
          <cell r="AD2647" t="str">
            <v>No</v>
          </cell>
          <cell r="AE2647" t="str">
            <v>MMIS</v>
          </cell>
          <cell r="AF2647" t="str">
            <v>nypwestcampus</v>
          </cell>
          <cell r="AG2647" t="str">
            <v>P</v>
          </cell>
        </row>
        <row r="2648">
          <cell r="A2648" t="str">
            <v>1770825242</v>
          </cell>
          <cell r="C2648" t="str">
            <v>ANOOP RAMAN</v>
          </cell>
          <cell r="G2648" t="str">
            <v>Kathryn Spaziani</v>
          </cell>
          <cell r="H2648" t="str">
            <v>(212) 305-1190</v>
          </cell>
          <cell r="J2648" t="str">
            <v>kas9171@nyp.org</v>
          </cell>
          <cell r="K2648" t="str">
            <v>Unknown</v>
          </cell>
          <cell r="L2648" t="str">
            <v>Uncategorized</v>
          </cell>
          <cell r="M2648" t="str">
            <v>No</v>
          </cell>
          <cell r="R2648" t="str">
            <v>RAMAN ANOOP DR.</v>
          </cell>
          <cell r="S2648" t="str">
            <v>610 W 158TH ST</v>
          </cell>
          <cell r="T2648" t="str">
            <v>NEW YORK</v>
          </cell>
          <cell r="U2648" t="str">
            <v>NY</v>
          </cell>
          <cell r="V2648" t="str">
            <v>100327104</v>
          </cell>
          <cell r="AC2648" t="str">
            <v>M</v>
          </cell>
          <cell r="AD2648" t="str">
            <v>No</v>
          </cell>
          <cell r="AE2648" t="str">
            <v>NPI only</v>
          </cell>
          <cell r="AF2648" t="str">
            <v>nypwestcampus</v>
          </cell>
          <cell r="AG2648" t="str">
            <v>P</v>
          </cell>
        </row>
        <row r="2649">
          <cell r="A2649" t="str">
            <v>1255775003</v>
          </cell>
          <cell r="B2649" t="str">
            <v>04549657</v>
          </cell>
          <cell r="C2649" t="str">
            <v>MICHAEL SPERTUS</v>
          </cell>
          <cell r="D2649" t="str">
            <v>E0447688</v>
          </cell>
          <cell r="E2649" t="str">
            <v>SPERTUS MICHAEL SCOTT</v>
          </cell>
          <cell r="G2649" t="str">
            <v>Kathryn Spaziani</v>
          </cell>
          <cell r="H2649" t="str">
            <v>(212) 305-1190</v>
          </cell>
          <cell r="J2649" t="str">
            <v>kas9171@nyp.org</v>
          </cell>
          <cell r="L2649" t="str">
            <v>Uncategorized</v>
          </cell>
          <cell r="M2649" t="str">
            <v>No</v>
          </cell>
          <cell r="R2649" t="str">
            <v>SPERTUS MICHAEL</v>
          </cell>
          <cell r="W2649" t="str">
            <v>SPERTUS MICHAEL SCOTT</v>
          </cell>
          <cell r="AB2649" t="str">
            <v>PHYSICIAN</v>
          </cell>
          <cell r="AC2649" t="str">
            <v>M</v>
          </cell>
          <cell r="AD2649" t="str">
            <v>No</v>
          </cell>
          <cell r="AE2649" t="str">
            <v>MMIS</v>
          </cell>
          <cell r="AF2649" t="str">
            <v>nypwestcampus</v>
          </cell>
          <cell r="AG2649" t="str">
            <v>P</v>
          </cell>
        </row>
        <row r="2650">
          <cell r="A2650" t="str">
            <v>1538425723</v>
          </cell>
          <cell r="B2650" t="str">
            <v>04209050</v>
          </cell>
          <cell r="C2650" t="str">
            <v>SARAH VAN WAGNER</v>
          </cell>
          <cell r="D2650" t="str">
            <v>E0412882</v>
          </cell>
          <cell r="E2650" t="str">
            <v>VAN WAGNER SARAH</v>
          </cell>
          <cell r="G2650" t="str">
            <v>Kathryn Spaziani</v>
          </cell>
          <cell r="H2650" t="str">
            <v>(212) 305-1190</v>
          </cell>
          <cell r="J2650" t="str">
            <v>kas9171@nyp.org</v>
          </cell>
          <cell r="L2650" t="str">
            <v>All Other:: Practitioner - Primary Care Provider (PCP)</v>
          </cell>
          <cell r="M2650" t="str">
            <v>No</v>
          </cell>
          <cell r="R2650" t="str">
            <v>VAN WAGNER SARAH DR.</v>
          </cell>
          <cell r="W2650" t="str">
            <v>VAN WAGNER SARAH ELIZABETH</v>
          </cell>
          <cell r="X2650" t="str">
            <v>25-10 30TH AVE</v>
          </cell>
          <cell r="Y2650" t="str">
            <v>ASTORIA</v>
          </cell>
          <cell r="Z2650" t="str">
            <v>NY</v>
          </cell>
          <cell r="AA2650" t="str">
            <v>11102-2448</v>
          </cell>
          <cell r="AB2650" t="str">
            <v>PHYSICIAN</v>
          </cell>
          <cell r="AC2650" t="str">
            <v>M</v>
          </cell>
          <cell r="AD2650" t="str">
            <v>No</v>
          </cell>
          <cell r="AE2650" t="str">
            <v>MMIS</v>
          </cell>
          <cell r="AF2650" t="str">
            <v>nypother</v>
          </cell>
          <cell r="AG2650" t="str">
            <v>P</v>
          </cell>
        </row>
        <row r="2651">
          <cell r="A2651" t="str">
            <v>1851657563</v>
          </cell>
          <cell r="B2651" t="str">
            <v>04210082</v>
          </cell>
          <cell r="C2651" t="str">
            <v>DAVID WEISS</v>
          </cell>
          <cell r="D2651" t="str">
            <v>E0412985</v>
          </cell>
          <cell r="E2651" t="str">
            <v>WEISS DAVID</v>
          </cell>
          <cell r="G2651" t="str">
            <v>Kathryn Spaziani</v>
          </cell>
          <cell r="H2651" t="str">
            <v>(212) 305-1190</v>
          </cell>
          <cell r="J2651" t="str">
            <v>kas9171@nyp.org</v>
          </cell>
          <cell r="L2651" t="str">
            <v>All Other:: Practitioner - Primary Care Provider (PCP)</v>
          </cell>
          <cell r="M2651" t="str">
            <v>No</v>
          </cell>
          <cell r="R2651" t="str">
            <v>WEISS DAVID</v>
          </cell>
          <cell r="W2651" t="str">
            <v>WEISS DAVID BRENDAN</v>
          </cell>
          <cell r="X2651" t="str">
            <v>731 WHITE PLAINS RD</v>
          </cell>
          <cell r="Y2651" t="str">
            <v>BRONX</v>
          </cell>
          <cell r="Z2651" t="str">
            <v>NY</v>
          </cell>
          <cell r="AA2651" t="str">
            <v>10473-2631</v>
          </cell>
          <cell r="AB2651" t="str">
            <v>PHYSICIAN</v>
          </cell>
          <cell r="AC2651" t="str">
            <v>M</v>
          </cell>
          <cell r="AD2651" t="str">
            <v>No</v>
          </cell>
          <cell r="AE2651" t="str">
            <v>MMIS</v>
          </cell>
          <cell r="AF2651" t="str">
            <v>nypother</v>
          </cell>
          <cell r="AG2651" t="str">
            <v>P</v>
          </cell>
        </row>
        <row r="2652">
          <cell r="A2652" t="str">
            <v>1194015149</v>
          </cell>
          <cell r="C2652" t="str">
            <v>BRANDI ADAMS</v>
          </cell>
          <cell r="G2652" t="str">
            <v>Kathryn Spaziani</v>
          </cell>
          <cell r="H2652" t="str">
            <v>(212) 305-1190</v>
          </cell>
          <cell r="J2652" t="str">
            <v>kas9171@nyp.org</v>
          </cell>
          <cell r="K2652" t="str">
            <v>Unknown</v>
          </cell>
          <cell r="L2652" t="str">
            <v>Uncategorized</v>
          </cell>
          <cell r="M2652" t="str">
            <v>No</v>
          </cell>
          <cell r="R2652" t="str">
            <v>ADAMS BRANDI</v>
          </cell>
          <cell r="S2652" t="str">
            <v>6909 PROSPERITY CHURCH RD</v>
          </cell>
          <cell r="T2652" t="str">
            <v>HUNTERSVILLE</v>
          </cell>
          <cell r="U2652" t="str">
            <v>NC</v>
          </cell>
          <cell r="V2652" t="str">
            <v>280786698</v>
          </cell>
          <cell r="AC2652" t="str">
            <v>M</v>
          </cell>
          <cell r="AD2652" t="str">
            <v>No</v>
          </cell>
          <cell r="AE2652" t="str">
            <v>NPI only</v>
          </cell>
          <cell r="AF2652" t="str">
            <v>nypother</v>
          </cell>
          <cell r="AG2652" t="str">
            <v>P</v>
          </cell>
        </row>
        <row r="2653">
          <cell r="A2653" t="str">
            <v>1437340387</v>
          </cell>
          <cell r="B2653" t="str">
            <v>02200246</v>
          </cell>
          <cell r="C2653" t="str">
            <v>Landau Cahana Ruth</v>
          </cell>
          <cell r="D2653" t="str">
            <v>E0080060</v>
          </cell>
          <cell r="E2653" t="str">
            <v>LANDAU CAHANA RUTH MD</v>
          </cell>
          <cell r="G2653" t="str">
            <v>Kathryn Spaziani</v>
          </cell>
          <cell r="H2653" t="str">
            <v>(212) 305-1255</v>
          </cell>
          <cell r="J2653" t="str">
            <v>kas9171@nyp.org</v>
          </cell>
          <cell r="L2653" t="str">
            <v>Practitioner - Non-Primary Care Provider (PCP)</v>
          </cell>
          <cell r="M2653" t="str">
            <v>No</v>
          </cell>
          <cell r="R2653" t="str">
            <v>LANDAU RUTH</v>
          </cell>
          <cell r="W2653" t="str">
            <v>LANDAU CAHANA RUTH</v>
          </cell>
          <cell r="X2653" t="str">
            <v>622 W 168TH ST</v>
          </cell>
          <cell r="Y2653" t="str">
            <v>NEW YORK</v>
          </cell>
          <cell r="Z2653" t="str">
            <v>NY</v>
          </cell>
          <cell r="AA2653" t="str">
            <v>10032-3720</v>
          </cell>
          <cell r="AB2653" t="str">
            <v>PHYSICIAN</v>
          </cell>
          <cell r="AC2653" t="str">
            <v>M</v>
          </cell>
          <cell r="AD2653" t="str">
            <v>No</v>
          </cell>
          <cell r="AE2653" t="str">
            <v>MMIS</v>
          </cell>
          <cell r="AF2653" t="str">
            <v>nypwestcampus</v>
          </cell>
          <cell r="AG2653" t="str">
            <v>P</v>
          </cell>
        </row>
        <row r="2654">
          <cell r="A2654" t="str">
            <v>1225054133</v>
          </cell>
          <cell r="B2654" t="str">
            <v>02213261</v>
          </cell>
          <cell r="C2654" t="str">
            <v>Mankowitz Suzanne</v>
          </cell>
          <cell r="D2654" t="str">
            <v>E0078760</v>
          </cell>
          <cell r="E2654" t="str">
            <v>MANKOWITZ SUZANNE K MD</v>
          </cell>
          <cell r="L2654" t="str">
            <v>All Other:: Practitioner - Non-Primary Care Provider (PCP)</v>
          </cell>
          <cell r="M2654" t="str">
            <v>No</v>
          </cell>
          <cell r="R2654" t="str">
            <v>MANKOWITZ SUZANNE DR.</v>
          </cell>
          <cell r="W2654" t="str">
            <v>MANKOWITZ SUZANNE K MD</v>
          </cell>
          <cell r="X2654" t="str">
            <v>622 W 168TH ST</v>
          </cell>
          <cell r="Y2654" t="str">
            <v>NEW YORK</v>
          </cell>
          <cell r="Z2654" t="str">
            <v>NY</v>
          </cell>
          <cell r="AA2654" t="str">
            <v>10032-3720</v>
          </cell>
          <cell r="AB2654" t="str">
            <v>PHYSICIAN</v>
          </cell>
          <cell r="AC2654" t="str">
            <v>M</v>
          </cell>
          <cell r="AD2654" t="str">
            <v>No</v>
          </cell>
          <cell r="AE2654" t="str">
            <v>MMIS</v>
          </cell>
          <cell r="AF2654" t="str">
            <v>nypwestcampus</v>
          </cell>
          <cell r="AG2654" t="str">
            <v>P</v>
          </cell>
        </row>
        <row r="2655">
          <cell r="A2655" t="str">
            <v>1457586703</v>
          </cell>
          <cell r="B2655" t="str">
            <v>03376450</v>
          </cell>
          <cell r="C2655" t="str">
            <v>Reitman-Ivashkov Elena</v>
          </cell>
          <cell r="D2655" t="str">
            <v>E0324620</v>
          </cell>
          <cell r="E2655" t="str">
            <v>REITMAN-IVASHKOV ELENA</v>
          </cell>
          <cell r="L2655" t="str">
            <v>All Other:: Practitioner - Non-Primary Care Provider (PCP)</v>
          </cell>
          <cell r="M2655" t="str">
            <v>No</v>
          </cell>
          <cell r="R2655" t="str">
            <v>REITMAN-IVASHKOV ELENA</v>
          </cell>
          <cell r="W2655" t="str">
            <v>REITMAN-IVASHKOV ELENA</v>
          </cell>
          <cell r="X2655" t="str">
            <v>622 W 168TH ST</v>
          </cell>
          <cell r="Y2655" t="str">
            <v>NEW YORK</v>
          </cell>
          <cell r="Z2655" t="str">
            <v>NY</v>
          </cell>
          <cell r="AA2655" t="str">
            <v>10032-3720</v>
          </cell>
          <cell r="AB2655" t="str">
            <v>PHYSICIAN</v>
          </cell>
          <cell r="AC2655" t="str">
            <v>M</v>
          </cell>
          <cell r="AD2655" t="str">
            <v>No</v>
          </cell>
          <cell r="AE2655" t="str">
            <v>MMIS</v>
          </cell>
          <cell r="AF2655" t="str">
            <v>nypwestcampus</v>
          </cell>
          <cell r="AG2655" t="str">
            <v>P</v>
          </cell>
        </row>
        <row r="2656">
          <cell r="A2656" t="str">
            <v>1295992360</v>
          </cell>
          <cell r="B2656" t="str">
            <v>03241554</v>
          </cell>
          <cell r="C2656" t="str">
            <v>Ring Laurence</v>
          </cell>
          <cell r="D2656" t="str">
            <v>E0309112</v>
          </cell>
          <cell r="E2656" t="str">
            <v>RING LAURENCE ELLIOT MD</v>
          </cell>
          <cell r="L2656" t="str">
            <v>All Other:: Practitioner - Non-Primary Care Provider (PCP)</v>
          </cell>
          <cell r="M2656" t="str">
            <v>No</v>
          </cell>
          <cell r="R2656" t="str">
            <v>RING LAURENCE DR.</v>
          </cell>
          <cell r="W2656" t="str">
            <v>RING LAURENCE ELLIOT MD</v>
          </cell>
          <cell r="X2656" t="str">
            <v>622 W 168TH ST</v>
          </cell>
          <cell r="Y2656" t="str">
            <v>NEW YORK</v>
          </cell>
          <cell r="Z2656" t="str">
            <v>NY</v>
          </cell>
          <cell r="AA2656" t="str">
            <v>10032-3720</v>
          </cell>
          <cell r="AB2656" t="str">
            <v>PHYSICIAN</v>
          </cell>
          <cell r="AC2656" t="str">
            <v>M</v>
          </cell>
          <cell r="AD2656" t="str">
            <v>No</v>
          </cell>
          <cell r="AE2656" t="str">
            <v>MMIS</v>
          </cell>
          <cell r="AF2656" t="str">
            <v>nypwestcampus</v>
          </cell>
          <cell r="AG2656" t="str">
            <v>P</v>
          </cell>
        </row>
        <row r="2657">
          <cell r="A2657" t="str">
            <v>1881749612</v>
          </cell>
          <cell r="B2657" t="str">
            <v>01011485</v>
          </cell>
          <cell r="C2657" t="str">
            <v>Smiley Richard</v>
          </cell>
          <cell r="D2657" t="str">
            <v>E0198712</v>
          </cell>
          <cell r="E2657" t="str">
            <v>SMILEY RICHARD M           MD</v>
          </cell>
          <cell r="L2657" t="str">
            <v>Practitioner - Non-Primary Care Provider (PCP)</v>
          </cell>
          <cell r="M2657" t="str">
            <v>No</v>
          </cell>
          <cell r="R2657" t="str">
            <v>SMILEY RICHARD DR.</v>
          </cell>
          <cell r="W2657" t="str">
            <v>SMILEY RICHARD M           MD</v>
          </cell>
          <cell r="X2657" t="str">
            <v>COLUMBIA PRESBYTERIA</v>
          </cell>
          <cell r="Y2657" t="str">
            <v>NEW YORK</v>
          </cell>
          <cell r="Z2657" t="str">
            <v>NY</v>
          </cell>
          <cell r="AA2657" t="str">
            <v>10032-3720</v>
          </cell>
          <cell r="AB2657" t="str">
            <v>PHYSICIAN</v>
          </cell>
          <cell r="AC2657" t="str">
            <v>M</v>
          </cell>
          <cell r="AD2657" t="str">
            <v>No</v>
          </cell>
          <cell r="AE2657" t="str">
            <v>MMIS</v>
          </cell>
          <cell r="AF2657" t="str">
            <v>nypwestcampus</v>
          </cell>
          <cell r="AG2657" t="str">
            <v>P</v>
          </cell>
        </row>
        <row r="2658">
          <cell r="A2658" t="str">
            <v>1154350023</v>
          </cell>
          <cell r="B2658" t="str">
            <v>03490571</v>
          </cell>
          <cell r="C2658" t="str">
            <v>Lee Allison</v>
          </cell>
          <cell r="D2658" t="str">
            <v>E0338554</v>
          </cell>
          <cell r="E2658" t="str">
            <v>LEE ALLISON JOANNA</v>
          </cell>
          <cell r="L2658" t="str">
            <v>All Other:: Practitioner - Non-Primary Care Provider (PCP)</v>
          </cell>
          <cell r="M2658" t="str">
            <v>No</v>
          </cell>
          <cell r="R2658" t="str">
            <v>LEE ALLISON DR.</v>
          </cell>
          <cell r="W2658" t="str">
            <v>LEE ALLISON JOANNA</v>
          </cell>
          <cell r="X2658" t="str">
            <v>622 W 168TH ST STE 505C</v>
          </cell>
          <cell r="Y2658" t="str">
            <v>NEW YORK</v>
          </cell>
          <cell r="Z2658" t="str">
            <v>NY</v>
          </cell>
          <cell r="AA2658" t="str">
            <v>10032-3720</v>
          </cell>
          <cell r="AB2658" t="str">
            <v>PHYSICIAN</v>
          </cell>
          <cell r="AC2658" t="str">
            <v>M</v>
          </cell>
          <cell r="AD2658" t="str">
            <v>No</v>
          </cell>
          <cell r="AE2658" t="str">
            <v>MMIS</v>
          </cell>
          <cell r="AF2658" t="str">
            <v>nypwestcampus</v>
          </cell>
          <cell r="AG2658" t="str">
            <v>P</v>
          </cell>
        </row>
        <row r="2659">
          <cell r="A2659" t="str">
            <v>1104979442</v>
          </cell>
          <cell r="B2659" t="str">
            <v>00777239</v>
          </cell>
          <cell r="C2659" t="str">
            <v>Mark Laurence</v>
          </cell>
          <cell r="D2659" t="str">
            <v>E0222001</v>
          </cell>
          <cell r="E2659" t="str">
            <v>MARK LAURENCE P            MD</v>
          </cell>
          <cell r="L2659" t="str">
            <v>Practitioner - Non-Primary Care Provider (PCP)</v>
          </cell>
          <cell r="M2659" t="str">
            <v>No</v>
          </cell>
          <cell r="R2659" t="str">
            <v>MARK LAURENCE DR.</v>
          </cell>
          <cell r="W2659" t="str">
            <v>MARK LAURENCE P            MD</v>
          </cell>
          <cell r="X2659" t="str">
            <v>COLUMBIA PRESB MED C</v>
          </cell>
          <cell r="Y2659" t="str">
            <v>NEW YORK</v>
          </cell>
          <cell r="Z2659" t="str">
            <v>NY</v>
          </cell>
          <cell r="AA2659" t="str">
            <v>10032-3720</v>
          </cell>
          <cell r="AB2659" t="str">
            <v>PHYSICIAN</v>
          </cell>
          <cell r="AC2659" t="str">
            <v>M</v>
          </cell>
          <cell r="AD2659" t="str">
            <v>No</v>
          </cell>
          <cell r="AE2659" t="str">
            <v>MMIS</v>
          </cell>
          <cell r="AF2659" t="str">
            <v>nypwestcampus</v>
          </cell>
          <cell r="AG2659" t="str">
            <v>P</v>
          </cell>
        </row>
        <row r="2660">
          <cell r="A2660" t="str">
            <v>1063565489</v>
          </cell>
          <cell r="B2660" t="str">
            <v>02385037</v>
          </cell>
          <cell r="C2660" t="str">
            <v>Mathew Leena</v>
          </cell>
          <cell r="D2660" t="str">
            <v>E0061617</v>
          </cell>
          <cell r="E2660" t="str">
            <v>MATHEW LEENA MD</v>
          </cell>
          <cell r="L2660" t="str">
            <v>All Other:: Practitioner - Non-Primary Care Provider (PCP)</v>
          </cell>
          <cell r="M2660" t="str">
            <v>No</v>
          </cell>
          <cell r="R2660" t="str">
            <v>MATHEW LEENA</v>
          </cell>
          <cell r="W2660" t="str">
            <v>MATHEW LEENA</v>
          </cell>
          <cell r="X2660" t="str">
            <v>622 W 168TH ST</v>
          </cell>
          <cell r="Y2660" t="str">
            <v>NEW YORK</v>
          </cell>
          <cell r="Z2660" t="str">
            <v>NY</v>
          </cell>
          <cell r="AA2660" t="str">
            <v>10032-3720</v>
          </cell>
          <cell r="AB2660" t="str">
            <v>PHYSICIAN</v>
          </cell>
          <cell r="AC2660" t="str">
            <v>M</v>
          </cell>
          <cell r="AD2660" t="str">
            <v>No</v>
          </cell>
          <cell r="AE2660" t="str">
            <v>MMIS</v>
          </cell>
          <cell r="AF2660" t="str">
            <v>nypwestcampus</v>
          </cell>
          <cell r="AG2660" t="str">
            <v>P</v>
          </cell>
        </row>
        <row r="2661">
          <cell r="A2661" t="str">
            <v>1588718118</v>
          </cell>
          <cell r="B2661" t="str">
            <v>01912812</v>
          </cell>
          <cell r="C2661" t="str">
            <v>Sonty Nomita</v>
          </cell>
          <cell r="D2661" t="str">
            <v>E0108768</v>
          </cell>
          <cell r="E2661" t="str">
            <v>SONTY NOMITA PHD</v>
          </cell>
          <cell r="L2661" t="str">
            <v>Mental Health:: Practitioner - Non-Primary Care Provider (PCP)</v>
          </cell>
          <cell r="M2661" t="str">
            <v>No</v>
          </cell>
          <cell r="R2661" t="str">
            <v>SONTY NOMITA DR.</v>
          </cell>
          <cell r="W2661" t="str">
            <v>SONTY NOMITA</v>
          </cell>
          <cell r="X2661" t="str">
            <v>622 W 168TH ST</v>
          </cell>
          <cell r="Y2661" t="str">
            <v>NEW YORK</v>
          </cell>
          <cell r="Z2661" t="str">
            <v>NY</v>
          </cell>
          <cell r="AA2661" t="str">
            <v>10032-3720</v>
          </cell>
          <cell r="AB2661" t="str">
            <v>CLINICAL PSYCHOLOGIST</v>
          </cell>
          <cell r="AC2661" t="str">
            <v>M</v>
          </cell>
          <cell r="AD2661" t="str">
            <v>No</v>
          </cell>
          <cell r="AE2661" t="str">
            <v>MMIS</v>
          </cell>
          <cell r="AF2661" t="str">
            <v>nypwestcampus</v>
          </cell>
          <cell r="AG2661" t="str">
            <v>P</v>
          </cell>
        </row>
        <row r="2662">
          <cell r="A2662" t="str">
            <v>1831243138</v>
          </cell>
          <cell r="B2662" t="str">
            <v>01919933</v>
          </cell>
          <cell r="C2662" t="str">
            <v>Weinberger Michael</v>
          </cell>
          <cell r="D2662" t="str">
            <v>E0108056</v>
          </cell>
          <cell r="E2662" t="str">
            <v>WEINBERGER MICHAEL MD</v>
          </cell>
          <cell r="L2662" t="str">
            <v>Practitioner - Non-Primary Care Provider (PCP)</v>
          </cell>
          <cell r="M2662" t="str">
            <v>No</v>
          </cell>
          <cell r="R2662" t="str">
            <v>WEINBERGER MICHAEL DR.</v>
          </cell>
          <cell r="W2662" t="str">
            <v>WEINBERGER MICHAEL MD</v>
          </cell>
          <cell r="X2662" t="str">
            <v>COLUMBIA PRESBTERIAN</v>
          </cell>
          <cell r="Y2662" t="str">
            <v>NEW YORK</v>
          </cell>
          <cell r="Z2662" t="str">
            <v>NY</v>
          </cell>
          <cell r="AA2662" t="str">
            <v>10032-3720</v>
          </cell>
          <cell r="AB2662" t="str">
            <v>PHYSICIAN</v>
          </cell>
          <cell r="AC2662" t="str">
            <v>M</v>
          </cell>
          <cell r="AD2662" t="str">
            <v>No</v>
          </cell>
          <cell r="AE2662" t="str">
            <v>MMIS</v>
          </cell>
          <cell r="AF2662" t="str">
            <v>nypwestcampus</v>
          </cell>
          <cell r="AG2662" t="str">
            <v>P</v>
          </cell>
        </row>
        <row r="2663">
          <cell r="A2663" t="str">
            <v>1780645416</v>
          </cell>
          <cell r="B2663" t="str">
            <v>00232908</v>
          </cell>
          <cell r="C2663" t="str">
            <v>DEMAR, LEON K</v>
          </cell>
          <cell r="D2663" t="str">
            <v>E0274666</v>
          </cell>
          <cell r="E2663" t="str">
            <v>DEMAR LEON K               MD</v>
          </cell>
          <cell r="G2663" t="str">
            <v>Kathryn Spaziani</v>
          </cell>
          <cell r="H2663" t="str">
            <v>(212) 305-1190</v>
          </cell>
          <cell r="J2663" t="str">
            <v>kas9171@nyp.org</v>
          </cell>
          <cell r="L2663" t="str">
            <v>Practitioner - Non-Primary Care Provider (PCP)</v>
          </cell>
          <cell r="M2663" t="str">
            <v>No</v>
          </cell>
          <cell r="R2663" t="str">
            <v>DEMAR LEON DR.</v>
          </cell>
          <cell r="W2663" t="str">
            <v>DEMAR LEON K               MD</v>
          </cell>
          <cell r="X2663" t="str">
            <v>COLUMBIA PRESB HOSP</v>
          </cell>
          <cell r="Y2663" t="str">
            <v>NEW YORK</v>
          </cell>
          <cell r="Z2663" t="str">
            <v>NY</v>
          </cell>
          <cell r="AA2663" t="str">
            <v>10032-3720</v>
          </cell>
          <cell r="AB2663" t="str">
            <v>PHYSICIAN</v>
          </cell>
          <cell r="AC2663" t="str">
            <v>M</v>
          </cell>
          <cell r="AD2663" t="str">
            <v>No</v>
          </cell>
          <cell r="AE2663" t="str">
            <v>MMIS</v>
          </cell>
          <cell r="AF2663" t="str">
            <v>nypwestacn</v>
          </cell>
          <cell r="AG2663" t="str">
            <v>P</v>
          </cell>
        </row>
        <row r="2664">
          <cell r="A2664" t="str">
            <v>1629238670</v>
          </cell>
          <cell r="B2664" t="str">
            <v>03102178</v>
          </cell>
          <cell r="C2664" t="str">
            <v xml:space="preserve">GANDA, ANJALI </v>
          </cell>
          <cell r="D2664" t="str">
            <v>E0293321</v>
          </cell>
          <cell r="E2664" t="str">
            <v>GANDA ANJALI MD</v>
          </cell>
          <cell r="G2664" t="str">
            <v>Kathryn Spaziani</v>
          </cell>
          <cell r="H2664" t="str">
            <v>(212) 305-1190</v>
          </cell>
          <cell r="J2664" t="str">
            <v>kas9171@nyp.org</v>
          </cell>
          <cell r="L2664" t="str">
            <v>Practitioner - Non-Primary Care Provider (PCP)</v>
          </cell>
          <cell r="M2664" t="str">
            <v>No</v>
          </cell>
          <cell r="R2664" t="str">
            <v>GANDA ANJALI DR.</v>
          </cell>
          <cell r="W2664" t="str">
            <v>GANDA ANJALI MD</v>
          </cell>
          <cell r="X2664" t="str">
            <v>622 W 168TH ST</v>
          </cell>
          <cell r="Y2664" t="str">
            <v>NEW YORK</v>
          </cell>
          <cell r="Z2664" t="str">
            <v>NY</v>
          </cell>
          <cell r="AA2664" t="str">
            <v>10032-3720</v>
          </cell>
          <cell r="AB2664" t="str">
            <v>PHYSICIAN</v>
          </cell>
          <cell r="AC2664" t="str">
            <v>M</v>
          </cell>
          <cell r="AD2664" t="str">
            <v>No</v>
          </cell>
          <cell r="AE2664" t="str">
            <v>MMIS</v>
          </cell>
          <cell r="AF2664" t="str">
            <v>nypwestacn</v>
          </cell>
          <cell r="AG2664" t="str">
            <v>P</v>
          </cell>
        </row>
        <row r="2665">
          <cell r="A2665" t="str">
            <v>1659697464</v>
          </cell>
          <cell r="B2665" t="str">
            <v>03603101</v>
          </cell>
          <cell r="C2665" t="str">
            <v xml:space="preserve">MOISE, NATHALIE </v>
          </cell>
          <cell r="D2665" t="str">
            <v>E0350475</v>
          </cell>
          <cell r="E2665" t="str">
            <v>MOISE NATHALIE</v>
          </cell>
          <cell r="G2665" t="str">
            <v>Kathryn Spaziani</v>
          </cell>
          <cell r="H2665" t="str">
            <v>(212) 305-1190</v>
          </cell>
          <cell r="J2665" t="str">
            <v>kas9171@nyp.org</v>
          </cell>
          <cell r="L2665" t="str">
            <v>Practitioner - Non-Primary Care Provider (PCP)</v>
          </cell>
          <cell r="M2665" t="str">
            <v>No</v>
          </cell>
          <cell r="R2665" t="str">
            <v>MOISE NATHALIE</v>
          </cell>
          <cell r="W2665" t="str">
            <v>MOISE NATHALIE</v>
          </cell>
          <cell r="X2665" t="str">
            <v>622 W 168TH ST</v>
          </cell>
          <cell r="Y2665" t="str">
            <v>NEW YORK</v>
          </cell>
          <cell r="Z2665" t="str">
            <v>NY</v>
          </cell>
          <cell r="AA2665" t="str">
            <v>10032-3720</v>
          </cell>
          <cell r="AB2665" t="str">
            <v>PHYSICIAN</v>
          </cell>
          <cell r="AC2665" t="str">
            <v>M</v>
          </cell>
          <cell r="AD2665" t="str">
            <v>No</v>
          </cell>
          <cell r="AE2665" t="str">
            <v>MMIS</v>
          </cell>
          <cell r="AF2665" t="str">
            <v>nypwestcampus</v>
          </cell>
          <cell r="AG2665" t="str">
            <v>P</v>
          </cell>
        </row>
        <row r="2666">
          <cell r="A2666" t="str">
            <v>1003941287</v>
          </cell>
          <cell r="B2666" t="str">
            <v>02706343</v>
          </cell>
          <cell r="C2666" t="str">
            <v>DILLON, GREGORY C</v>
          </cell>
          <cell r="D2666" t="str">
            <v>E0029550</v>
          </cell>
          <cell r="E2666" t="str">
            <v>DILLON GREGORY</v>
          </cell>
          <cell r="G2666" t="str">
            <v>Kathryn Spaziani</v>
          </cell>
          <cell r="H2666" t="str">
            <v>(212) 305-1190</v>
          </cell>
          <cell r="J2666" t="str">
            <v>kas9171@nyp.org</v>
          </cell>
          <cell r="L2666" t="str">
            <v>Practitioner - Non-Primary Care Provider (PCP)</v>
          </cell>
          <cell r="M2666" t="str">
            <v>No</v>
          </cell>
          <cell r="R2666" t="str">
            <v>DILLON GREGORY DR.</v>
          </cell>
          <cell r="W2666" t="str">
            <v>DILLON GREGORY</v>
          </cell>
          <cell r="X2666" t="str">
            <v>525 E 68TH ST</v>
          </cell>
          <cell r="Y2666" t="str">
            <v>NEW YORK</v>
          </cell>
          <cell r="Z2666" t="str">
            <v>NY</v>
          </cell>
          <cell r="AA2666" t="str">
            <v>10065-4870</v>
          </cell>
          <cell r="AB2666" t="str">
            <v>PHYSICIAN</v>
          </cell>
          <cell r="AC2666" t="str">
            <v>M</v>
          </cell>
          <cell r="AD2666" t="str">
            <v>No</v>
          </cell>
          <cell r="AE2666" t="str">
            <v>MMIS</v>
          </cell>
          <cell r="AF2666" t="str">
            <v>nypeastacn</v>
          </cell>
          <cell r="AG2666" t="str">
            <v>P</v>
          </cell>
        </row>
        <row r="2667">
          <cell r="A2667" t="str">
            <v>1699829937</v>
          </cell>
          <cell r="B2667" t="str">
            <v>01632948</v>
          </cell>
          <cell r="C2667" t="str">
            <v>Whittington Robert</v>
          </cell>
          <cell r="D2667" t="str">
            <v>E0136719</v>
          </cell>
          <cell r="E2667" t="str">
            <v>WHITTINGTON ROBERT MD</v>
          </cell>
          <cell r="L2667" t="str">
            <v>All Other:: Practitioner - Non-Primary Care Provider (PCP)</v>
          </cell>
          <cell r="M2667" t="str">
            <v>No</v>
          </cell>
          <cell r="R2667" t="str">
            <v>WHITTINGTON ROBERT DR.</v>
          </cell>
          <cell r="W2667" t="str">
            <v>WHITTINGTON ROBERT MD</v>
          </cell>
          <cell r="X2667" t="str">
            <v>ANESTH SVC OF CPMC</v>
          </cell>
          <cell r="Y2667" t="str">
            <v>NEW YORK</v>
          </cell>
          <cell r="Z2667" t="str">
            <v>NY</v>
          </cell>
          <cell r="AA2667" t="str">
            <v>10032-3720</v>
          </cell>
          <cell r="AB2667" t="str">
            <v>PHYSICIAN</v>
          </cell>
          <cell r="AC2667" t="str">
            <v>M</v>
          </cell>
          <cell r="AD2667" t="str">
            <v>No</v>
          </cell>
          <cell r="AE2667" t="str">
            <v>MMIS</v>
          </cell>
          <cell r="AF2667" t="str">
            <v>nypwestcampus</v>
          </cell>
          <cell r="AG2667" t="str">
            <v>P</v>
          </cell>
        </row>
        <row r="2668">
          <cell r="A2668" t="str">
            <v>1386798551</v>
          </cell>
          <cell r="B2668" t="str">
            <v>02213270</v>
          </cell>
          <cell r="C2668" t="str">
            <v>Zhao Yejun</v>
          </cell>
          <cell r="D2668" t="str">
            <v>E0078759</v>
          </cell>
          <cell r="E2668" t="str">
            <v>ZHAO YEJUN MD</v>
          </cell>
          <cell r="L2668" t="str">
            <v>All Other:: Practitioner - Non-Primary Care Provider (PCP)</v>
          </cell>
          <cell r="M2668" t="str">
            <v>No</v>
          </cell>
          <cell r="R2668" t="str">
            <v>ZHAO YEJUN DR.</v>
          </cell>
          <cell r="W2668" t="str">
            <v>ZHAO YEJUN MD</v>
          </cell>
          <cell r="X2668" t="str">
            <v>622 W 168TH ST</v>
          </cell>
          <cell r="Y2668" t="str">
            <v>NEW YORK</v>
          </cell>
          <cell r="Z2668" t="str">
            <v>NY</v>
          </cell>
          <cell r="AA2668" t="str">
            <v>10032-3720</v>
          </cell>
          <cell r="AB2668" t="str">
            <v>PHYSICIAN</v>
          </cell>
          <cell r="AC2668" t="str">
            <v>M</v>
          </cell>
          <cell r="AD2668" t="str">
            <v>No</v>
          </cell>
          <cell r="AE2668" t="str">
            <v>MMIS</v>
          </cell>
          <cell r="AF2668" t="str">
            <v>nypwestcampus</v>
          </cell>
          <cell r="AG2668" t="str">
            <v>P</v>
          </cell>
        </row>
        <row r="2669">
          <cell r="A2669" t="str">
            <v>1134351893</v>
          </cell>
          <cell r="B2669" t="str">
            <v>03887212</v>
          </cell>
          <cell r="C2669" t="str">
            <v>Yocum Gene</v>
          </cell>
          <cell r="D2669" t="str">
            <v>E0379841</v>
          </cell>
          <cell r="E2669" t="str">
            <v>YOCUM GENE THOMAS</v>
          </cell>
          <cell r="L2669" t="str">
            <v>All Other:: Practitioner - Non-Primary Care Provider (PCP)</v>
          </cell>
          <cell r="M2669" t="str">
            <v>No</v>
          </cell>
          <cell r="R2669" t="str">
            <v>YOCUM GENE DR.</v>
          </cell>
          <cell r="W2669" t="str">
            <v>YOCUM GENE THOMAS</v>
          </cell>
          <cell r="X2669" t="str">
            <v>622 W 168TH ST</v>
          </cell>
          <cell r="Y2669" t="str">
            <v>NEW YORK</v>
          </cell>
          <cell r="Z2669" t="str">
            <v>NY</v>
          </cell>
          <cell r="AA2669" t="str">
            <v>10032-3720</v>
          </cell>
          <cell r="AB2669" t="str">
            <v>PHYSICIAN</v>
          </cell>
          <cell r="AC2669" t="str">
            <v>M</v>
          </cell>
          <cell r="AD2669" t="str">
            <v>No</v>
          </cell>
          <cell r="AE2669" t="str">
            <v>MMIS</v>
          </cell>
          <cell r="AF2669" t="str">
            <v>nypwestcampus</v>
          </cell>
          <cell r="AG2669" t="str">
            <v>P</v>
          </cell>
        </row>
        <row r="2670">
          <cell r="A2670" t="str">
            <v>1437388899</v>
          </cell>
          <cell r="B2670" t="str">
            <v>03142569</v>
          </cell>
          <cell r="C2670" t="str">
            <v>Anastasian Zirka</v>
          </cell>
          <cell r="D2670" t="str">
            <v>E0297934</v>
          </cell>
          <cell r="E2670" t="str">
            <v>ANASTASIAN ZIRKA HOROCHIWSKY MD</v>
          </cell>
          <cell r="L2670" t="str">
            <v>All Other:: Practitioner - Non-Primary Care Provider (PCP)</v>
          </cell>
          <cell r="M2670" t="str">
            <v>No</v>
          </cell>
          <cell r="R2670" t="str">
            <v>ANASTASIAN ZIRKA</v>
          </cell>
          <cell r="W2670" t="str">
            <v>ANASTASIAN ZIRKA HOROCHIWSKY MD</v>
          </cell>
          <cell r="X2670" t="str">
            <v>622 W 168TH ST</v>
          </cell>
          <cell r="Y2670" t="str">
            <v>NEW YORK</v>
          </cell>
          <cell r="Z2670" t="str">
            <v>NY</v>
          </cell>
          <cell r="AA2670" t="str">
            <v>10032-3720</v>
          </cell>
          <cell r="AB2670" t="str">
            <v>PHYSICIAN</v>
          </cell>
          <cell r="AC2670" t="str">
            <v>M</v>
          </cell>
          <cell r="AD2670" t="str">
            <v>No</v>
          </cell>
          <cell r="AE2670" t="str">
            <v>MMIS</v>
          </cell>
          <cell r="AF2670" t="str">
            <v>nypwestcampus</v>
          </cell>
          <cell r="AG2670" t="str">
            <v>P</v>
          </cell>
        </row>
        <row r="2671">
          <cell r="A2671" t="str">
            <v>1316099625</v>
          </cell>
          <cell r="B2671" t="str">
            <v>01008960</v>
          </cell>
          <cell r="C2671" t="str">
            <v>Berman Mitchell</v>
          </cell>
          <cell r="D2671" t="str">
            <v>E0198964</v>
          </cell>
          <cell r="E2671" t="str">
            <v>BERMAN MITCHELL FREDERICK  MD</v>
          </cell>
          <cell r="L2671" t="str">
            <v>All Other:: Practitioner - Non-Primary Care Provider (PCP)</v>
          </cell>
          <cell r="M2671" t="str">
            <v>No</v>
          </cell>
          <cell r="R2671" t="str">
            <v>BERMAN MITCHELL DR.</v>
          </cell>
          <cell r="W2671" t="str">
            <v>BERMAN MITCHELL FREDERICK  MD</v>
          </cell>
          <cell r="X2671" t="str">
            <v>NEW YORK PRESBYTERIAN</v>
          </cell>
          <cell r="Y2671" t="str">
            <v>NEW YORK</v>
          </cell>
          <cell r="Z2671" t="str">
            <v>NY</v>
          </cell>
          <cell r="AA2671" t="str">
            <v>10032-3720</v>
          </cell>
          <cell r="AB2671" t="str">
            <v>PHYSICIAN</v>
          </cell>
          <cell r="AC2671" t="str">
            <v>M</v>
          </cell>
          <cell r="AD2671" t="str">
            <v>No</v>
          </cell>
          <cell r="AE2671" t="str">
            <v>MMIS</v>
          </cell>
          <cell r="AF2671" t="str">
            <v>nypwestcampus</v>
          </cell>
          <cell r="AG2671" t="str">
            <v>P</v>
          </cell>
        </row>
        <row r="2672">
          <cell r="A2672" t="str">
            <v>1932362126</v>
          </cell>
          <cell r="B2672" t="str">
            <v>03582267</v>
          </cell>
          <cell r="C2672" t="str">
            <v>Parnes Allyson</v>
          </cell>
          <cell r="D2672" t="str">
            <v>E0348344</v>
          </cell>
          <cell r="E2672" t="str">
            <v>PARNES ALLYSON NANCY</v>
          </cell>
          <cell r="L2672" t="str">
            <v>All Other:: Practitioner - Non-Primary Care Provider (PCP)</v>
          </cell>
          <cell r="M2672" t="str">
            <v>No</v>
          </cell>
          <cell r="R2672" t="str">
            <v>PARNES ALLYSON</v>
          </cell>
          <cell r="W2672" t="str">
            <v>PARNES ALLYSON NANCY</v>
          </cell>
          <cell r="X2672" t="str">
            <v>51 W 51ST ST STE 300</v>
          </cell>
          <cell r="Y2672" t="str">
            <v>NEW YORK</v>
          </cell>
          <cell r="Z2672" t="str">
            <v>NY</v>
          </cell>
          <cell r="AA2672" t="str">
            <v>10019-6113</v>
          </cell>
          <cell r="AB2672" t="str">
            <v>PHYSICIAN</v>
          </cell>
          <cell r="AC2672" t="str">
            <v>M</v>
          </cell>
          <cell r="AD2672" t="str">
            <v>No</v>
          </cell>
          <cell r="AE2672" t="str">
            <v>MMIS</v>
          </cell>
          <cell r="AG2672" t="str">
            <v>P</v>
          </cell>
        </row>
        <row r="2673">
          <cell r="A2673" t="str">
            <v>1285864280</v>
          </cell>
          <cell r="B2673" t="str">
            <v>03981528</v>
          </cell>
          <cell r="C2673" t="str">
            <v>Valerie Brutus</v>
          </cell>
          <cell r="D2673" t="str">
            <v>E0389462</v>
          </cell>
          <cell r="E2673" t="str">
            <v>BRUTUS VALERIE</v>
          </cell>
          <cell r="G2673" t="str">
            <v>Kathryn Spaziani</v>
          </cell>
          <cell r="H2673" t="str">
            <v>(212) 305-1255</v>
          </cell>
          <cell r="J2673" t="str">
            <v>kas9171@nyp.org</v>
          </cell>
          <cell r="L2673" t="str">
            <v>All Other:: Practitioner - Primary Care Provider (PCP)</v>
          </cell>
          <cell r="M2673" t="str">
            <v>No</v>
          </cell>
          <cell r="R2673" t="str">
            <v>BRUTUS VALERIE</v>
          </cell>
          <cell r="W2673" t="str">
            <v>BRUTUS VALERIE</v>
          </cell>
          <cell r="X2673" t="str">
            <v>975 WESTCHESTER AVE</v>
          </cell>
          <cell r="Y2673" t="str">
            <v>BRONX</v>
          </cell>
          <cell r="Z2673" t="str">
            <v>NY</v>
          </cell>
          <cell r="AA2673" t="str">
            <v>10459-3204</v>
          </cell>
          <cell r="AB2673" t="str">
            <v>PHYSICIAN</v>
          </cell>
          <cell r="AC2673" t="str">
            <v>M</v>
          </cell>
          <cell r="AD2673" t="str">
            <v>No</v>
          </cell>
          <cell r="AE2673" t="str">
            <v>MMIS</v>
          </cell>
          <cell r="AF2673" t="str">
            <v>nypother</v>
          </cell>
          <cell r="AG2673" t="str">
            <v>P</v>
          </cell>
        </row>
        <row r="2674">
          <cell r="A2674" t="str">
            <v>1881959716</v>
          </cell>
          <cell r="C2674" t="str">
            <v xml:space="preserve">Wendy Cheong </v>
          </cell>
          <cell r="G2674" t="str">
            <v>Kathryn Spaziani</v>
          </cell>
          <cell r="H2674" t="str">
            <v>(212) 305-1255</v>
          </cell>
          <cell r="J2674" t="str">
            <v>kas9171@nyp.org</v>
          </cell>
          <cell r="K2674" t="str">
            <v>Physician</v>
          </cell>
          <cell r="L2674" t="str">
            <v>Practitioner - Non-Primary Care Provider (PCP)</v>
          </cell>
          <cell r="M2674" t="str">
            <v>No</v>
          </cell>
          <cell r="R2674" t="str">
            <v>CHEONG WENDY</v>
          </cell>
          <cell r="S2674" t="str">
            <v>150 ESSEX ST</v>
          </cell>
          <cell r="T2674" t="str">
            <v>NEW YORK</v>
          </cell>
          <cell r="U2674" t="str">
            <v>NY</v>
          </cell>
          <cell r="V2674" t="str">
            <v>100022301</v>
          </cell>
          <cell r="AC2674" t="str">
            <v>M</v>
          </cell>
          <cell r="AD2674" t="str">
            <v>No</v>
          </cell>
          <cell r="AE2674" t="str">
            <v>NPI only</v>
          </cell>
          <cell r="AF2674" t="str">
            <v>nypother</v>
          </cell>
          <cell r="AG2674" t="str">
            <v>P</v>
          </cell>
        </row>
        <row r="2675">
          <cell r="A2675" t="str">
            <v>1720345960</v>
          </cell>
          <cell r="C2675" t="str">
            <v>Menshenina Julia</v>
          </cell>
          <cell r="G2675" t="str">
            <v>Kathryn Spaziani</v>
          </cell>
          <cell r="H2675" t="str">
            <v>(212) 305-1255</v>
          </cell>
          <cell r="J2675" t="str">
            <v>kas9171@nyp.org</v>
          </cell>
          <cell r="K2675" t="str">
            <v>Physician</v>
          </cell>
          <cell r="L2675" t="str">
            <v>Uncategorized</v>
          </cell>
          <cell r="M2675" t="str">
            <v>No</v>
          </cell>
          <cell r="R2675" t="str">
            <v>MENSHENINA JULIA</v>
          </cell>
          <cell r="S2675" t="str">
            <v>774 GULL AVE</v>
          </cell>
          <cell r="T2675" t="str">
            <v>FOSTER CITY</v>
          </cell>
          <cell r="U2675" t="str">
            <v>CA</v>
          </cell>
          <cell r="V2675" t="str">
            <v>944041354</v>
          </cell>
          <cell r="AC2675" t="str">
            <v>M</v>
          </cell>
          <cell r="AD2675" t="str">
            <v>No</v>
          </cell>
          <cell r="AE2675" t="str">
            <v>NPI only</v>
          </cell>
          <cell r="AF2675" t="str">
            <v>nypwestcampus</v>
          </cell>
          <cell r="AG2675" t="str">
            <v>P</v>
          </cell>
        </row>
        <row r="2676">
          <cell r="A2676" t="str">
            <v>1487961082</v>
          </cell>
          <cell r="C2676" t="str">
            <v>Siegelin Markus</v>
          </cell>
          <cell r="G2676" t="str">
            <v>Kathryn Spaziani</v>
          </cell>
          <cell r="H2676" t="str">
            <v>(212) 305-1195</v>
          </cell>
          <cell r="J2676" t="str">
            <v>kas9171@nyp.org</v>
          </cell>
          <cell r="K2676" t="str">
            <v>Physician</v>
          </cell>
          <cell r="L2676" t="str">
            <v>Uncategorized</v>
          </cell>
          <cell r="M2676" t="str">
            <v>No</v>
          </cell>
          <cell r="R2676" t="str">
            <v>SIEGELIN MARKUS</v>
          </cell>
          <cell r="S2676" t="str">
            <v>622 W 168TH ST</v>
          </cell>
          <cell r="T2676" t="str">
            <v>NEW YORK</v>
          </cell>
          <cell r="U2676" t="str">
            <v>NY</v>
          </cell>
          <cell r="V2676" t="str">
            <v>100323720</v>
          </cell>
          <cell r="AC2676" t="str">
            <v>M</v>
          </cell>
          <cell r="AD2676" t="str">
            <v>No</v>
          </cell>
          <cell r="AE2676" t="str">
            <v>NPI only</v>
          </cell>
          <cell r="AF2676" t="str">
            <v>nypwestcampus</v>
          </cell>
          <cell r="AG2676" t="str">
            <v>P</v>
          </cell>
        </row>
        <row r="2677">
          <cell r="A2677" t="str">
            <v>1093977399</v>
          </cell>
          <cell r="C2677" t="str">
            <v>Tanhehco Yvette</v>
          </cell>
          <cell r="G2677" t="str">
            <v>Kathryn Spaziani</v>
          </cell>
          <cell r="H2677" t="str">
            <v>(212) 305-1196</v>
          </cell>
          <cell r="J2677" t="str">
            <v>kas9171@nyp.org</v>
          </cell>
          <cell r="K2677" t="str">
            <v>Physician</v>
          </cell>
          <cell r="L2677" t="str">
            <v>Practitioner - Non-Primary Care Provider (PCP)</v>
          </cell>
          <cell r="M2677" t="str">
            <v>No</v>
          </cell>
          <cell r="R2677" t="str">
            <v>TANHEHCO YVETTE</v>
          </cell>
          <cell r="S2677" t="str">
            <v>630 WEST 168TH ST, PH 1564W</v>
          </cell>
          <cell r="T2677" t="str">
            <v>NY</v>
          </cell>
          <cell r="U2677" t="str">
            <v>NY</v>
          </cell>
          <cell r="V2677" t="str">
            <v>10032</v>
          </cell>
          <cell r="AC2677" t="str">
            <v>M</v>
          </cell>
          <cell r="AD2677" t="str">
            <v>No</v>
          </cell>
          <cell r="AE2677" t="str">
            <v>NPI only</v>
          </cell>
          <cell r="AF2677" t="str">
            <v>nypwestcampus</v>
          </cell>
          <cell r="AG2677" t="str">
            <v>P</v>
          </cell>
        </row>
        <row r="2678">
          <cell r="A2678" t="str">
            <v>1043289085</v>
          </cell>
          <cell r="B2678" t="str">
            <v>03638731</v>
          </cell>
          <cell r="C2678" t="str">
            <v>BROOKS, STEVEN E</v>
          </cell>
          <cell r="D2678" t="str">
            <v>E0354139</v>
          </cell>
          <cell r="E2678" t="str">
            <v>BROOKS STEVEN ELLIOT</v>
          </cell>
          <cell r="G2678" t="str">
            <v>Kathryn Spaziani</v>
          </cell>
          <cell r="H2678" t="str">
            <v>(212) 305-1190</v>
          </cell>
          <cell r="J2678" t="str">
            <v>kas9171@nyp.org</v>
          </cell>
          <cell r="L2678" t="str">
            <v>All Other:: Practitioner - Non-Primary Care Provider (PCP)</v>
          </cell>
          <cell r="M2678" t="str">
            <v>No</v>
          </cell>
          <cell r="R2678" t="str">
            <v>BROOKS STEVEN DR.</v>
          </cell>
          <cell r="W2678" t="str">
            <v>BROOKS STEVEN ELLIOT</v>
          </cell>
          <cell r="X2678" t="str">
            <v>33 W 42ND ST RM 1029</v>
          </cell>
          <cell r="Y2678" t="str">
            <v>NEW YORK</v>
          </cell>
          <cell r="Z2678" t="str">
            <v>NY</v>
          </cell>
          <cell r="AA2678" t="str">
            <v>10036-8005</v>
          </cell>
          <cell r="AB2678" t="str">
            <v>PHYSICIAN</v>
          </cell>
          <cell r="AC2678" t="str">
            <v>M</v>
          </cell>
          <cell r="AD2678" t="str">
            <v>No</v>
          </cell>
          <cell r="AE2678" t="str">
            <v>MMIS</v>
          </cell>
          <cell r="AF2678" t="str">
            <v>nypwestacn</v>
          </cell>
          <cell r="AG2678" t="str">
            <v>P</v>
          </cell>
        </row>
        <row r="2679">
          <cell r="A2679" t="str">
            <v>1245327337</v>
          </cell>
          <cell r="B2679" t="str">
            <v>01673596</v>
          </cell>
          <cell r="C2679" t="str">
            <v>BRANNAGAN , THOMAS H</v>
          </cell>
          <cell r="D2679" t="str">
            <v>E0132658</v>
          </cell>
          <cell r="E2679" t="str">
            <v>BRANNAGAN THOMAS HYATT III MD</v>
          </cell>
          <cell r="G2679" t="str">
            <v>Kathryn Spaziani</v>
          </cell>
          <cell r="H2679" t="str">
            <v>(212) 305-1190</v>
          </cell>
          <cell r="J2679" t="str">
            <v>kas9171@nyp.org</v>
          </cell>
          <cell r="L2679" t="str">
            <v>Practitioner - Non-Primary Care Provider (PCP)</v>
          </cell>
          <cell r="M2679" t="str">
            <v>No</v>
          </cell>
          <cell r="R2679" t="str">
            <v>BRANNAGAN THOMAS</v>
          </cell>
          <cell r="W2679" t="str">
            <v>BRANNAGAN THOMAS HYATT III MD</v>
          </cell>
          <cell r="X2679" t="str">
            <v>710 W 168TH ST</v>
          </cell>
          <cell r="Y2679" t="str">
            <v>NEW YORK</v>
          </cell>
          <cell r="Z2679" t="str">
            <v>NY</v>
          </cell>
          <cell r="AA2679" t="str">
            <v>10032-3726</v>
          </cell>
          <cell r="AB2679" t="str">
            <v>PHYSICIAN</v>
          </cell>
          <cell r="AC2679" t="str">
            <v>M</v>
          </cell>
          <cell r="AD2679" t="str">
            <v>No</v>
          </cell>
          <cell r="AE2679" t="str">
            <v>MMIS</v>
          </cell>
          <cell r="AF2679" t="str">
            <v>nypwestacn</v>
          </cell>
          <cell r="AG2679" t="str">
            <v>P</v>
          </cell>
        </row>
        <row r="2680">
          <cell r="A2680" t="str">
            <v>1356540199</v>
          </cell>
          <cell r="B2680" t="str">
            <v>03917860</v>
          </cell>
          <cell r="C2680" t="str">
            <v>OLIVER STROEH</v>
          </cell>
          <cell r="D2680" t="str">
            <v>E0382954</v>
          </cell>
          <cell r="E2680" t="str">
            <v>STROEH OLIVER</v>
          </cell>
          <cell r="G2680" t="str">
            <v>Kathryn Spaziani</v>
          </cell>
          <cell r="H2680" t="str">
            <v>(212) 305-1190</v>
          </cell>
          <cell r="J2680" t="str">
            <v>kas9171@nyp.org</v>
          </cell>
          <cell r="L2680" t="str">
            <v>Practitioner - Non-Primary Care Provider (PCP)</v>
          </cell>
          <cell r="M2680" t="str">
            <v>No</v>
          </cell>
          <cell r="R2680" t="str">
            <v>STROEH OLIVER DR.</v>
          </cell>
          <cell r="W2680" t="str">
            <v>STROEH OLIVER MAX</v>
          </cell>
          <cell r="X2680" t="str">
            <v>3959 BROADWAY</v>
          </cell>
          <cell r="Y2680" t="str">
            <v>NEW YORK</v>
          </cell>
          <cell r="Z2680" t="str">
            <v>NY</v>
          </cell>
          <cell r="AA2680" t="str">
            <v>10032-1559</v>
          </cell>
          <cell r="AB2680" t="str">
            <v>PHYSICIAN</v>
          </cell>
          <cell r="AC2680" t="str">
            <v>M</v>
          </cell>
          <cell r="AD2680" t="str">
            <v>No</v>
          </cell>
          <cell r="AE2680" t="str">
            <v>MMIS</v>
          </cell>
          <cell r="AF2680" t="str">
            <v>nypwestcampus</v>
          </cell>
          <cell r="AG2680" t="str">
            <v>P</v>
          </cell>
        </row>
        <row r="2681">
          <cell r="A2681" t="str">
            <v>1407801160</v>
          </cell>
          <cell r="B2681" t="str">
            <v>02011750</v>
          </cell>
          <cell r="C2681" t="str">
            <v>DEBRA TAUBEL</v>
          </cell>
          <cell r="D2681" t="str">
            <v>E0098886</v>
          </cell>
          <cell r="E2681" t="str">
            <v>RESKO TAUBEL DEBRA ANN MD</v>
          </cell>
          <cell r="G2681" t="str">
            <v>Kathryn Spaziani</v>
          </cell>
          <cell r="H2681" t="str">
            <v>(212) 305-1190</v>
          </cell>
          <cell r="J2681" t="str">
            <v>kas9171@nyp.org</v>
          </cell>
          <cell r="L2681" t="str">
            <v>All Other:: Practitioner - Non-Primary Care Provider (PCP)</v>
          </cell>
          <cell r="M2681" t="str">
            <v>Yes</v>
          </cell>
          <cell r="R2681" t="str">
            <v>TAUBEL DEBRA</v>
          </cell>
          <cell r="W2681" t="str">
            <v>RESKO TAUBEL DEBRA ANN MD</v>
          </cell>
          <cell r="X2681" t="str">
            <v>OB/GYN CUMC</v>
          </cell>
          <cell r="Y2681" t="str">
            <v>NEW YORK</v>
          </cell>
          <cell r="Z2681" t="str">
            <v>NY</v>
          </cell>
          <cell r="AA2681" t="str">
            <v>10065-4870</v>
          </cell>
          <cell r="AB2681" t="str">
            <v>PHYSICIAN</v>
          </cell>
          <cell r="AC2681" t="str">
            <v>M</v>
          </cell>
          <cell r="AD2681" t="str">
            <v>No</v>
          </cell>
          <cell r="AE2681" t="str">
            <v>MMIS</v>
          </cell>
          <cell r="AF2681" t="str">
            <v>nypeastcampus</v>
          </cell>
          <cell r="AG2681" t="str">
            <v>P</v>
          </cell>
        </row>
        <row r="2682">
          <cell r="A2682" t="str">
            <v>1851618797</v>
          </cell>
          <cell r="B2682" t="str">
            <v>03923071</v>
          </cell>
          <cell r="C2682" t="str">
            <v>DIANE THOMPSON</v>
          </cell>
          <cell r="D2682" t="str">
            <v>E0383475</v>
          </cell>
          <cell r="E2682" t="str">
            <v>THOMPSON DIANE A</v>
          </cell>
          <cell r="G2682" t="str">
            <v>Kathryn Spaziani</v>
          </cell>
          <cell r="H2682" t="str">
            <v>(212) 305-1190</v>
          </cell>
          <cell r="J2682" t="str">
            <v>kas9171@nyp.org</v>
          </cell>
          <cell r="L2682" t="str">
            <v>Practitioner - Non-Primary Care Provider (PCP)</v>
          </cell>
          <cell r="M2682" t="str">
            <v>No</v>
          </cell>
          <cell r="R2682" t="str">
            <v>THOMPSON DIANE DR.</v>
          </cell>
          <cell r="W2682" t="str">
            <v>THOMPSON DIANE A</v>
          </cell>
          <cell r="X2682" t="str">
            <v>180 FORT WASHINGTON AVE STE 199</v>
          </cell>
          <cell r="Y2682" t="str">
            <v>NEW YORK</v>
          </cell>
          <cell r="Z2682" t="str">
            <v>NY</v>
          </cell>
          <cell r="AA2682" t="str">
            <v>10032-3722</v>
          </cell>
          <cell r="AB2682" t="str">
            <v>PHYSICIAN</v>
          </cell>
          <cell r="AC2682" t="str">
            <v>M</v>
          </cell>
          <cell r="AD2682" t="str">
            <v>No</v>
          </cell>
          <cell r="AE2682" t="str">
            <v>MMIS</v>
          </cell>
          <cell r="AF2682" t="str">
            <v>nypwestcampus</v>
          </cell>
          <cell r="AG2682" t="str">
            <v>P</v>
          </cell>
        </row>
        <row r="2683">
          <cell r="A2683" t="str">
            <v>1558536763</v>
          </cell>
          <cell r="B2683" t="str">
            <v>03776703</v>
          </cell>
          <cell r="C2683" t="str">
            <v>MIREILLE TRUONG</v>
          </cell>
          <cell r="D2683" t="str">
            <v>E0368398</v>
          </cell>
          <cell r="E2683" t="str">
            <v>TRUONG MIREILLE DIEM-MY</v>
          </cell>
          <cell r="G2683" t="str">
            <v>Kathryn Spaziani</v>
          </cell>
          <cell r="H2683" t="str">
            <v>(212) 305-1190</v>
          </cell>
          <cell r="J2683" t="str">
            <v>kas9171@nyp.org</v>
          </cell>
          <cell r="L2683" t="str">
            <v>All Other:: Practitioner - Non-Primary Care Provider (PCP)</v>
          </cell>
          <cell r="M2683" t="str">
            <v>No</v>
          </cell>
          <cell r="R2683" t="str">
            <v>TRUONG MIREILLE</v>
          </cell>
          <cell r="W2683" t="str">
            <v>TRUONG MIREILLE DIEM-MY</v>
          </cell>
          <cell r="X2683" t="str">
            <v>622 W 168TH ST</v>
          </cell>
          <cell r="Y2683" t="str">
            <v>NEW YORK</v>
          </cell>
          <cell r="Z2683" t="str">
            <v>NY</v>
          </cell>
          <cell r="AA2683" t="str">
            <v>10032-3720</v>
          </cell>
          <cell r="AB2683" t="str">
            <v>PHYSICIAN</v>
          </cell>
          <cell r="AC2683" t="str">
            <v>M</v>
          </cell>
          <cell r="AD2683" t="str">
            <v>No</v>
          </cell>
          <cell r="AE2683" t="str">
            <v>MMIS</v>
          </cell>
          <cell r="AF2683" t="str">
            <v>nypother</v>
          </cell>
          <cell r="AG2683" t="str">
            <v>P</v>
          </cell>
        </row>
        <row r="2684">
          <cell r="A2684" t="str">
            <v>1598852667</v>
          </cell>
          <cell r="B2684" t="str">
            <v>00742347</v>
          </cell>
          <cell r="C2684" t="str">
            <v>MATTHEW VARGHESE</v>
          </cell>
          <cell r="D2684" t="str">
            <v>E0225478</v>
          </cell>
          <cell r="E2684" t="str">
            <v>VARGHESE MATHEW C          MD</v>
          </cell>
          <cell r="G2684" t="str">
            <v>Kathryn Spaziani</v>
          </cell>
          <cell r="H2684" t="str">
            <v>(212) 305-1190</v>
          </cell>
          <cell r="J2684" t="str">
            <v>kas9171@nyp.org</v>
          </cell>
          <cell r="L2684" t="str">
            <v>All Other:: Practitioner - Non-Primary Care Provider (PCP)</v>
          </cell>
          <cell r="M2684" t="str">
            <v>No</v>
          </cell>
          <cell r="R2684" t="str">
            <v>VARGHESE MATHEW</v>
          </cell>
          <cell r="W2684" t="str">
            <v>VARGHESE MATHEW C          MD</v>
          </cell>
          <cell r="X2684" t="str">
            <v>NY HOSP STARR 301A</v>
          </cell>
          <cell r="Y2684" t="str">
            <v>NEW YORK</v>
          </cell>
          <cell r="Z2684" t="str">
            <v>NY</v>
          </cell>
          <cell r="AA2684" t="str">
            <v>10065-4870</v>
          </cell>
          <cell r="AB2684" t="str">
            <v>PHYSICIAN</v>
          </cell>
          <cell r="AC2684" t="str">
            <v>M</v>
          </cell>
          <cell r="AD2684" t="str">
            <v>No</v>
          </cell>
          <cell r="AE2684" t="str">
            <v>MMIS</v>
          </cell>
          <cell r="AF2684" t="str">
            <v>nypeastcampus</v>
          </cell>
          <cell r="AG2684" t="str">
            <v>P</v>
          </cell>
        </row>
        <row r="2685">
          <cell r="A2685" t="str">
            <v>1144257239</v>
          </cell>
          <cell r="B2685" t="str">
            <v>02554658</v>
          </cell>
          <cell r="C2685" t="str">
            <v>MICHAEL WARREN</v>
          </cell>
          <cell r="D2685" t="str">
            <v>E0044684</v>
          </cell>
          <cell r="E2685" t="str">
            <v>WARREN MICHAEL S MD</v>
          </cell>
          <cell r="G2685" t="str">
            <v>Kathryn Spaziani</v>
          </cell>
          <cell r="H2685" t="str">
            <v>(212) 305-1190</v>
          </cell>
          <cell r="J2685" t="str">
            <v>kas9171@nyp.org</v>
          </cell>
          <cell r="L2685" t="str">
            <v>All Other:: Practitioner - Non-Primary Care Provider (PCP)</v>
          </cell>
          <cell r="M2685" t="str">
            <v>No</v>
          </cell>
          <cell r="R2685" t="str">
            <v>WARREN MICHAEL</v>
          </cell>
          <cell r="W2685" t="str">
            <v>WARREN MICHAEL S MD</v>
          </cell>
          <cell r="X2685" t="str">
            <v>LINCOLN HSP</v>
          </cell>
          <cell r="Y2685" t="str">
            <v>BRONX</v>
          </cell>
          <cell r="Z2685" t="str">
            <v>NY</v>
          </cell>
          <cell r="AA2685" t="str">
            <v>10451-5589</v>
          </cell>
          <cell r="AB2685" t="str">
            <v>PHYSICIAN</v>
          </cell>
          <cell r="AC2685" t="str">
            <v>M</v>
          </cell>
          <cell r="AD2685" t="str">
            <v>No</v>
          </cell>
          <cell r="AE2685" t="str">
            <v>MMIS</v>
          </cell>
          <cell r="AF2685" t="str">
            <v>nypwestcampus</v>
          </cell>
          <cell r="AG2685" t="str">
            <v>P</v>
          </cell>
        </row>
        <row r="2686">
          <cell r="A2686" t="str">
            <v>1598702623</v>
          </cell>
          <cell r="B2686" t="str">
            <v>03556829</v>
          </cell>
          <cell r="C2686" t="str">
            <v>STEVEN WEISEN</v>
          </cell>
          <cell r="D2686" t="str">
            <v>E0345652</v>
          </cell>
          <cell r="E2686" t="str">
            <v>WEISEN STEVEN</v>
          </cell>
          <cell r="G2686" t="str">
            <v>Kathryn Spaziani</v>
          </cell>
          <cell r="H2686" t="str">
            <v>(212) 305-1190</v>
          </cell>
          <cell r="J2686" t="str">
            <v>kas9171@nyp.org</v>
          </cell>
          <cell r="L2686" t="str">
            <v>All Other:: Practitioner - Non-Primary Care Provider (PCP)</v>
          </cell>
          <cell r="M2686" t="str">
            <v>No</v>
          </cell>
          <cell r="R2686" t="str">
            <v>WEISEN STEVEN</v>
          </cell>
          <cell r="W2686" t="str">
            <v>WEISEN STEVEN FRED</v>
          </cell>
          <cell r="X2686" t="str">
            <v>2 CROSFIELD AVE STE 407</v>
          </cell>
          <cell r="Y2686" t="str">
            <v>WEST NYACK</v>
          </cell>
          <cell r="Z2686" t="str">
            <v>NY</v>
          </cell>
          <cell r="AA2686" t="str">
            <v>10994-2212</v>
          </cell>
          <cell r="AB2686" t="str">
            <v>PHYSICIAN</v>
          </cell>
          <cell r="AC2686" t="str">
            <v>M</v>
          </cell>
          <cell r="AD2686" t="str">
            <v>No</v>
          </cell>
          <cell r="AE2686" t="str">
            <v>MMIS</v>
          </cell>
          <cell r="AF2686" t="str">
            <v>nypwestcampus</v>
          </cell>
          <cell r="AG2686" t="str">
            <v>P</v>
          </cell>
        </row>
        <row r="2687">
          <cell r="A2687" t="str">
            <v>1972743938</v>
          </cell>
          <cell r="B2687" t="str">
            <v>03108830</v>
          </cell>
          <cell r="C2687" t="str">
            <v>VELEKA WILLIS</v>
          </cell>
          <cell r="D2687" t="str">
            <v>E0294085</v>
          </cell>
          <cell r="E2687" t="str">
            <v>WILLIS VELEKA M  MD</v>
          </cell>
          <cell r="G2687" t="str">
            <v>Kathryn Spaziani</v>
          </cell>
          <cell r="H2687" t="str">
            <v>(212) 305-1190</v>
          </cell>
          <cell r="J2687" t="str">
            <v>kas9171@nyp.org</v>
          </cell>
          <cell r="L2687" t="str">
            <v>Practitioner - Non-Primary Care Provider (PCP)</v>
          </cell>
          <cell r="M2687" t="str">
            <v>No</v>
          </cell>
          <cell r="R2687" t="str">
            <v>WILLIS VELEKA DR.</v>
          </cell>
          <cell r="W2687" t="str">
            <v>WILLIS VELEKA M  MD</v>
          </cell>
          <cell r="X2687" t="str">
            <v>5141 BROADWAY</v>
          </cell>
          <cell r="Y2687" t="str">
            <v>NEW YORK</v>
          </cell>
          <cell r="Z2687" t="str">
            <v>NY</v>
          </cell>
          <cell r="AA2687" t="str">
            <v>10034-1159</v>
          </cell>
          <cell r="AB2687" t="str">
            <v>PHYSICIAN</v>
          </cell>
          <cell r="AC2687" t="str">
            <v>M</v>
          </cell>
          <cell r="AD2687" t="str">
            <v>No</v>
          </cell>
          <cell r="AE2687" t="str">
            <v>MMIS</v>
          </cell>
          <cell r="AF2687" t="str">
            <v>nypwestcampus</v>
          </cell>
          <cell r="AG2687" t="str">
            <v>P</v>
          </cell>
        </row>
        <row r="2688">
          <cell r="A2688" t="str">
            <v>1790846699</v>
          </cell>
          <cell r="B2688" t="str">
            <v>01577866</v>
          </cell>
          <cell r="C2688" t="str">
            <v>RALF ZIMMERMAN</v>
          </cell>
          <cell r="D2688" t="str">
            <v>E0142218</v>
          </cell>
          <cell r="E2688" t="str">
            <v>ZIMMERMAN RALF C MD</v>
          </cell>
          <cell r="G2688" t="str">
            <v>Kathryn Spaziani</v>
          </cell>
          <cell r="H2688" t="str">
            <v>(212) 305-1190</v>
          </cell>
          <cell r="J2688" t="str">
            <v>kas9171@nyp.org</v>
          </cell>
          <cell r="L2688" t="str">
            <v>All Other:: Practitioner - Non-Primary Care Provider (PCP)</v>
          </cell>
          <cell r="M2688" t="str">
            <v>No</v>
          </cell>
          <cell r="R2688" t="str">
            <v>ZIMMERMANN RALF DR.</v>
          </cell>
          <cell r="W2688" t="str">
            <v>ZIMMERMAN RALF C MD</v>
          </cell>
          <cell r="X2688" t="str">
            <v>DEPT OB/GYN</v>
          </cell>
          <cell r="Y2688" t="str">
            <v>NEW YORK</v>
          </cell>
          <cell r="Z2688" t="str">
            <v>NY</v>
          </cell>
          <cell r="AA2688" t="str">
            <v>10032-3725</v>
          </cell>
          <cell r="AB2688" t="str">
            <v>PHYSICIAN</v>
          </cell>
          <cell r="AC2688" t="str">
            <v>M</v>
          </cell>
          <cell r="AD2688" t="str">
            <v>No</v>
          </cell>
          <cell r="AE2688" t="str">
            <v>MMIS</v>
          </cell>
          <cell r="AF2688" t="str">
            <v>nypwestcampus</v>
          </cell>
          <cell r="AG2688" t="str">
            <v>P</v>
          </cell>
        </row>
        <row r="2689">
          <cell r="A2689" t="str">
            <v>1629220926</v>
          </cell>
          <cell r="C2689" t="str">
            <v>NANCY ADDISON</v>
          </cell>
          <cell r="G2689" t="str">
            <v>Kathryn Spaziani</v>
          </cell>
          <cell r="H2689" t="str">
            <v>(212) 305-1190</v>
          </cell>
          <cell r="J2689" t="str">
            <v>kas9171@nyp.org</v>
          </cell>
          <cell r="K2689" t="str">
            <v>Unknown</v>
          </cell>
          <cell r="L2689" t="str">
            <v>Practitioner - Non-Primary Care Provider (PCP)</v>
          </cell>
          <cell r="M2689" t="str">
            <v>No</v>
          </cell>
          <cell r="R2689" t="str">
            <v>ADDISON NANCY MRS.</v>
          </cell>
          <cell r="S2689" t="str">
            <v>3069 47TH ST</v>
          </cell>
          <cell r="T2689" t="str">
            <v>ASTORIA</v>
          </cell>
          <cell r="U2689" t="str">
            <v>NY</v>
          </cell>
          <cell r="V2689" t="str">
            <v>111031522</v>
          </cell>
          <cell r="AC2689" t="str">
            <v>M</v>
          </cell>
          <cell r="AD2689" t="str">
            <v>No</v>
          </cell>
          <cell r="AE2689" t="str">
            <v>NPI only</v>
          </cell>
          <cell r="AF2689" t="str">
            <v>nypwestacn</v>
          </cell>
          <cell r="AG2689" t="str">
            <v>P</v>
          </cell>
        </row>
        <row r="2690">
          <cell r="A2690" t="str">
            <v>1063657492</v>
          </cell>
          <cell r="B2690" t="str">
            <v>03100089</v>
          </cell>
          <cell r="C2690" t="str">
            <v>CARMEN ADORNO-SMAKOVIC</v>
          </cell>
          <cell r="D2690" t="str">
            <v>E0293042</v>
          </cell>
          <cell r="E2690" t="str">
            <v>ADORNO CARMEN</v>
          </cell>
          <cell r="G2690" t="str">
            <v>Kathryn Spaziani</v>
          </cell>
          <cell r="H2690" t="str">
            <v>(212) 305-1190</v>
          </cell>
          <cell r="J2690" t="str">
            <v>kas9171@nyp.org</v>
          </cell>
          <cell r="L2690" t="str">
            <v>Practitioner - Non-Primary Care Provider (PCP)</v>
          </cell>
          <cell r="M2690" t="str">
            <v>No</v>
          </cell>
          <cell r="R2690" t="str">
            <v>ADORNO CARMEN MS.</v>
          </cell>
          <cell r="W2690" t="str">
            <v>ADORNO CARMEN</v>
          </cell>
          <cell r="X2690" t="str">
            <v>21 AUDUBON AVE</v>
          </cell>
          <cell r="Y2690" t="str">
            <v>NEW YORK</v>
          </cell>
          <cell r="Z2690" t="str">
            <v>NY</v>
          </cell>
          <cell r="AA2690" t="str">
            <v>10032-4220</v>
          </cell>
          <cell r="AB2690" t="str">
            <v>CLINICAL SOCIAL WORKER (CSW)</v>
          </cell>
          <cell r="AC2690" t="str">
            <v>M</v>
          </cell>
          <cell r="AD2690" t="str">
            <v>No</v>
          </cell>
          <cell r="AE2690" t="str">
            <v>MMIS</v>
          </cell>
          <cell r="AF2690" t="str">
            <v>nypwestacn</v>
          </cell>
          <cell r="AG2690" t="str">
            <v>P</v>
          </cell>
        </row>
        <row r="2691">
          <cell r="A2691" t="str">
            <v>1881918886</v>
          </cell>
          <cell r="B2691" t="str">
            <v>03853803</v>
          </cell>
          <cell r="C2691" t="str">
            <v>ALBERTO ALONSO</v>
          </cell>
          <cell r="D2691" t="str">
            <v>E0376366</v>
          </cell>
          <cell r="E2691" t="str">
            <v>ALONSO ALBERTO</v>
          </cell>
          <cell r="G2691" t="str">
            <v>Kathryn Spaziani</v>
          </cell>
          <cell r="H2691" t="str">
            <v>(212) 305-1190</v>
          </cell>
          <cell r="J2691" t="str">
            <v>kas9171@nyp.org</v>
          </cell>
          <cell r="L2691" t="str">
            <v>Practitioner - Non-Primary Care Provider (PCP)</v>
          </cell>
          <cell r="M2691" t="str">
            <v>No</v>
          </cell>
          <cell r="R2691" t="str">
            <v>ALONSO ALBERTO MR.</v>
          </cell>
          <cell r="W2691" t="str">
            <v>ALONSO ALBERTO</v>
          </cell>
          <cell r="X2691" t="str">
            <v>53 W 23RD ST FL 6</v>
          </cell>
          <cell r="Y2691" t="str">
            <v>NEW YORK</v>
          </cell>
          <cell r="Z2691" t="str">
            <v>NY</v>
          </cell>
          <cell r="AA2691" t="str">
            <v>10010-4237</v>
          </cell>
          <cell r="AB2691" t="str">
            <v>CLINICAL SOCIAL WORKER (CSW)</v>
          </cell>
          <cell r="AC2691" t="str">
            <v>M</v>
          </cell>
          <cell r="AD2691" t="str">
            <v>No</v>
          </cell>
          <cell r="AE2691" t="str">
            <v>MMIS</v>
          </cell>
          <cell r="AF2691" t="str">
            <v>nypeastacn</v>
          </cell>
          <cell r="AG2691" t="str">
            <v>P</v>
          </cell>
        </row>
        <row r="2692">
          <cell r="A2692" t="str">
            <v>1134332901</v>
          </cell>
          <cell r="B2692" t="str">
            <v>03090315</v>
          </cell>
          <cell r="C2692" t="str">
            <v>SARAH ANDREWS</v>
          </cell>
          <cell r="D2692" t="str">
            <v>E0291890</v>
          </cell>
          <cell r="E2692" t="str">
            <v>ANDREWS SARAH</v>
          </cell>
          <cell r="G2692" t="str">
            <v>Kathryn Spaziani</v>
          </cell>
          <cell r="H2692" t="str">
            <v>(212) 305-1190</v>
          </cell>
          <cell r="J2692" t="str">
            <v>kas9171@nyp.org</v>
          </cell>
          <cell r="L2692" t="str">
            <v>Uncategorized</v>
          </cell>
          <cell r="M2692" t="str">
            <v>No</v>
          </cell>
          <cell r="R2692" t="str">
            <v>ANDREWS SARAH MRS.</v>
          </cell>
          <cell r="W2692" t="str">
            <v>ANDREWS SARAH</v>
          </cell>
          <cell r="X2692" t="str">
            <v>BAKER 525 E. 68TH ST</v>
          </cell>
          <cell r="Y2692" t="str">
            <v>NEW YORK</v>
          </cell>
          <cell r="Z2692" t="str">
            <v>NY</v>
          </cell>
          <cell r="AA2692" t="str">
            <v>10021</v>
          </cell>
          <cell r="AB2692" t="str">
            <v>CLINICAL SOCIAL WORKER (CSW)</v>
          </cell>
          <cell r="AC2692" t="str">
            <v>M</v>
          </cell>
          <cell r="AD2692" t="str">
            <v>No</v>
          </cell>
          <cell r="AE2692" t="str">
            <v>MMIS</v>
          </cell>
          <cell r="AF2692" t="str">
            <v>nypother</v>
          </cell>
          <cell r="AG2692" t="str">
            <v>P</v>
          </cell>
        </row>
        <row r="2693">
          <cell r="A2693" t="str">
            <v>1194038091</v>
          </cell>
          <cell r="B2693" t="str">
            <v>03285403</v>
          </cell>
          <cell r="C2693" t="str">
            <v>ARLENE AVILES</v>
          </cell>
          <cell r="D2693" t="str">
            <v>E0314075</v>
          </cell>
          <cell r="E2693" t="str">
            <v>AVILES ARLENE</v>
          </cell>
          <cell r="G2693" t="str">
            <v>Kathryn Spaziani</v>
          </cell>
          <cell r="H2693" t="str">
            <v>(212) 305-1190</v>
          </cell>
          <cell r="J2693" t="str">
            <v>kas9171@nyp.org</v>
          </cell>
          <cell r="L2693" t="str">
            <v>Uncategorized</v>
          </cell>
          <cell r="M2693" t="str">
            <v>No</v>
          </cell>
          <cell r="R2693" t="str">
            <v>AVILES ARLENE MS.</v>
          </cell>
          <cell r="W2693" t="str">
            <v>AVILES ARLENE</v>
          </cell>
          <cell r="X2693" t="str">
            <v>119 W 24TH ST</v>
          </cell>
          <cell r="Y2693" t="str">
            <v>NEW YORK</v>
          </cell>
          <cell r="Z2693" t="str">
            <v>NY</v>
          </cell>
          <cell r="AA2693" t="str">
            <v>10011-1913</v>
          </cell>
          <cell r="AB2693" t="str">
            <v>CLINICAL SOCIAL WORKER (CSW)</v>
          </cell>
          <cell r="AC2693" t="str">
            <v>M</v>
          </cell>
          <cell r="AD2693" t="str">
            <v>No</v>
          </cell>
          <cell r="AE2693" t="str">
            <v>MMIS</v>
          </cell>
          <cell r="AF2693" t="str">
            <v>nypeastacn</v>
          </cell>
          <cell r="AG2693" t="str">
            <v>P</v>
          </cell>
        </row>
        <row r="2694">
          <cell r="A2694" t="str">
            <v>1538593066</v>
          </cell>
          <cell r="B2694" t="str">
            <v>03853936</v>
          </cell>
          <cell r="C2694" t="str">
            <v>JENNER BASTIDAS</v>
          </cell>
          <cell r="D2694" t="str">
            <v>E0376379</v>
          </cell>
          <cell r="E2694" t="str">
            <v>BASTIDAS JENNER</v>
          </cell>
          <cell r="G2694" t="str">
            <v>Kathryn Spaziani</v>
          </cell>
          <cell r="H2694" t="str">
            <v>(212) 305-1190</v>
          </cell>
          <cell r="J2694" t="str">
            <v>kas9171@nyp.org</v>
          </cell>
          <cell r="L2694" t="str">
            <v>Practitioner - Non-Primary Care Provider (PCP)</v>
          </cell>
          <cell r="M2694" t="str">
            <v>No</v>
          </cell>
          <cell r="R2694" t="str">
            <v>BASTIDAS JENNER MS.</v>
          </cell>
          <cell r="W2694" t="str">
            <v>BASTIDAS JENNER</v>
          </cell>
          <cell r="X2694" t="str">
            <v>610 WEST 158TH STREE</v>
          </cell>
          <cell r="Y2694" t="str">
            <v>NEW YORK</v>
          </cell>
          <cell r="Z2694" t="str">
            <v>NY</v>
          </cell>
          <cell r="AA2694" t="str">
            <v>10032</v>
          </cell>
          <cell r="AB2694" t="str">
            <v>CLINICAL SOCIAL WORKER (CSW)</v>
          </cell>
          <cell r="AC2694" t="str">
            <v>M</v>
          </cell>
          <cell r="AD2694" t="str">
            <v>No</v>
          </cell>
          <cell r="AE2694" t="str">
            <v>MMIS</v>
          </cell>
          <cell r="AF2694" t="str">
            <v>nypwestacn</v>
          </cell>
          <cell r="AG2694" t="str">
            <v>P</v>
          </cell>
        </row>
        <row r="2695">
          <cell r="A2695" t="str">
            <v>1538568670</v>
          </cell>
          <cell r="B2695" t="str">
            <v>03913393</v>
          </cell>
          <cell r="C2695" t="str">
            <v>YADIRA BATIZ DOLMO</v>
          </cell>
          <cell r="D2695" t="str">
            <v>E0382469</v>
          </cell>
          <cell r="E2695" t="str">
            <v>BATIZ DOLMO YADIRA PATRICIA</v>
          </cell>
          <cell r="G2695" t="str">
            <v>Kathryn Spaziani</v>
          </cell>
          <cell r="H2695" t="str">
            <v>(212) 305-1190</v>
          </cell>
          <cell r="J2695" t="str">
            <v>kas9171@nyp.org</v>
          </cell>
          <cell r="L2695" t="str">
            <v>Practitioner - Non-Primary Care Provider (PCP)</v>
          </cell>
          <cell r="M2695" t="str">
            <v>No</v>
          </cell>
          <cell r="R2695" t="str">
            <v>BATIZ DOLMO YADIRA DR.</v>
          </cell>
          <cell r="W2695" t="str">
            <v>BATIZ DOLMO YADIRA PATRICIA</v>
          </cell>
          <cell r="X2695" t="str">
            <v>99 TERRACE VIEW AVE</v>
          </cell>
          <cell r="Y2695" t="str">
            <v>BRONX</v>
          </cell>
          <cell r="Z2695" t="str">
            <v>NY</v>
          </cell>
          <cell r="AA2695" t="str">
            <v>10463-5079</v>
          </cell>
          <cell r="AB2695" t="str">
            <v>CLINICAL PSYCHOLOGIST</v>
          </cell>
          <cell r="AC2695" t="str">
            <v>M</v>
          </cell>
          <cell r="AD2695" t="str">
            <v>No</v>
          </cell>
          <cell r="AE2695" t="str">
            <v>MMIS</v>
          </cell>
          <cell r="AF2695" t="str">
            <v>nypwestacn</v>
          </cell>
          <cell r="AG2695" t="str">
            <v>P</v>
          </cell>
        </row>
        <row r="2696">
          <cell r="A2696" t="str">
            <v>1033452792</v>
          </cell>
          <cell r="B2696" t="str">
            <v>03687294</v>
          </cell>
          <cell r="C2696" t="str">
            <v>ELYSSA BAUMOHL</v>
          </cell>
          <cell r="D2696" t="str">
            <v>E0359221</v>
          </cell>
          <cell r="E2696" t="str">
            <v>BAUMOHL ELYSSA</v>
          </cell>
          <cell r="G2696" t="str">
            <v>Kathryn Spaziani</v>
          </cell>
          <cell r="H2696" t="str">
            <v>(212) 305-1190</v>
          </cell>
          <cell r="J2696" t="str">
            <v>kas9171@nyp.org</v>
          </cell>
          <cell r="L2696" t="str">
            <v>Practitioner - Non-Primary Care Provider (PCP)</v>
          </cell>
          <cell r="M2696" t="str">
            <v>No</v>
          </cell>
          <cell r="R2696" t="str">
            <v>BAUMOHL ELYSSA MS.</v>
          </cell>
          <cell r="W2696" t="str">
            <v>BAUMOHL ELYSSA</v>
          </cell>
          <cell r="X2696" t="str">
            <v>505 E 70TH ST</v>
          </cell>
          <cell r="Y2696" t="str">
            <v>NEW YORK</v>
          </cell>
          <cell r="Z2696" t="str">
            <v>NY</v>
          </cell>
          <cell r="AA2696" t="str">
            <v>10021-4872</v>
          </cell>
          <cell r="AB2696" t="str">
            <v>CLINICAL SOCIAL WORKER (CSW)</v>
          </cell>
          <cell r="AC2696" t="str">
            <v>M</v>
          </cell>
          <cell r="AD2696" t="str">
            <v>No</v>
          </cell>
          <cell r="AE2696" t="str">
            <v>MMIS</v>
          </cell>
          <cell r="AF2696" t="str">
            <v>nypeastacn</v>
          </cell>
          <cell r="AG2696" t="str">
            <v>P</v>
          </cell>
        </row>
        <row r="2697">
          <cell r="A2697" t="str">
            <v>1417008129</v>
          </cell>
          <cell r="B2697" t="str">
            <v>03285467</v>
          </cell>
          <cell r="C2697" t="str">
            <v>MARLA BERMAN</v>
          </cell>
          <cell r="D2697" t="str">
            <v>E0314081</v>
          </cell>
          <cell r="E2697" t="str">
            <v>BERMAN MARLA</v>
          </cell>
          <cell r="G2697" t="str">
            <v>Kathryn Spaziani</v>
          </cell>
          <cell r="H2697" t="str">
            <v>(212) 305-1190</v>
          </cell>
          <cell r="J2697" t="str">
            <v>kas9171@nyp.org</v>
          </cell>
          <cell r="L2697" t="str">
            <v>Uncategorized</v>
          </cell>
          <cell r="M2697" t="str">
            <v>No</v>
          </cell>
          <cell r="R2697" t="str">
            <v>BERMAN MARLA MS.</v>
          </cell>
          <cell r="W2697" t="str">
            <v>BERMAN MARLA</v>
          </cell>
          <cell r="X2697" t="str">
            <v>119 W 24TH ST</v>
          </cell>
          <cell r="Y2697" t="str">
            <v>NEW YORK</v>
          </cell>
          <cell r="Z2697" t="str">
            <v>NY</v>
          </cell>
          <cell r="AA2697" t="str">
            <v>10011-1913</v>
          </cell>
          <cell r="AB2697" t="str">
            <v>CLINICAL SOCIAL WORKER (CSW)</v>
          </cell>
          <cell r="AC2697" t="str">
            <v>M</v>
          </cell>
          <cell r="AD2697" t="str">
            <v>No</v>
          </cell>
          <cell r="AE2697" t="str">
            <v>MMIS</v>
          </cell>
          <cell r="AF2697" t="str">
            <v>nypeastacn</v>
          </cell>
          <cell r="AG2697" t="str">
            <v>P</v>
          </cell>
        </row>
        <row r="2698">
          <cell r="A2698" t="str">
            <v>1235370701</v>
          </cell>
          <cell r="B2698" t="str">
            <v>03100149</v>
          </cell>
          <cell r="C2698" t="str">
            <v>LISETTE BLANCO-WOLF</v>
          </cell>
          <cell r="D2698" t="str">
            <v>E0293048</v>
          </cell>
          <cell r="E2698" t="str">
            <v>BLANCO LISETTE</v>
          </cell>
          <cell r="G2698" t="str">
            <v>Kathryn Spaziani</v>
          </cell>
          <cell r="H2698" t="str">
            <v>(212) 305-1190</v>
          </cell>
          <cell r="J2698" t="str">
            <v>kas9171@nyp.org</v>
          </cell>
          <cell r="L2698" t="str">
            <v>Practitioner - Non-Primary Care Provider (PCP)</v>
          </cell>
          <cell r="M2698" t="str">
            <v>No</v>
          </cell>
          <cell r="R2698" t="str">
            <v>BLANCO LISETTE MS.</v>
          </cell>
          <cell r="W2698" t="str">
            <v>BLANCO LISETTE</v>
          </cell>
          <cell r="X2698" t="str">
            <v>622 W 168TH ST FL 2</v>
          </cell>
          <cell r="Y2698" t="str">
            <v>NEW YORK</v>
          </cell>
          <cell r="Z2698" t="str">
            <v>NY</v>
          </cell>
          <cell r="AA2698" t="str">
            <v>10032-3720</v>
          </cell>
          <cell r="AB2698" t="str">
            <v>CLINICAL SOCIAL WORKER (CSW)</v>
          </cell>
          <cell r="AC2698" t="str">
            <v>M</v>
          </cell>
          <cell r="AD2698" t="str">
            <v>No</v>
          </cell>
          <cell r="AE2698" t="str">
            <v>MMIS</v>
          </cell>
          <cell r="AF2698" t="str">
            <v>nypwestacn</v>
          </cell>
          <cell r="AG2698" t="str">
            <v>P</v>
          </cell>
        </row>
        <row r="2699">
          <cell r="A2699" t="str">
            <v>1578895603</v>
          </cell>
          <cell r="B2699" t="str">
            <v>04010591</v>
          </cell>
          <cell r="C2699" t="str">
            <v>JULIANA BLITZER</v>
          </cell>
          <cell r="D2699" t="str">
            <v>E0392525</v>
          </cell>
          <cell r="E2699" t="str">
            <v>BLITZER JULIANA R</v>
          </cell>
          <cell r="G2699" t="str">
            <v>Kathryn Spaziani</v>
          </cell>
          <cell r="H2699" t="str">
            <v>(212) 305-1190</v>
          </cell>
          <cell r="J2699" t="str">
            <v>kas9171@nyp.org</v>
          </cell>
          <cell r="L2699" t="str">
            <v>Practitioner - Non-Primary Care Provider (PCP)</v>
          </cell>
          <cell r="M2699" t="str">
            <v>No</v>
          </cell>
          <cell r="R2699" t="str">
            <v>BLITZER JULIANA MS.</v>
          </cell>
          <cell r="W2699" t="str">
            <v>BLITZER JULIANA R</v>
          </cell>
          <cell r="X2699" t="str">
            <v>99 TERRACE VIEW AVE</v>
          </cell>
          <cell r="Y2699" t="str">
            <v>BRONX</v>
          </cell>
          <cell r="Z2699" t="str">
            <v>NY</v>
          </cell>
          <cell r="AA2699" t="str">
            <v>10463-5079</v>
          </cell>
          <cell r="AB2699" t="str">
            <v>CLINICAL PSYCHOLOGIST</v>
          </cell>
          <cell r="AC2699" t="str">
            <v>M</v>
          </cell>
          <cell r="AD2699" t="str">
            <v>No</v>
          </cell>
          <cell r="AE2699" t="str">
            <v>MMIS</v>
          </cell>
          <cell r="AF2699" t="str">
            <v>nypwestacn</v>
          </cell>
          <cell r="AG2699" t="str">
            <v>P</v>
          </cell>
        </row>
        <row r="2700">
          <cell r="A2700" t="str">
            <v>1306025168</v>
          </cell>
          <cell r="B2700" t="str">
            <v>03284755</v>
          </cell>
          <cell r="C2700" t="str">
            <v>BERTHA BOGDAN</v>
          </cell>
          <cell r="D2700" t="str">
            <v>E0314010</v>
          </cell>
          <cell r="E2700" t="str">
            <v>BOGDAN BERTHA ISABEL</v>
          </cell>
          <cell r="G2700" t="str">
            <v>Kathryn Spaziani</v>
          </cell>
          <cell r="H2700" t="str">
            <v>(212) 305-1190</v>
          </cell>
          <cell r="J2700" t="str">
            <v>kas9171@nyp.org</v>
          </cell>
          <cell r="L2700" t="str">
            <v>All Other:: Practitioner - Non-Primary Care Provider (PCP)</v>
          </cell>
          <cell r="M2700" t="str">
            <v>No</v>
          </cell>
          <cell r="R2700" t="str">
            <v>BOGDAN BERTHA MRS.</v>
          </cell>
          <cell r="W2700" t="str">
            <v>BOGDAN BERTHA ISABEL</v>
          </cell>
          <cell r="X2700" t="str">
            <v>215 E 95TH ST</v>
          </cell>
          <cell r="Y2700" t="str">
            <v>NEW YORK</v>
          </cell>
          <cell r="Z2700" t="str">
            <v>NY</v>
          </cell>
          <cell r="AA2700" t="str">
            <v>10128-4077</v>
          </cell>
          <cell r="AB2700" t="str">
            <v>PHYSICIAN</v>
          </cell>
          <cell r="AC2700" t="str">
            <v>M</v>
          </cell>
          <cell r="AD2700" t="str">
            <v>No</v>
          </cell>
          <cell r="AE2700" t="str">
            <v>MMIS</v>
          </cell>
          <cell r="AF2700" t="str">
            <v>nypwestacn</v>
          </cell>
          <cell r="AG2700" t="str">
            <v>P</v>
          </cell>
        </row>
        <row r="2701">
          <cell r="A2701" t="str">
            <v>1184877037</v>
          </cell>
          <cell r="B2701" t="str">
            <v>03191022</v>
          </cell>
          <cell r="C2701" t="str">
            <v>CARROL BRANDT</v>
          </cell>
          <cell r="D2701" t="str">
            <v>E0303427</v>
          </cell>
          <cell r="E2701" t="str">
            <v>BRANDT CARROL</v>
          </cell>
          <cell r="G2701" t="str">
            <v>Kathryn Spaziani</v>
          </cell>
          <cell r="H2701" t="str">
            <v>(212) 305-1190</v>
          </cell>
          <cell r="J2701" t="str">
            <v>kas9171@nyp.org</v>
          </cell>
          <cell r="L2701" t="str">
            <v>Practitioner - Non-Primary Care Provider (PCP)</v>
          </cell>
          <cell r="M2701" t="str">
            <v>No</v>
          </cell>
          <cell r="R2701" t="str">
            <v>BRANDT CARROL</v>
          </cell>
          <cell r="W2701" t="str">
            <v>BRANDT CARROL</v>
          </cell>
          <cell r="X2701" t="str">
            <v>505 E 70TH ST</v>
          </cell>
          <cell r="Y2701" t="str">
            <v>NEW YORK</v>
          </cell>
          <cell r="Z2701" t="str">
            <v>NY</v>
          </cell>
          <cell r="AA2701" t="str">
            <v>10021-4872</v>
          </cell>
          <cell r="AB2701" t="str">
            <v>PHYSICIAN</v>
          </cell>
          <cell r="AC2701" t="str">
            <v>M</v>
          </cell>
          <cell r="AD2701" t="str">
            <v>No</v>
          </cell>
          <cell r="AE2701" t="str">
            <v>MMIS</v>
          </cell>
          <cell r="AF2701" t="str">
            <v>nypeastacn</v>
          </cell>
          <cell r="AG2701" t="str">
            <v>P</v>
          </cell>
        </row>
        <row r="2702">
          <cell r="A2702" t="str">
            <v>1427062991</v>
          </cell>
          <cell r="B2702" t="str">
            <v>02910709</v>
          </cell>
          <cell r="C2702" t="str">
            <v>DANIELLE BRECHTER</v>
          </cell>
          <cell r="D2702" t="str">
            <v>E0009137</v>
          </cell>
          <cell r="E2702" t="str">
            <v>BRECHTER DANIELE LYNETTE RN</v>
          </cell>
          <cell r="G2702" t="str">
            <v>Kathryn Spaziani</v>
          </cell>
          <cell r="H2702" t="str">
            <v>(212) 305-1190</v>
          </cell>
          <cell r="J2702" t="str">
            <v>kas9171@nyp.org</v>
          </cell>
          <cell r="L2702" t="str">
            <v>All Other:: Practitioner - Primary Care Provider (PCP)</v>
          </cell>
          <cell r="M2702" t="str">
            <v>No</v>
          </cell>
          <cell r="R2702" t="str">
            <v>BRECHTER DANIELLE MRS.</v>
          </cell>
          <cell r="W2702" t="str">
            <v>BRECHTER DANIELE LYNETTE RN</v>
          </cell>
          <cell r="X2702" t="str">
            <v>300 CENTER DR</v>
          </cell>
          <cell r="Y2702" t="str">
            <v>RIVERHEAD</v>
          </cell>
          <cell r="Z2702" t="str">
            <v>NY</v>
          </cell>
          <cell r="AA2702" t="str">
            <v>11901-3393</v>
          </cell>
          <cell r="AB2702" t="str">
            <v>MULTI-TYPE</v>
          </cell>
          <cell r="AC2702" t="str">
            <v>M</v>
          </cell>
          <cell r="AD2702" t="str">
            <v>No</v>
          </cell>
          <cell r="AE2702" t="str">
            <v>MMIS</v>
          </cell>
          <cell r="AF2702" t="str">
            <v>nypother</v>
          </cell>
          <cell r="AG2702" t="str">
            <v>P</v>
          </cell>
        </row>
        <row r="2703">
          <cell r="A2703" t="str">
            <v>1356474837</v>
          </cell>
          <cell r="B2703" t="str">
            <v>04010606</v>
          </cell>
          <cell r="C2703" t="str">
            <v>CATHERINA BURNS</v>
          </cell>
          <cell r="D2703" t="str">
            <v>E0392527</v>
          </cell>
          <cell r="E2703" t="str">
            <v>BURNS CATHERINA</v>
          </cell>
          <cell r="G2703" t="str">
            <v>Kathryn Spaziani</v>
          </cell>
          <cell r="H2703" t="str">
            <v>(212) 305-1190</v>
          </cell>
          <cell r="J2703" t="str">
            <v>kas9171@nyp.org</v>
          </cell>
          <cell r="L2703" t="str">
            <v>Practitioner - Non-Primary Care Provider (PCP)</v>
          </cell>
          <cell r="M2703" t="str">
            <v>No</v>
          </cell>
          <cell r="R2703" t="str">
            <v>BURNS CATHERINA DR.</v>
          </cell>
          <cell r="W2703" t="str">
            <v>BURNS CATHERINA</v>
          </cell>
          <cell r="X2703" t="str">
            <v>515 W 182ND ST RM 101</v>
          </cell>
          <cell r="Y2703" t="str">
            <v>NEW YORK</v>
          </cell>
          <cell r="Z2703" t="str">
            <v>NY</v>
          </cell>
          <cell r="AA2703" t="str">
            <v>10033-5107</v>
          </cell>
          <cell r="AB2703" t="str">
            <v>CLINICAL PSYCHOLOGIST</v>
          </cell>
          <cell r="AC2703" t="str">
            <v>M</v>
          </cell>
          <cell r="AD2703" t="str">
            <v>No</v>
          </cell>
          <cell r="AE2703" t="str">
            <v>MMIS</v>
          </cell>
          <cell r="AF2703" t="str">
            <v>nypother</v>
          </cell>
          <cell r="AG2703" t="str">
            <v>P</v>
          </cell>
        </row>
        <row r="2704">
          <cell r="A2704" t="str">
            <v>1902200207</v>
          </cell>
          <cell r="B2704" t="str">
            <v>03948923</v>
          </cell>
          <cell r="C2704" t="str">
            <v>AMANDA CAMPOS</v>
          </cell>
          <cell r="D2704" t="str">
            <v>E0386166</v>
          </cell>
          <cell r="E2704" t="str">
            <v>CAMPOS AMANDA</v>
          </cell>
          <cell r="G2704" t="str">
            <v>Kathryn Spaziani</v>
          </cell>
          <cell r="H2704" t="str">
            <v>(212) 305-1190</v>
          </cell>
          <cell r="J2704" t="str">
            <v>kas9171@nyp.org</v>
          </cell>
          <cell r="L2704" t="str">
            <v>Practitioner - Non-Primary Care Provider (PCP)</v>
          </cell>
          <cell r="M2704" t="str">
            <v>No</v>
          </cell>
          <cell r="R2704" t="str">
            <v>CAMPOS AMANDA</v>
          </cell>
          <cell r="W2704" t="str">
            <v>CAMPOS AMANDA</v>
          </cell>
          <cell r="X2704" t="str">
            <v>622 WEST 168TH STREE</v>
          </cell>
          <cell r="Y2704" t="str">
            <v>NEW YORK</v>
          </cell>
          <cell r="Z2704" t="str">
            <v>NY</v>
          </cell>
          <cell r="AA2704" t="str">
            <v>10032</v>
          </cell>
          <cell r="AB2704" t="str">
            <v>CLINICAL SOCIAL WORKER (CSW)</v>
          </cell>
          <cell r="AC2704" t="str">
            <v>M</v>
          </cell>
          <cell r="AD2704" t="str">
            <v>No</v>
          </cell>
          <cell r="AE2704" t="str">
            <v>MMIS</v>
          </cell>
          <cell r="AF2704" t="str">
            <v>nypwestacn</v>
          </cell>
          <cell r="AG2704" t="str">
            <v>P</v>
          </cell>
        </row>
        <row r="2705">
          <cell r="A2705" t="str">
            <v>1437297520</v>
          </cell>
          <cell r="B2705" t="str">
            <v>01779822</v>
          </cell>
          <cell r="C2705" t="str">
            <v>KIM CARAWAY</v>
          </cell>
          <cell r="D2705" t="str">
            <v>E0122047</v>
          </cell>
          <cell r="E2705" t="str">
            <v>CARAWAY KIM K CNM</v>
          </cell>
          <cell r="G2705" t="str">
            <v>Kathryn Spaziani</v>
          </cell>
          <cell r="H2705" t="str">
            <v>(212) 305-1190</v>
          </cell>
          <cell r="J2705" t="str">
            <v>kas9171@nyp.org</v>
          </cell>
          <cell r="L2705" t="str">
            <v>All Other:: Practitioner - Primary Care Provider (PCP)</v>
          </cell>
          <cell r="M2705" t="str">
            <v>Yes</v>
          </cell>
          <cell r="R2705" t="str">
            <v>CARAWAY KIM</v>
          </cell>
          <cell r="W2705" t="str">
            <v>CARAWAY KIM K CNM</v>
          </cell>
          <cell r="Y2705" t="str">
            <v>BRONX</v>
          </cell>
          <cell r="Z2705" t="str">
            <v>NY</v>
          </cell>
          <cell r="AA2705" t="str">
            <v>10451-5589</v>
          </cell>
          <cell r="AB2705" t="str">
            <v>NURSE</v>
          </cell>
          <cell r="AC2705" t="str">
            <v>M</v>
          </cell>
          <cell r="AD2705" t="str">
            <v>No</v>
          </cell>
          <cell r="AE2705" t="str">
            <v>MMIS</v>
          </cell>
          <cell r="AF2705" t="str">
            <v>nypwestacn</v>
          </cell>
          <cell r="AG2705" t="str">
            <v>P</v>
          </cell>
        </row>
        <row r="2706">
          <cell r="A2706" t="str">
            <v>1457698011</v>
          </cell>
          <cell r="C2706" t="str">
            <v>CHRISTINE CASAS</v>
          </cell>
          <cell r="G2706" t="str">
            <v>Kathryn Spaziani</v>
          </cell>
          <cell r="H2706" t="str">
            <v>(212) 305-1190</v>
          </cell>
          <cell r="J2706" t="str">
            <v>kas9171@nyp.org</v>
          </cell>
          <cell r="K2706" t="str">
            <v>Unknown</v>
          </cell>
          <cell r="L2706" t="str">
            <v>Practitioner - Non-Primary Care Provider (PCP)</v>
          </cell>
          <cell r="M2706" t="str">
            <v>No</v>
          </cell>
          <cell r="R2706" t="str">
            <v>CASAS CHRISTINE MS.</v>
          </cell>
          <cell r="S2706" t="str">
            <v>177 FORT WASHINGTON AVE, 8SK</v>
          </cell>
          <cell r="T2706" t="str">
            <v>NEW YORK</v>
          </cell>
          <cell r="U2706" t="str">
            <v>NY</v>
          </cell>
          <cell r="V2706" t="str">
            <v>100323733</v>
          </cell>
          <cell r="AC2706" t="str">
            <v>M</v>
          </cell>
          <cell r="AD2706" t="str">
            <v>No</v>
          </cell>
          <cell r="AE2706" t="str">
            <v>NPI only</v>
          </cell>
          <cell r="AF2706" t="str">
            <v>nypwestacn</v>
          </cell>
          <cell r="AG2706" t="str">
            <v>P</v>
          </cell>
        </row>
        <row r="2707">
          <cell r="A2707" t="str">
            <v>1417269952</v>
          </cell>
          <cell r="B2707" t="str">
            <v>03285509</v>
          </cell>
          <cell r="C2707" t="str">
            <v>MICHELLE COTUGNO</v>
          </cell>
          <cell r="D2707" t="str">
            <v>E0314085</v>
          </cell>
          <cell r="E2707" t="str">
            <v>COTUGNO MICHELLE</v>
          </cell>
          <cell r="G2707" t="str">
            <v>Kathryn Spaziani</v>
          </cell>
          <cell r="H2707" t="str">
            <v>(212) 305-1190</v>
          </cell>
          <cell r="J2707" t="str">
            <v>kas9171@nyp.org</v>
          </cell>
          <cell r="L2707" t="str">
            <v>Practitioner - Non-Primary Care Provider (PCP)</v>
          </cell>
          <cell r="M2707" t="str">
            <v>No</v>
          </cell>
          <cell r="R2707" t="str">
            <v>COTUGNO MICHELLE</v>
          </cell>
          <cell r="W2707" t="str">
            <v>COTUGNO MICHELLE</v>
          </cell>
          <cell r="X2707" t="str">
            <v>BAKER 525 E 68TH ST</v>
          </cell>
          <cell r="Y2707" t="str">
            <v>NEW YORK</v>
          </cell>
          <cell r="Z2707" t="str">
            <v>NY</v>
          </cell>
          <cell r="AA2707" t="str">
            <v>10021-0000</v>
          </cell>
          <cell r="AB2707" t="str">
            <v>CLINICAL SOCIAL WORKER (CSW)</v>
          </cell>
          <cell r="AC2707" t="str">
            <v>M</v>
          </cell>
          <cell r="AD2707" t="str">
            <v>No</v>
          </cell>
          <cell r="AE2707" t="str">
            <v>MMIS</v>
          </cell>
          <cell r="AF2707" t="str">
            <v>nypeastacn</v>
          </cell>
          <cell r="AG2707" t="str">
            <v>P</v>
          </cell>
        </row>
        <row r="2708">
          <cell r="A2708" t="str">
            <v>1497995559</v>
          </cell>
          <cell r="B2708" t="str">
            <v>03099896</v>
          </cell>
          <cell r="C2708" t="str">
            <v>AMY CRUMLY</v>
          </cell>
          <cell r="D2708" t="str">
            <v>E0293023</v>
          </cell>
          <cell r="E2708" t="str">
            <v>CRUMLY AMY</v>
          </cell>
          <cell r="G2708" t="str">
            <v>Kathryn Spaziani</v>
          </cell>
          <cell r="H2708" t="str">
            <v>(212) 305-1190</v>
          </cell>
          <cell r="J2708" t="str">
            <v>kas9171@nyp.org</v>
          </cell>
          <cell r="L2708" t="str">
            <v>Practitioner - Non-Primary Care Provider (PCP)</v>
          </cell>
          <cell r="M2708" t="str">
            <v>No</v>
          </cell>
          <cell r="R2708" t="str">
            <v>CRUMLY AMY DR.</v>
          </cell>
          <cell r="W2708" t="str">
            <v>CRUMLY AMY L</v>
          </cell>
          <cell r="X2708" t="str">
            <v>610 W 158TH ST</v>
          </cell>
          <cell r="Y2708" t="str">
            <v>NEW YORK</v>
          </cell>
          <cell r="Z2708" t="str">
            <v>NY</v>
          </cell>
          <cell r="AA2708" t="str">
            <v>10032-7104</v>
          </cell>
          <cell r="AB2708" t="str">
            <v>CLINICAL SOCIAL WORKER (CSW)</v>
          </cell>
          <cell r="AC2708" t="str">
            <v>M</v>
          </cell>
          <cell r="AD2708" t="str">
            <v>No</v>
          </cell>
          <cell r="AE2708" t="str">
            <v>MMIS</v>
          </cell>
          <cell r="AF2708" t="str">
            <v>nypwestacn</v>
          </cell>
          <cell r="AG2708" t="str">
            <v>P</v>
          </cell>
        </row>
        <row r="2709">
          <cell r="A2709" t="str">
            <v>1871821249</v>
          </cell>
          <cell r="B2709" t="str">
            <v>03181528</v>
          </cell>
          <cell r="C2709" t="str">
            <v>ANGEL CRUZ</v>
          </cell>
          <cell r="D2709" t="str">
            <v>E0302339</v>
          </cell>
          <cell r="E2709" t="str">
            <v>CRUZ ANGEL</v>
          </cell>
          <cell r="G2709" t="str">
            <v>Kathryn Spaziani</v>
          </cell>
          <cell r="H2709" t="str">
            <v>(212) 305-1190</v>
          </cell>
          <cell r="J2709" t="str">
            <v>kas9171@nyp.org</v>
          </cell>
          <cell r="L2709" t="str">
            <v>Practitioner - Non-Primary Care Provider (PCP)</v>
          </cell>
          <cell r="M2709" t="str">
            <v>No</v>
          </cell>
          <cell r="R2709" t="str">
            <v>NEW YORK PRESBYTERIAN</v>
          </cell>
          <cell r="W2709" t="str">
            <v>CRUZ ANGEL</v>
          </cell>
          <cell r="X2709" t="str">
            <v>180 FORT WASHINGTON AVE</v>
          </cell>
          <cell r="Y2709" t="str">
            <v>NEW YORK</v>
          </cell>
          <cell r="Z2709" t="str">
            <v>NY</v>
          </cell>
          <cell r="AA2709" t="str">
            <v>10032-3735</v>
          </cell>
          <cell r="AB2709" t="str">
            <v>CLINICAL SOCIAL WORKER (CSW)</v>
          </cell>
          <cell r="AC2709" t="str">
            <v>M</v>
          </cell>
          <cell r="AD2709" t="str">
            <v>No</v>
          </cell>
          <cell r="AE2709" t="str">
            <v>MMIS</v>
          </cell>
          <cell r="AF2709" t="str">
            <v>nypwestacn</v>
          </cell>
          <cell r="AG2709" t="str">
            <v>P</v>
          </cell>
        </row>
        <row r="2710">
          <cell r="A2710" t="str">
            <v>1598188674</v>
          </cell>
          <cell r="C2710" t="str">
            <v>HOLLY DANDO</v>
          </cell>
          <cell r="G2710" t="str">
            <v>Kathryn Spaziani</v>
          </cell>
          <cell r="H2710" t="str">
            <v>(212) 305-1190</v>
          </cell>
          <cell r="J2710" t="str">
            <v>kas9171@nyp.org</v>
          </cell>
          <cell r="K2710" t="str">
            <v>Unknown</v>
          </cell>
          <cell r="L2710" t="str">
            <v>Uncategorized</v>
          </cell>
          <cell r="M2710" t="str">
            <v>No</v>
          </cell>
          <cell r="R2710" t="str">
            <v>DANDO HOLLY MS.</v>
          </cell>
          <cell r="S2710" t="str">
            <v>53 W 23RD ST, 6TH FLOOR</v>
          </cell>
          <cell r="T2710" t="str">
            <v>NEW YORK</v>
          </cell>
          <cell r="U2710" t="str">
            <v>NY</v>
          </cell>
          <cell r="V2710" t="str">
            <v>100104204</v>
          </cell>
          <cell r="AC2710" t="str">
            <v>M</v>
          </cell>
          <cell r="AD2710" t="str">
            <v>No</v>
          </cell>
          <cell r="AE2710" t="str">
            <v>NPI only</v>
          </cell>
          <cell r="AF2710" t="str">
            <v>nypother</v>
          </cell>
          <cell r="AG2710" t="str">
            <v>P</v>
          </cell>
        </row>
        <row r="2711">
          <cell r="A2711" t="str">
            <v>1265852420</v>
          </cell>
          <cell r="B2711" t="str">
            <v>03872777</v>
          </cell>
          <cell r="C2711" t="str">
            <v>MEAGAN DANFORTH</v>
          </cell>
          <cell r="D2711" t="str">
            <v>E0378329</v>
          </cell>
          <cell r="E2711" t="str">
            <v>DANFORTH MEAGAN</v>
          </cell>
          <cell r="G2711" t="str">
            <v>Kathryn Spaziani</v>
          </cell>
          <cell r="H2711" t="str">
            <v>(212) 305-1190</v>
          </cell>
          <cell r="J2711" t="str">
            <v>kas9171@nyp.org</v>
          </cell>
          <cell r="L2711" t="str">
            <v>Practitioner - Non-Primary Care Provider (PCP)</v>
          </cell>
          <cell r="M2711" t="str">
            <v>No</v>
          </cell>
          <cell r="R2711" t="str">
            <v>DANFORTH MEAGAN</v>
          </cell>
          <cell r="W2711" t="str">
            <v>DANFORTH MEAGAN</v>
          </cell>
          <cell r="X2711" t="str">
            <v>525 E 68TH ST</v>
          </cell>
          <cell r="Y2711" t="str">
            <v>NEW YORK</v>
          </cell>
          <cell r="Z2711" t="str">
            <v>NY</v>
          </cell>
          <cell r="AA2711" t="str">
            <v>10065-4870</v>
          </cell>
          <cell r="AB2711" t="str">
            <v>CLINICAL SOCIAL WORKER (CSW)</v>
          </cell>
          <cell r="AC2711" t="str">
            <v>M</v>
          </cell>
          <cell r="AD2711" t="str">
            <v>No</v>
          </cell>
          <cell r="AE2711" t="str">
            <v>MMIS</v>
          </cell>
          <cell r="AF2711" t="str">
            <v>nypeastacn</v>
          </cell>
          <cell r="AG2711" t="str">
            <v>P</v>
          </cell>
        </row>
        <row r="2712">
          <cell r="A2712" t="str">
            <v>1225396278</v>
          </cell>
          <cell r="C2712" t="str">
            <v>JESSICA DE SHAZO</v>
          </cell>
          <cell r="G2712" t="str">
            <v>Kathryn Spaziani</v>
          </cell>
          <cell r="H2712" t="str">
            <v>(212) 305-1190</v>
          </cell>
          <cell r="J2712" t="str">
            <v>kas9171@nyp.org</v>
          </cell>
          <cell r="K2712" t="str">
            <v>Unknown</v>
          </cell>
          <cell r="L2712" t="str">
            <v>Practitioner - Non-Primary Care Provider (PCP)</v>
          </cell>
          <cell r="M2712" t="str">
            <v>No</v>
          </cell>
          <cell r="R2712" t="str">
            <v>DESHAZO JESSICA MISS</v>
          </cell>
          <cell r="S2712" t="str">
            <v>622 W 168TH ST</v>
          </cell>
          <cell r="T2712" t="str">
            <v>NEW YORK</v>
          </cell>
          <cell r="U2712" t="str">
            <v>NY</v>
          </cell>
          <cell r="V2712" t="str">
            <v>100323720</v>
          </cell>
          <cell r="AC2712" t="str">
            <v>M</v>
          </cell>
          <cell r="AD2712" t="str">
            <v>No</v>
          </cell>
          <cell r="AE2712" t="str">
            <v>NPI only</v>
          </cell>
          <cell r="AF2712" t="str">
            <v>nypwestacn</v>
          </cell>
          <cell r="AG2712" t="str">
            <v>P</v>
          </cell>
        </row>
        <row r="2713">
          <cell r="A2713" t="str">
            <v>1518187848</v>
          </cell>
          <cell r="B2713" t="str">
            <v>01855476</v>
          </cell>
          <cell r="C2713" t="str">
            <v>JULIE DRAKE</v>
          </cell>
          <cell r="D2713" t="str">
            <v>E0114493</v>
          </cell>
          <cell r="E2713" t="str">
            <v>DRAKE JULIE ANN CNM</v>
          </cell>
          <cell r="G2713" t="str">
            <v>Kathryn Spaziani</v>
          </cell>
          <cell r="H2713" t="str">
            <v>(212) 305-1190</v>
          </cell>
          <cell r="J2713" t="str">
            <v>kas9171@nyp.org</v>
          </cell>
          <cell r="L2713" t="str">
            <v>All Other:: Practitioner - Non-Primary Care Provider (PCP)</v>
          </cell>
          <cell r="M2713" t="str">
            <v>Yes</v>
          </cell>
          <cell r="R2713" t="str">
            <v>DRAKE JULIE</v>
          </cell>
          <cell r="W2713" t="str">
            <v>DRAKE JULIE ANN CNM</v>
          </cell>
          <cell r="X2713" t="str">
            <v>ALLEN PAVILION</v>
          </cell>
          <cell r="Y2713" t="str">
            <v>NEW YORK</v>
          </cell>
          <cell r="Z2713" t="str">
            <v>NY</v>
          </cell>
          <cell r="AA2713" t="str">
            <v>10034-1199</v>
          </cell>
          <cell r="AB2713" t="str">
            <v>NURSE</v>
          </cell>
          <cell r="AC2713" t="str">
            <v>M</v>
          </cell>
          <cell r="AD2713" t="str">
            <v>No</v>
          </cell>
          <cell r="AE2713" t="str">
            <v>MMIS</v>
          </cell>
          <cell r="AF2713" t="str">
            <v>nypwestacn</v>
          </cell>
          <cell r="AG2713" t="str">
            <v>P</v>
          </cell>
        </row>
        <row r="2714">
          <cell r="A2714" t="str">
            <v>1093803371</v>
          </cell>
          <cell r="C2714" t="str">
            <v>SUSAN EVANS</v>
          </cell>
          <cell r="G2714" t="str">
            <v>Kathryn Spaziani</v>
          </cell>
          <cell r="H2714" t="str">
            <v>(212) 305-1190</v>
          </cell>
          <cell r="J2714" t="str">
            <v>kas9171@nyp.org</v>
          </cell>
          <cell r="K2714" t="str">
            <v>Unknown</v>
          </cell>
          <cell r="L2714" t="str">
            <v>Uncategorized</v>
          </cell>
          <cell r="M2714" t="str">
            <v>No</v>
          </cell>
          <cell r="R2714" t="str">
            <v>EVANS SUSAN</v>
          </cell>
          <cell r="S2714" t="str">
            <v>425 E 61ST ST STE 1350</v>
          </cell>
          <cell r="T2714" t="str">
            <v>NEW YORK</v>
          </cell>
          <cell r="U2714" t="str">
            <v>NY</v>
          </cell>
          <cell r="V2714" t="str">
            <v>100658722</v>
          </cell>
          <cell r="AC2714" t="str">
            <v>M</v>
          </cell>
          <cell r="AD2714" t="str">
            <v>No</v>
          </cell>
          <cell r="AE2714" t="str">
            <v>NPI only</v>
          </cell>
          <cell r="AF2714" t="str">
            <v>nypeastcampus</v>
          </cell>
          <cell r="AG2714" t="str">
            <v>P</v>
          </cell>
        </row>
        <row r="2715">
          <cell r="C2715" t="str">
            <v>DEBRA FAECHER</v>
          </cell>
          <cell r="G2715" t="str">
            <v>Kathryn Spaziani</v>
          </cell>
          <cell r="H2715" t="str">
            <v>(212) 305-1190</v>
          </cell>
          <cell r="J2715" t="str">
            <v>kas9171@nyp.org</v>
          </cell>
          <cell r="K2715" t="str">
            <v>Unknown</v>
          </cell>
          <cell r="L2715" t="str">
            <v>CBO</v>
          </cell>
          <cell r="M2715" t="str">
            <v>No</v>
          </cell>
          <cell r="N2715" t="str">
            <v>525 E 68th Street</v>
          </cell>
          <cell r="O2715" t="str">
            <v xml:space="preserve">New York </v>
          </cell>
          <cell r="P2715" t="str">
            <v>NY</v>
          </cell>
          <cell r="Q2715" t="str">
            <v>10021</v>
          </cell>
          <cell r="AC2715" t="str">
            <v>M</v>
          </cell>
          <cell r="AD2715" t="str">
            <v>No</v>
          </cell>
          <cell r="AE2715" t="str">
            <v>No NPI or MMIS</v>
          </cell>
          <cell r="AF2715" t="str">
            <v>nypother</v>
          </cell>
          <cell r="AG2715" t="str">
            <v>P</v>
          </cell>
        </row>
        <row r="2716">
          <cell r="A2716" t="str">
            <v>1083032130</v>
          </cell>
          <cell r="B2716" t="str">
            <v>03854024</v>
          </cell>
          <cell r="C2716" t="str">
            <v>YENILSHIA FIRPO</v>
          </cell>
          <cell r="D2716" t="str">
            <v>E0376388</v>
          </cell>
          <cell r="E2716" t="str">
            <v>FIRPO YENILSHIA</v>
          </cell>
          <cell r="G2716" t="str">
            <v>Kathryn Spaziani</v>
          </cell>
          <cell r="H2716" t="str">
            <v>(212) 305-1190</v>
          </cell>
          <cell r="J2716" t="str">
            <v>kas9171@nyp.org</v>
          </cell>
          <cell r="L2716" t="str">
            <v>Uncategorized</v>
          </cell>
          <cell r="M2716" t="str">
            <v>No</v>
          </cell>
          <cell r="R2716" t="str">
            <v>FIRPO YENILSHIA</v>
          </cell>
          <cell r="W2716" t="str">
            <v>FIRPO YENILSHIA</v>
          </cell>
          <cell r="X2716" t="str">
            <v>575 WEST 181ST STREE</v>
          </cell>
          <cell r="Y2716" t="str">
            <v>NEW YORK</v>
          </cell>
          <cell r="Z2716" t="str">
            <v>NY</v>
          </cell>
          <cell r="AA2716" t="str">
            <v>10033</v>
          </cell>
          <cell r="AB2716" t="str">
            <v>CLINICAL SOCIAL WORKER (CSW)</v>
          </cell>
          <cell r="AC2716" t="str">
            <v>M</v>
          </cell>
          <cell r="AD2716" t="str">
            <v>No</v>
          </cell>
          <cell r="AE2716" t="str">
            <v>MMIS</v>
          </cell>
          <cell r="AF2716" t="str">
            <v>nypwestacn</v>
          </cell>
          <cell r="AG2716" t="str">
            <v>P</v>
          </cell>
        </row>
        <row r="2717">
          <cell r="A2717" t="str">
            <v>1114067212</v>
          </cell>
          <cell r="C2717" t="str">
            <v>JESSICA FORMAN</v>
          </cell>
          <cell r="G2717" t="str">
            <v>Kathryn Spaziani</v>
          </cell>
          <cell r="H2717" t="str">
            <v>(212) 305-1190</v>
          </cell>
          <cell r="J2717" t="str">
            <v>kas9171@nyp.org</v>
          </cell>
          <cell r="K2717" t="str">
            <v>Unknown</v>
          </cell>
          <cell r="L2717" t="str">
            <v>Practitioner - Non-Primary Care Provider (PCP)</v>
          </cell>
          <cell r="M2717" t="str">
            <v>No</v>
          </cell>
          <cell r="R2717" t="str">
            <v>FORMAN JESSICA MS.</v>
          </cell>
          <cell r="S2717" t="str">
            <v>177 FORT WASHINGTON AVE, 5TH FLOOR - 5 GARDEN NORTH</v>
          </cell>
          <cell r="T2717" t="str">
            <v>NEW YORK</v>
          </cell>
          <cell r="U2717" t="str">
            <v>NY</v>
          </cell>
          <cell r="V2717" t="str">
            <v>100323733</v>
          </cell>
          <cell r="AC2717" t="str">
            <v>M</v>
          </cell>
          <cell r="AD2717" t="str">
            <v>No</v>
          </cell>
          <cell r="AE2717" t="str">
            <v>NPI only</v>
          </cell>
          <cell r="AF2717" t="str">
            <v>nypwestacn</v>
          </cell>
          <cell r="AG2717" t="str">
            <v>P</v>
          </cell>
        </row>
        <row r="2718">
          <cell r="A2718" t="str">
            <v>1053553032</v>
          </cell>
          <cell r="B2718" t="str">
            <v>03823250</v>
          </cell>
          <cell r="C2718" t="str">
            <v>MARIE FRANCOIS</v>
          </cell>
          <cell r="D2718" t="str">
            <v>E0373201</v>
          </cell>
          <cell r="E2718" t="str">
            <v>FRANCOIS MARIE</v>
          </cell>
          <cell r="G2718" t="str">
            <v>Kathryn Spaziani</v>
          </cell>
          <cell r="H2718" t="str">
            <v>(212) 305-1190</v>
          </cell>
          <cell r="J2718" t="str">
            <v>kas9171@nyp.org</v>
          </cell>
          <cell r="L2718" t="str">
            <v>Practitioner - Non-Primary Care Provider (PCP)</v>
          </cell>
          <cell r="M2718" t="str">
            <v>No</v>
          </cell>
          <cell r="R2718" t="str">
            <v>FRANCOIS MARIE MS.</v>
          </cell>
          <cell r="W2718" t="str">
            <v>FRANCOIS MARIE BEDJOANA</v>
          </cell>
          <cell r="X2718" t="str">
            <v>622 W 168TH ST</v>
          </cell>
          <cell r="Y2718" t="str">
            <v>NEW YORK</v>
          </cell>
          <cell r="Z2718" t="str">
            <v>NY</v>
          </cell>
          <cell r="AA2718" t="str">
            <v>10032-3720</v>
          </cell>
          <cell r="AB2718" t="str">
            <v>PHYSICIAN</v>
          </cell>
          <cell r="AC2718" t="str">
            <v>M</v>
          </cell>
          <cell r="AD2718" t="str">
            <v>No</v>
          </cell>
          <cell r="AE2718" t="str">
            <v>MMIS</v>
          </cell>
          <cell r="AF2718" t="str">
            <v>nypwestacn</v>
          </cell>
          <cell r="AG2718" t="str">
            <v>P</v>
          </cell>
        </row>
        <row r="2719">
          <cell r="C2719" t="str">
            <v>CAROLE FREEDMAN</v>
          </cell>
          <cell r="K2719" t="str">
            <v>Unknown</v>
          </cell>
          <cell r="L2719" t="str">
            <v>CBO</v>
          </cell>
          <cell r="M2719" t="str">
            <v>No</v>
          </cell>
          <cell r="AC2719" t="str">
            <v>M</v>
          </cell>
          <cell r="AD2719" t="str">
            <v>No</v>
          </cell>
          <cell r="AE2719" t="str">
            <v>No NPI or MMIS</v>
          </cell>
          <cell r="AG2719" t="str">
            <v>P</v>
          </cell>
        </row>
        <row r="2720">
          <cell r="A2720" t="str">
            <v>1982922076</v>
          </cell>
          <cell r="B2720" t="str">
            <v>03285476</v>
          </cell>
          <cell r="C2720" t="str">
            <v>RUTH GASPARIK</v>
          </cell>
          <cell r="D2720" t="str">
            <v>E0314082</v>
          </cell>
          <cell r="E2720" t="str">
            <v>GASPARIK RUTH</v>
          </cell>
          <cell r="G2720" t="str">
            <v>Kathryn Spaziani</v>
          </cell>
          <cell r="H2720" t="str">
            <v>(212) 305-1190</v>
          </cell>
          <cell r="J2720" t="str">
            <v>kas9171@nyp.org</v>
          </cell>
          <cell r="L2720" t="str">
            <v>Uncategorized</v>
          </cell>
          <cell r="M2720" t="str">
            <v>No</v>
          </cell>
          <cell r="R2720" t="str">
            <v>GASPARIK RUTH</v>
          </cell>
          <cell r="W2720" t="str">
            <v>GASPARIK RUTH E</v>
          </cell>
          <cell r="X2720" t="str">
            <v>53 W 23RD ST FL 6</v>
          </cell>
          <cell r="Y2720" t="str">
            <v>NEW YORK</v>
          </cell>
          <cell r="Z2720" t="str">
            <v>NY</v>
          </cell>
          <cell r="AA2720" t="str">
            <v>10010-4237</v>
          </cell>
          <cell r="AB2720" t="str">
            <v>CLINICAL SOCIAL WORKER (CSW)</v>
          </cell>
          <cell r="AC2720" t="str">
            <v>M</v>
          </cell>
          <cell r="AD2720" t="str">
            <v>No</v>
          </cell>
          <cell r="AE2720" t="str">
            <v>MMIS</v>
          </cell>
          <cell r="AF2720" t="str">
            <v>nypeastacn</v>
          </cell>
          <cell r="AG2720" t="str">
            <v>P</v>
          </cell>
        </row>
        <row r="2721">
          <cell r="A2721" t="str">
            <v>1356691711</v>
          </cell>
          <cell r="C2721" t="str">
            <v>DEBORAH GERSZBERG</v>
          </cell>
          <cell r="G2721" t="str">
            <v>Kathryn Spaziani</v>
          </cell>
          <cell r="H2721" t="str">
            <v>(212) 305-1190</v>
          </cell>
          <cell r="J2721" t="str">
            <v>kas9171@nyp.org</v>
          </cell>
          <cell r="K2721" t="str">
            <v>Unknown</v>
          </cell>
          <cell r="L2721" t="str">
            <v>Uncategorized</v>
          </cell>
          <cell r="M2721" t="str">
            <v>No</v>
          </cell>
          <cell r="R2721" t="str">
            <v>GERSZBERG DEBORAH MRS.</v>
          </cell>
          <cell r="S2721" t="str">
            <v>622 W 168TH ST</v>
          </cell>
          <cell r="T2721" t="str">
            <v>NEW YORK</v>
          </cell>
          <cell r="U2721" t="str">
            <v>NY</v>
          </cell>
          <cell r="V2721" t="str">
            <v>100323720</v>
          </cell>
          <cell r="AC2721" t="str">
            <v>M</v>
          </cell>
          <cell r="AD2721" t="str">
            <v>No</v>
          </cell>
          <cell r="AE2721" t="str">
            <v>NPI only</v>
          </cell>
          <cell r="AF2721" t="str">
            <v>nypwestacn</v>
          </cell>
          <cell r="AG2721" t="str">
            <v>P</v>
          </cell>
        </row>
        <row r="2722">
          <cell r="A2722" t="str">
            <v>1841437290</v>
          </cell>
          <cell r="B2722" t="str">
            <v>03090237</v>
          </cell>
          <cell r="C2722" t="str">
            <v>RACHEL GLAZER</v>
          </cell>
          <cell r="D2722" t="str">
            <v>E0291882</v>
          </cell>
          <cell r="E2722" t="str">
            <v>GLAZER RACHEL</v>
          </cell>
          <cell r="G2722" t="str">
            <v>Kathryn Spaziani</v>
          </cell>
          <cell r="H2722" t="str">
            <v>(212) 305-1190</v>
          </cell>
          <cell r="J2722" t="str">
            <v>kas9171@nyp.org</v>
          </cell>
          <cell r="L2722" t="str">
            <v>Practitioner - Non-Primary Care Provider (PCP)</v>
          </cell>
          <cell r="M2722" t="str">
            <v>No</v>
          </cell>
          <cell r="R2722" t="str">
            <v>GLAZER RACHEL MRS.</v>
          </cell>
          <cell r="W2722" t="str">
            <v>GLAZER RACHEL</v>
          </cell>
          <cell r="X2722" t="str">
            <v>505 E 70TH ST FL 5</v>
          </cell>
          <cell r="Y2722" t="str">
            <v>NEW YORK</v>
          </cell>
          <cell r="Z2722" t="str">
            <v>NY</v>
          </cell>
          <cell r="AA2722" t="str">
            <v>10021-4872</v>
          </cell>
          <cell r="AB2722" t="str">
            <v>THERAPIST</v>
          </cell>
          <cell r="AC2722" t="str">
            <v>M</v>
          </cell>
          <cell r="AD2722" t="str">
            <v>No</v>
          </cell>
          <cell r="AE2722" t="str">
            <v>MMIS</v>
          </cell>
          <cell r="AF2722" t="str">
            <v>nypeastacn</v>
          </cell>
          <cell r="AG2722" t="str">
            <v>P</v>
          </cell>
        </row>
        <row r="2723">
          <cell r="A2723" t="str">
            <v>1609188051</v>
          </cell>
          <cell r="B2723" t="str">
            <v>03285687</v>
          </cell>
          <cell r="C2723" t="str">
            <v>BOGUMILA GODLEWSKA</v>
          </cell>
          <cell r="D2723" t="str">
            <v>E0314103</v>
          </cell>
          <cell r="E2723" t="str">
            <v>GODLEWSKA BOGUMILA</v>
          </cell>
          <cell r="G2723" t="str">
            <v>Kathryn Spaziani</v>
          </cell>
          <cell r="H2723" t="str">
            <v>(212) 305-1190</v>
          </cell>
          <cell r="J2723" t="str">
            <v>kas9171@nyp.org</v>
          </cell>
          <cell r="L2723" t="str">
            <v>Practitioner - Non-Primary Care Provider (PCP)</v>
          </cell>
          <cell r="M2723" t="str">
            <v>No</v>
          </cell>
          <cell r="R2723" t="str">
            <v>GODLEWSKA BOGUMILA</v>
          </cell>
          <cell r="W2723" t="str">
            <v>GODLEWSKA BOGUMILA</v>
          </cell>
          <cell r="X2723" t="str">
            <v>BAKER 525 E 68TH ST</v>
          </cell>
          <cell r="Y2723" t="str">
            <v>NEW YORK</v>
          </cell>
          <cell r="Z2723" t="str">
            <v>NY</v>
          </cell>
          <cell r="AA2723" t="str">
            <v>10021-0000</v>
          </cell>
          <cell r="AB2723" t="str">
            <v>CLINICAL SOCIAL WORKER (CSW)</v>
          </cell>
          <cell r="AC2723" t="str">
            <v>M</v>
          </cell>
          <cell r="AD2723" t="str">
            <v>No</v>
          </cell>
          <cell r="AE2723" t="str">
            <v>MMIS</v>
          </cell>
          <cell r="AF2723" t="str">
            <v>nypeastacn</v>
          </cell>
          <cell r="AG2723" t="str">
            <v>P</v>
          </cell>
        </row>
        <row r="2724">
          <cell r="C2724" t="str">
            <v>MARIA GONZALO</v>
          </cell>
          <cell r="G2724" t="str">
            <v>Kathryn Spaziani</v>
          </cell>
          <cell r="H2724" t="str">
            <v>(212) 305-1190</v>
          </cell>
          <cell r="J2724" t="str">
            <v>kas9171@nyp.org</v>
          </cell>
          <cell r="K2724" t="str">
            <v>Unknown</v>
          </cell>
          <cell r="L2724" t="str">
            <v>CBO</v>
          </cell>
          <cell r="M2724" t="str">
            <v>No</v>
          </cell>
          <cell r="N2724" t="str">
            <v>525 E 68th Street</v>
          </cell>
          <cell r="O2724" t="str">
            <v xml:space="preserve">New York </v>
          </cell>
          <cell r="P2724" t="str">
            <v>NY</v>
          </cell>
          <cell r="Q2724" t="str">
            <v>10021</v>
          </cell>
          <cell r="AC2724" t="str">
            <v>M</v>
          </cell>
          <cell r="AD2724" t="str">
            <v>No</v>
          </cell>
          <cell r="AE2724" t="str">
            <v>No NPI or MMIS</v>
          </cell>
          <cell r="AF2724" t="str">
            <v>nypother</v>
          </cell>
          <cell r="AG2724" t="str">
            <v>P</v>
          </cell>
        </row>
        <row r="2725">
          <cell r="A2725" t="str">
            <v>1730508136</v>
          </cell>
          <cell r="C2725" t="str">
            <v>Walline Maria</v>
          </cell>
          <cell r="G2725" t="str">
            <v>Kathryn Spaziani</v>
          </cell>
          <cell r="H2725" t="str">
            <v>(212) 305-1255</v>
          </cell>
          <cell r="J2725" t="str">
            <v>kas9171@nyp.org</v>
          </cell>
          <cell r="K2725" t="str">
            <v>Physician</v>
          </cell>
          <cell r="L2725" t="str">
            <v>Uncategorized</v>
          </cell>
          <cell r="M2725" t="str">
            <v>No</v>
          </cell>
          <cell r="R2725" t="str">
            <v>WALLINE MARIA</v>
          </cell>
          <cell r="S2725" t="str">
            <v>525 E 68TH ST # 124, WEILL CORNELL MEDICAL CENTER, DPT OF ANESTHESIOLOGY</v>
          </cell>
          <cell r="T2725" t="str">
            <v>NEW YORK</v>
          </cell>
          <cell r="U2725" t="str">
            <v>NY</v>
          </cell>
          <cell r="V2725" t="str">
            <v>100654870</v>
          </cell>
          <cell r="AC2725" t="str">
            <v>M</v>
          </cell>
          <cell r="AD2725" t="str">
            <v>No</v>
          </cell>
          <cell r="AE2725" t="str">
            <v>NPI only</v>
          </cell>
          <cell r="AF2725" t="str">
            <v>nypeastcampus</v>
          </cell>
          <cell r="AG2725" t="str">
            <v>P</v>
          </cell>
        </row>
        <row r="2726">
          <cell r="A2726" t="str">
            <v>1609072602</v>
          </cell>
          <cell r="B2726" t="str">
            <v>01439358</v>
          </cell>
          <cell r="C2726" t="str">
            <v>CORNELL UNIV MED COLLEGE</v>
          </cell>
          <cell r="D2726" t="str">
            <v>E0156041</v>
          </cell>
          <cell r="E2726" t="str">
            <v>CORNELL UNIV MED COLLEGE</v>
          </cell>
          <cell r="L2726" t="str">
            <v>All Other:: Substance Abuse</v>
          </cell>
          <cell r="M2726" t="str">
            <v>Yes</v>
          </cell>
          <cell r="R2726" t="str">
            <v>CORNELL UNIV MED COLLEGE</v>
          </cell>
          <cell r="W2726" t="str">
            <v>CORNELL UNIV MED COLLEGE</v>
          </cell>
          <cell r="X2726" t="str">
            <v>DSAS</v>
          </cell>
          <cell r="Y2726" t="str">
            <v>NEW YORK</v>
          </cell>
          <cell r="Z2726" t="str">
            <v>NY</v>
          </cell>
          <cell r="AA2726" t="str">
            <v>10036-4206</v>
          </cell>
          <cell r="AB2726" t="str">
            <v>DIAGNOSTIC AND TREATMENT CENTER</v>
          </cell>
          <cell r="AC2726" t="str">
            <v>M</v>
          </cell>
          <cell r="AD2726" t="str">
            <v>No</v>
          </cell>
          <cell r="AE2726" t="str">
            <v>MMIS</v>
          </cell>
          <cell r="AG2726" t="str">
            <v>P</v>
          </cell>
        </row>
        <row r="2727">
          <cell r="A2727" t="str">
            <v>1124170212</v>
          </cell>
          <cell r="C2727" t="str">
            <v>WEILL MEDICAL COLLEGE OF CORNELL</v>
          </cell>
          <cell r="K2727" t="str">
            <v>All Other</v>
          </cell>
          <cell r="L2727" t="str">
            <v>Uncategorized</v>
          </cell>
          <cell r="M2727" t="str">
            <v>No</v>
          </cell>
          <cell r="R2727" t="str">
            <v>WEILL MEDICAL COLLEGE OF CORNELL</v>
          </cell>
          <cell r="S2727" t="str">
            <v>1300 YORK AVE, BOX 585</v>
          </cell>
          <cell r="T2727" t="str">
            <v>NEW YORK</v>
          </cell>
          <cell r="U2727" t="str">
            <v>NY</v>
          </cell>
          <cell r="V2727" t="str">
            <v>100214805</v>
          </cell>
          <cell r="AC2727" t="str">
            <v>M</v>
          </cell>
          <cell r="AD2727" t="str">
            <v>No</v>
          </cell>
          <cell r="AE2727" t="str">
            <v>NPI only</v>
          </cell>
          <cell r="AG2727" t="str">
            <v>P</v>
          </cell>
        </row>
        <row r="2728">
          <cell r="A2728" t="str">
            <v>1174582159</v>
          </cell>
          <cell r="B2728" t="str">
            <v>00844899</v>
          </cell>
          <cell r="C2728" t="str">
            <v>JEREZ JOSE MR.</v>
          </cell>
          <cell r="D2728" t="str">
            <v>E0215250</v>
          </cell>
          <cell r="E2728" t="str">
            <v>JEREZ JOSE R               MD</v>
          </cell>
          <cell r="L2728" t="str">
            <v>All Other:: Practitioner - Primary Care Provider (PCP)</v>
          </cell>
          <cell r="M2728" t="str">
            <v>Yes</v>
          </cell>
          <cell r="R2728" t="str">
            <v>JEREZ JOSE MR.</v>
          </cell>
          <cell r="W2728" t="str">
            <v>JEREZ JOSE R               MD</v>
          </cell>
          <cell r="X2728" t="str">
            <v>APT 2/COR W 161ST ST</v>
          </cell>
          <cell r="Y2728" t="str">
            <v>NEW YORK</v>
          </cell>
          <cell r="Z2728" t="str">
            <v>NY</v>
          </cell>
          <cell r="AA2728" t="str">
            <v>10032-4788</v>
          </cell>
          <cell r="AB2728" t="str">
            <v>PHYSICIAN</v>
          </cell>
          <cell r="AC2728" t="str">
            <v>M</v>
          </cell>
          <cell r="AD2728" t="str">
            <v>No</v>
          </cell>
          <cell r="AE2728" t="str">
            <v>MMIS</v>
          </cell>
          <cell r="AF2728" t="str">
            <v>commproviders</v>
          </cell>
          <cell r="AG2728" t="str">
            <v>P</v>
          </cell>
        </row>
        <row r="2729">
          <cell r="A2729" t="str">
            <v>1477819498</v>
          </cell>
          <cell r="C2729" t="str">
            <v>Urich Daniela</v>
          </cell>
          <cell r="G2729" t="str">
            <v>Kathryn Spaziani</v>
          </cell>
          <cell r="H2729" t="str">
            <v>(212) 305-1255</v>
          </cell>
          <cell r="J2729" t="str">
            <v>kas9171@nyp.org</v>
          </cell>
          <cell r="K2729" t="str">
            <v>Physician</v>
          </cell>
          <cell r="L2729" t="str">
            <v>Uncategorized</v>
          </cell>
          <cell r="M2729" t="str">
            <v>No</v>
          </cell>
          <cell r="R2729" t="str">
            <v>URICH DANIELA</v>
          </cell>
          <cell r="S2729" t="str">
            <v>622 W 168TH ST</v>
          </cell>
          <cell r="T2729" t="str">
            <v>NEW YORK</v>
          </cell>
          <cell r="U2729" t="str">
            <v>NY</v>
          </cell>
          <cell r="V2729" t="str">
            <v>100323720</v>
          </cell>
          <cell r="AC2729" t="str">
            <v>M</v>
          </cell>
          <cell r="AD2729" t="str">
            <v>No</v>
          </cell>
          <cell r="AE2729" t="str">
            <v>NPI only</v>
          </cell>
          <cell r="AF2729" t="str">
            <v>nypeastcampus</v>
          </cell>
          <cell r="AG2729" t="str">
            <v>P</v>
          </cell>
        </row>
        <row r="2730">
          <cell r="A2730" t="str">
            <v>1558603712</v>
          </cell>
          <cell r="C2730" t="str">
            <v>Vaz Ansara</v>
          </cell>
          <cell r="G2730" t="str">
            <v>Kathryn Spaziani</v>
          </cell>
          <cell r="H2730" t="str">
            <v>(212) 305-1255</v>
          </cell>
          <cell r="J2730" t="str">
            <v>kas9171@nyp.org</v>
          </cell>
          <cell r="K2730" t="str">
            <v>Physician</v>
          </cell>
          <cell r="L2730" t="str">
            <v>Uncategorized</v>
          </cell>
          <cell r="M2730" t="str">
            <v>No</v>
          </cell>
          <cell r="R2730" t="str">
            <v>VAZ ANSARA</v>
          </cell>
          <cell r="S2730" t="str">
            <v>525 E 68TH ST, ROOM M312</v>
          </cell>
          <cell r="T2730" t="str">
            <v>NEW YORK</v>
          </cell>
          <cell r="U2730" t="str">
            <v>NY</v>
          </cell>
          <cell r="V2730" t="str">
            <v>100654870</v>
          </cell>
          <cell r="AC2730" t="str">
            <v>M</v>
          </cell>
          <cell r="AD2730" t="str">
            <v>No</v>
          </cell>
          <cell r="AE2730" t="str">
            <v>NPI only</v>
          </cell>
          <cell r="AF2730" t="str">
            <v>nypeastcampus</v>
          </cell>
          <cell r="AG2730" t="str">
            <v>P</v>
          </cell>
        </row>
        <row r="2731">
          <cell r="A2731" t="str">
            <v>1730216821</v>
          </cell>
          <cell r="B2731" t="str">
            <v>01811325</v>
          </cell>
          <cell r="C2731" t="str">
            <v>Hibshoosh Hanina</v>
          </cell>
          <cell r="D2731" t="str">
            <v>E0118905</v>
          </cell>
          <cell r="E2731" t="str">
            <v>HIBSHOOSH HANINA</v>
          </cell>
          <cell r="L2731" t="str">
            <v>All Other:: Practitioner - Non-Primary Care Provider (PCP)</v>
          </cell>
          <cell r="M2731" t="str">
            <v>No</v>
          </cell>
          <cell r="R2731" t="str">
            <v>HIBSHOOSH HANINA</v>
          </cell>
          <cell r="W2731" t="str">
            <v>HIBSHOOSH HANINA</v>
          </cell>
          <cell r="X2731" t="str">
            <v>HIBSHOOSH HANINA</v>
          </cell>
          <cell r="Y2731" t="str">
            <v>NEW YORK</v>
          </cell>
          <cell r="Z2731" t="str">
            <v>NY</v>
          </cell>
          <cell r="AA2731" t="str">
            <v>10032-3720</v>
          </cell>
          <cell r="AB2731" t="str">
            <v>PHYSICIAN</v>
          </cell>
          <cell r="AC2731" t="str">
            <v>M</v>
          </cell>
          <cell r="AD2731" t="str">
            <v>No</v>
          </cell>
          <cell r="AE2731" t="str">
            <v>MMIS</v>
          </cell>
          <cell r="AF2731" t="str">
            <v>nypwestcampus</v>
          </cell>
          <cell r="AG2731" t="str">
            <v>P</v>
          </cell>
        </row>
        <row r="2732">
          <cell r="A2732" t="str">
            <v>1760581607</v>
          </cell>
          <cell r="B2732" t="str">
            <v>00837325</v>
          </cell>
          <cell r="C2732" t="str">
            <v>SHEA, STEVEN J</v>
          </cell>
          <cell r="D2732" t="str">
            <v>E0216005</v>
          </cell>
          <cell r="E2732" t="str">
            <v>SHEA STEVEN                MD</v>
          </cell>
          <cell r="G2732" t="str">
            <v>Kathryn Spaziani</v>
          </cell>
          <cell r="H2732" t="str">
            <v>(212) 305-1190</v>
          </cell>
          <cell r="J2732" t="str">
            <v>kas9171@nyp.org</v>
          </cell>
          <cell r="L2732" t="str">
            <v>All Other:: Practitioner - Primary Care Provider (PCP)</v>
          </cell>
          <cell r="M2732" t="str">
            <v>Yes</v>
          </cell>
          <cell r="R2732" t="str">
            <v>SHEA STEVEN DR.</v>
          </cell>
          <cell r="W2732" t="str">
            <v>SHEA STEVEN  MD</v>
          </cell>
          <cell r="Y2732" t="str">
            <v>NEW YORK</v>
          </cell>
          <cell r="Z2732" t="str">
            <v>NY</v>
          </cell>
          <cell r="AA2732" t="str">
            <v>10032-3720</v>
          </cell>
          <cell r="AB2732" t="str">
            <v>PHYSICIAN</v>
          </cell>
          <cell r="AC2732" t="str">
            <v>M</v>
          </cell>
          <cell r="AD2732" t="str">
            <v>No</v>
          </cell>
          <cell r="AE2732" t="str">
            <v>MMIS</v>
          </cell>
          <cell r="AF2732" t="str">
            <v>nypwestcampus</v>
          </cell>
          <cell r="AG2732" t="str">
            <v>P</v>
          </cell>
        </row>
        <row r="2733">
          <cell r="A2733" t="str">
            <v>1760641195</v>
          </cell>
          <cell r="B2733" t="str">
            <v>03105933</v>
          </cell>
          <cell r="C2733" t="str">
            <v>MEHTA, SONAL S</v>
          </cell>
          <cell r="D2733" t="str">
            <v>E0293788</v>
          </cell>
          <cell r="E2733" t="str">
            <v>SONAL SUBHASH MEHTA</v>
          </cell>
          <cell r="G2733" t="str">
            <v>Kathryn Spaziani</v>
          </cell>
          <cell r="H2733" t="str">
            <v>(212) 305-1190</v>
          </cell>
          <cell r="J2733" t="str">
            <v>kas9171@nyp.org</v>
          </cell>
          <cell r="L2733" t="str">
            <v>All Other:: Practitioner - Primary Care Provider (PCP)</v>
          </cell>
          <cell r="M2733" t="str">
            <v>No</v>
          </cell>
          <cell r="R2733" t="str">
            <v>MEHTA SONAL</v>
          </cell>
          <cell r="W2733" t="str">
            <v>MEHTA SONAL SUBHASH  MD</v>
          </cell>
          <cell r="X2733" t="str">
            <v>525 E 68TH ST # 39</v>
          </cell>
          <cell r="Y2733" t="str">
            <v>NEW YORK</v>
          </cell>
          <cell r="Z2733" t="str">
            <v>NY</v>
          </cell>
          <cell r="AA2733" t="str">
            <v>10065-4870</v>
          </cell>
          <cell r="AB2733" t="str">
            <v>PHYSICIAN</v>
          </cell>
          <cell r="AC2733" t="str">
            <v>M</v>
          </cell>
          <cell r="AD2733" t="str">
            <v>No</v>
          </cell>
          <cell r="AE2733" t="str">
            <v>MMIS</v>
          </cell>
          <cell r="AF2733" t="str">
            <v>nypeastcampus</v>
          </cell>
          <cell r="AG2733" t="str">
            <v>P</v>
          </cell>
        </row>
        <row r="2734">
          <cell r="A2734" t="str">
            <v>1528231560</v>
          </cell>
          <cell r="B2734" t="str">
            <v>03109359</v>
          </cell>
          <cell r="C2734" t="str">
            <v xml:space="preserve">KURRA, SALILA </v>
          </cell>
          <cell r="D2734" t="str">
            <v>E0294109</v>
          </cell>
          <cell r="E2734" t="str">
            <v>KURRA SALILA MD</v>
          </cell>
          <cell r="G2734" t="str">
            <v>Kathryn Spaziani</v>
          </cell>
          <cell r="H2734" t="str">
            <v>(212) 305-1190</v>
          </cell>
          <cell r="J2734" t="str">
            <v>kas9171@nyp.org</v>
          </cell>
          <cell r="L2734" t="str">
            <v>All Other:: Practitioner - Non-Primary Care Provider (PCP)</v>
          </cell>
          <cell r="M2734" t="str">
            <v>No</v>
          </cell>
          <cell r="R2734" t="str">
            <v>KURRA SALILA DR.</v>
          </cell>
          <cell r="W2734" t="str">
            <v>KURRA SALILA MD</v>
          </cell>
          <cell r="X2734" t="str">
            <v>622 W 168TH ST</v>
          </cell>
          <cell r="Y2734" t="str">
            <v>NEW YORK</v>
          </cell>
          <cell r="Z2734" t="str">
            <v>NY</v>
          </cell>
          <cell r="AA2734" t="str">
            <v>10032-3720</v>
          </cell>
          <cell r="AB2734" t="str">
            <v>PHYSICIAN</v>
          </cell>
          <cell r="AC2734" t="str">
            <v>M</v>
          </cell>
          <cell r="AD2734" t="str">
            <v>No</v>
          </cell>
          <cell r="AE2734" t="str">
            <v>MMIS</v>
          </cell>
          <cell r="AF2734" t="str">
            <v>nypwestcampus</v>
          </cell>
          <cell r="AG2734" t="str">
            <v>P</v>
          </cell>
        </row>
        <row r="2735">
          <cell r="A2735" t="str">
            <v>1538131719</v>
          </cell>
          <cell r="B2735" t="str">
            <v>01340927</v>
          </cell>
          <cell r="C2735" t="str">
            <v>COHEN, ROBERT J</v>
          </cell>
          <cell r="D2735" t="str">
            <v>E0165850</v>
          </cell>
          <cell r="E2735" t="str">
            <v>COHEN ROBERT JAY  MD</v>
          </cell>
          <cell r="G2735" t="str">
            <v>Kathryn Spaziani</v>
          </cell>
          <cell r="H2735" t="str">
            <v>(212) 305-1190</v>
          </cell>
          <cell r="J2735" t="str">
            <v>kas9171@nyp.org</v>
          </cell>
          <cell r="L2735" t="str">
            <v>Practitioner - Non-Primary Care Provider (PCP)</v>
          </cell>
          <cell r="M2735" t="str">
            <v>No</v>
          </cell>
          <cell r="R2735" t="str">
            <v>COHEN ROBERT DR.</v>
          </cell>
          <cell r="W2735" t="str">
            <v>COHEN ROBERT JAY  MD</v>
          </cell>
          <cell r="X2735" t="str">
            <v>PREL PLAZA</v>
          </cell>
          <cell r="Y2735" t="str">
            <v>ORANGEBURG</v>
          </cell>
          <cell r="Z2735" t="str">
            <v>NY</v>
          </cell>
          <cell r="AA2735" t="str">
            <v>10926</v>
          </cell>
          <cell r="AB2735" t="str">
            <v>PHYSICIAN</v>
          </cell>
          <cell r="AC2735" t="str">
            <v>M</v>
          </cell>
          <cell r="AD2735" t="str">
            <v>No</v>
          </cell>
          <cell r="AE2735" t="str">
            <v>MMIS</v>
          </cell>
          <cell r="AF2735" t="str">
            <v>nypwestacn</v>
          </cell>
          <cell r="AG2735" t="str">
            <v>P</v>
          </cell>
        </row>
        <row r="2736">
          <cell r="A2736" t="str">
            <v>1538137450</v>
          </cell>
          <cell r="B2736" t="str">
            <v>00783440</v>
          </cell>
          <cell r="C2736" t="str">
            <v>HALASZ, CHARLES L</v>
          </cell>
          <cell r="D2736" t="str">
            <v>E0221382</v>
          </cell>
          <cell r="E2736" t="str">
            <v>HALASZ CHARLES LUDVIG GABRIEL</v>
          </cell>
          <cell r="G2736" t="str">
            <v>Kathryn Spaziani</v>
          </cell>
          <cell r="H2736" t="str">
            <v>(212) 305-1190</v>
          </cell>
          <cell r="J2736" t="str">
            <v>kas9171@nyp.org</v>
          </cell>
          <cell r="L2736" t="str">
            <v>Practitioner - Non-Primary Care Provider (PCP)</v>
          </cell>
          <cell r="M2736" t="str">
            <v>No</v>
          </cell>
          <cell r="R2736" t="str">
            <v>HALASZ CHARLES DR.</v>
          </cell>
          <cell r="W2736" t="str">
            <v>HALASZ CHARLES LUDVIG GABRIEL</v>
          </cell>
          <cell r="X2736" t="str">
            <v>1090 AMSTERDAM AVE</v>
          </cell>
          <cell r="Y2736" t="str">
            <v>NEW YORK</v>
          </cell>
          <cell r="Z2736" t="str">
            <v>NY</v>
          </cell>
          <cell r="AA2736" t="str">
            <v>10025-1737</v>
          </cell>
          <cell r="AB2736" t="str">
            <v>PHYSICIAN</v>
          </cell>
          <cell r="AC2736" t="str">
            <v>M</v>
          </cell>
          <cell r="AD2736" t="str">
            <v>No</v>
          </cell>
          <cell r="AE2736" t="str">
            <v>MMIS</v>
          </cell>
          <cell r="AF2736" t="str">
            <v>nypwestacn</v>
          </cell>
          <cell r="AG2736" t="str">
            <v>P</v>
          </cell>
        </row>
        <row r="2737">
          <cell r="B2737" t="str">
            <v>02317499</v>
          </cell>
          <cell r="C2737" t="str">
            <v>EMPIRE ST HM CARE SER LTHHCP (Lombardi)</v>
          </cell>
          <cell r="D2737" t="str">
            <v>E0068352</v>
          </cell>
          <cell r="E2737" t="str">
            <v>EMPIRE ST HM CARE SER LTHHCP</v>
          </cell>
          <cell r="G2737" t="str">
            <v>Eva Eng</v>
          </cell>
          <cell r="H2737" t="str">
            <v>(212) 752-4973</v>
          </cell>
          <cell r="J2737" t="str">
            <v xml:space="preserve">eeng@archcare.org </v>
          </cell>
          <cell r="L2737" t="str">
            <v>All Other</v>
          </cell>
          <cell r="M2737" t="str">
            <v>Yes</v>
          </cell>
          <cell r="W2737" t="str">
            <v>EMPIRE ST HM CARE SER LTHHCP</v>
          </cell>
          <cell r="X2737" t="str">
            <v>33 IRVING PL FL 11</v>
          </cell>
          <cell r="Y2737" t="str">
            <v>NEW YORK</v>
          </cell>
          <cell r="Z2737" t="str">
            <v>NY</v>
          </cell>
          <cell r="AA2737" t="str">
            <v>10003-2332</v>
          </cell>
          <cell r="AB2737" t="str">
            <v>HOME HEALTH AGENCY</v>
          </cell>
          <cell r="AC2737" t="str">
            <v>M</v>
          </cell>
          <cell r="AD2737" t="str">
            <v>No</v>
          </cell>
          <cell r="AE2737" t="str">
            <v>MMIS</v>
          </cell>
          <cell r="AG2737" t="str">
            <v>P</v>
          </cell>
        </row>
        <row r="2738">
          <cell r="A2738" t="str">
            <v>1053390534</v>
          </cell>
          <cell r="B2738" t="str">
            <v>02993819</v>
          </cell>
          <cell r="C2738" t="str">
            <v>ST VINCENT DE PAUL RESIDENCE (SNF)</v>
          </cell>
          <cell r="D2738" t="str">
            <v>E0155353</v>
          </cell>
          <cell r="E2738" t="str">
            <v>ST VINCENT DEPAUL RES ADHC</v>
          </cell>
          <cell r="G2738" t="str">
            <v>Eva Eng</v>
          </cell>
          <cell r="H2738" t="str">
            <v>(212) 752-4973</v>
          </cell>
          <cell r="J2738" t="str">
            <v xml:space="preserve">eeng@archcare.org </v>
          </cell>
          <cell r="L2738" t="str">
            <v>All Other:: Nursing Home</v>
          </cell>
          <cell r="M2738" t="str">
            <v>Yes</v>
          </cell>
          <cell r="R2738" t="str">
            <v>ST VINCENT DE PAUL RESIDENCE</v>
          </cell>
          <cell r="W2738" t="str">
            <v>ST VINCENT DE PAUL RESIDENCE</v>
          </cell>
          <cell r="X2738" t="str">
            <v>900 INTERVALE AVE</v>
          </cell>
          <cell r="Y2738" t="str">
            <v>BRONX</v>
          </cell>
          <cell r="Z2738" t="str">
            <v>NY</v>
          </cell>
          <cell r="AA2738" t="str">
            <v>10459-4240</v>
          </cell>
          <cell r="AB2738" t="str">
            <v>LONG TERM CARE FACILITY</v>
          </cell>
          <cell r="AC2738" t="str">
            <v>M</v>
          </cell>
          <cell r="AD2738" t="str">
            <v>No</v>
          </cell>
          <cell r="AE2738" t="str">
            <v>MMIS</v>
          </cell>
          <cell r="AG2738" t="str">
            <v>P</v>
          </cell>
        </row>
        <row r="2739">
          <cell r="A2739" t="str">
            <v>1912016676</v>
          </cell>
          <cell r="B2739" t="str">
            <v>00428111</v>
          </cell>
          <cell r="C2739" t="str">
            <v>TREIBER, ERIC S</v>
          </cell>
          <cell r="D2739" t="str">
            <v>E0256460</v>
          </cell>
          <cell r="E2739" t="str">
            <v>TREIBER ERIC S             MD</v>
          </cell>
          <cell r="G2739" t="str">
            <v>Kathryn Spaziani</v>
          </cell>
          <cell r="H2739" t="str">
            <v>(212) 305-1190</v>
          </cell>
          <cell r="J2739" t="str">
            <v>kas9171@nyp.org</v>
          </cell>
          <cell r="L2739" t="str">
            <v>Practitioner - Non-Primary Care Provider (PCP)</v>
          </cell>
          <cell r="M2739" t="str">
            <v>No</v>
          </cell>
          <cell r="R2739" t="str">
            <v>TREIBER ERIC DR.</v>
          </cell>
          <cell r="W2739" t="str">
            <v>TREIBER ERIC S             MD</v>
          </cell>
          <cell r="X2739" t="str">
            <v>UNITED HOSPITAL</v>
          </cell>
          <cell r="Y2739" t="str">
            <v>PORT CHESTER</v>
          </cell>
          <cell r="Z2739" t="str">
            <v>NY</v>
          </cell>
          <cell r="AA2739" t="str">
            <v>10573</v>
          </cell>
          <cell r="AB2739" t="str">
            <v>PHYSICIAN</v>
          </cell>
          <cell r="AC2739" t="str">
            <v>M</v>
          </cell>
          <cell r="AD2739" t="str">
            <v>No</v>
          </cell>
          <cell r="AE2739" t="str">
            <v>MMIS</v>
          </cell>
          <cell r="AF2739" t="str">
            <v>nypwestcampus</v>
          </cell>
          <cell r="AG2739" t="str">
            <v>P</v>
          </cell>
        </row>
        <row r="2740">
          <cell r="A2740" t="str">
            <v>1710003876</v>
          </cell>
          <cell r="B2740" t="str">
            <v>01855545</v>
          </cell>
          <cell r="C2740" t="str">
            <v>ALICEA, NIVIA C</v>
          </cell>
          <cell r="D2740" t="str">
            <v>E0114486</v>
          </cell>
          <cell r="E2740" t="str">
            <v>ALICEA NIVIA C CNM</v>
          </cell>
          <cell r="G2740" t="str">
            <v>Kathryn Spaziani</v>
          </cell>
          <cell r="H2740" t="str">
            <v>(212) 305-1190</v>
          </cell>
          <cell r="J2740" t="str">
            <v>kas9171@nyp.org</v>
          </cell>
          <cell r="L2740" t="str">
            <v>All Other:: Practitioner - Non-Primary Care Provider (PCP)</v>
          </cell>
          <cell r="M2740" t="str">
            <v>Yes</v>
          </cell>
          <cell r="R2740" t="str">
            <v>ALICEA NIVIA</v>
          </cell>
          <cell r="W2740" t="str">
            <v>ALICEA NIVIA C CNM</v>
          </cell>
          <cell r="X2740" t="str">
            <v>ALLEN PAVILION</v>
          </cell>
          <cell r="Y2740" t="str">
            <v>NEW YORK</v>
          </cell>
          <cell r="Z2740" t="str">
            <v>NY</v>
          </cell>
          <cell r="AA2740" t="str">
            <v>10034-1199</v>
          </cell>
          <cell r="AB2740" t="str">
            <v>NURSE</v>
          </cell>
          <cell r="AC2740" t="str">
            <v>M</v>
          </cell>
          <cell r="AD2740" t="str">
            <v>No</v>
          </cell>
          <cell r="AE2740" t="str">
            <v>MMIS</v>
          </cell>
          <cell r="AF2740" t="str">
            <v>nypwestacn</v>
          </cell>
          <cell r="AG2740" t="str">
            <v>P</v>
          </cell>
        </row>
        <row r="2741">
          <cell r="A2741" t="str">
            <v>1912152067</v>
          </cell>
          <cell r="B2741" t="str">
            <v>03090122</v>
          </cell>
          <cell r="C2741" t="str">
            <v xml:space="preserve">GONZALEZ, JORGE </v>
          </cell>
          <cell r="D2741" t="str">
            <v>E0291871</v>
          </cell>
          <cell r="E2741" t="str">
            <v>GONZALEZ JORGE</v>
          </cell>
          <cell r="G2741" t="str">
            <v>Kathryn Spaziani</v>
          </cell>
          <cell r="H2741" t="str">
            <v>(212) 305-1190</v>
          </cell>
          <cell r="J2741" t="str">
            <v>kas9171@nyp.org</v>
          </cell>
          <cell r="L2741" t="str">
            <v>Practitioner - Non-Primary Care Provider (PCP)</v>
          </cell>
          <cell r="M2741" t="str">
            <v>No</v>
          </cell>
          <cell r="R2741" t="str">
            <v>GONZALEZ JORGE</v>
          </cell>
          <cell r="W2741" t="str">
            <v>GONZALEZ JORGE O.</v>
          </cell>
          <cell r="X2741" t="str">
            <v>21 AUDUBON AVE</v>
          </cell>
          <cell r="Y2741" t="str">
            <v>NEW YORK</v>
          </cell>
          <cell r="Z2741" t="str">
            <v>NY</v>
          </cell>
          <cell r="AA2741" t="str">
            <v>10032-4220</v>
          </cell>
          <cell r="AB2741" t="str">
            <v>CLINICAL SOCIAL WORKER (CSW)</v>
          </cell>
          <cell r="AC2741" t="str">
            <v>M</v>
          </cell>
          <cell r="AD2741" t="str">
            <v>No</v>
          </cell>
          <cell r="AE2741" t="str">
            <v>MMIS</v>
          </cell>
          <cell r="AF2741" t="str">
            <v>nypwestacn</v>
          </cell>
          <cell r="AG2741" t="str">
            <v>P</v>
          </cell>
        </row>
        <row r="2742">
          <cell r="A2742" t="str">
            <v>1922001999</v>
          </cell>
          <cell r="B2742" t="str">
            <v>02147560</v>
          </cell>
          <cell r="C2742" t="str">
            <v>KUPERSMITH, ANDREW C</v>
          </cell>
          <cell r="D2742" t="str">
            <v>E0085319</v>
          </cell>
          <cell r="E2742" t="str">
            <v>KUPERSMITH ANDREW CRAIG MD</v>
          </cell>
          <cell r="G2742" t="str">
            <v>Kathryn Spaziani</v>
          </cell>
          <cell r="H2742" t="str">
            <v>(212) 305-1190</v>
          </cell>
          <cell r="J2742" t="str">
            <v>kas9171@nyp.org</v>
          </cell>
          <cell r="L2742" t="str">
            <v>All Other:: Practitioner - Non-Primary Care Provider (PCP)</v>
          </cell>
          <cell r="M2742" t="str">
            <v>No</v>
          </cell>
          <cell r="R2742" t="str">
            <v>KUPERSMITH ANDREW DR.</v>
          </cell>
          <cell r="W2742" t="str">
            <v>KUPERSMITH ANDREW CRAIG MD</v>
          </cell>
          <cell r="X2742" t="str">
            <v>FL 2</v>
          </cell>
          <cell r="Y2742" t="str">
            <v>WHITE PLAINS</v>
          </cell>
          <cell r="Z2742" t="str">
            <v>NY</v>
          </cell>
          <cell r="AA2742" t="str">
            <v>10601-2214</v>
          </cell>
          <cell r="AB2742" t="str">
            <v>PHYSICIAN</v>
          </cell>
          <cell r="AC2742" t="str">
            <v>M</v>
          </cell>
          <cell r="AD2742" t="str">
            <v>No</v>
          </cell>
          <cell r="AE2742" t="str">
            <v>MMIS</v>
          </cell>
          <cell r="AF2742" t="str">
            <v>nypwestcampus</v>
          </cell>
          <cell r="AG2742" t="str">
            <v>P</v>
          </cell>
        </row>
        <row r="2743">
          <cell r="A2743" t="str">
            <v>1285705061</v>
          </cell>
          <cell r="B2743" t="str">
            <v>02055576</v>
          </cell>
          <cell r="C2743" t="str">
            <v>MORARU, ROBERT A</v>
          </cell>
          <cell r="D2743" t="str">
            <v>E0094505</v>
          </cell>
          <cell r="E2743" t="str">
            <v>MORARU ROBERT ANDREW MD</v>
          </cell>
          <cell r="G2743" t="str">
            <v>Kathryn Spaziani</v>
          </cell>
          <cell r="H2743" t="str">
            <v>(212) 305-1190</v>
          </cell>
          <cell r="J2743" t="str">
            <v>kas9171@nyp.org</v>
          </cell>
          <cell r="L2743" t="str">
            <v>Practitioner - Non-Primary Care Provider (PCP)</v>
          </cell>
          <cell r="M2743" t="str">
            <v>No</v>
          </cell>
          <cell r="R2743" t="str">
            <v>MORARU ROBERT DR.</v>
          </cell>
          <cell r="W2743" t="str">
            <v>MORARU ROBERT ANDREW MD</v>
          </cell>
          <cell r="X2743" t="str">
            <v>1324 VICTORY BLVD</v>
          </cell>
          <cell r="Y2743" t="str">
            <v>STATEN ISLAND</v>
          </cell>
          <cell r="Z2743" t="str">
            <v>NY</v>
          </cell>
          <cell r="AA2743" t="str">
            <v>10301-3917</v>
          </cell>
          <cell r="AB2743" t="str">
            <v>PHYSICIAN</v>
          </cell>
          <cell r="AC2743" t="str">
            <v>M</v>
          </cell>
          <cell r="AD2743" t="str">
            <v>No</v>
          </cell>
          <cell r="AE2743" t="str">
            <v>MMIS</v>
          </cell>
          <cell r="AF2743" t="str">
            <v>nypwestcampus</v>
          </cell>
          <cell r="AG2743" t="str">
            <v>P</v>
          </cell>
        </row>
        <row r="2744">
          <cell r="A2744" t="str">
            <v>1285787499</v>
          </cell>
          <cell r="B2744" t="str">
            <v>00709504</v>
          </cell>
          <cell r="C2744" t="str">
            <v>BURKE, ROBERT E</v>
          </cell>
          <cell r="D2744" t="str">
            <v>E0228754</v>
          </cell>
          <cell r="E2744" t="str">
            <v>BURKE ROBERT E             MD</v>
          </cell>
          <cell r="G2744" t="str">
            <v>Kathryn Spaziani</v>
          </cell>
          <cell r="H2744" t="str">
            <v>(212) 305-1190</v>
          </cell>
          <cell r="J2744" t="str">
            <v>kas9171@nyp.org</v>
          </cell>
          <cell r="L2744" t="str">
            <v>Practitioner - Non-Primary Care Provider (PCP)</v>
          </cell>
          <cell r="M2744" t="str">
            <v>No</v>
          </cell>
          <cell r="R2744" t="str">
            <v>BURKE ROBERT DR.</v>
          </cell>
          <cell r="W2744" t="str">
            <v>BURKE ROBERT E             MD</v>
          </cell>
          <cell r="X2744" t="str">
            <v>COLUMBIA PRESBYTRN</v>
          </cell>
          <cell r="Y2744" t="str">
            <v>NEW YORK</v>
          </cell>
          <cell r="Z2744" t="str">
            <v>NY</v>
          </cell>
          <cell r="AA2744" t="str">
            <v>10032-3726</v>
          </cell>
          <cell r="AB2744" t="str">
            <v>PHYSICIAN</v>
          </cell>
          <cell r="AC2744" t="str">
            <v>M</v>
          </cell>
          <cell r="AD2744" t="str">
            <v>No</v>
          </cell>
          <cell r="AE2744" t="str">
            <v>MMIS</v>
          </cell>
          <cell r="AF2744" t="str">
            <v>nypwestacn</v>
          </cell>
          <cell r="AG2744" t="str">
            <v>P</v>
          </cell>
        </row>
        <row r="2745">
          <cell r="A2745" t="str">
            <v>1992712640</v>
          </cell>
          <cell r="B2745" t="str">
            <v>02230239</v>
          </cell>
          <cell r="C2745" t="str">
            <v>CARTER, ALICEA R</v>
          </cell>
          <cell r="D2745" t="str">
            <v>E0077066</v>
          </cell>
          <cell r="E2745" t="str">
            <v>CARTER ALICIA R</v>
          </cell>
          <cell r="G2745" t="str">
            <v>Kathryn Spaziani</v>
          </cell>
          <cell r="H2745" t="str">
            <v>(212) 305-1190</v>
          </cell>
          <cell r="J2745" t="str">
            <v>kas9171@nyp.org</v>
          </cell>
          <cell r="L2745" t="str">
            <v>Practitioner - Non-Primary Care Provider (PCP)</v>
          </cell>
          <cell r="M2745" t="str">
            <v>No</v>
          </cell>
          <cell r="R2745" t="str">
            <v>CARTER ALICIA</v>
          </cell>
          <cell r="W2745" t="str">
            <v>CARTER ALICIA R</v>
          </cell>
          <cell r="X2745" t="str">
            <v>CARTER ALICIA R</v>
          </cell>
          <cell r="Y2745" t="str">
            <v>NEW YORK</v>
          </cell>
          <cell r="Z2745" t="str">
            <v>NY</v>
          </cell>
          <cell r="AA2745" t="str">
            <v>10010-5615</v>
          </cell>
          <cell r="AB2745" t="str">
            <v>PHYSICIAN</v>
          </cell>
          <cell r="AC2745" t="str">
            <v>M</v>
          </cell>
          <cell r="AD2745" t="str">
            <v>No</v>
          </cell>
          <cell r="AE2745" t="str">
            <v>MMIS</v>
          </cell>
          <cell r="AF2745" t="str">
            <v>nypwestacn</v>
          </cell>
          <cell r="AG2745" t="str">
            <v>P</v>
          </cell>
        </row>
        <row r="2746">
          <cell r="A2746" t="str">
            <v>1659639698</v>
          </cell>
          <cell r="C2746" t="str">
            <v>SARAH HORVATH</v>
          </cell>
          <cell r="G2746" t="str">
            <v>Kathryn Spaziani</v>
          </cell>
          <cell r="H2746" t="str">
            <v>(212) 305-1190</v>
          </cell>
          <cell r="J2746" t="str">
            <v>kas9171@nyp.org</v>
          </cell>
          <cell r="K2746" t="str">
            <v>Unknown</v>
          </cell>
          <cell r="L2746" t="str">
            <v>Uncategorized</v>
          </cell>
          <cell r="M2746" t="str">
            <v>No</v>
          </cell>
          <cell r="R2746" t="str">
            <v>HORVATH SARAH</v>
          </cell>
          <cell r="S2746" t="str">
            <v>622 W 168TH ST</v>
          </cell>
          <cell r="T2746" t="str">
            <v>NEW YORK</v>
          </cell>
          <cell r="U2746" t="str">
            <v>NY</v>
          </cell>
          <cell r="V2746" t="str">
            <v>100323720</v>
          </cell>
          <cell r="AC2746" t="str">
            <v>M</v>
          </cell>
          <cell r="AD2746" t="str">
            <v>No</v>
          </cell>
          <cell r="AE2746" t="str">
            <v>NPI only</v>
          </cell>
          <cell r="AF2746" t="str">
            <v>nypwestcampus</v>
          </cell>
          <cell r="AG2746" t="str">
            <v>P</v>
          </cell>
        </row>
        <row r="2747">
          <cell r="A2747" t="str">
            <v>1760774004</v>
          </cell>
          <cell r="C2747" t="str">
            <v>ALESSANDRA KOSTOLIAS</v>
          </cell>
          <cell r="G2747" t="str">
            <v>Kathryn Spaziani</v>
          </cell>
          <cell r="H2747" t="str">
            <v>(212) 305-1190</v>
          </cell>
          <cell r="J2747" t="str">
            <v>kas9171@nyp.org</v>
          </cell>
          <cell r="K2747" t="str">
            <v>Unknown</v>
          </cell>
          <cell r="L2747" t="str">
            <v>Uncategorized</v>
          </cell>
          <cell r="M2747" t="str">
            <v>No</v>
          </cell>
          <cell r="R2747" t="str">
            <v>KOSTOLIAS ALESSANDRA</v>
          </cell>
          <cell r="S2747" t="str">
            <v>622 W 168TH ST</v>
          </cell>
          <cell r="T2747" t="str">
            <v>NEW YORK</v>
          </cell>
          <cell r="U2747" t="str">
            <v>NY</v>
          </cell>
          <cell r="V2747" t="str">
            <v>100323720</v>
          </cell>
          <cell r="AC2747" t="str">
            <v>M</v>
          </cell>
          <cell r="AD2747" t="str">
            <v>No</v>
          </cell>
          <cell r="AE2747" t="str">
            <v>NPI only</v>
          </cell>
          <cell r="AF2747" t="str">
            <v>nypother</v>
          </cell>
          <cell r="AG2747" t="str">
            <v>P</v>
          </cell>
        </row>
        <row r="2748">
          <cell r="A2748" t="str">
            <v>1285990861</v>
          </cell>
          <cell r="C2748" t="str">
            <v>KATHERINE LUDLOW</v>
          </cell>
          <cell r="G2748" t="str">
            <v>Kathryn Spaziani</v>
          </cell>
          <cell r="H2748" t="str">
            <v>(212) 305-1190</v>
          </cell>
          <cell r="J2748" t="str">
            <v>kas9171@nyp.org</v>
          </cell>
          <cell r="K2748" t="str">
            <v>Unknown</v>
          </cell>
          <cell r="L2748" t="str">
            <v>Uncategorized</v>
          </cell>
          <cell r="M2748" t="str">
            <v>No</v>
          </cell>
          <cell r="R2748" t="str">
            <v>LUDLOW KATHERINE DR.</v>
          </cell>
          <cell r="S2748" t="str">
            <v>622 W 168TH ST, PH 16-29</v>
          </cell>
          <cell r="T2748" t="str">
            <v>NEW YORK</v>
          </cell>
          <cell r="U2748" t="str">
            <v>NY</v>
          </cell>
          <cell r="V2748" t="str">
            <v>100323720</v>
          </cell>
          <cell r="AC2748" t="str">
            <v>M</v>
          </cell>
          <cell r="AD2748" t="str">
            <v>No</v>
          </cell>
          <cell r="AE2748" t="str">
            <v>NPI only</v>
          </cell>
          <cell r="AF2748" t="str">
            <v>nypwestcampus</v>
          </cell>
          <cell r="AG2748" t="str">
            <v>P</v>
          </cell>
        </row>
        <row r="2749">
          <cell r="A2749" t="str">
            <v>1972899789</v>
          </cell>
          <cell r="B2749" t="str">
            <v>04181375</v>
          </cell>
          <cell r="C2749" t="str">
            <v>SAILA MONI</v>
          </cell>
          <cell r="D2749" t="str">
            <v>E0410003</v>
          </cell>
          <cell r="E2749" t="str">
            <v>MONI SAILA</v>
          </cell>
          <cell r="G2749" t="str">
            <v>Kathryn Spaziani</v>
          </cell>
          <cell r="H2749" t="str">
            <v>(212) 305-1190</v>
          </cell>
          <cell r="J2749" t="str">
            <v>kas9171@nyp.org</v>
          </cell>
          <cell r="L2749" t="str">
            <v>All Other:: Practitioner - Non-Primary Care Provider (PCP)</v>
          </cell>
          <cell r="M2749" t="str">
            <v>No</v>
          </cell>
          <cell r="R2749" t="str">
            <v>MONI SAILA</v>
          </cell>
          <cell r="W2749" t="str">
            <v>MONI SAILA SARMIN</v>
          </cell>
          <cell r="X2749" t="str">
            <v>111 EAST 210TH ST</v>
          </cell>
          <cell r="Y2749" t="str">
            <v>BRONX</v>
          </cell>
          <cell r="Z2749" t="str">
            <v>NY</v>
          </cell>
          <cell r="AA2749" t="str">
            <v>10467-2401</v>
          </cell>
          <cell r="AB2749" t="str">
            <v>PHYSICIAN</v>
          </cell>
          <cell r="AC2749" t="str">
            <v>M</v>
          </cell>
          <cell r="AD2749" t="str">
            <v>No</v>
          </cell>
          <cell r="AE2749" t="str">
            <v>MMIS</v>
          </cell>
          <cell r="AF2749" t="str">
            <v>nypother</v>
          </cell>
          <cell r="AG2749" t="str">
            <v>P</v>
          </cell>
        </row>
        <row r="2750">
          <cell r="A2750" t="str">
            <v>1558627869</v>
          </cell>
          <cell r="C2750" t="str">
            <v>SONALI PATANKAR</v>
          </cell>
          <cell r="G2750" t="str">
            <v>Kathryn Spaziani</v>
          </cell>
          <cell r="H2750" t="str">
            <v>(212) 305-1190</v>
          </cell>
          <cell r="J2750" t="str">
            <v>kas9171@nyp.org</v>
          </cell>
          <cell r="K2750" t="str">
            <v>Unknown</v>
          </cell>
          <cell r="L2750" t="str">
            <v>Uncategorized</v>
          </cell>
          <cell r="M2750" t="str">
            <v>No</v>
          </cell>
          <cell r="R2750" t="str">
            <v>PATANKAR SONALI</v>
          </cell>
          <cell r="S2750" t="str">
            <v>622 W 168TH ST</v>
          </cell>
          <cell r="T2750" t="str">
            <v>NEW YORK</v>
          </cell>
          <cell r="U2750" t="str">
            <v>NY</v>
          </cell>
          <cell r="V2750" t="str">
            <v>100323720</v>
          </cell>
          <cell r="AC2750" t="str">
            <v>M</v>
          </cell>
          <cell r="AD2750" t="str">
            <v>No</v>
          </cell>
          <cell r="AE2750" t="str">
            <v>NPI only</v>
          </cell>
          <cell r="AF2750" t="str">
            <v>nypwestcampus</v>
          </cell>
          <cell r="AG2750" t="str">
            <v>P</v>
          </cell>
        </row>
        <row r="2751">
          <cell r="A2751" t="str">
            <v>1720354905</v>
          </cell>
          <cell r="C2751" t="str">
            <v>CHELSEA CLINTON</v>
          </cell>
          <cell r="G2751" t="str">
            <v>Kathryn Spaziani</v>
          </cell>
          <cell r="H2751" t="str">
            <v>(212) 305-1190</v>
          </cell>
          <cell r="J2751" t="str">
            <v>kas9171@nyp.org</v>
          </cell>
          <cell r="K2751" t="str">
            <v>Unknown</v>
          </cell>
          <cell r="L2751" t="str">
            <v>Uncategorized</v>
          </cell>
          <cell r="M2751" t="str">
            <v>No</v>
          </cell>
          <cell r="R2751" t="str">
            <v>CLINTON CHELSEA DR.</v>
          </cell>
          <cell r="S2751" t="str">
            <v>1330 1ST AVE, APT 708</v>
          </cell>
          <cell r="T2751" t="str">
            <v>NEW YORK</v>
          </cell>
          <cell r="U2751" t="str">
            <v>NY</v>
          </cell>
          <cell r="V2751" t="str">
            <v>100214742</v>
          </cell>
          <cell r="AC2751" t="str">
            <v>M</v>
          </cell>
          <cell r="AD2751" t="str">
            <v>No</v>
          </cell>
          <cell r="AE2751" t="str">
            <v>NPI only</v>
          </cell>
          <cell r="AF2751" t="str">
            <v>nypeastcampus</v>
          </cell>
          <cell r="AG2751" t="str">
            <v>P</v>
          </cell>
        </row>
        <row r="2752">
          <cell r="A2752" t="str">
            <v>1184990384</v>
          </cell>
          <cell r="C2752" t="str">
            <v>DEANNA GERBER</v>
          </cell>
          <cell r="G2752" t="str">
            <v>Kathryn Spaziani</v>
          </cell>
          <cell r="H2752" t="str">
            <v>(212) 305-1190</v>
          </cell>
          <cell r="J2752" t="str">
            <v>kas9171@nyp.org</v>
          </cell>
          <cell r="K2752" t="str">
            <v>Unknown</v>
          </cell>
          <cell r="L2752" t="str">
            <v>Uncategorized</v>
          </cell>
          <cell r="M2752" t="str">
            <v>No</v>
          </cell>
          <cell r="R2752" t="str">
            <v>GERBER DEANNA DR.</v>
          </cell>
          <cell r="S2752" t="str">
            <v>22 HERITAGE DR APT B</v>
          </cell>
          <cell r="T2752" t="str">
            <v>NEW CITY</v>
          </cell>
          <cell r="U2752" t="str">
            <v>NY</v>
          </cell>
          <cell r="V2752" t="str">
            <v>109565350</v>
          </cell>
          <cell r="AC2752" t="str">
            <v>M</v>
          </cell>
          <cell r="AD2752" t="str">
            <v>No</v>
          </cell>
          <cell r="AE2752" t="str">
            <v>NPI only</v>
          </cell>
          <cell r="AF2752" t="str">
            <v>nypeastcampus</v>
          </cell>
          <cell r="AG2752" t="str">
            <v>P</v>
          </cell>
        </row>
        <row r="2753">
          <cell r="A2753" t="str">
            <v>1831465806</v>
          </cell>
          <cell r="C2753" t="str">
            <v>JULIA GEYNISMAN</v>
          </cell>
          <cell r="G2753" t="str">
            <v>Kathryn Spaziani</v>
          </cell>
          <cell r="H2753" t="str">
            <v>(212) 305-1190</v>
          </cell>
          <cell r="J2753" t="str">
            <v>kas9171@nyp.org</v>
          </cell>
          <cell r="K2753" t="str">
            <v>Unknown</v>
          </cell>
          <cell r="L2753" t="str">
            <v>Uncategorized</v>
          </cell>
          <cell r="M2753" t="str">
            <v>No</v>
          </cell>
          <cell r="R2753" t="str">
            <v>GEYNISMAN-TAN JULIA DR.</v>
          </cell>
          <cell r="S2753" t="str">
            <v>525 E 68TH ST, BOX 122</v>
          </cell>
          <cell r="T2753" t="str">
            <v>NEW YORK</v>
          </cell>
          <cell r="U2753" t="str">
            <v>NY</v>
          </cell>
          <cell r="V2753" t="str">
            <v>100654870</v>
          </cell>
          <cell r="AC2753" t="str">
            <v>M</v>
          </cell>
          <cell r="AD2753" t="str">
            <v>No</v>
          </cell>
          <cell r="AE2753" t="str">
            <v>NPI only</v>
          </cell>
          <cell r="AF2753" t="str">
            <v>nypeastcampus</v>
          </cell>
          <cell r="AG2753" t="str">
            <v>P</v>
          </cell>
        </row>
        <row r="2754">
          <cell r="A2754" t="str">
            <v>1215227749</v>
          </cell>
          <cell r="C2754" t="str">
            <v>VINAY GUNNALA</v>
          </cell>
          <cell r="G2754" t="str">
            <v>Kathryn Spaziani</v>
          </cell>
          <cell r="H2754" t="str">
            <v>(212) 305-1190</v>
          </cell>
          <cell r="J2754" t="str">
            <v>kas9171@nyp.org</v>
          </cell>
          <cell r="K2754" t="str">
            <v>Unknown</v>
          </cell>
          <cell r="L2754" t="str">
            <v>Uncategorized</v>
          </cell>
          <cell r="M2754" t="str">
            <v>No</v>
          </cell>
          <cell r="R2754" t="str">
            <v>GUNNALA VINAY DR.</v>
          </cell>
          <cell r="S2754" t="str">
            <v>6161 N 44TH PL</v>
          </cell>
          <cell r="T2754" t="str">
            <v>PARADISE VALLEY</v>
          </cell>
          <cell r="U2754" t="str">
            <v>AZ</v>
          </cell>
          <cell r="V2754" t="str">
            <v>852534082</v>
          </cell>
          <cell r="AC2754" t="str">
            <v>M</v>
          </cell>
          <cell r="AD2754" t="str">
            <v>No</v>
          </cell>
          <cell r="AE2754" t="str">
            <v>NPI only</v>
          </cell>
          <cell r="AF2754" t="str">
            <v>nypeastcampus</v>
          </cell>
          <cell r="AG2754" t="str">
            <v>P</v>
          </cell>
        </row>
        <row r="2755">
          <cell r="A2755" t="str">
            <v>1609168707</v>
          </cell>
          <cell r="C2755" t="str">
            <v>RULA KANJ</v>
          </cell>
          <cell r="G2755" t="str">
            <v>Kathryn Spaziani</v>
          </cell>
          <cell r="H2755" t="str">
            <v>(212) 305-1190</v>
          </cell>
          <cell r="J2755" t="str">
            <v>kas9171@nyp.org</v>
          </cell>
          <cell r="K2755" t="str">
            <v>Unknown</v>
          </cell>
          <cell r="L2755" t="str">
            <v>Uncategorized</v>
          </cell>
          <cell r="M2755" t="str">
            <v>No</v>
          </cell>
          <cell r="R2755" t="str">
            <v>KANJ RULA</v>
          </cell>
          <cell r="S2755" t="str">
            <v>3333 BURNET AVE, MLC 2026</v>
          </cell>
          <cell r="T2755" t="str">
            <v>CINCINNATI</v>
          </cell>
          <cell r="U2755" t="str">
            <v>OH</v>
          </cell>
          <cell r="V2755" t="str">
            <v>452293026</v>
          </cell>
          <cell r="AC2755" t="str">
            <v>M</v>
          </cell>
          <cell r="AD2755" t="str">
            <v>No</v>
          </cell>
          <cell r="AE2755" t="str">
            <v>NPI only</v>
          </cell>
          <cell r="AF2755" t="str">
            <v>nypother</v>
          </cell>
          <cell r="AG2755" t="str">
            <v>P</v>
          </cell>
        </row>
        <row r="2756">
          <cell r="A2756" t="str">
            <v>1538451786</v>
          </cell>
          <cell r="C2756" t="str">
            <v>ALEXIS KRUCZEK</v>
          </cell>
          <cell r="G2756" t="str">
            <v>Kathryn Spaziani</v>
          </cell>
          <cell r="H2756" t="str">
            <v>(212) 305-1190</v>
          </cell>
          <cell r="J2756" t="str">
            <v>kas9171@nyp.org</v>
          </cell>
          <cell r="K2756" t="str">
            <v>Unknown</v>
          </cell>
          <cell r="L2756" t="str">
            <v>Uncategorized</v>
          </cell>
          <cell r="M2756" t="str">
            <v>No</v>
          </cell>
          <cell r="R2756" t="str">
            <v>MASBOU ALEXIS DR.</v>
          </cell>
          <cell r="S2756" t="str">
            <v>525 E 68TH ST, BOX 122</v>
          </cell>
          <cell r="T2756" t="str">
            <v>NEW YORK</v>
          </cell>
          <cell r="U2756" t="str">
            <v>NY</v>
          </cell>
          <cell r="V2756" t="str">
            <v>100654870</v>
          </cell>
          <cell r="AC2756" t="str">
            <v>M</v>
          </cell>
          <cell r="AD2756" t="str">
            <v>No</v>
          </cell>
          <cell r="AE2756" t="str">
            <v>NPI only</v>
          </cell>
          <cell r="AF2756" t="str">
            <v>nypother</v>
          </cell>
          <cell r="AG2756" t="str">
            <v>P</v>
          </cell>
        </row>
        <row r="2757">
          <cell r="A2757" t="str">
            <v>1841589595</v>
          </cell>
          <cell r="C2757" t="str">
            <v>LAUREN MURPHY</v>
          </cell>
          <cell r="G2757" t="str">
            <v>Kathryn Spaziani</v>
          </cell>
          <cell r="H2757" t="str">
            <v>(212) 305-1190</v>
          </cell>
          <cell r="J2757" t="str">
            <v>kas9171@nyp.org</v>
          </cell>
          <cell r="K2757" t="str">
            <v>Unknown</v>
          </cell>
          <cell r="L2757" t="str">
            <v>Uncategorized</v>
          </cell>
          <cell r="M2757" t="str">
            <v>No</v>
          </cell>
          <cell r="R2757" t="str">
            <v>MURPHY LAUREN DR.</v>
          </cell>
          <cell r="S2757" t="str">
            <v>330 BROOKLINE AVE, KIRSTIEN 3RD FLOOR</v>
          </cell>
          <cell r="T2757" t="str">
            <v>BOSTON</v>
          </cell>
          <cell r="U2757" t="str">
            <v>MA</v>
          </cell>
          <cell r="V2757" t="str">
            <v>022155400</v>
          </cell>
          <cell r="AC2757" t="str">
            <v>M</v>
          </cell>
          <cell r="AD2757" t="str">
            <v>No</v>
          </cell>
          <cell r="AE2757" t="str">
            <v>NPI only</v>
          </cell>
          <cell r="AF2757" t="str">
            <v>nypother</v>
          </cell>
          <cell r="AG2757" t="str">
            <v>P</v>
          </cell>
        </row>
        <row r="2758">
          <cell r="A2758" t="str">
            <v>1770841744</v>
          </cell>
          <cell r="C2758" t="str">
            <v>ERIN NIEMASIK</v>
          </cell>
          <cell r="G2758" t="str">
            <v>Kathryn Spaziani</v>
          </cell>
          <cell r="H2758" t="str">
            <v>(212) 305-1190</v>
          </cell>
          <cell r="J2758" t="str">
            <v>kas9171@nyp.org</v>
          </cell>
          <cell r="K2758" t="str">
            <v>Unknown</v>
          </cell>
          <cell r="L2758" t="str">
            <v>Uncategorized</v>
          </cell>
          <cell r="M2758" t="str">
            <v>No</v>
          </cell>
          <cell r="R2758" t="str">
            <v>NIEMASIK ERIN DR.</v>
          </cell>
          <cell r="S2758" t="str">
            <v>525 E 68TH ST</v>
          </cell>
          <cell r="T2758" t="str">
            <v>NEW YORK</v>
          </cell>
          <cell r="U2758" t="str">
            <v>NY</v>
          </cell>
          <cell r="V2758" t="str">
            <v>100654870</v>
          </cell>
          <cell r="AC2758" t="str">
            <v>M</v>
          </cell>
          <cell r="AD2758" t="str">
            <v>No</v>
          </cell>
          <cell r="AE2758" t="str">
            <v>NPI only</v>
          </cell>
          <cell r="AF2758" t="str">
            <v>nypeastcampus</v>
          </cell>
          <cell r="AG2758" t="str">
            <v>P</v>
          </cell>
        </row>
        <row r="2759">
          <cell r="A2759" t="str">
            <v>1396188611</v>
          </cell>
          <cell r="C2759" t="str">
            <v>THEOFANO ORFANELLI</v>
          </cell>
          <cell r="G2759" t="str">
            <v>Kathryn Spaziani</v>
          </cell>
          <cell r="H2759" t="str">
            <v>(212) 305-1190</v>
          </cell>
          <cell r="J2759" t="str">
            <v>kas9171@nyp.org</v>
          </cell>
          <cell r="K2759" t="str">
            <v>Unknown</v>
          </cell>
          <cell r="L2759" t="str">
            <v>Uncategorized</v>
          </cell>
          <cell r="M2759" t="str">
            <v>No</v>
          </cell>
          <cell r="R2759" t="str">
            <v>ORFANELLI THEOFANO DR.</v>
          </cell>
          <cell r="S2759" t="str">
            <v>525 E 68TH ST, BOX 122</v>
          </cell>
          <cell r="T2759" t="str">
            <v>NEW YORK</v>
          </cell>
          <cell r="U2759" t="str">
            <v>NY</v>
          </cell>
          <cell r="V2759" t="str">
            <v>100654870</v>
          </cell>
          <cell r="AC2759" t="str">
            <v>M</v>
          </cell>
          <cell r="AD2759" t="str">
            <v>No</v>
          </cell>
          <cell r="AE2759" t="str">
            <v>NPI only</v>
          </cell>
          <cell r="AF2759" t="str">
            <v>nypother</v>
          </cell>
          <cell r="AG2759" t="str">
            <v>P</v>
          </cell>
        </row>
        <row r="2760">
          <cell r="A2760" t="str">
            <v>1144596156</v>
          </cell>
          <cell r="C2760" t="str">
            <v>CAROLYN ROSS</v>
          </cell>
          <cell r="G2760" t="str">
            <v>Kathryn Spaziani</v>
          </cell>
          <cell r="H2760" t="str">
            <v>(212) 305-1190</v>
          </cell>
          <cell r="J2760" t="str">
            <v>kas9171@nyp.org</v>
          </cell>
          <cell r="K2760" t="str">
            <v>Unknown</v>
          </cell>
          <cell r="L2760" t="str">
            <v>Uncategorized</v>
          </cell>
          <cell r="M2760" t="str">
            <v>No</v>
          </cell>
          <cell r="R2760" t="str">
            <v>ROSS CAROLYN DR.</v>
          </cell>
          <cell r="S2760" t="str">
            <v>525 E 68TH ST, BOX 122</v>
          </cell>
          <cell r="T2760" t="str">
            <v>NEW YORK</v>
          </cell>
          <cell r="U2760" t="str">
            <v>NY</v>
          </cell>
          <cell r="V2760" t="str">
            <v>100654870</v>
          </cell>
          <cell r="AC2760" t="str">
            <v>M</v>
          </cell>
          <cell r="AD2760" t="str">
            <v>No</v>
          </cell>
          <cell r="AE2760" t="str">
            <v>NPI only</v>
          </cell>
          <cell r="AF2760" t="str">
            <v>nypeastcampus</v>
          </cell>
          <cell r="AG2760" t="str">
            <v>P</v>
          </cell>
        </row>
        <row r="2761">
          <cell r="A2761" t="str">
            <v>1669739280</v>
          </cell>
          <cell r="C2761" t="str">
            <v>JOSHUA STEWART</v>
          </cell>
          <cell r="G2761" t="str">
            <v>Kathryn Spaziani</v>
          </cell>
          <cell r="H2761" t="str">
            <v>(212) 305-1190</v>
          </cell>
          <cell r="J2761" t="str">
            <v>kas9171@nyp.org</v>
          </cell>
          <cell r="K2761" t="str">
            <v>Unknown</v>
          </cell>
          <cell r="L2761" t="str">
            <v>Uncategorized</v>
          </cell>
          <cell r="M2761" t="str">
            <v>No</v>
          </cell>
          <cell r="R2761" t="str">
            <v>STEWART JOSHUA DR.</v>
          </cell>
          <cell r="S2761" t="str">
            <v>525 E 68TH ST</v>
          </cell>
          <cell r="T2761" t="str">
            <v>NEW YORK</v>
          </cell>
          <cell r="U2761" t="str">
            <v>NY</v>
          </cell>
          <cell r="V2761" t="str">
            <v>100654870</v>
          </cell>
          <cell r="AC2761" t="str">
            <v>M</v>
          </cell>
          <cell r="AD2761" t="str">
            <v>No</v>
          </cell>
          <cell r="AE2761" t="str">
            <v>NPI only</v>
          </cell>
          <cell r="AF2761" t="str">
            <v>nypeastcampus</v>
          </cell>
          <cell r="AG2761" t="str">
            <v>P</v>
          </cell>
        </row>
        <row r="2762">
          <cell r="A2762" t="str">
            <v>1326339177</v>
          </cell>
          <cell r="C2762" t="str">
            <v>LUCIANA VIEIRA</v>
          </cell>
          <cell r="G2762" t="str">
            <v>Kathryn Spaziani</v>
          </cell>
          <cell r="H2762" t="str">
            <v>(212) 305-1190</v>
          </cell>
          <cell r="J2762" t="str">
            <v>kas9171@nyp.org</v>
          </cell>
          <cell r="K2762" t="str">
            <v>Unknown</v>
          </cell>
          <cell r="L2762" t="str">
            <v>Uncategorized</v>
          </cell>
          <cell r="M2762" t="str">
            <v>No</v>
          </cell>
          <cell r="R2762" t="str">
            <v>VIEIRA LUCIANA DR.</v>
          </cell>
          <cell r="S2762" t="str">
            <v>525 E 68TH ST</v>
          </cell>
          <cell r="T2762" t="str">
            <v>NEW YORK</v>
          </cell>
          <cell r="U2762" t="str">
            <v>NY</v>
          </cell>
          <cell r="V2762" t="str">
            <v>100654870</v>
          </cell>
          <cell r="AC2762" t="str">
            <v>M</v>
          </cell>
          <cell r="AD2762" t="str">
            <v>No</v>
          </cell>
          <cell r="AE2762" t="str">
            <v>NPI only</v>
          </cell>
          <cell r="AF2762" t="str">
            <v>nypother</v>
          </cell>
          <cell r="AG2762" t="str">
            <v>P</v>
          </cell>
        </row>
        <row r="2763">
          <cell r="A2763" t="str">
            <v>1659647881</v>
          </cell>
          <cell r="C2763" t="str">
            <v>KAREN ACKER</v>
          </cell>
          <cell r="G2763" t="str">
            <v>Kathryn Spaziani</v>
          </cell>
          <cell r="H2763" t="str">
            <v>(212) 305-1190</v>
          </cell>
          <cell r="J2763" t="str">
            <v>kas9171@nyp.org</v>
          </cell>
          <cell r="K2763" t="str">
            <v>Unknown</v>
          </cell>
          <cell r="L2763" t="str">
            <v>Uncategorized</v>
          </cell>
          <cell r="M2763" t="str">
            <v>No</v>
          </cell>
          <cell r="R2763" t="str">
            <v>ACKER KAREN</v>
          </cell>
          <cell r="S2763" t="str">
            <v>525 E 68TH ST</v>
          </cell>
          <cell r="T2763" t="str">
            <v>NEW YORK</v>
          </cell>
          <cell r="U2763" t="str">
            <v>NY</v>
          </cell>
          <cell r="V2763" t="str">
            <v>100654870</v>
          </cell>
          <cell r="AC2763" t="str">
            <v>M</v>
          </cell>
          <cell r="AD2763" t="str">
            <v>No</v>
          </cell>
          <cell r="AE2763" t="str">
            <v>NPI only</v>
          </cell>
          <cell r="AF2763" t="str">
            <v>nypwestcampus</v>
          </cell>
          <cell r="AG2763" t="str">
            <v>P</v>
          </cell>
        </row>
        <row r="2764">
          <cell r="A2764" t="str">
            <v>1073889093</v>
          </cell>
          <cell r="C2764" t="str">
            <v>LAUREN BLATT</v>
          </cell>
          <cell r="G2764" t="str">
            <v>Kathryn Spaziani</v>
          </cell>
          <cell r="H2764" t="str">
            <v>(212) 305-1190</v>
          </cell>
          <cell r="J2764" t="str">
            <v>kas9171@nyp.org</v>
          </cell>
          <cell r="K2764" t="str">
            <v>Unknown</v>
          </cell>
          <cell r="L2764" t="str">
            <v>Uncategorized</v>
          </cell>
          <cell r="M2764" t="str">
            <v>No</v>
          </cell>
          <cell r="R2764" t="str">
            <v>BLATT LAUREN</v>
          </cell>
          <cell r="S2764" t="str">
            <v>525 E 68TH ST</v>
          </cell>
          <cell r="T2764" t="str">
            <v>NEW YORK</v>
          </cell>
          <cell r="U2764" t="str">
            <v>NY</v>
          </cell>
          <cell r="V2764" t="str">
            <v>100654870</v>
          </cell>
          <cell r="AC2764" t="str">
            <v>M</v>
          </cell>
          <cell r="AD2764" t="str">
            <v>No</v>
          </cell>
          <cell r="AE2764" t="str">
            <v>NPI only</v>
          </cell>
          <cell r="AF2764" t="str">
            <v>nypeastcampus</v>
          </cell>
          <cell r="AG2764" t="str">
            <v>P</v>
          </cell>
        </row>
        <row r="2765">
          <cell r="A2765" t="str">
            <v>1326381351</v>
          </cell>
          <cell r="C2765" t="str">
            <v>DENVER BROWN</v>
          </cell>
          <cell r="G2765" t="str">
            <v>Kathryn Spaziani</v>
          </cell>
          <cell r="H2765" t="str">
            <v>(212) 305-1190</v>
          </cell>
          <cell r="J2765" t="str">
            <v>kas9171@nyp.org</v>
          </cell>
          <cell r="K2765" t="str">
            <v>Unknown</v>
          </cell>
          <cell r="L2765" t="str">
            <v>Uncategorized</v>
          </cell>
          <cell r="M2765" t="str">
            <v>No</v>
          </cell>
          <cell r="R2765" t="str">
            <v>BROWN DENVER</v>
          </cell>
          <cell r="S2765" t="str">
            <v>69 ADAMS ST NW, APT 1</v>
          </cell>
          <cell r="T2765" t="str">
            <v>WASHINGTON</v>
          </cell>
          <cell r="U2765" t="str">
            <v>DC</v>
          </cell>
          <cell r="V2765" t="str">
            <v>200011173</v>
          </cell>
          <cell r="AC2765" t="str">
            <v>M</v>
          </cell>
          <cell r="AD2765" t="str">
            <v>No</v>
          </cell>
          <cell r="AE2765" t="str">
            <v>NPI only</v>
          </cell>
          <cell r="AF2765" t="str">
            <v>nypeastcampus</v>
          </cell>
          <cell r="AG2765" t="str">
            <v>P</v>
          </cell>
        </row>
        <row r="2766">
          <cell r="A2766" t="str">
            <v>1336584028</v>
          </cell>
          <cell r="C2766" t="str">
            <v>KARI BRUCE</v>
          </cell>
          <cell r="G2766" t="str">
            <v>Kathryn Spaziani</v>
          </cell>
          <cell r="H2766" t="str">
            <v>(212) 305-1190</v>
          </cell>
          <cell r="J2766" t="str">
            <v>kas9171@nyp.org</v>
          </cell>
          <cell r="K2766" t="str">
            <v>Unknown</v>
          </cell>
          <cell r="L2766" t="str">
            <v>Uncategorized</v>
          </cell>
          <cell r="M2766" t="str">
            <v>No</v>
          </cell>
          <cell r="R2766" t="str">
            <v>BRUCE KARI DR.</v>
          </cell>
          <cell r="S2766" t="str">
            <v>525 E 68TH ST</v>
          </cell>
          <cell r="T2766" t="str">
            <v>NEW YORK</v>
          </cell>
          <cell r="U2766" t="str">
            <v>NY</v>
          </cell>
          <cell r="V2766" t="str">
            <v>100654870</v>
          </cell>
          <cell r="AC2766" t="str">
            <v>M</v>
          </cell>
          <cell r="AD2766" t="str">
            <v>No</v>
          </cell>
          <cell r="AE2766" t="str">
            <v>NPI only</v>
          </cell>
          <cell r="AF2766" t="str">
            <v>nypeastcampus</v>
          </cell>
          <cell r="AG2766" t="str">
            <v>P</v>
          </cell>
        </row>
        <row r="2767">
          <cell r="A2767" t="str">
            <v>1467728493</v>
          </cell>
          <cell r="C2767" t="str">
            <v>KRISTEN CRITELLI</v>
          </cell>
          <cell r="G2767" t="str">
            <v>Kathryn Spaziani</v>
          </cell>
          <cell r="H2767" t="str">
            <v>(212) 305-1190</v>
          </cell>
          <cell r="J2767" t="str">
            <v>kas9171@nyp.org</v>
          </cell>
          <cell r="K2767" t="str">
            <v>Unknown</v>
          </cell>
          <cell r="L2767" t="str">
            <v>Uncategorized</v>
          </cell>
          <cell r="M2767" t="str">
            <v>No</v>
          </cell>
          <cell r="R2767" t="str">
            <v>CRITELLI KRISTEN</v>
          </cell>
          <cell r="S2767" t="str">
            <v>525 E 68TH ST</v>
          </cell>
          <cell r="T2767" t="str">
            <v>NEW YORK</v>
          </cell>
          <cell r="U2767" t="str">
            <v>NY</v>
          </cell>
          <cell r="V2767" t="str">
            <v>100654870</v>
          </cell>
          <cell r="AC2767" t="str">
            <v>M</v>
          </cell>
          <cell r="AD2767" t="str">
            <v>No</v>
          </cell>
          <cell r="AE2767" t="str">
            <v>NPI only</v>
          </cell>
          <cell r="AF2767" t="str">
            <v>nypother</v>
          </cell>
          <cell r="AG2767" t="str">
            <v>P</v>
          </cell>
        </row>
        <row r="2768">
          <cell r="A2768" t="str">
            <v>1275875510</v>
          </cell>
          <cell r="C2768" t="str">
            <v>BRIDGET DOWD</v>
          </cell>
          <cell r="G2768" t="str">
            <v>Kathryn Spaziani</v>
          </cell>
          <cell r="H2768" t="str">
            <v>(212) 305-1190</v>
          </cell>
          <cell r="J2768" t="str">
            <v>kas9171@nyp.org</v>
          </cell>
          <cell r="K2768" t="str">
            <v>Unknown</v>
          </cell>
          <cell r="L2768" t="str">
            <v>Uncategorized</v>
          </cell>
          <cell r="M2768" t="str">
            <v>No</v>
          </cell>
          <cell r="R2768" t="str">
            <v>DOWD BRIDGET DR.</v>
          </cell>
          <cell r="S2768" t="str">
            <v>525 E 68TH ST</v>
          </cell>
          <cell r="T2768" t="str">
            <v>NEW YORK</v>
          </cell>
          <cell r="U2768" t="str">
            <v>NY</v>
          </cell>
          <cell r="V2768" t="str">
            <v>100654870</v>
          </cell>
          <cell r="AC2768" t="str">
            <v>M</v>
          </cell>
          <cell r="AD2768" t="str">
            <v>No</v>
          </cell>
          <cell r="AE2768" t="str">
            <v>NPI only</v>
          </cell>
          <cell r="AF2768" t="str">
            <v>nypeastcampus</v>
          </cell>
          <cell r="AG2768" t="str">
            <v>P</v>
          </cell>
        </row>
        <row r="2769">
          <cell r="A2769" t="str">
            <v>1114260767</v>
          </cell>
          <cell r="C2769" t="str">
            <v>JESSICA DUBY</v>
          </cell>
          <cell r="G2769" t="str">
            <v>Kathryn Spaziani</v>
          </cell>
          <cell r="H2769" t="str">
            <v>(212) 305-1190</v>
          </cell>
          <cell r="J2769" t="str">
            <v>kas9171@nyp.org</v>
          </cell>
          <cell r="K2769" t="str">
            <v>Unknown</v>
          </cell>
          <cell r="L2769" t="str">
            <v>Uncategorized</v>
          </cell>
          <cell r="M2769" t="str">
            <v>No</v>
          </cell>
          <cell r="R2769" t="str">
            <v>DUBY JESSICA</v>
          </cell>
          <cell r="S2769" t="str">
            <v>2373 BROADWAY, APT 934</v>
          </cell>
          <cell r="T2769" t="str">
            <v>NEW YORK</v>
          </cell>
          <cell r="U2769" t="str">
            <v>NY</v>
          </cell>
          <cell r="V2769" t="str">
            <v>100242800</v>
          </cell>
          <cell r="AC2769" t="str">
            <v>M</v>
          </cell>
          <cell r="AD2769" t="str">
            <v>No</v>
          </cell>
          <cell r="AE2769" t="str">
            <v>NPI only</v>
          </cell>
          <cell r="AF2769" t="str">
            <v>nypeastcampus</v>
          </cell>
          <cell r="AG2769" t="str">
            <v>P</v>
          </cell>
        </row>
        <row r="2770">
          <cell r="A2770" t="str">
            <v>1861758062</v>
          </cell>
          <cell r="B2770" t="str">
            <v>04543844</v>
          </cell>
          <cell r="C2770" t="str">
            <v>JENNIFER GARNETT</v>
          </cell>
          <cell r="D2770" t="str">
            <v>E0447047</v>
          </cell>
          <cell r="E2770" t="str">
            <v>BELLIS JENNIFER MARIE</v>
          </cell>
          <cell r="G2770" t="str">
            <v>Kathryn Spaziani</v>
          </cell>
          <cell r="H2770" t="str">
            <v>(212) 305-1190</v>
          </cell>
          <cell r="J2770" t="str">
            <v>kas9171@nyp.org</v>
          </cell>
          <cell r="L2770" t="str">
            <v>Uncategorized</v>
          </cell>
          <cell r="M2770" t="str">
            <v>No</v>
          </cell>
          <cell r="R2770" t="str">
            <v>BELLIS JENNIFER</v>
          </cell>
          <cell r="W2770" t="str">
            <v>BELLIS JENNIFER MARIE</v>
          </cell>
          <cell r="AB2770" t="str">
            <v>PHYSICIAN</v>
          </cell>
          <cell r="AC2770" t="str">
            <v>M</v>
          </cell>
          <cell r="AD2770" t="str">
            <v>No</v>
          </cell>
          <cell r="AE2770" t="str">
            <v>MMIS</v>
          </cell>
          <cell r="AF2770" t="str">
            <v>nypother</v>
          </cell>
          <cell r="AG2770" t="str">
            <v>P</v>
          </cell>
        </row>
        <row r="2771">
          <cell r="A2771" t="str">
            <v>1700221850</v>
          </cell>
          <cell r="C2771" t="str">
            <v>NICOLE GREEN</v>
          </cell>
          <cell r="G2771" t="str">
            <v>Kathryn Spaziani</v>
          </cell>
          <cell r="H2771" t="str">
            <v>(212) 305-1190</v>
          </cell>
          <cell r="J2771" t="str">
            <v>kas9171@nyp.org</v>
          </cell>
          <cell r="K2771" t="str">
            <v>Unknown</v>
          </cell>
          <cell r="L2771" t="str">
            <v>Uncategorized</v>
          </cell>
          <cell r="M2771" t="str">
            <v>No</v>
          </cell>
          <cell r="R2771" t="str">
            <v>GREEN NICOLE</v>
          </cell>
          <cell r="S2771" t="str">
            <v>525 E 68TH ST</v>
          </cell>
          <cell r="T2771" t="str">
            <v>NEW YORK</v>
          </cell>
          <cell r="U2771" t="str">
            <v>NY</v>
          </cell>
          <cell r="V2771" t="str">
            <v>100654870</v>
          </cell>
          <cell r="AC2771" t="str">
            <v>M</v>
          </cell>
          <cell r="AD2771" t="str">
            <v>No</v>
          </cell>
          <cell r="AE2771" t="str">
            <v>NPI only</v>
          </cell>
          <cell r="AF2771" t="str">
            <v>nypeastcampus</v>
          </cell>
          <cell r="AG2771" t="str">
            <v>P</v>
          </cell>
        </row>
        <row r="2772">
          <cell r="A2772" t="str">
            <v>1932544954</v>
          </cell>
          <cell r="C2772" t="str">
            <v>RACHAEL GRODICK</v>
          </cell>
          <cell r="G2772" t="str">
            <v>Kathryn Spaziani</v>
          </cell>
          <cell r="H2772" t="str">
            <v>(212) 305-1190</v>
          </cell>
          <cell r="J2772" t="str">
            <v>kas9171@nyp.org</v>
          </cell>
          <cell r="K2772" t="str">
            <v>Unknown</v>
          </cell>
          <cell r="L2772" t="str">
            <v>Uncategorized</v>
          </cell>
          <cell r="M2772" t="str">
            <v>No</v>
          </cell>
          <cell r="R2772" t="str">
            <v>BATABYAL RACHAEL</v>
          </cell>
          <cell r="S2772" t="str">
            <v>111 MICHIGAN AVE NW, DEPARTMENT OF EMERGENCY MEDICINE</v>
          </cell>
          <cell r="T2772" t="str">
            <v>WASHINGTON</v>
          </cell>
          <cell r="U2772" t="str">
            <v>DC</v>
          </cell>
          <cell r="V2772" t="str">
            <v>200102916</v>
          </cell>
          <cell r="AC2772" t="str">
            <v>M</v>
          </cell>
          <cell r="AD2772" t="str">
            <v>No</v>
          </cell>
          <cell r="AE2772" t="str">
            <v>NPI only</v>
          </cell>
          <cell r="AF2772" t="str">
            <v>nypeastcampus</v>
          </cell>
          <cell r="AG2772" t="str">
            <v>P</v>
          </cell>
        </row>
        <row r="2773">
          <cell r="A2773" t="str">
            <v>1740547785</v>
          </cell>
          <cell r="C2773" t="str">
            <v>ELIZABETH HERRUP</v>
          </cell>
          <cell r="G2773" t="str">
            <v>Kathryn Spaziani</v>
          </cell>
          <cell r="H2773" t="str">
            <v>(212) 305-1190</v>
          </cell>
          <cell r="J2773" t="str">
            <v>kas9171@nyp.org</v>
          </cell>
          <cell r="K2773" t="str">
            <v>Unknown</v>
          </cell>
          <cell r="L2773" t="str">
            <v>Uncategorized</v>
          </cell>
          <cell r="M2773" t="str">
            <v>No</v>
          </cell>
          <cell r="R2773" t="str">
            <v>HERRUP ELIZABETH MS.</v>
          </cell>
          <cell r="S2773" t="str">
            <v>525 E 68TH ST</v>
          </cell>
          <cell r="T2773" t="str">
            <v>NEW YORK</v>
          </cell>
          <cell r="U2773" t="str">
            <v>NY</v>
          </cell>
          <cell r="V2773" t="str">
            <v>100654870</v>
          </cell>
          <cell r="AC2773" t="str">
            <v>M</v>
          </cell>
          <cell r="AD2773" t="str">
            <v>No</v>
          </cell>
          <cell r="AE2773" t="str">
            <v>NPI only</v>
          </cell>
          <cell r="AF2773" t="str">
            <v>nypother</v>
          </cell>
          <cell r="AG2773" t="str">
            <v>P</v>
          </cell>
        </row>
        <row r="2774">
          <cell r="A2774" t="str">
            <v>1720353055</v>
          </cell>
          <cell r="C2774" t="str">
            <v>MARIE HOGAN</v>
          </cell>
          <cell r="G2774" t="str">
            <v>Kathryn Spaziani</v>
          </cell>
          <cell r="H2774" t="str">
            <v>(212) 305-1190</v>
          </cell>
          <cell r="J2774" t="str">
            <v>kas9171@nyp.org</v>
          </cell>
          <cell r="K2774" t="str">
            <v>Unknown</v>
          </cell>
          <cell r="L2774" t="str">
            <v>Uncategorized</v>
          </cell>
          <cell r="M2774" t="str">
            <v>No</v>
          </cell>
          <cell r="R2774" t="str">
            <v>HOGAN MARIE</v>
          </cell>
          <cell r="S2774" t="str">
            <v>525 E 68TH ST, ROOM M610</v>
          </cell>
          <cell r="T2774" t="str">
            <v>NEW YORK</v>
          </cell>
          <cell r="U2774" t="str">
            <v>NY</v>
          </cell>
          <cell r="V2774" t="str">
            <v>100654870</v>
          </cell>
          <cell r="AC2774" t="str">
            <v>M</v>
          </cell>
          <cell r="AD2774" t="str">
            <v>No</v>
          </cell>
          <cell r="AE2774" t="str">
            <v>NPI only</v>
          </cell>
          <cell r="AF2774" t="str">
            <v>nypeastcampus</v>
          </cell>
          <cell r="AG2774" t="str">
            <v>P</v>
          </cell>
        </row>
        <row r="2775">
          <cell r="A2775" t="str">
            <v>1225370364</v>
          </cell>
          <cell r="C2775" t="str">
            <v>BRIAN KING</v>
          </cell>
          <cell r="G2775" t="str">
            <v>Kathryn Spaziani</v>
          </cell>
          <cell r="H2775" t="str">
            <v>(212) 305-1190</v>
          </cell>
          <cell r="J2775" t="str">
            <v>kas9171@nyp.org</v>
          </cell>
          <cell r="K2775" t="str">
            <v>Unknown</v>
          </cell>
          <cell r="L2775" t="str">
            <v>Uncategorized</v>
          </cell>
          <cell r="M2775" t="str">
            <v>No</v>
          </cell>
          <cell r="R2775" t="str">
            <v>KING BRIAN</v>
          </cell>
          <cell r="S2775" t="str">
            <v>525 E 68TH ST, BOX 225</v>
          </cell>
          <cell r="T2775" t="str">
            <v>NEW YORK</v>
          </cell>
          <cell r="U2775" t="str">
            <v>NY</v>
          </cell>
          <cell r="V2775" t="str">
            <v>100654870</v>
          </cell>
          <cell r="AC2775" t="str">
            <v>M</v>
          </cell>
          <cell r="AD2775" t="str">
            <v>No</v>
          </cell>
          <cell r="AE2775" t="str">
            <v>NPI only</v>
          </cell>
          <cell r="AF2775" t="str">
            <v>nypeastcampus</v>
          </cell>
          <cell r="AG2775" t="str">
            <v>P</v>
          </cell>
        </row>
        <row r="2776">
          <cell r="A2776" t="str">
            <v>1336465194</v>
          </cell>
          <cell r="C2776" t="str">
            <v>Hsiao Susan</v>
          </cell>
          <cell r="G2776" t="str">
            <v>Kathryn Spaziani</v>
          </cell>
          <cell r="H2776" t="str">
            <v>(212) 305-1255</v>
          </cell>
          <cell r="J2776" t="str">
            <v>kas9171@nyp.org</v>
          </cell>
          <cell r="K2776" t="str">
            <v>Physician</v>
          </cell>
          <cell r="L2776" t="str">
            <v>Uncategorized</v>
          </cell>
          <cell r="M2776" t="str">
            <v>No</v>
          </cell>
          <cell r="R2776" t="str">
            <v>HSIAO SUSAN</v>
          </cell>
          <cell r="S2776" t="str">
            <v>630 W 168TH ST, COLUMBIA UNIVERSITY, DEPARTMENT OF PATHOLOGY</v>
          </cell>
          <cell r="T2776" t="str">
            <v>NEW YORK</v>
          </cell>
          <cell r="U2776" t="str">
            <v>NY</v>
          </cell>
          <cell r="V2776" t="str">
            <v>100323725</v>
          </cell>
          <cell r="AC2776" t="str">
            <v>M</v>
          </cell>
          <cell r="AD2776" t="str">
            <v>No</v>
          </cell>
          <cell r="AE2776" t="str">
            <v>NPI only</v>
          </cell>
          <cell r="AF2776" t="str">
            <v>nypwestcampus</v>
          </cell>
          <cell r="AG2776" t="str">
            <v>P</v>
          </cell>
        </row>
        <row r="2777">
          <cell r="A2777" t="str">
            <v>1396046785</v>
          </cell>
          <cell r="C2777" t="str">
            <v>Iuga Alina</v>
          </cell>
          <cell r="G2777" t="str">
            <v>Kathryn Spaziani</v>
          </cell>
          <cell r="H2777" t="str">
            <v>(212) 305-1255</v>
          </cell>
          <cell r="J2777" t="str">
            <v>kas9171@nyp.org</v>
          </cell>
          <cell r="K2777" t="str">
            <v>Physician</v>
          </cell>
          <cell r="L2777" t="str">
            <v>Practitioner - Non-Primary Care Provider (PCP)</v>
          </cell>
          <cell r="M2777" t="str">
            <v>No</v>
          </cell>
          <cell r="R2777" t="str">
            <v>IUGA ALINA DR.</v>
          </cell>
          <cell r="S2777" t="str">
            <v>630 W 168TH ST, VANDERBUILT CLINIC, 14TH FLOOR</v>
          </cell>
          <cell r="T2777" t="str">
            <v>NEW YORK</v>
          </cell>
          <cell r="U2777" t="str">
            <v>NY</v>
          </cell>
          <cell r="V2777" t="str">
            <v>100323725</v>
          </cell>
          <cell r="AC2777" t="str">
            <v>M</v>
          </cell>
          <cell r="AD2777" t="str">
            <v>No</v>
          </cell>
          <cell r="AE2777" t="str">
            <v>NPI only</v>
          </cell>
          <cell r="AF2777" t="str">
            <v>nypwestcampus</v>
          </cell>
          <cell r="AG2777" t="str">
            <v>P</v>
          </cell>
        </row>
        <row r="2778">
          <cell r="A2778" t="str">
            <v>1841288123</v>
          </cell>
          <cell r="B2778" t="str">
            <v>01591428</v>
          </cell>
          <cell r="C2778" t="str">
            <v>LELA DOGIM</v>
          </cell>
          <cell r="D2778" t="str">
            <v>E0140864</v>
          </cell>
          <cell r="E2778" t="str">
            <v>DOGIM LILA MD</v>
          </cell>
          <cell r="G2778" t="str">
            <v>Eva Eng</v>
          </cell>
          <cell r="H2778" t="str">
            <v>(212) 752-4992</v>
          </cell>
          <cell r="J2778" t="str">
            <v>eeng@archcare.org</v>
          </cell>
          <cell r="L2778" t="str">
            <v>Practitioner - Non-Primary Care Provider (PCP)</v>
          </cell>
          <cell r="M2778" t="str">
            <v>No</v>
          </cell>
          <cell r="R2778" t="str">
            <v>DOGIM LILA DR.</v>
          </cell>
          <cell r="W2778" t="str">
            <v>DOGIM LILA MD</v>
          </cell>
          <cell r="X2778" t="str">
            <v>1276 FULTON AVE</v>
          </cell>
          <cell r="Y2778" t="str">
            <v>BRONX</v>
          </cell>
          <cell r="Z2778" t="str">
            <v>NY</v>
          </cell>
          <cell r="AA2778" t="str">
            <v>10456-3402</v>
          </cell>
          <cell r="AB2778" t="str">
            <v>PHYSICIAN</v>
          </cell>
          <cell r="AC2778" t="str">
            <v>M</v>
          </cell>
          <cell r="AD2778" t="str">
            <v>No</v>
          </cell>
          <cell r="AE2778" t="str">
            <v>MMIS</v>
          </cell>
          <cell r="AG2778" t="str">
            <v>P</v>
          </cell>
        </row>
        <row r="2779">
          <cell r="A2779" t="str">
            <v>1063664530</v>
          </cell>
          <cell r="B2779" t="str">
            <v>03340269</v>
          </cell>
          <cell r="C2779" t="str">
            <v>Pua Bradley</v>
          </cell>
          <cell r="D2779" t="str">
            <v>E0320298</v>
          </cell>
          <cell r="E2779" t="str">
            <v>PUA BRADLEY BRYAN</v>
          </cell>
          <cell r="L2779" t="str">
            <v>All Other:: Practitioner - Non-Primary Care Provider (PCP)</v>
          </cell>
          <cell r="M2779" t="str">
            <v>No</v>
          </cell>
          <cell r="R2779" t="str">
            <v>PUA BRADLEY DR.</v>
          </cell>
          <cell r="W2779" t="str">
            <v>PUA BRADLEY BRYAN</v>
          </cell>
          <cell r="X2779" t="str">
            <v>525 E 68TH ST</v>
          </cell>
          <cell r="Y2779" t="str">
            <v>NEW YORK</v>
          </cell>
          <cell r="Z2779" t="str">
            <v>NY</v>
          </cell>
          <cell r="AA2779" t="str">
            <v>10065-4885</v>
          </cell>
          <cell r="AB2779" t="str">
            <v>PHYSICIAN</v>
          </cell>
          <cell r="AC2779" t="str">
            <v>M</v>
          </cell>
          <cell r="AD2779" t="str">
            <v>No</v>
          </cell>
          <cell r="AE2779" t="str">
            <v>MMIS</v>
          </cell>
          <cell r="AF2779" t="str">
            <v>nypeastcampus</v>
          </cell>
          <cell r="AG2779" t="str">
            <v>P</v>
          </cell>
        </row>
        <row r="2780">
          <cell r="A2780" t="str">
            <v>1831445931</v>
          </cell>
          <cell r="B2780" t="str">
            <v>03574352</v>
          </cell>
          <cell r="C2780" t="str">
            <v>Salerno Theresa</v>
          </cell>
          <cell r="D2780" t="str">
            <v>E0347522</v>
          </cell>
          <cell r="E2780" t="str">
            <v>SALERNO THERESA MARIE</v>
          </cell>
          <cell r="L2780" t="str">
            <v>Practitioner - Non-Primary Care Provider (PCP)</v>
          </cell>
          <cell r="M2780" t="str">
            <v>No</v>
          </cell>
          <cell r="R2780" t="str">
            <v>SALERNO THERESA</v>
          </cell>
          <cell r="W2780" t="str">
            <v>SALERNO THERESA MARIE</v>
          </cell>
          <cell r="X2780" t="str">
            <v>525 E 68TH ST # 141</v>
          </cell>
          <cell r="Y2780" t="str">
            <v>NEW YORK</v>
          </cell>
          <cell r="Z2780" t="str">
            <v>NY</v>
          </cell>
          <cell r="AA2780" t="str">
            <v>10065-4870</v>
          </cell>
          <cell r="AB2780" t="str">
            <v>PHYSICIAN</v>
          </cell>
          <cell r="AC2780" t="str">
            <v>M</v>
          </cell>
          <cell r="AD2780" t="str">
            <v>No</v>
          </cell>
          <cell r="AE2780" t="str">
            <v>MMIS</v>
          </cell>
          <cell r="AF2780" t="str">
            <v>nypeastcampus</v>
          </cell>
          <cell r="AG2780" t="str">
            <v>P</v>
          </cell>
        </row>
        <row r="2781">
          <cell r="A2781" t="str">
            <v>1134400559</v>
          </cell>
          <cell r="B2781" t="str">
            <v>03649543</v>
          </cell>
          <cell r="C2781" t="str">
            <v>Mak, Cecilia Sze Man</v>
          </cell>
          <cell r="D2781" t="str">
            <v>E0355366</v>
          </cell>
          <cell r="E2781" t="str">
            <v>MAK CECILIA SZE MAN</v>
          </cell>
          <cell r="G2781" t="str">
            <v>Betty Cheng</v>
          </cell>
          <cell r="H2781" t="str">
            <v>(212) 379-6988</v>
          </cell>
          <cell r="I2781">
            <v>2604</v>
          </cell>
          <cell r="J2781" t="str">
            <v>bcheng@cbwchc.org</v>
          </cell>
          <cell r="L2781" t="str">
            <v>All Other:: Practitioner - Primary Care Provider (PCP)</v>
          </cell>
          <cell r="M2781" t="str">
            <v>No</v>
          </cell>
          <cell r="R2781" t="str">
            <v>MAK CECILIA DR.</v>
          </cell>
          <cell r="W2781" t="str">
            <v>MAK CECILIA SZE MAN</v>
          </cell>
          <cell r="X2781" t="str">
            <v>125 WALKER ST FL 2</v>
          </cell>
          <cell r="Y2781" t="str">
            <v>NEW YORK</v>
          </cell>
          <cell r="Z2781" t="str">
            <v>NY</v>
          </cell>
          <cell r="AA2781" t="str">
            <v>10013-4135</v>
          </cell>
          <cell r="AB2781" t="str">
            <v>PHYSICIAN</v>
          </cell>
          <cell r="AC2781" t="str">
            <v>M</v>
          </cell>
          <cell r="AD2781" t="str">
            <v>No</v>
          </cell>
          <cell r="AE2781" t="str">
            <v>MMIS</v>
          </cell>
          <cell r="AF2781" t="str">
            <v>cbwchc</v>
          </cell>
          <cell r="AG2781" t="str">
            <v>P</v>
          </cell>
        </row>
        <row r="2782">
          <cell r="A2782" t="str">
            <v>1740417617</v>
          </cell>
          <cell r="B2782" t="str">
            <v>03136803</v>
          </cell>
          <cell r="C2782" t="str">
            <v>Shen, Chunpang Tony</v>
          </cell>
          <cell r="D2782" t="str">
            <v>E0297304</v>
          </cell>
          <cell r="E2782" t="str">
            <v>SHEN CHUNPANG</v>
          </cell>
          <cell r="G2782" t="str">
            <v>Betty Cheng</v>
          </cell>
          <cell r="H2782" t="str">
            <v>(212) 379-6988</v>
          </cell>
          <cell r="I2782">
            <v>2604</v>
          </cell>
          <cell r="J2782" t="str">
            <v>bcheng@cbwchc.org</v>
          </cell>
          <cell r="L2782" t="str">
            <v>All Other:: Practitioner - Primary Care Provider (PCP)</v>
          </cell>
          <cell r="M2782" t="str">
            <v>Yes</v>
          </cell>
          <cell r="R2782" t="str">
            <v>SHEN CHUNPANG DR.</v>
          </cell>
          <cell r="W2782" t="str">
            <v>SHEN CHUNPANG</v>
          </cell>
          <cell r="X2782" t="str">
            <v>125 WALKER ST FL 2</v>
          </cell>
          <cell r="Y2782" t="str">
            <v>NEW YORK</v>
          </cell>
          <cell r="Z2782" t="str">
            <v>NY</v>
          </cell>
          <cell r="AA2782" t="str">
            <v>10013-4135</v>
          </cell>
          <cell r="AB2782" t="str">
            <v>PHYSICIAN</v>
          </cell>
          <cell r="AC2782" t="str">
            <v>M</v>
          </cell>
          <cell r="AD2782" t="str">
            <v>No</v>
          </cell>
          <cell r="AE2782" t="str">
            <v>MMIS</v>
          </cell>
          <cell r="AF2782" t="str">
            <v>cbwchc</v>
          </cell>
          <cell r="AG2782" t="str">
            <v>P</v>
          </cell>
        </row>
        <row r="2783">
          <cell r="A2783" t="str">
            <v>1972700318</v>
          </cell>
          <cell r="B2783" t="str">
            <v>02947437</v>
          </cell>
          <cell r="C2783" t="str">
            <v>Shih, Jenny L.</v>
          </cell>
          <cell r="D2783" t="str">
            <v>E0002900</v>
          </cell>
          <cell r="E2783" t="str">
            <v>SHIH JENNY</v>
          </cell>
          <cell r="G2783" t="str">
            <v>Betty Cheng</v>
          </cell>
          <cell r="H2783" t="str">
            <v>(212) 379-6988</v>
          </cell>
          <cell r="I2783">
            <v>2604</v>
          </cell>
          <cell r="J2783" t="str">
            <v>bcheng@cbwchc.org</v>
          </cell>
          <cell r="L2783" t="str">
            <v>All Other:: Practitioner - Primary Care Provider (PCP)</v>
          </cell>
          <cell r="M2783" t="str">
            <v>Yes</v>
          </cell>
          <cell r="R2783" t="str">
            <v>SHIH JENNY</v>
          </cell>
          <cell r="W2783" t="str">
            <v>SHIH JENNY L</v>
          </cell>
          <cell r="X2783" t="str">
            <v>125 WALKER ST FL 2</v>
          </cell>
          <cell r="Y2783" t="str">
            <v>NEW YORK</v>
          </cell>
          <cell r="Z2783" t="str">
            <v>NY</v>
          </cell>
          <cell r="AA2783" t="str">
            <v>10013-4135</v>
          </cell>
          <cell r="AB2783" t="str">
            <v>PHYSICIAN</v>
          </cell>
          <cell r="AC2783" t="str">
            <v>M</v>
          </cell>
          <cell r="AD2783" t="str">
            <v>No</v>
          </cell>
          <cell r="AE2783" t="str">
            <v>MMIS</v>
          </cell>
          <cell r="AF2783" t="str">
            <v>cbwchc</v>
          </cell>
          <cell r="AG2783" t="str">
            <v>P</v>
          </cell>
        </row>
        <row r="2784">
          <cell r="A2784" t="str">
            <v>1811166788</v>
          </cell>
          <cell r="B2784" t="str">
            <v>03227676</v>
          </cell>
          <cell r="C2784" t="str">
            <v>Almeida-Chen Gracie</v>
          </cell>
          <cell r="D2784" t="str">
            <v>E0307510</v>
          </cell>
          <cell r="E2784" t="str">
            <v>ALMEIDA-CHEN GRACIE MARIA MD</v>
          </cell>
          <cell r="L2784" t="str">
            <v>All Other:: Practitioner - Non-Primary Care Provider (PCP)</v>
          </cell>
          <cell r="M2784" t="str">
            <v>No</v>
          </cell>
          <cell r="R2784" t="str">
            <v>ALMEIDA-CHEN GRACIE DR.</v>
          </cell>
          <cell r="W2784" t="str">
            <v>ALMEIDA-CHEN GRACIE MARIA MD</v>
          </cell>
          <cell r="X2784" t="str">
            <v>622 W 168TH ST</v>
          </cell>
          <cell r="Y2784" t="str">
            <v>NEW YORK</v>
          </cell>
          <cell r="Z2784" t="str">
            <v>NY</v>
          </cell>
          <cell r="AA2784" t="str">
            <v>10032-3720</v>
          </cell>
          <cell r="AB2784" t="str">
            <v>PHYSICIAN</v>
          </cell>
          <cell r="AC2784" t="str">
            <v>M</v>
          </cell>
          <cell r="AD2784" t="str">
            <v>No</v>
          </cell>
          <cell r="AE2784" t="str">
            <v>MMIS</v>
          </cell>
          <cell r="AF2784" t="str">
            <v>nypwestcampus</v>
          </cell>
          <cell r="AG2784" t="str">
            <v>P</v>
          </cell>
        </row>
        <row r="2785">
          <cell r="A2785" t="str">
            <v>1174838627</v>
          </cell>
          <cell r="C2785" t="str">
            <v>Chow Daniel</v>
          </cell>
          <cell r="G2785" t="str">
            <v>Kathryn Spaziani</v>
          </cell>
          <cell r="H2785" t="str">
            <v>(212) 305-1255</v>
          </cell>
          <cell r="J2785" t="str">
            <v>kas9171@nyp.org</v>
          </cell>
          <cell r="K2785" t="str">
            <v>Physician</v>
          </cell>
          <cell r="L2785" t="str">
            <v>Uncategorized</v>
          </cell>
          <cell r="M2785" t="str">
            <v>No</v>
          </cell>
          <cell r="R2785" t="str">
            <v>CHOW DANIEL DR.</v>
          </cell>
          <cell r="S2785" t="str">
            <v>1000 W CARSON ST # 461</v>
          </cell>
          <cell r="T2785" t="str">
            <v>TORRANCE</v>
          </cell>
          <cell r="U2785" t="str">
            <v>CA</v>
          </cell>
          <cell r="V2785" t="str">
            <v>905022004</v>
          </cell>
          <cell r="AC2785" t="str">
            <v>M</v>
          </cell>
          <cell r="AD2785" t="str">
            <v>No</v>
          </cell>
          <cell r="AE2785" t="str">
            <v>NPI only</v>
          </cell>
          <cell r="AF2785" t="str">
            <v>nypother</v>
          </cell>
          <cell r="AG2785" t="str">
            <v>P</v>
          </cell>
        </row>
        <row r="2786">
          <cell r="A2786" t="str">
            <v>1821300237</v>
          </cell>
          <cell r="C2786" t="str">
            <v>Covarrubias Gabriel</v>
          </cell>
          <cell r="G2786" t="str">
            <v>Kathryn Spaziani</v>
          </cell>
          <cell r="H2786" t="str">
            <v>(212) 305-1255</v>
          </cell>
          <cell r="J2786" t="str">
            <v>kas9171@nyp.org</v>
          </cell>
          <cell r="K2786" t="str">
            <v>Physician</v>
          </cell>
          <cell r="L2786" t="str">
            <v>Uncategorized</v>
          </cell>
          <cell r="M2786" t="str">
            <v>No</v>
          </cell>
          <cell r="R2786" t="str">
            <v>COVARRUBIAS GABRIEL</v>
          </cell>
          <cell r="S2786" t="str">
            <v>30280 RANCHO VIEJO RD</v>
          </cell>
          <cell r="T2786" t="str">
            <v>SAN JUAN CAPISTRANO</v>
          </cell>
          <cell r="U2786" t="str">
            <v>CA</v>
          </cell>
          <cell r="V2786" t="str">
            <v>926751561</v>
          </cell>
          <cell r="AC2786" t="str">
            <v>M</v>
          </cell>
          <cell r="AD2786" t="str">
            <v>No</v>
          </cell>
          <cell r="AE2786" t="str">
            <v>NPI only</v>
          </cell>
          <cell r="AF2786" t="str">
            <v>nypwestcampus</v>
          </cell>
          <cell r="AG2786" t="str">
            <v>P</v>
          </cell>
        </row>
        <row r="2787">
          <cell r="A2787" t="str">
            <v>1003253238</v>
          </cell>
          <cell r="C2787" t="str">
            <v>Feltus Whitney</v>
          </cell>
          <cell r="G2787" t="str">
            <v>Kathryn Spaziani</v>
          </cell>
          <cell r="H2787" t="str">
            <v>(212) 305-1255</v>
          </cell>
          <cell r="J2787" t="str">
            <v>kas9171@nyp.org</v>
          </cell>
          <cell r="K2787" t="str">
            <v>Physician</v>
          </cell>
          <cell r="L2787" t="str">
            <v>Uncategorized</v>
          </cell>
          <cell r="M2787" t="str">
            <v>No</v>
          </cell>
          <cell r="R2787" t="str">
            <v>FELTUS WHITNEY</v>
          </cell>
          <cell r="S2787" t="str">
            <v>MEDICAL CENTER BLVD</v>
          </cell>
          <cell r="T2787" t="str">
            <v>WINSTON SALEM</v>
          </cell>
          <cell r="U2787" t="str">
            <v>NC</v>
          </cell>
          <cell r="V2787" t="str">
            <v>271570001</v>
          </cell>
          <cell r="AC2787" t="str">
            <v>M</v>
          </cell>
          <cell r="AD2787" t="str">
            <v>No</v>
          </cell>
          <cell r="AE2787" t="str">
            <v>NPI only</v>
          </cell>
          <cell r="AF2787" t="str">
            <v>nypwestcampus</v>
          </cell>
          <cell r="AG2787" t="str">
            <v>P</v>
          </cell>
        </row>
        <row r="2788">
          <cell r="A2788" t="str">
            <v>1871728949</v>
          </cell>
          <cell r="B2788" t="str">
            <v>03920830</v>
          </cell>
          <cell r="C2788" t="str">
            <v>Huang Julie</v>
          </cell>
          <cell r="D2788" t="str">
            <v>E0383251</v>
          </cell>
          <cell r="E2788" t="str">
            <v>HUANG JULIE</v>
          </cell>
          <cell r="L2788" t="str">
            <v>All Other:: Practitioner - Non-Primary Care Provider (PCP)</v>
          </cell>
          <cell r="M2788" t="str">
            <v>No</v>
          </cell>
          <cell r="R2788" t="str">
            <v>HUANG JULIE DR.</v>
          </cell>
          <cell r="W2788" t="str">
            <v>HUANG JULIE</v>
          </cell>
          <cell r="X2788" t="str">
            <v>1305 YORK AVE</v>
          </cell>
          <cell r="Y2788" t="str">
            <v>NEW YORK</v>
          </cell>
          <cell r="Z2788" t="str">
            <v>NY</v>
          </cell>
          <cell r="AA2788" t="str">
            <v>10021-5663</v>
          </cell>
          <cell r="AB2788" t="str">
            <v>PHYSICIAN</v>
          </cell>
          <cell r="AC2788" t="str">
            <v>M</v>
          </cell>
          <cell r="AD2788" t="str">
            <v>No</v>
          </cell>
          <cell r="AE2788" t="str">
            <v>MMIS</v>
          </cell>
          <cell r="AG2788" t="str">
            <v>P</v>
          </cell>
        </row>
        <row r="2789">
          <cell r="A2789" t="str">
            <v>1376520502</v>
          </cell>
          <cell r="B2789" t="str">
            <v>03328787</v>
          </cell>
          <cell r="C2789" t="str">
            <v>Divgi Chaitanya</v>
          </cell>
          <cell r="D2789" t="str">
            <v>E0319030</v>
          </cell>
          <cell r="E2789" t="str">
            <v>DIVGI CHAITANYA R</v>
          </cell>
          <cell r="L2789" t="str">
            <v>All Other:: Practitioner - Non-Primary Care Provider (PCP)</v>
          </cell>
          <cell r="M2789" t="str">
            <v>No</v>
          </cell>
          <cell r="R2789" t="str">
            <v>DIVGI CHAITANYA</v>
          </cell>
          <cell r="W2789" t="str">
            <v>DIVGI CHAITANYA RAMDAS</v>
          </cell>
          <cell r="X2789" t="str">
            <v>622 W 168TH ST</v>
          </cell>
          <cell r="Y2789" t="str">
            <v>NEW YORK</v>
          </cell>
          <cell r="Z2789" t="str">
            <v>NY</v>
          </cell>
          <cell r="AA2789" t="str">
            <v>10032-3720</v>
          </cell>
          <cell r="AB2789" t="str">
            <v>PHYSICIAN</v>
          </cell>
          <cell r="AC2789" t="str">
            <v>M</v>
          </cell>
          <cell r="AD2789" t="str">
            <v>No</v>
          </cell>
          <cell r="AE2789" t="str">
            <v>MMIS</v>
          </cell>
          <cell r="AF2789" t="str">
            <v>nypwestcampus</v>
          </cell>
          <cell r="AG2789" t="str">
            <v>P</v>
          </cell>
        </row>
        <row r="2790">
          <cell r="A2790" t="str">
            <v>1821193376</v>
          </cell>
          <cell r="C2790" t="str">
            <v>Rogers John</v>
          </cell>
          <cell r="G2790" t="str">
            <v>Kathryn Spaziani</v>
          </cell>
          <cell r="H2790" t="str">
            <v>(212) 305-1255</v>
          </cell>
          <cell r="J2790" t="str">
            <v>kas9171@nyp.org</v>
          </cell>
          <cell r="K2790" t="str">
            <v>Physician</v>
          </cell>
          <cell r="L2790" t="str">
            <v>Practitioner - Non-Primary Care Provider (PCP)</v>
          </cell>
          <cell r="M2790" t="str">
            <v>No</v>
          </cell>
          <cell r="R2790" t="str">
            <v>ROGERS JOHN</v>
          </cell>
          <cell r="S2790" t="str">
            <v>45 READE PL</v>
          </cell>
          <cell r="T2790" t="str">
            <v>POUGHKEEPSIE</v>
          </cell>
          <cell r="U2790" t="str">
            <v>NY</v>
          </cell>
          <cell r="V2790" t="str">
            <v>126013947</v>
          </cell>
          <cell r="AC2790" t="str">
            <v>M</v>
          </cell>
          <cell r="AD2790" t="str">
            <v>No</v>
          </cell>
          <cell r="AE2790" t="str">
            <v>NPI only</v>
          </cell>
          <cell r="AF2790" t="str">
            <v>nypother</v>
          </cell>
          <cell r="AG2790" t="str">
            <v>P</v>
          </cell>
        </row>
        <row r="2791">
          <cell r="A2791" t="str">
            <v>1760813000</v>
          </cell>
          <cell r="B2791" t="str">
            <v>03996169</v>
          </cell>
          <cell r="C2791" t="str">
            <v>Santamaria Grace</v>
          </cell>
          <cell r="D2791" t="str">
            <v>E0391054</v>
          </cell>
          <cell r="E2791" t="str">
            <v>SANTAMARIA GRACE M</v>
          </cell>
          <cell r="G2791" t="str">
            <v>Kathryn Spaziani</v>
          </cell>
          <cell r="H2791" t="str">
            <v>(212) 305-1255</v>
          </cell>
          <cell r="J2791" t="str">
            <v>kas9171@nyp.org</v>
          </cell>
          <cell r="L2791" t="str">
            <v>Practitioner - Non-Primary Care Provider (PCP)</v>
          </cell>
          <cell r="M2791" t="str">
            <v>No</v>
          </cell>
          <cell r="R2791" t="str">
            <v>SANTAMARIA GRACE</v>
          </cell>
          <cell r="W2791" t="str">
            <v>SANTAMARIA GRACE M</v>
          </cell>
          <cell r="X2791" t="str">
            <v>7901 BROADWAY # E2-69</v>
          </cell>
          <cell r="Y2791" t="str">
            <v>ELMHURST</v>
          </cell>
          <cell r="Z2791" t="str">
            <v>NY</v>
          </cell>
          <cell r="AA2791" t="str">
            <v>11373-1329</v>
          </cell>
          <cell r="AB2791" t="str">
            <v>NURSE</v>
          </cell>
          <cell r="AC2791" t="str">
            <v>M</v>
          </cell>
          <cell r="AD2791" t="str">
            <v>No</v>
          </cell>
          <cell r="AE2791" t="str">
            <v>MMIS</v>
          </cell>
          <cell r="AF2791" t="str">
            <v>nypother</v>
          </cell>
          <cell r="AG2791" t="str">
            <v>P</v>
          </cell>
        </row>
        <row r="2792">
          <cell r="A2792" t="str">
            <v>1114925765</v>
          </cell>
          <cell r="B2792" t="str">
            <v>01991079</v>
          </cell>
          <cell r="C2792" t="str">
            <v>Shustorovich Yevgeniy</v>
          </cell>
          <cell r="D2792" t="str">
            <v>E0100952</v>
          </cell>
          <cell r="E2792" t="str">
            <v>SHUSTOROVICH YEVGENIY MD</v>
          </cell>
          <cell r="L2792" t="str">
            <v>All Other:: Practitioner - Non-Primary Care Provider (PCP)</v>
          </cell>
          <cell r="M2792" t="str">
            <v>No</v>
          </cell>
          <cell r="R2792" t="str">
            <v>SHUSTOROVICH YEVGENIY</v>
          </cell>
          <cell r="W2792" t="str">
            <v>SHUSTOROVICH YEVGENIY</v>
          </cell>
          <cell r="X2792" t="str">
            <v>AMC DEPT ANESTHESIA</v>
          </cell>
          <cell r="Y2792" t="str">
            <v>ALBANY</v>
          </cell>
          <cell r="Z2792" t="str">
            <v>NY</v>
          </cell>
          <cell r="AA2792" t="str">
            <v>12208-3412</v>
          </cell>
          <cell r="AB2792" t="str">
            <v>PHYSICIAN</v>
          </cell>
          <cell r="AC2792" t="str">
            <v>M</v>
          </cell>
          <cell r="AD2792" t="str">
            <v>No</v>
          </cell>
          <cell r="AE2792" t="str">
            <v>MMIS</v>
          </cell>
          <cell r="AG2792" t="str">
            <v>P</v>
          </cell>
        </row>
        <row r="2793">
          <cell r="A2793" t="str">
            <v>1609964972</v>
          </cell>
          <cell r="B2793" t="str">
            <v>02601816</v>
          </cell>
          <cell r="C2793" t="str">
            <v>WEINSAFT, JONATHON W</v>
          </cell>
          <cell r="D2793" t="str">
            <v>E0039976</v>
          </cell>
          <cell r="E2793" t="str">
            <v>WEINSAFT JONATHAN WELLS MD</v>
          </cell>
          <cell r="G2793" t="str">
            <v>Kathryn Spaziani</v>
          </cell>
          <cell r="H2793" t="str">
            <v>(212) 305-1190</v>
          </cell>
          <cell r="J2793" t="str">
            <v>kas9171@nyp.org</v>
          </cell>
          <cell r="L2793" t="str">
            <v>All Other:: Practitioner - Non-Primary Care Provider (PCP)</v>
          </cell>
          <cell r="M2793" t="str">
            <v>No</v>
          </cell>
          <cell r="R2793" t="str">
            <v>WEINSAFT JONATHAN</v>
          </cell>
          <cell r="W2793" t="str">
            <v>WEINSAFT JONATHAN WELLS MD</v>
          </cell>
          <cell r="X2793" t="str">
            <v>CARDIOLOGY STAN 4</v>
          </cell>
          <cell r="Y2793" t="str">
            <v>NEW YORK</v>
          </cell>
          <cell r="Z2793" t="str">
            <v>NY</v>
          </cell>
          <cell r="AA2793" t="str">
            <v>10021-9800</v>
          </cell>
          <cell r="AB2793" t="str">
            <v>PHYSICIAN</v>
          </cell>
          <cell r="AC2793" t="str">
            <v>M</v>
          </cell>
          <cell r="AD2793" t="str">
            <v>No</v>
          </cell>
          <cell r="AE2793" t="str">
            <v>MMIS</v>
          </cell>
          <cell r="AF2793" t="str">
            <v>nypeastcampus</v>
          </cell>
          <cell r="AG2793" t="str">
            <v>P</v>
          </cell>
        </row>
        <row r="2794">
          <cell r="A2794" t="str">
            <v>1538214671</v>
          </cell>
          <cell r="B2794" t="str">
            <v>01370070</v>
          </cell>
          <cell r="C2794" t="str">
            <v>Heath Mark</v>
          </cell>
          <cell r="D2794" t="str">
            <v>E0162945</v>
          </cell>
          <cell r="E2794" t="str">
            <v>HEATH MARK MD</v>
          </cell>
          <cell r="L2794" t="str">
            <v>Practitioner - Non-Primary Care Provider (PCP)</v>
          </cell>
          <cell r="M2794" t="str">
            <v>No</v>
          </cell>
          <cell r="R2794" t="str">
            <v>HEATH MARK DR.</v>
          </cell>
          <cell r="W2794" t="str">
            <v>HEATH MARK MD</v>
          </cell>
          <cell r="X2794" t="str">
            <v>ANESTH SVC CPMC</v>
          </cell>
          <cell r="Y2794" t="str">
            <v>NEW YORK</v>
          </cell>
          <cell r="Z2794" t="str">
            <v>NY</v>
          </cell>
          <cell r="AA2794" t="str">
            <v>10032-3720</v>
          </cell>
          <cell r="AB2794" t="str">
            <v>PHYSICIAN</v>
          </cell>
          <cell r="AC2794" t="str">
            <v>M</v>
          </cell>
          <cell r="AD2794" t="str">
            <v>No</v>
          </cell>
          <cell r="AE2794" t="str">
            <v>MMIS</v>
          </cell>
          <cell r="AF2794" t="str">
            <v>nypwestcampus</v>
          </cell>
          <cell r="AG2794" t="str">
            <v>P</v>
          </cell>
        </row>
        <row r="2795">
          <cell r="A2795" t="str">
            <v>1427191048</v>
          </cell>
          <cell r="C2795" t="str">
            <v>Riano Elaine</v>
          </cell>
          <cell r="G2795" t="str">
            <v>Kathryn Spaziani</v>
          </cell>
          <cell r="H2795" t="str">
            <v>(212) 305-1255</v>
          </cell>
          <cell r="J2795" t="str">
            <v>kas9171@nyp.org</v>
          </cell>
          <cell r="K2795" t="str">
            <v>Physician</v>
          </cell>
          <cell r="L2795" t="str">
            <v>Uncategorized</v>
          </cell>
          <cell r="M2795" t="str">
            <v>No</v>
          </cell>
          <cell r="R2795" t="str">
            <v>RIANO ELAINE MS.</v>
          </cell>
          <cell r="S2795" t="str">
            <v>622 W 168TH ST</v>
          </cell>
          <cell r="T2795" t="str">
            <v>NEW YORK</v>
          </cell>
          <cell r="U2795" t="str">
            <v>NY</v>
          </cell>
          <cell r="V2795" t="str">
            <v>100323720</v>
          </cell>
          <cell r="AC2795" t="str">
            <v>M</v>
          </cell>
          <cell r="AD2795" t="str">
            <v>No</v>
          </cell>
          <cell r="AE2795" t="str">
            <v>NPI only</v>
          </cell>
          <cell r="AF2795" t="str">
            <v>nypwestcampus</v>
          </cell>
          <cell r="AG2795" t="str">
            <v>P</v>
          </cell>
        </row>
        <row r="2796">
          <cell r="A2796" t="str">
            <v>1952744864</v>
          </cell>
          <cell r="B2796" t="str">
            <v>04425765</v>
          </cell>
          <cell r="C2796" t="str">
            <v>LAUREN MAUTNER</v>
          </cell>
          <cell r="D2796" t="str">
            <v>E0435144</v>
          </cell>
          <cell r="E2796" t="str">
            <v>MAUTNER LAUREN ALYSSA</v>
          </cell>
          <cell r="G2796" t="str">
            <v>Kathryn Spaziani</v>
          </cell>
          <cell r="H2796" t="str">
            <v>(212) 305-1190</v>
          </cell>
          <cell r="J2796" t="str">
            <v>kas9171@nyp.org</v>
          </cell>
          <cell r="L2796" t="str">
            <v>Practitioner - Non-Primary Care Provider (PCP)</v>
          </cell>
          <cell r="M2796" t="str">
            <v>No</v>
          </cell>
          <cell r="R2796" t="str">
            <v>MAUTNER LAUREN</v>
          </cell>
          <cell r="W2796" t="str">
            <v>MAUTNER LAUREN ALYSSA</v>
          </cell>
          <cell r="X2796" t="str">
            <v>622 W 168TH ST VC2 S</v>
          </cell>
          <cell r="Y2796" t="str">
            <v>NEW YORK</v>
          </cell>
          <cell r="Z2796" t="str">
            <v>NY</v>
          </cell>
          <cell r="AA2796" t="str">
            <v>10032</v>
          </cell>
          <cell r="AB2796" t="str">
            <v>PHYSICIAN</v>
          </cell>
          <cell r="AC2796" t="str">
            <v>M</v>
          </cell>
          <cell r="AD2796" t="str">
            <v>No</v>
          </cell>
          <cell r="AE2796" t="str">
            <v>MMIS</v>
          </cell>
          <cell r="AF2796" t="str">
            <v>nypwestcampus</v>
          </cell>
          <cell r="AG2796" t="str">
            <v>P</v>
          </cell>
        </row>
        <row r="2797">
          <cell r="A2797" t="str">
            <v>1932466026</v>
          </cell>
          <cell r="C2797" t="str">
            <v>MAX PITMAN</v>
          </cell>
          <cell r="G2797" t="str">
            <v>Kathryn Spaziani</v>
          </cell>
          <cell r="H2797" t="str">
            <v>(212) 305-1190</v>
          </cell>
          <cell r="J2797" t="str">
            <v>kas9171@nyp.org</v>
          </cell>
          <cell r="K2797" t="str">
            <v>Unknown</v>
          </cell>
          <cell r="L2797" t="str">
            <v>Uncategorized</v>
          </cell>
          <cell r="M2797" t="str">
            <v>No</v>
          </cell>
          <cell r="R2797" t="str">
            <v>PITMAN MAX</v>
          </cell>
          <cell r="S2797" t="str">
            <v>462 1ST AVE # OBVA638, NYU DIVISION OF GASTROENTEROLOGY, ROOM OBV A638</v>
          </cell>
          <cell r="T2797" t="str">
            <v>NEW YORK</v>
          </cell>
          <cell r="U2797" t="str">
            <v>NY</v>
          </cell>
          <cell r="V2797" t="str">
            <v>100169196</v>
          </cell>
          <cell r="AC2797" t="str">
            <v>M</v>
          </cell>
          <cell r="AD2797" t="str">
            <v>No</v>
          </cell>
          <cell r="AE2797" t="str">
            <v>NPI only</v>
          </cell>
          <cell r="AF2797" t="str">
            <v>nypother</v>
          </cell>
          <cell r="AG2797" t="str">
            <v>P</v>
          </cell>
        </row>
        <row r="2798">
          <cell r="A2798" t="str">
            <v>1568805588</v>
          </cell>
          <cell r="B2798" t="str">
            <v>04425036</v>
          </cell>
          <cell r="C2798" t="str">
            <v>JOSE REGALBUTO</v>
          </cell>
          <cell r="D2798" t="str">
            <v>E0435071</v>
          </cell>
          <cell r="E2798" t="str">
            <v>REGALBUTO JOSE</v>
          </cell>
          <cell r="G2798" t="str">
            <v>Kathryn Spaziani</v>
          </cell>
          <cell r="H2798" t="str">
            <v>(212) 305-1190</v>
          </cell>
          <cell r="J2798" t="str">
            <v>kas9171@nyp.org</v>
          </cell>
          <cell r="L2798" t="str">
            <v>Uncategorized</v>
          </cell>
          <cell r="M2798" t="str">
            <v>No</v>
          </cell>
          <cell r="R2798" t="str">
            <v>REGALBUTO JOSE</v>
          </cell>
          <cell r="W2798" t="str">
            <v>REGALBUTO JOSE RICARDO</v>
          </cell>
          <cell r="X2798" t="str">
            <v>5141 BROADWAY</v>
          </cell>
          <cell r="Y2798" t="str">
            <v>NEW YORK</v>
          </cell>
          <cell r="Z2798" t="str">
            <v>NY</v>
          </cell>
          <cell r="AA2798" t="str">
            <v>10034-1159</v>
          </cell>
          <cell r="AB2798" t="str">
            <v>PHYSICIAN</v>
          </cell>
          <cell r="AC2798" t="str">
            <v>M</v>
          </cell>
          <cell r="AD2798" t="str">
            <v>No</v>
          </cell>
          <cell r="AE2798" t="str">
            <v>MMIS</v>
          </cell>
          <cell r="AF2798" t="str">
            <v>nypwestcampus</v>
          </cell>
          <cell r="AG2798" t="str">
            <v>P</v>
          </cell>
        </row>
        <row r="2799">
          <cell r="A2799" t="str">
            <v>1174899074</v>
          </cell>
          <cell r="C2799" t="str">
            <v>OLIVER BARRY</v>
          </cell>
          <cell r="G2799" t="str">
            <v>Kathryn Spaziani</v>
          </cell>
          <cell r="H2799" t="str">
            <v>(212) 305-1190</v>
          </cell>
          <cell r="J2799" t="str">
            <v>kas9171@nyp.org</v>
          </cell>
          <cell r="K2799" t="str">
            <v>Unknown</v>
          </cell>
          <cell r="L2799" t="str">
            <v>Uncategorized</v>
          </cell>
          <cell r="M2799" t="str">
            <v>No</v>
          </cell>
          <cell r="R2799" t="str">
            <v>BARRY OLIVER</v>
          </cell>
          <cell r="S2799" t="str">
            <v>630 W 168TH ST, CHN 517</v>
          </cell>
          <cell r="T2799" t="str">
            <v>NEW YORK</v>
          </cell>
          <cell r="U2799" t="str">
            <v>NY</v>
          </cell>
          <cell r="V2799" t="str">
            <v>100323725</v>
          </cell>
          <cell r="AC2799" t="str">
            <v>M</v>
          </cell>
          <cell r="AD2799" t="str">
            <v>No</v>
          </cell>
          <cell r="AE2799" t="str">
            <v>NPI only</v>
          </cell>
          <cell r="AF2799" t="str">
            <v>nypother</v>
          </cell>
          <cell r="AG2799" t="str">
            <v>P</v>
          </cell>
        </row>
        <row r="2800">
          <cell r="A2800" t="str">
            <v>1841533775</v>
          </cell>
          <cell r="B2800" t="str">
            <v>04598298</v>
          </cell>
          <cell r="C2800" t="str">
            <v>JULIA BROWN</v>
          </cell>
          <cell r="D2800" t="str">
            <v>E0452706</v>
          </cell>
          <cell r="E2800" t="str">
            <v>BROWN JULIA</v>
          </cell>
          <cell r="G2800" t="str">
            <v>Kathryn Spaziani</v>
          </cell>
          <cell r="H2800" t="str">
            <v>(212) 305-1190</v>
          </cell>
          <cell r="J2800" t="str">
            <v>kas9171@nyp.org</v>
          </cell>
          <cell r="L2800" t="str">
            <v>Uncategorized</v>
          </cell>
          <cell r="M2800" t="str">
            <v>No</v>
          </cell>
          <cell r="R2800" t="str">
            <v>BROWN JULIA DR.</v>
          </cell>
          <cell r="W2800" t="str">
            <v>BROWN JULIA</v>
          </cell>
          <cell r="AB2800" t="str">
            <v>PHYSICIAN</v>
          </cell>
          <cell r="AC2800" t="str">
            <v>M</v>
          </cell>
          <cell r="AD2800" t="str">
            <v>No</v>
          </cell>
          <cell r="AE2800" t="str">
            <v>MMIS</v>
          </cell>
          <cell r="AF2800" t="str">
            <v>nypwestcampus</v>
          </cell>
          <cell r="AG2800" t="str">
            <v>P</v>
          </cell>
        </row>
        <row r="2801">
          <cell r="A2801" t="str">
            <v>1881037448</v>
          </cell>
          <cell r="C2801" t="str">
            <v>DANIEL COELHO</v>
          </cell>
          <cell r="G2801" t="str">
            <v>Kathryn Spaziani</v>
          </cell>
          <cell r="H2801" t="str">
            <v>(212) 305-1190</v>
          </cell>
          <cell r="J2801" t="str">
            <v>kas9171@nyp.org</v>
          </cell>
          <cell r="K2801" t="str">
            <v>Unknown</v>
          </cell>
          <cell r="L2801" t="str">
            <v>Uncategorized</v>
          </cell>
          <cell r="M2801" t="str">
            <v>No</v>
          </cell>
          <cell r="R2801" t="str">
            <v>COELHO DANIEL DR.</v>
          </cell>
          <cell r="S2801" t="str">
            <v>15 WARREN ST</v>
          </cell>
          <cell r="T2801" t="str">
            <v>NEW YORK</v>
          </cell>
          <cell r="U2801" t="str">
            <v>NY</v>
          </cell>
          <cell r="V2801" t="str">
            <v>100070029</v>
          </cell>
          <cell r="AC2801" t="str">
            <v>M</v>
          </cell>
          <cell r="AD2801" t="str">
            <v>No</v>
          </cell>
          <cell r="AE2801" t="str">
            <v>NPI only</v>
          </cell>
          <cell r="AF2801" t="str">
            <v>nypwestcampus</v>
          </cell>
          <cell r="AG2801" t="str">
            <v>P</v>
          </cell>
        </row>
        <row r="2802">
          <cell r="A2802" t="str">
            <v>1538435649</v>
          </cell>
          <cell r="B2802" t="str">
            <v>04314265</v>
          </cell>
          <cell r="C2802" t="str">
            <v>ANDREW GENESLAW</v>
          </cell>
          <cell r="D2802" t="str">
            <v>E0423725</v>
          </cell>
          <cell r="E2802" t="str">
            <v>GENESLAW ANDREW</v>
          </cell>
          <cell r="G2802" t="str">
            <v>Kathryn Spaziani</v>
          </cell>
          <cell r="H2802" t="str">
            <v>(212) 305-1190</v>
          </cell>
          <cell r="J2802" t="str">
            <v>kas9171@nyp.org</v>
          </cell>
          <cell r="L2802" t="str">
            <v>Practitioner - Non-Primary Care Provider (PCP)</v>
          </cell>
          <cell r="M2802" t="str">
            <v>No</v>
          </cell>
          <cell r="R2802" t="str">
            <v>GENESLAW ANDREW</v>
          </cell>
          <cell r="W2802" t="str">
            <v>GENESLAW ANDREW</v>
          </cell>
          <cell r="X2802" t="str">
            <v>3959 BROADWAY</v>
          </cell>
          <cell r="Y2802" t="str">
            <v>NEW YORK</v>
          </cell>
          <cell r="Z2802" t="str">
            <v>NY</v>
          </cell>
          <cell r="AA2802" t="str">
            <v>10032-1559</v>
          </cell>
          <cell r="AB2802" t="str">
            <v>PHYSICIAN</v>
          </cell>
          <cell r="AC2802" t="str">
            <v>M</v>
          </cell>
          <cell r="AD2802" t="str">
            <v>No</v>
          </cell>
          <cell r="AE2802" t="str">
            <v>MMIS</v>
          </cell>
          <cell r="AF2802" t="str">
            <v>nypwestcampus</v>
          </cell>
          <cell r="AG2802" t="str">
            <v>P</v>
          </cell>
        </row>
        <row r="2803">
          <cell r="A2803" t="str">
            <v>1881937183</v>
          </cell>
          <cell r="C2803" t="str">
            <v>PRIYA JAIN</v>
          </cell>
          <cell r="G2803" t="str">
            <v>Kathryn Spaziani</v>
          </cell>
          <cell r="H2803" t="str">
            <v>(212) 305-1190</v>
          </cell>
          <cell r="J2803" t="str">
            <v>kas9171@nyp.org</v>
          </cell>
          <cell r="K2803" t="str">
            <v>Unknown</v>
          </cell>
          <cell r="L2803" t="str">
            <v>Uncategorized</v>
          </cell>
          <cell r="M2803" t="str">
            <v>No</v>
          </cell>
          <cell r="R2803" t="str">
            <v>JAIN PRIYA</v>
          </cell>
          <cell r="S2803" t="str">
            <v>3959 BROADWAY</v>
          </cell>
          <cell r="T2803" t="str">
            <v>NEW YORK</v>
          </cell>
          <cell r="U2803" t="str">
            <v>NY</v>
          </cell>
          <cell r="V2803" t="str">
            <v>100321559</v>
          </cell>
          <cell r="AC2803" t="str">
            <v>M</v>
          </cell>
          <cell r="AD2803" t="str">
            <v>No</v>
          </cell>
          <cell r="AE2803" t="str">
            <v>NPI only</v>
          </cell>
          <cell r="AF2803" t="str">
            <v>nypwestcampus</v>
          </cell>
          <cell r="AG2803" t="str">
            <v>P</v>
          </cell>
        </row>
        <row r="2804">
          <cell r="A2804" t="str">
            <v>1285077008</v>
          </cell>
          <cell r="B2804" t="str">
            <v>04566161</v>
          </cell>
          <cell r="C2804" t="str">
            <v>BRIAN JONAT</v>
          </cell>
          <cell r="D2804" t="str">
            <v>E0449380</v>
          </cell>
          <cell r="E2804" t="str">
            <v>JONAT BRIAN THEODORE</v>
          </cell>
          <cell r="G2804" t="str">
            <v>Kathryn Spaziani</v>
          </cell>
          <cell r="H2804" t="str">
            <v>(212) 305-1190</v>
          </cell>
          <cell r="J2804" t="str">
            <v>kas9171@nyp.org</v>
          </cell>
          <cell r="L2804" t="str">
            <v>Uncategorized</v>
          </cell>
          <cell r="M2804" t="str">
            <v>No</v>
          </cell>
          <cell r="R2804" t="str">
            <v>JONAT BRIAN</v>
          </cell>
          <cell r="W2804" t="str">
            <v>JONAT BRIAN THEODORE</v>
          </cell>
          <cell r="AB2804" t="str">
            <v>PHYSICIAN</v>
          </cell>
          <cell r="AC2804" t="str">
            <v>M</v>
          </cell>
          <cell r="AD2804" t="str">
            <v>No</v>
          </cell>
          <cell r="AE2804" t="str">
            <v>MMIS</v>
          </cell>
          <cell r="AF2804" t="str">
            <v>nypwestcampus</v>
          </cell>
          <cell r="AG2804" t="str">
            <v>P</v>
          </cell>
        </row>
        <row r="2805">
          <cell r="A2805" t="str">
            <v>1053754598</v>
          </cell>
          <cell r="B2805" t="str">
            <v>04547857</v>
          </cell>
          <cell r="C2805" t="str">
            <v>DIVYA LAKHANEY</v>
          </cell>
          <cell r="D2805" t="str">
            <v>E0447540</v>
          </cell>
          <cell r="E2805" t="str">
            <v>LAKHANEY DIVYA</v>
          </cell>
          <cell r="G2805" t="str">
            <v>Kathryn Spaziani</v>
          </cell>
          <cell r="H2805" t="str">
            <v>(212) 305-1190</v>
          </cell>
          <cell r="J2805" t="str">
            <v>kas9171@nyp.org</v>
          </cell>
          <cell r="L2805" t="str">
            <v>Uncategorized</v>
          </cell>
          <cell r="M2805" t="str">
            <v>No</v>
          </cell>
          <cell r="R2805" t="str">
            <v>LAKHANEY DIVYA</v>
          </cell>
          <cell r="W2805" t="str">
            <v>LAKHANEY DIVYA</v>
          </cell>
          <cell r="AB2805" t="str">
            <v>PHYSICIAN</v>
          </cell>
          <cell r="AC2805" t="str">
            <v>M</v>
          </cell>
          <cell r="AD2805" t="str">
            <v>No</v>
          </cell>
          <cell r="AE2805" t="str">
            <v>MMIS</v>
          </cell>
          <cell r="AF2805" t="str">
            <v>nypwestcampus</v>
          </cell>
          <cell r="AG2805" t="str">
            <v>P</v>
          </cell>
        </row>
        <row r="2806">
          <cell r="A2806" t="str">
            <v>1073879300</v>
          </cell>
          <cell r="C2806" t="str">
            <v>NATASHA LI</v>
          </cell>
          <cell r="G2806" t="str">
            <v>Kathryn Spaziani</v>
          </cell>
          <cell r="H2806" t="str">
            <v>(212) 305-1190</v>
          </cell>
          <cell r="J2806" t="str">
            <v>kas9171@nyp.org</v>
          </cell>
          <cell r="K2806" t="str">
            <v>Unknown</v>
          </cell>
          <cell r="L2806" t="str">
            <v>Uncategorized</v>
          </cell>
          <cell r="M2806" t="str">
            <v>No</v>
          </cell>
          <cell r="R2806" t="str">
            <v>LI NATASHA</v>
          </cell>
          <cell r="S2806" t="str">
            <v>3959 BROADWAY</v>
          </cell>
          <cell r="T2806" t="str">
            <v>NEW YORK</v>
          </cell>
          <cell r="U2806" t="str">
            <v>NY</v>
          </cell>
          <cell r="V2806" t="str">
            <v>10032</v>
          </cell>
          <cell r="AC2806" t="str">
            <v>M</v>
          </cell>
          <cell r="AD2806" t="str">
            <v>No</v>
          </cell>
          <cell r="AE2806" t="str">
            <v>NPI only</v>
          </cell>
          <cell r="AF2806" t="str">
            <v>nypother</v>
          </cell>
          <cell r="AG2806" t="str">
            <v>P</v>
          </cell>
        </row>
        <row r="2807">
          <cell r="A2807" t="str">
            <v>1053653147</v>
          </cell>
          <cell r="C2807" t="str">
            <v>REGINA MYERS</v>
          </cell>
          <cell r="G2807" t="str">
            <v>Kathryn Spaziani</v>
          </cell>
          <cell r="H2807" t="str">
            <v>(212) 305-1190</v>
          </cell>
          <cell r="J2807" t="str">
            <v>kas9171@nyp.org</v>
          </cell>
          <cell r="K2807" t="str">
            <v>Unknown</v>
          </cell>
          <cell r="L2807" t="str">
            <v>Uncategorized</v>
          </cell>
          <cell r="M2807" t="str">
            <v>No</v>
          </cell>
          <cell r="R2807" t="str">
            <v>MYERS REGINA</v>
          </cell>
          <cell r="S2807" t="str">
            <v>3959 BROADWAY</v>
          </cell>
          <cell r="T2807" t="str">
            <v>NEW YORK</v>
          </cell>
          <cell r="U2807" t="str">
            <v>NY</v>
          </cell>
          <cell r="V2807" t="str">
            <v>100321559</v>
          </cell>
          <cell r="AC2807" t="str">
            <v>M</v>
          </cell>
          <cell r="AD2807" t="str">
            <v>No</v>
          </cell>
          <cell r="AE2807" t="str">
            <v>NPI only</v>
          </cell>
          <cell r="AF2807" t="str">
            <v>nypwestcampus</v>
          </cell>
          <cell r="AG2807" t="str">
            <v>P</v>
          </cell>
        </row>
        <row r="2808">
          <cell r="A2808" t="str">
            <v>1841556024</v>
          </cell>
          <cell r="C2808" t="str">
            <v>SHANNON NEES</v>
          </cell>
          <cell r="G2808" t="str">
            <v>Kathryn Spaziani</v>
          </cell>
          <cell r="H2808" t="str">
            <v>(212) 305-1190</v>
          </cell>
          <cell r="J2808" t="str">
            <v>kas9171@nyp.org</v>
          </cell>
          <cell r="K2808" t="str">
            <v>Unknown</v>
          </cell>
          <cell r="L2808" t="str">
            <v>Uncategorized</v>
          </cell>
          <cell r="M2808" t="str">
            <v>No</v>
          </cell>
          <cell r="R2808" t="str">
            <v>NEES SHANNON</v>
          </cell>
          <cell r="S2808" t="str">
            <v>3959 BROADWAY</v>
          </cell>
          <cell r="T2808" t="str">
            <v>NEW YORK</v>
          </cell>
          <cell r="U2808" t="str">
            <v>NY</v>
          </cell>
          <cell r="V2808" t="str">
            <v>100321559</v>
          </cell>
          <cell r="AC2808" t="str">
            <v>M</v>
          </cell>
          <cell r="AD2808" t="str">
            <v>No</v>
          </cell>
          <cell r="AE2808" t="str">
            <v>NPI only</v>
          </cell>
          <cell r="AF2808" t="str">
            <v>nypwestcampus</v>
          </cell>
          <cell r="AG2808" t="str">
            <v>P</v>
          </cell>
        </row>
        <row r="2809">
          <cell r="A2809" t="str">
            <v>1093081184</v>
          </cell>
          <cell r="C2809" t="str">
            <v>MONICA PRIETO</v>
          </cell>
          <cell r="G2809" t="str">
            <v>Kathryn Spaziani</v>
          </cell>
          <cell r="H2809" t="str">
            <v>(212) 305-1190</v>
          </cell>
          <cell r="J2809" t="str">
            <v>kas9171@nyp.org</v>
          </cell>
          <cell r="K2809" t="str">
            <v>Unknown</v>
          </cell>
          <cell r="L2809" t="str">
            <v>Uncategorized</v>
          </cell>
          <cell r="M2809" t="str">
            <v>No</v>
          </cell>
          <cell r="R2809" t="str">
            <v>PRIETO MONICA MISS</v>
          </cell>
          <cell r="S2809" t="str">
            <v>3959 BROADWAY</v>
          </cell>
          <cell r="T2809" t="str">
            <v>NEW YORK</v>
          </cell>
          <cell r="U2809" t="str">
            <v>NY</v>
          </cell>
          <cell r="V2809" t="str">
            <v>100321559</v>
          </cell>
          <cell r="AC2809" t="str">
            <v>M</v>
          </cell>
          <cell r="AD2809" t="str">
            <v>No</v>
          </cell>
          <cell r="AE2809" t="str">
            <v>NPI only</v>
          </cell>
          <cell r="AF2809" t="str">
            <v>nypwestcampus</v>
          </cell>
          <cell r="AG2809" t="str">
            <v>P</v>
          </cell>
        </row>
        <row r="2810">
          <cell r="A2810" t="str">
            <v>1548502776</v>
          </cell>
          <cell r="C2810" t="str">
            <v>AVA SATNICK</v>
          </cell>
          <cell r="G2810" t="str">
            <v>Kathryn Spaziani</v>
          </cell>
          <cell r="H2810" t="str">
            <v>(212) 305-1190</v>
          </cell>
          <cell r="J2810" t="str">
            <v>kas9171@nyp.org</v>
          </cell>
          <cell r="K2810" t="str">
            <v>Unknown</v>
          </cell>
          <cell r="L2810" t="str">
            <v>Uncategorized</v>
          </cell>
          <cell r="M2810" t="str">
            <v>No</v>
          </cell>
          <cell r="R2810" t="str">
            <v>SATNICK AVA DR.</v>
          </cell>
          <cell r="S2810" t="str">
            <v>3959 BROADWAY</v>
          </cell>
          <cell r="T2810" t="str">
            <v>NEW YORK</v>
          </cell>
          <cell r="U2810" t="str">
            <v>NY</v>
          </cell>
          <cell r="V2810" t="str">
            <v>100321559</v>
          </cell>
          <cell r="AC2810" t="str">
            <v>M</v>
          </cell>
          <cell r="AD2810" t="str">
            <v>No</v>
          </cell>
          <cell r="AE2810" t="str">
            <v>NPI only</v>
          </cell>
          <cell r="AF2810" t="str">
            <v>nypwestcampus</v>
          </cell>
          <cell r="AG2810" t="str">
            <v>P</v>
          </cell>
        </row>
        <row r="2811">
          <cell r="A2811" t="str">
            <v>1629334867</v>
          </cell>
          <cell r="C2811" t="str">
            <v>EMILY SKODA</v>
          </cell>
          <cell r="G2811" t="str">
            <v>Kathryn Spaziani</v>
          </cell>
          <cell r="H2811" t="str">
            <v>(212) 305-1190</v>
          </cell>
          <cell r="J2811" t="str">
            <v>kas9171@nyp.org</v>
          </cell>
          <cell r="K2811" t="str">
            <v>Unknown</v>
          </cell>
          <cell r="L2811" t="str">
            <v>Uncategorized</v>
          </cell>
          <cell r="M2811" t="str">
            <v>No</v>
          </cell>
          <cell r="R2811" t="str">
            <v>SKODA-MOUNT EMILY</v>
          </cell>
          <cell r="S2811" t="str">
            <v>9811 MALLARD DR, SUITE # 109</v>
          </cell>
          <cell r="T2811" t="str">
            <v>LAUREL</v>
          </cell>
          <cell r="U2811" t="str">
            <v>MD</v>
          </cell>
          <cell r="V2811" t="str">
            <v>207083143</v>
          </cell>
          <cell r="AC2811" t="str">
            <v>M</v>
          </cell>
          <cell r="AD2811" t="str">
            <v>No</v>
          </cell>
          <cell r="AE2811" t="str">
            <v>NPI only</v>
          </cell>
          <cell r="AF2811" t="str">
            <v>nypother</v>
          </cell>
          <cell r="AG2811" t="str">
            <v>P</v>
          </cell>
        </row>
        <row r="2812">
          <cell r="A2812" t="str">
            <v>1033476122</v>
          </cell>
          <cell r="C2812" t="str">
            <v>XIAN ZHAO</v>
          </cell>
          <cell r="G2812" t="str">
            <v>Kathryn Spaziani</v>
          </cell>
          <cell r="H2812" t="str">
            <v>(212) 305-1190</v>
          </cell>
          <cell r="J2812" t="str">
            <v>kas9171@nyp.org</v>
          </cell>
          <cell r="K2812" t="str">
            <v>Unknown</v>
          </cell>
          <cell r="L2812" t="str">
            <v>Uncategorized</v>
          </cell>
          <cell r="M2812" t="str">
            <v>No</v>
          </cell>
          <cell r="R2812" t="str">
            <v>ZHAO XIAN</v>
          </cell>
          <cell r="S2812" t="str">
            <v>111 MICHIGAN AVE NW</v>
          </cell>
          <cell r="T2812" t="str">
            <v>WASHINGTON</v>
          </cell>
          <cell r="U2812" t="str">
            <v>DC</v>
          </cell>
          <cell r="V2812" t="str">
            <v>200102916</v>
          </cell>
          <cell r="AC2812" t="str">
            <v>M</v>
          </cell>
          <cell r="AD2812" t="str">
            <v>No</v>
          </cell>
          <cell r="AE2812" t="str">
            <v>NPI only</v>
          </cell>
          <cell r="AF2812" t="str">
            <v>nypother</v>
          </cell>
          <cell r="AG2812" t="str">
            <v>P</v>
          </cell>
        </row>
        <row r="2813">
          <cell r="A2813" t="str">
            <v>1881660512</v>
          </cell>
          <cell r="B2813" t="str">
            <v>02156292</v>
          </cell>
          <cell r="C2813" t="str">
            <v>MARC FOCA</v>
          </cell>
          <cell r="D2813" t="str">
            <v>E0084446</v>
          </cell>
          <cell r="E2813" t="str">
            <v>FOCA MARC D MD</v>
          </cell>
          <cell r="G2813" t="str">
            <v>Kathryn Spaziani</v>
          </cell>
          <cell r="H2813" t="str">
            <v>(212) 305-1190</v>
          </cell>
          <cell r="J2813" t="str">
            <v>kas9171@nyp.org</v>
          </cell>
          <cell r="L2813" t="str">
            <v>All Other:: Practitioner - Primary Care Provider (PCP)</v>
          </cell>
          <cell r="M2813" t="str">
            <v>Yes</v>
          </cell>
          <cell r="R2813" t="str">
            <v>FOCA MARC DR.</v>
          </cell>
          <cell r="W2813" t="str">
            <v>FOCA MARC D MD</v>
          </cell>
          <cell r="X2813" t="str">
            <v>PH 4W</v>
          </cell>
          <cell r="Y2813" t="str">
            <v>NEW YORK</v>
          </cell>
          <cell r="Z2813" t="str">
            <v>NY</v>
          </cell>
          <cell r="AA2813" t="str">
            <v>10032-3720</v>
          </cell>
          <cell r="AB2813" t="str">
            <v>PHYSICIAN</v>
          </cell>
          <cell r="AC2813" t="str">
            <v>M</v>
          </cell>
          <cell r="AD2813" t="str">
            <v>No</v>
          </cell>
          <cell r="AE2813" t="str">
            <v>MMIS</v>
          </cell>
          <cell r="AF2813" t="str">
            <v>nypwestacn</v>
          </cell>
          <cell r="AG2813" t="str">
            <v>P</v>
          </cell>
        </row>
        <row r="2814">
          <cell r="A2814" t="str">
            <v>1699091561</v>
          </cell>
          <cell r="C2814" t="str">
            <v>ELOISE AUSTIN</v>
          </cell>
          <cell r="G2814" t="str">
            <v>Kathryn Spaziani</v>
          </cell>
          <cell r="H2814" t="str">
            <v>(212) 305-1190</v>
          </cell>
          <cell r="J2814" t="str">
            <v>kas9171@nyp.org</v>
          </cell>
          <cell r="K2814" t="str">
            <v>Unknown</v>
          </cell>
          <cell r="L2814" t="str">
            <v>Uncategorized</v>
          </cell>
          <cell r="M2814" t="str">
            <v>No</v>
          </cell>
          <cell r="R2814" t="str">
            <v>AUSTIN ELOISE MS.</v>
          </cell>
          <cell r="S2814" t="str">
            <v>668 GREENWICH ST, APT 731</v>
          </cell>
          <cell r="T2814" t="str">
            <v>NEW YORK</v>
          </cell>
          <cell r="U2814" t="str">
            <v>NY</v>
          </cell>
          <cell r="V2814" t="str">
            <v>10014</v>
          </cell>
          <cell r="AC2814" t="str">
            <v>M</v>
          </cell>
          <cell r="AD2814" t="str">
            <v>No</v>
          </cell>
          <cell r="AE2814" t="str">
            <v>NPI only</v>
          </cell>
          <cell r="AF2814" t="str">
            <v>nypwestcampus</v>
          </cell>
          <cell r="AG2814" t="str">
            <v>P</v>
          </cell>
        </row>
        <row r="2815">
          <cell r="C2815" t="str">
            <v xml:space="preserve">LUCY CHENG </v>
          </cell>
          <cell r="G2815" t="str">
            <v>Kathryn Spaziani</v>
          </cell>
          <cell r="H2815" t="str">
            <v>(212) 305-1190</v>
          </cell>
          <cell r="J2815" t="str">
            <v>kas9171@nyp.org</v>
          </cell>
          <cell r="K2815" t="str">
            <v>Unknown</v>
          </cell>
          <cell r="L2815" t="str">
            <v>CBO</v>
          </cell>
          <cell r="M2815" t="str">
            <v>No</v>
          </cell>
          <cell r="N2815" t="str">
            <v>525 E 68th Street</v>
          </cell>
          <cell r="O2815" t="str">
            <v xml:space="preserve">New York </v>
          </cell>
          <cell r="P2815" t="str">
            <v>NY</v>
          </cell>
          <cell r="Q2815" t="str">
            <v>10021</v>
          </cell>
          <cell r="AC2815" t="str">
            <v>M</v>
          </cell>
          <cell r="AD2815" t="str">
            <v>No</v>
          </cell>
          <cell r="AE2815" t="str">
            <v>No NPI or MMIS</v>
          </cell>
          <cell r="AF2815" t="str">
            <v>nypother</v>
          </cell>
          <cell r="AG2815" t="str">
            <v>P</v>
          </cell>
        </row>
        <row r="2816">
          <cell r="A2816" t="str">
            <v>1750541561</v>
          </cell>
          <cell r="B2816" t="str">
            <v>03381615</v>
          </cell>
          <cell r="C2816" t="str">
            <v>ANGELA GOMEZ-SIMMONDS</v>
          </cell>
          <cell r="D2816" t="str">
            <v>E0325275</v>
          </cell>
          <cell r="E2816" t="str">
            <v>GOMEZ-SIMMONDS ANGELA</v>
          </cell>
          <cell r="G2816" t="str">
            <v>Kathryn Spaziani</v>
          </cell>
          <cell r="H2816" t="str">
            <v>(212) 305-1190</v>
          </cell>
          <cell r="J2816" t="str">
            <v>kas9171@nyp.org</v>
          </cell>
          <cell r="L2816" t="str">
            <v>Practitioner - Non-Primary Care Provider (PCP)</v>
          </cell>
          <cell r="M2816" t="str">
            <v>No</v>
          </cell>
          <cell r="R2816" t="str">
            <v>GOMEZ-SIMMONDS ANGELA DR.</v>
          </cell>
          <cell r="W2816" t="str">
            <v>GOMEZ-SIMMONDS ANGELA</v>
          </cell>
          <cell r="X2816" t="str">
            <v>5141 BROADWAY</v>
          </cell>
          <cell r="Y2816" t="str">
            <v>NEW YORK</v>
          </cell>
          <cell r="Z2816" t="str">
            <v>NY</v>
          </cell>
          <cell r="AA2816" t="str">
            <v>10034-1159</v>
          </cell>
          <cell r="AB2816" t="str">
            <v>PHYSICIAN</v>
          </cell>
          <cell r="AC2816" t="str">
            <v>M</v>
          </cell>
          <cell r="AD2816" t="str">
            <v>No</v>
          </cell>
          <cell r="AE2816" t="str">
            <v>MMIS</v>
          </cell>
          <cell r="AF2816" t="str">
            <v>nypwestacn</v>
          </cell>
          <cell r="AG2816" t="str">
            <v>P</v>
          </cell>
        </row>
        <row r="2817">
          <cell r="A2817" t="str">
            <v>1306162565</v>
          </cell>
          <cell r="B2817" t="str">
            <v>04315362</v>
          </cell>
          <cell r="C2817" t="str">
            <v>WILLIAM GREENDYKE</v>
          </cell>
          <cell r="D2817" t="str">
            <v>E0423799</v>
          </cell>
          <cell r="E2817" t="str">
            <v>GREENDYKE WILLIAM GARRETT</v>
          </cell>
          <cell r="G2817" t="str">
            <v>Kathryn Spaziani</v>
          </cell>
          <cell r="H2817" t="str">
            <v>(212) 305-1190</v>
          </cell>
          <cell r="J2817" t="str">
            <v>kas9171@nyp.org</v>
          </cell>
          <cell r="L2817" t="str">
            <v>Practitioner - Non-Primary Care Provider (PCP)</v>
          </cell>
          <cell r="M2817" t="str">
            <v>No</v>
          </cell>
          <cell r="R2817" t="str">
            <v>GREENDYKE WILLIAM DR.</v>
          </cell>
          <cell r="W2817" t="str">
            <v>GREENDYKE WILLIAM GARRETT</v>
          </cell>
          <cell r="X2817" t="str">
            <v>622 W 168TH ST</v>
          </cell>
          <cell r="Y2817" t="str">
            <v>NEW YORK</v>
          </cell>
          <cell r="Z2817" t="str">
            <v>NY</v>
          </cell>
          <cell r="AA2817" t="str">
            <v>10032-3720</v>
          </cell>
          <cell r="AB2817" t="str">
            <v>PHYSICIAN</v>
          </cell>
          <cell r="AC2817" t="str">
            <v>M</v>
          </cell>
          <cell r="AD2817" t="str">
            <v>No</v>
          </cell>
          <cell r="AE2817" t="str">
            <v>MMIS</v>
          </cell>
          <cell r="AF2817" t="str">
            <v>nypwestacn</v>
          </cell>
          <cell r="AG2817" t="str">
            <v>P</v>
          </cell>
        </row>
        <row r="2818">
          <cell r="A2818" t="str">
            <v>1336207166</v>
          </cell>
          <cell r="B2818" t="str">
            <v>01886837</v>
          </cell>
          <cell r="C2818" t="str">
            <v>PETER KIM</v>
          </cell>
          <cell r="D2818" t="str">
            <v>E0111361</v>
          </cell>
          <cell r="E2818" t="str">
            <v>KIM PETER YHOSUNG  MD</v>
          </cell>
          <cell r="G2818" t="str">
            <v>Kathryn Spaziani</v>
          </cell>
          <cell r="H2818" t="str">
            <v>(212) 305-1190</v>
          </cell>
          <cell r="J2818" t="str">
            <v>kas9171@nyp.org</v>
          </cell>
          <cell r="L2818" t="str">
            <v>All Other:: Practitioner - Non-Primary Care Provider (PCP)</v>
          </cell>
          <cell r="M2818" t="str">
            <v>No</v>
          </cell>
          <cell r="R2818" t="str">
            <v>KIM PETER DR.</v>
          </cell>
          <cell r="W2818" t="str">
            <v>KIM PETER YHOSUNG  MD</v>
          </cell>
          <cell r="X2818" t="str">
            <v>180 FORT WASHINGTON AVE</v>
          </cell>
          <cell r="Y2818" t="str">
            <v>NEW YORK</v>
          </cell>
          <cell r="Z2818" t="str">
            <v>NY</v>
          </cell>
          <cell r="AA2818" t="str">
            <v>10032-3722</v>
          </cell>
          <cell r="AB2818" t="str">
            <v>PHYSICIAN</v>
          </cell>
          <cell r="AC2818" t="str">
            <v>M</v>
          </cell>
          <cell r="AD2818" t="str">
            <v>No</v>
          </cell>
          <cell r="AE2818" t="str">
            <v>MMIS</v>
          </cell>
          <cell r="AF2818" t="str">
            <v>nypwestacn</v>
          </cell>
          <cell r="AG2818" t="str">
            <v>P</v>
          </cell>
        </row>
        <row r="2819">
          <cell r="C2819" t="str">
            <v>ROSY PRIYA KODIYANPLAKKAL</v>
          </cell>
          <cell r="G2819" t="str">
            <v>Kathryn Spaziani</v>
          </cell>
          <cell r="H2819" t="str">
            <v>(212) 305-1190</v>
          </cell>
          <cell r="J2819" t="str">
            <v>kas9171@nyp.org</v>
          </cell>
          <cell r="K2819" t="str">
            <v>Unknown</v>
          </cell>
          <cell r="L2819" t="str">
            <v>CBO</v>
          </cell>
          <cell r="M2819" t="str">
            <v>No</v>
          </cell>
          <cell r="N2819" t="str">
            <v>525 E 68th Street</v>
          </cell>
          <cell r="O2819" t="str">
            <v xml:space="preserve">New York </v>
          </cell>
          <cell r="P2819" t="str">
            <v>NY</v>
          </cell>
          <cell r="Q2819" t="str">
            <v>10021</v>
          </cell>
          <cell r="AC2819" t="str">
            <v>M</v>
          </cell>
          <cell r="AD2819" t="str">
            <v>No</v>
          </cell>
          <cell r="AE2819" t="str">
            <v>No NPI or MMIS</v>
          </cell>
          <cell r="AF2819" t="str">
            <v>nypother</v>
          </cell>
          <cell r="AG2819" t="str">
            <v>P</v>
          </cell>
        </row>
        <row r="2820">
          <cell r="A2820" t="str">
            <v>1174784318</v>
          </cell>
          <cell r="B2820" t="str">
            <v>03505915</v>
          </cell>
          <cell r="C2820" t="str">
            <v>BENJAMIN MIKO</v>
          </cell>
          <cell r="D2820" t="str">
            <v>E0340227</v>
          </cell>
          <cell r="E2820" t="str">
            <v>MIKO BENJAMIN A</v>
          </cell>
          <cell r="G2820" t="str">
            <v>Kathryn Spaziani</v>
          </cell>
          <cell r="H2820" t="str">
            <v>(212) 305-1190</v>
          </cell>
          <cell r="J2820" t="str">
            <v>kas9171@nyp.org</v>
          </cell>
          <cell r="L2820" t="str">
            <v>All Other:: Practitioner - Non-Primary Care Provider (PCP)</v>
          </cell>
          <cell r="M2820" t="str">
            <v>No</v>
          </cell>
          <cell r="R2820" t="str">
            <v>MIKO BENJAMIN DR.</v>
          </cell>
          <cell r="W2820" t="str">
            <v>MIKO BENJAMIN A</v>
          </cell>
          <cell r="X2820" t="str">
            <v>622 W 168TH ST</v>
          </cell>
          <cell r="Y2820" t="str">
            <v>NEW YORK</v>
          </cell>
          <cell r="Z2820" t="str">
            <v>NY</v>
          </cell>
          <cell r="AA2820" t="str">
            <v>10032-3720</v>
          </cell>
          <cell r="AB2820" t="str">
            <v>PHYSICIAN</v>
          </cell>
          <cell r="AC2820" t="str">
            <v>M</v>
          </cell>
          <cell r="AD2820" t="str">
            <v>No</v>
          </cell>
          <cell r="AE2820" t="str">
            <v>MMIS</v>
          </cell>
          <cell r="AF2820" t="str">
            <v>nypwestcampus</v>
          </cell>
          <cell r="AG2820" t="str">
            <v>P</v>
          </cell>
        </row>
        <row r="2821">
          <cell r="A2821" t="str">
            <v>1689966939</v>
          </cell>
          <cell r="B2821" t="str">
            <v>04317873</v>
          </cell>
          <cell r="C2821" t="str">
            <v>Walsh Kevin</v>
          </cell>
          <cell r="D2821" t="str">
            <v>E0423994</v>
          </cell>
          <cell r="E2821" t="str">
            <v>WALSH KEVIN JAMES</v>
          </cell>
          <cell r="G2821" t="str">
            <v>Kathryn Spaziani</v>
          </cell>
          <cell r="H2821" t="str">
            <v>(212) 305-1255</v>
          </cell>
          <cell r="J2821" t="str">
            <v>kas9171@nyp.org</v>
          </cell>
          <cell r="L2821" t="str">
            <v>Uncategorized</v>
          </cell>
          <cell r="M2821" t="str">
            <v>No</v>
          </cell>
          <cell r="R2821" t="str">
            <v>WALSH KEVIN</v>
          </cell>
          <cell r="W2821" t="str">
            <v>WALSH KEVIN JAMES</v>
          </cell>
          <cell r="X2821" t="str">
            <v>1275 YORK AVE</v>
          </cell>
          <cell r="Y2821" t="str">
            <v>NEW YORK</v>
          </cell>
          <cell r="Z2821" t="str">
            <v>NY</v>
          </cell>
          <cell r="AA2821" t="str">
            <v>10065-6007</v>
          </cell>
          <cell r="AB2821" t="str">
            <v>PHYSICIAN</v>
          </cell>
          <cell r="AC2821" t="str">
            <v>M</v>
          </cell>
          <cell r="AD2821" t="str">
            <v>No</v>
          </cell>
          <cell r="AE2821" t="str">
            <v>MMIS</v>
          </cell>
          <cell r="AF2821" t="str">
            <v>nypother</v>
          </cell>
          <cell r="AG2821" t="str">
            <v>P</v>
          </cell>
        </row>
        <row r="2822">
          <cell r="A2822" t="str">
            <v>1427390921</v>
          </cell>
          <cell r="C2822" t="str">
            <v>Weiner Brett</v>
          </cell>
          <cell r="G2822" t="str">
            <v>Kathryn Spaziani</v>
          </cell>
          <cell r="H2822" t="str">
            <v>(212) 305-1255</v>
          </cell>
          <cell r="J2822" t="str">
            <v>kas9171@nyp.org</v>
          </cell>
          <cell r="K2822" t="str">
            <v>Physician</v>
          </cell>
          <cell r="L2822" t="str">
            <v>Uncategorized</v>
          </cell>
          <cell r="M2822" t="str">
            <v>No</v>
          </cell>
          <cell r="R2822" t="str">
            <v>WEINER BRETT</v>
          </cell>
          <cell r="S2822" t="str">
            <v>525 E 68TH ST</v>
          </cell>
          <cell r="T2822" t="str">
            <v>NEW YORK</v>
          </cell>
          <cell r="U2822" t="str">
            <v>NY</v>
          </cell>
          <cell r="V2822" t="str">
            <v>100654870</v>
          </cell>
          <cell r="AC2822" t="str">
            <v>M</v>
          </cell>
          <cell r="AD2822" t="str">
            <v>No</v>
          </cell>
          <cell r="AE2822" t="str">
            <v>NPI only</v>
          </cell>
          <cell r="AF2822" t="str">
            <v>nypeastcampus</v>
          </cell>
          <cell r="AG2822" t="str">
            <v>P</v>
          </cell>
        </row>
        <row r="2823">
          <cell r="A2823" t="str">
            <v>1235496084</v>
          </cell>
          <cell r="C2823" t="str">
            <v>Wheatley Sabrina</v>
          </cell>
          <cell r="G2823" t="str">
            <v>Kathryn Spaziani</v>
          </cell>
          <cell r="H2823" t="str">
            <v>(212) 305-1255</v>
          </cell>
          <cell r="J2823" t="str">
            <v>kas9171@nyp.org</v>
          </cell>
          <cell r="K2823" t="str">
            <v>Physician</v>
          </cell>
          <cell r="L2823" t="str">
            <v>Uncategorized</v>
          </cell>
          <cell r="M2823" t="str">
            <v>No</v>
          </cell>
          <cell r="R2823" t="str">
            <v>WHEATLEY SABRINA MISS</v>
          </cell>
          <cell r="S2823" t="str">
            <v>445 E OHIO ST, APARTMENT #2909</v>
          </cell>
          <cell r="T2823" t="str">
            <v>CHICAGO</v>
          </cell>
          <cell r="U2823" t="str">
            <v>IL</v>
          </cell>
          <cell r="V2823" t="str">
            <v>606113302</v>
          </cell>
          <cell r="AC2823" t="str">
            <v>M</v>
          </cell>
          <cell r="AD2823" t="str">
            <v>No</v>
          </cell>
          <cell r="AE2823" t="str">
            <v>NPI only</v>
          </cell>
          <cell r="AF2823" t="str">
            <v>nypeastcampus</v>
          </cell>
          <cell r="AG2823" t="str">
            <v>P</v>
          </cell>
        </row>
        <row r="2824">
          <cell r="A2824" t="str">
            <v>1073923165</v>
          </cell>
          <cell r="C2824" t="str">
            <v>White Robert</v>
          </cell>
          <cell r="G2824" t="str">
            <v>Kathryn Spaziani</v>
          </cell>
          <cell r="H2824" t="str">
            <v>(212) 305-1255</v>
          </cell>
          <cell r="J2824" t="str">
            <v>kas9171@nyp.org</v>
          </cell>
          <cell r="K2824" t="str">
            <v>Physician</v>
          </cell>
          <cell r="L2824" t="str">
            <v>Uncategorized</v>
          </cell>
          <cell r="M2824" t="str">
            <v>No</v>
          </cell>
          <cell r="R2824" t="str">
            <v>WHITE ROBERT MR.</v>
          </cell>
          <cell r="S2824" t="str">
            <v>112 BRAISTED AVE</v>
          </cell>
          <cell r="T2824" t="str">
            <v>STATEN ISLAND</v>
          </cell>
          <cell r="U2824" t="str">
            <v>NY</v>
          </cell>
          <cell r="V2824" t="str">
            <v>103146135</v>
          </cell>
          <cell r="AC2824" t="str">
            <v>M</v>
          </cell>
          <cell r="AD2824" t="str">
            <v>No</v>
          </cell>
          <cell r="AE2824" t="str">
            <v>NPI only</v>
          </cell>
          <cell r="AF2824" t="str">
            <v>nypeastcampus</v>
          </cell>
          <cell r="AG2824" t="str">
            <v>P</v>
          </cell>
        </row>
        <row r="2825">
          <cell r="A2825" t="str">
            <v>1023375292</v>
          </cell>
          <cell r="C2825" t="str">
            <v>Willet Stephanie</v>
          </cell>
          <cell r="G2825" t="str">
            <v>Kathryn Spaziani</v>
          </cell>
          <cell r="H2825" t="str">
            <v>(212) 305-1255</v>
          </cell>
          <cell r="J2825" t="str">
            <v>kas9171@nyp.org</v>
          </cell>
          <cell r="K2825" t="str">
            <v>Physician</v>
          </cell>
          <cell r="L2825" t="str">
            <v>Uncategorized</v>
          </cell>
          <cell r="M2825" t="str">
            <v>No</v>
          </cell>
          <cell r="R2825" t="str">
            <v>WILLET STEPHANIE</v>
          </cell>
          <cell r="S2825" t="str">
            <v>177 FT WASHINGTN AVE RM 313</v>
          </cell>
          <cell r="T2825" t="str">
            <v>NEW YORK</v>
          </cell>
          <cell r="U2825" t="str">
            <v>NY</v>
          </cell>
          <cell r="V2825" t="str">
            <v>100323733</v>
          </cell>
          <cell r="AC2825" t="str">
            <v>M</v>
          </cell>
          <cell r="AD2825" t="str">
            <v>No</v>
          </cell>
          <cell r="AE2825" t="str">
            <v>NPI only</v>
          </cell>
          <cell r="AF2825" t="str">
            <v>nypeastcampus</v>
          </cell>
          <cell r="AG2825" t="str">
            <v>P</v>
          </cell>
        </row>
        <row r="2826">
          <cell r="A2826" t="str">
            <v>1609142108</v>
          </cell>
          <cell r="C2826" t="str">
            <v>Spence Nicole</v>
          </cell>
          <cell r="G2826" t="str">
            <v>Kathryn Spaziani</v>
          </cell>
          <cell r="H2826" t="str">
            <v>(212) 305-1255</v>
          </cell>
          <cell r="J2826" t="str">
            <v>kas9171@nyp.org</v>
          </cell>
          <cell r="K2826" t="str">
            <v>Physician</v>
          </cell>
          <cell r="L2826" t="str">
            <v>Uncategorized</v>
          </cell>
          <cell r="M2826" t="str">
            <v>No</v>
          </cell>
          <cell r="R2826" t="str">
            <v>SPENCE NICOLE</v>
          </cell>
          <cell r="S2826" t="str">
            <v>630 W 168TH ST</v>
          </cell>
          <cell r="T2826" t="str">
            <v>NEW YORK</v>
          </cell>
          <cell r="U2826" t="str">
            <v>NY</v>
          </cell>
          <cell r="V2826" t="str">
            <v>100323725</v>
          </cell>
          <cell r="AC2826" t="str">
            <v>M</v>
          </cell>
          <cell r="AD2826" t="str">
            <v>No</v>
          </cell>
          <cell r="AE2826" t="str">
            <v>NPI only</v>
          </cell>
          <cell r="AF2826" t="str">
            <v>nypwestcampus</v>
          </cell>
          <cell r="AG2826" t="str">
            <v>P</v>
          </cell>
        </row>
        <row r="2827">
          <cell r="A2827" t="str">
            <v>1548526981</v>
          </cell>
          <cell r="C2827" t="str">
            <v>Stahl Rachel</v>
          </cell>
          <cell r="G2827" t="str">
            <v>Kathryn Spaziani</v>
          </cell>
          <cell r="H2827" t="str">
            <v>(212) 305-1255</v>
          </cell>
          <cell r="J2827" t="str">
            <v>kas9171@nyp.org</v>
          </cell>
          <cell r="K2827" t="str">
            <v>Physician</v>
          </cell>
          <cell r="L2827" t="str">
            <v>Uncategorized</v>
          </cell>
          <cell r="M2827" t="str">
            <v>No</v>
          </cell>
          <cell r="R2827" t="str">
            <v>STAHL RACHEL</v>
          </cell>
          <cell r="S2827" t="str">
            <v>622 W 168TH ST</v>
          </cell>
          <cell r="T2827" t="str">
            <v>NEW YORK</v>
          </cell>
          <cell r="U2827" t="str">
            <v>NY</v>
          </cell>
          <cell r="V2827" t="str">
            <v>100323720</v>
          </cell>
          <cell r="AC2827" t="str">
            <v>M</v>
          </cell>
          <cell r="AD2827" t="str">
            <v>No</v>
          </cell>
          <cell r="AE2827" t="str">
            <v>NPI only</v>
          </cell>
          <cell r="AF2827" t="str">
            <v>nypwestcampus</v>
          </cell>
          <cell r="AG2827" t="str">
            <v>P</v>
          </cell>
        </row>
        <row r="2828">
          <cell r="A2828" t="str">
            <v>1548551161</v>
          </cell>
          <cell r="B2828" t="str">
            <v>04543899</v>
          </cell>
          <cell r="C2828" t="str">
            <v>Tejani Margaret</v>
          </cell>
          <cell r="D2828" t="str">
            <v>E0447144</v>
          </cell>
          <cell r="E2828" t="str">
            <v>TEJANI MARGARET ELIZABETH</v>
          </cell>
          <cell r="G2828" t="str">
            <v>Kathryn Spaziani</v>
          </cell>
          <cell r="H2828" t="str">
            <v>(212) 305-1255</v>
          </cell>
          <cell r="J2828" t="str">
            <v>kas9171@nyp.org</v>
          </cell>
          <cell r="L2828" t="str">
            <v>Uncategorized</v>
          </cell>
          <cell r="M2828" t="str">
            <v>No</v>
          </cell>
          <cell r="R2828" t="str">
            <v>TEJANI MARGARET</v>
          </cell>
          <cell r="W2828" t="str">
            <v>TEJANI MARGARET ELIZABETH</v>
          </cell>
          <cell r="AB2828" t="str">
            <v>PHYSICIAN</v>
          </cell>
          <cell r="AC2828" t="str">
            <v>M</v>
          </cell>
          <cell r="AD2828" t="str">
            <v>No</v>
          </cell>
          <cell r="AE2828" t="str">
            <v>MMIS</v>
          </cell>
          <cell r="AF2828" t="str">
            <v>nypwestcampus</v>
          </cell>
          <cell r="AG2828" t="str">
            <v>P</v>
          </cell>
        </row>
        <row r="2829">
          <cell r="A2829" t="str">
            <v>1669748281</v>
          </cell>
          <cell r="B2829" t="str">
            <v>04452466</v>
          </cell>
          <cell r="C2829" t="str">
            <v>Tischenkel Bryan</v>
          </cell>
          <cell r="D2829" t="str">
            <v>E0437895</v>
          </cell>
          <cell r="E2829" t="str">
            <v>TISCHENKEL BRYAN</v>
          </cell>
          <cell r="G2829" t="str">
            <v>Kathryn Spaziani</v>
          </cell>
          <cell r="H2829" t="str">
            <v>(212) 305-1255</v>
          </cell>
          <cell r="J2829" t="str">
            <v>kas9171@nyp.org</v>
          </cell>
          <cell r="L2829" t="str">
            <v>Uncategorized</v>
          </cell>
          <cell r="M2829" t="str">
            <v>No</v>
          </cell>
          <cell r="R2829" t="str">
            <v>TISCHENKEL BRYAN DR.</v>
          </cell>
          <cell r="W2829" t="str">
            <v>TISCHENKEL BRYAN</v>
          </cell>
          <cell r="AB2829" t="str">
            <v>PHYSICIAN</v>
          </cell>
          <cell r="AC2829" t="str">
            <v>M</v>
          </cell>
          <cell r="AD2829" t="str">
            <v>No</v>
          </cell>
          <cell r="AE2829" t="str">
            <v>MMIS</v>
          </cell>
          <cell r="AF2829" t="str">
            <v>nypwestcampus</v>
          </cell>
          <cell r="AG2829" t="str">
            <v>P</v>
          </cell>
        </row>
        <row r="2830">
          <cell r="A2830" t="str">
            <v>1164577680</v>
          </cell>
          <cell r="B2830" t="str">
            <v>02094879</v>
          </cell>
          <cell r="C2830" t="str">
            <v>Clark Mary</v>
          </cell>
          <cell r="D2830" t="str">
            <v>E0090581</v>
          </cell>
          <cell r="E2830" t="str">
            <v>CLARK MARY KATHLEEN</v>
          </cell>
          <cell r="L2830" t="str">
            <v>Practitioner - Non-Primary Care Provider (PCP)</v>
          </cell>
          <cell r="M2830" t="str">
            <v>No</v>
          </cell>
          <cell r="R2830" t="str">
            <v>CLARK MARY MS.</v>
          </cell>
          <cell r="W2830" t="str">
            <v>CLARK MARY KATHLEEN</v>
          </cell>
          <cell r="X2830" t="str">
            <v>PO BOX 29096</v>
          </cell>
          <cell r="Y2830" t="str">
            <v>NEW YORK</v>
          </cell>
          <cell r="Z2830" t="str">
            <v>NY</v>
          </cell>
          <cell r="AA2830" t="str">
            <v>10087-9096</v>
          </cell>
          <cell r="AB2830" t="str">
            <v>PHYSICIAN</v>
          </cell>
          <cell r="AC2830" t="str">
            <v>M</v>
          </cell>
          <cell r="AD2830" t="str">
            <v>No</v>
          </cell>
          <cell r="AE2830" t="str">
            <v>MMIS</v>
          </cell>
          <cell r="AF2830" t="str">
            <v>nypwestcampus</v>
          </cell>
          <cell r="AG2830" t="str">
            <v>P</v>
          </cell>
        </row>
        <row r="2831">
          <cell r="A2831" t="str">
            <v>1619101508</v>
          </cell>
          <cell r="B2831" t="str">
            <v>03591417</v>
          </cell>
          <cell r="C2831" t="str">
            <v>Danielsson Jennifer</v>
          </cell>
          <cell r="D2831" t="str">
            <v>E0349281</v>
          </cell>
          <cell r="E2831" t="str">
            <v>DANIELSSON JENNIFER</v>
          </cell>
          <cell r="L2831" t="str">
            <v>All Other:: Practitioner - Non-Primary Care Provider (PCP)</v>
          </cell>
          <cell r="M2831" t="str">
            <v>No</v>
          </cell>
          <cell r="R2831" t="str">
            <v>DANIELSSON JENNIFER</v>
          </cell>
          <cell r="W2831" t="str">
            <v>DANIELSSON JENNIFER</v>
          </cell>
          <cell r="X2831" t="str">
            <v>622 W 168TH ST</v>
          </cell>
          <cell r="Y2831" t="str">
            <v>NEW YORK</v>
          </cell>
          <cell r="Z2831" t="str">
            <v>NY</v>
          </cell>
          <cell r="AA2831" t="str">
            <v>10032-3720</v>
          </cell>
          <cell r="AB2831" t="str">
            <v>PHYSICIAN</v>
          </cell>
          <cell r="AC2831" t="str">
            <v>M</v>
          </cell>
          <cell r="AD2831" t="str">
            <v>No</v>
          </cell>
          <cell r="AE2831" t="str">
            <v>MMIS</v>
          </cell>
          <cell r="AF2831" t="str">
            <v>nypwestcampus</v>
          </cell>
          <cell r="AG2831" t="str">
            <v>P</v>
          </cell>
        </row>
        <row r="2832">
          <cell r="A2832" t="str">
            <v>1972663482</v>
          </cell>
          <cell r="B2832" t="str">
            <v>02633856</v>
          </cell>
          <cell r="C2832" t="str">
            <v>D'Armiento Jeanine</v>
          </cell>
          <cell r="D2832" t="str">
            <v>E0036775</v>
          </cell>
          <cell r="E2832" t="str">
            <v>D'ARMIENTO JEANINE MARIA T MD</v>
          </cell>
          <cell r="L2832" t="str">
            <v>Practitioner - Non-Primary Care Provider (PCP)</v>
          </cell>
          <cell r="M2832" t="str">
            <v>No</v>
          </cell>
          <cell r="R2832" t="str">
            <v>D'ARMIENTO JEANINE DR.</v>
          </cell>
          <cell r="W2832" t="str">
            <v>D'ARMIENTO JEANINE MARIA T MD</v>
          </cell>
          <cell r="X2832" t="str">
            <v>622 W 168TH ST</v>
          </cell>
          <cell r="Y2832" t="str">
            <v>NEW YORK</v>
          </cell>
          <cell r="Z2832" t="str">
            <v>NY</v>
          </cell>
          <cell r="AA2832" t="str">
            <v>10032-3720</v>
          </cell>
          <cell r="AB2832" t="str">
            <v>PHYSICIAN</v>
          </cell>
          <cell r="AC2832" t="str">
            <v>M</v>
          </cell>
          <cell r="AD2832" t="str">
            <v>No</v>
          </cell>
          <cell r="AE2832" t="str">
            <v>MMIS</v>
          </cell>
          <cell r="AF2832" t="str">
            <v>nypwestcampus</v>
          </cell>
          <cell r="AG2832" t="str">
            <v>P</v>
          </cell>
        </row>
        <row r="2833">
          <cell r="A2833" t="str">
            <v>1447388921</v>
          </cell>
          <cell r="C2833" t="str">
            <v>Davis-Mitrea Jody</v>
          </cell>
          <cell r="G2833" t="str">
            <v>Kathryn Spaziani</v>
          </cell>
          <cell r="H2833" t="str">
            <v>(212) 305-1255</v>
          </cell>
          <cell r="J2833" t="str">
            <v>kas9171@nyp.org</v>
          </cell>
          <cell r="K2833" t="str">
            <v>Physician</v>
          </cell>
          <cell r="L2833" t="str">
            <v>Uncategorized</v>
          </cell>
          <cell r="M2833" t="str">
            <v>No</v>
          </cell>
          <cell r="R2833" t="str">
            <v>DAVIS-MITREA JODY</v>
          </cell>
          <cell r="S2833" t="str">
            <v>622 W 168TH ST, NEW YORK PRESBYTERIAN HOSPITAL, DEPT. OF ANESTHESIOLOGY</v>
          </cell>
          <cell r="T2833" t="str">
            <v>NEW YORK</v>
          </cell>
          <cell r="U2833" t="str">
            <v>NY</v>
          </cell>
          <cell r="V2833" t="str">
            <v>100323720</v>
          </cell>
          <cell r="AC2833" t="str">
            <v>M</v>
          </cell>
          <cell r="AD2833" t="str">
            <v>No</v>
          </cell>
          <cell r="AE2833" t="str">
            <v>NPI only</v>
          </cell>
          <cell r="AF2833" t="str">
            <v>nypwestcampus</v>
          </cell>
          <cell r="AG2833" t="str">
            <v>P</v>
          </cell>
        </row>
        <row r="2834">
          <cell r="A2834" t="str">
            <v>1215110267</v>
          </cell>
          <cell r="B2834" t="str">
            <v>03083369</v>
          </cell>
          <cell r="C2834" t="str">
            <v>Diaz Oliver</v>
          </cell>
          <cell r="D2834" t="str">
            <v>E0291121</v>
          </cell>
          <cell r="E2834" t="str">
            <v>OLIVER SALCEDO DIAZ NP</v>
          </cell>
          <cell r="L2834" t="str">
            <v>Practitioner - Non-Primary Care Provider (PCP)</v>
          </cell>
          <cell r="M2834" t="str">
            <v>No</v>
          </cell>
          <cell r="R2834" t="str">
            <v>DIAZ OLIVER MR.</v>
          </cell>
          <cell r="W2834" t="str">
            <v>DIAZ OLIVER SALCEDO</v>
          </cell>
          <cell r="X2834" t="str">
            <v>622 W 168TH ST</v>
          </cell>
          <cell r="Y2834" t="str">
            <v>NEW YORK</v>
          </cell>
          <cell r="Z2834" t="str">
            <v>NY</v>
          </cell>
          <cell r="AA2834" t="str">
            <v>10032-3720</v>
          </cell>
          <cell r="AB2834" t="str">
            <v>PHYSICIAN</v>
          </cell>
          <cell r="AC2834" t="str">
            <v>M</v>
          </cell>
          <cell r="AD2834" t="str">
            <v>No</v>
          </cell>
          <cell r="AE2834" t="str">
            <v>MMIS</v>
          </cell>
          <cell r="AF2834" t="str">
            <v>nypwestcampus</v>
          </cell>
          <cell r="AG2834" t="str">
            <v>P</v>
          </cell>
        </row>
        <row r="2835">
          <cell r="A2835" t="str">
            <v>1104120575</v>
          </cell>
          <cell r="B2835" t="str">
            <v>04297325</v>
          </cell>
          <cell r="C2835" t="str">
            <v>Dienstag Bill</v>
          </cell>
          <cell r="D2835" t="str">
            <v>E0421787</v>
          </cell>
          <cell r="E2835" t="str">
            <v>DIENSTAG BILL D</v>
          </cell>
          <cell r="G2835" t="str">
            <v>Kathryn Spaziani</v>
          </cell>
          <cell r="H2835" t="str">
            <v>(212) 305-1255</v>
          </cell>
          <cell r="J2835" t="str">
            <v>kas9171@nyp.org</v>
          </cell>
          <cell r="L2835" t="str">
            <v>Practitioner - Non-Primary Care Provider (PCP)</v>
          </cell>
          <cell r="M2835" t="str">
            <v>No</v>
          </cell>
          <cell r="R2835" t="str">
            <v>DIENSTAG BILL MR.</v>
          </cell>
          <cell r="W2835" t="str">
            <v>DIENSTAG BILL D</v>
          </cell>
          <cell r="X2835" t="str">
            <v>600 IVY ST STE 201</v>
          </cell>
          <cell r="Y2835" t="str">
            <v>ELMIRA</v>
          </cell>
          <cell r="Z2835" t="str">
            <v>NY</v>
          </cell>
          <cell r="AA2835" t="str">
            <v>14905-1627</v>
          </cell>
          <cell r="AB2835" t="str">
            <v>PHYSICIAN</v>
          </cell>
          <cell r="AC2835" t="str">
            <v>M</v>
          </cell>
          <cell r="AD2835" t="str">
            <v>No</v>
          </cell>
          <cell r="AE2835" t="str">
            <v>MMIS</v>
          </cell>
          <cell r="AF2835" t="str">
            <v>nypother</v>
          </cell>
          <cell r="AG2835" t="str">
            <v>P</v>
          </cell>
        </row>
        <row r="2836">
          <cell r="A2836" t="str">
            <v>1053335620</v>
          </cell>
          <cell r="B2836" t="str">
            <v>02993800</v>
          </cell>
          <cell r="C2836" t="str">
            <v>Upper Manhattan Mental Health Center, Inc</v>
          </cell>
          <cell r="D2836" t="str">
            <v>E0142970</v>
          </cell>
          <cell r="E2836" t="str">
            <v>UPPER MANHATTAN MH CTR SCM</v>
          </cell>
          <cell r="G2836" t="str">
            <v>William Witherspoon</v>
          </cell>
          <cell r="H2836" t="str">
            <v>(212) 694-9200</v>
          </cell>
          <cell r="I2836">
            <v>426</v>
          </cell>
          <cell r="J2836" t="str">
            <v>wswjr@bowencsc.org</v>
          </cell>
          <cell r="L2836" t="str">
            <v>All Other:: Case Management / Health Home:: Mental Health:: Substance Abuse</v>
          </cell>
          <cell r="M2836" t="str">
            <v>Yes</v>
          </cell>
          <cell r="R2836" t="str">
            <v>UPPER MANHATTAN MENTAL HEALTH CENTER, INC.</v>
          </cell>
          <cell r="W2836" t="str">
            <v>UPPER MANHATTAN MNTL HLTH CTR</v>
          </cell>
          <cell r="X2836" t="str">
            <v>ASSOC ADMINISTRATOR</v>
          </cell>
          <cell r="Y2836" t="str">
            <v>NEW YORK</v>
          </cell>
          <cell r="Z2836" t="str">
            <v>NY</v>
          </cell>
          <cell r="AA2836" t="str">
            <v>10031-4611</v>
          </cell>
          <cell r="AB2836" t="str">
            <v>MULTI-TYPE</v>
          </cell>
          <cell r="AC2836" t="str">
            <v>M</v>
          </cell>
          <cell r="AD2836" t="str">
            <v>No</v>
          </cell>
          <cell r="AE2836" t="str">
            <v>MMIS</v>
          </cell>
          <cell r="AF2836" t="str">
            <v>uppermanhattan</v>
          </cell>
          <cell r="AG2836" t="str">
            <v>P</v>
          </cell>
        </row>
        <row r="2837">
          <cell r="A2837" t="str">
            <v>1336174937</v>
          </cell>
          <cell r="B2837" t="str">
            <v>02227865</v>
          </cell>
          <cell r="C2837" t="str">
            <v xml:space="preserve">AL-ASWAD, LAMA </v>
          </cell>
          <cell r="D2837" t="str">
            <v>E0077303</v>
          </cell>
          <cell r="E2837" t="str">
            <v>AL-ASWAD LAMA A MD</v>
          </cell>
          <cell r="G2837" t="str">
            <v>Kathryn Spaziani</v>
          </cell>
          <cell r="H2837" t="str">
            <v>(212) 305-1190</v>
          </cell>
          <cell r="J2837" t="str">
            <v>kas9171@nyp.org</v>
          </cell>
          <cell r="L2837" t="str">
            <v>All Other:: Practitioner - Non-Primary Care Provider (PCP)</v>
          </cell>
          <cell r="M2837" t="str">
            <v>No</v>
          </cell>
          <cell r="R2837" t="str">
            <v>AL-ASWAD LAMA</v>
          </cell>
          <cell r="W2837" t="str">
            <v>AL-ASWAD LAMA A MD</v>
          </cell>
          <cell r="X2837" t="str">
            <v>OPHTHALMLGY ASSOC</v>
          </cell>
          <cell r="Y2837" t="str">
            <v>NEW YORK</v>
          </cell>
          <cell r="Z2837" t="str">
            <v>NY</v>
          </cell>
          <cell r="AA2837" t="str">
            <v>10032-3724</v>
          </cell>
          <cell r="AB2837" t="str">
            <v>PHYSICIAN</v>
          </cell>
          <cell r="AC2837" t="str">
            <v>M</v>
          </cell>
          <cell r="AD2837" t="str">
            <v>No</v>
          </cell>
          <cell r="AE2837" t="str">
            <v>MMIS</v>
          </cell>
          <cell r="AF2837" t="str">
            <v>nypwestacn</v>
          </cell>
          <cell r="AG2837" t="str">
            <v>P</v>
          </cell>
        </row>
        <row r="2838">
          <cell r="A2838" t="str">
            <v>1710261656</v>
          </cell>
          <cell r="C2838" t="str">
            <v>TRUSTEES OF COLUMBIA UNIVERSITY IN THE CITY OF NY CARDIOLOGY ASSOCIATE</v>
          </cell>
          <cell r="K2838" t="str">
            <v>All Other</v>
          </cell>
          <cell r="L2838" t="str">
            <v>Uncategorized</v>
          </cell>
          <cell r="M2838" t="str">
            <v>No</v>
          </cell>
          <cell r="R2838" t="str">
            <v>TRUSTEES OF COLUMBIA UNIVERSITY IN THE CITY OF NEW YORK CARDIOLOGY ASS</v>
          </cell>
          <cell r="S2838" t="str">
            <v>19 BRADHURST AVE, SUITE 700</v>
          </cell>
          <cell r="T2838" t="str">
            <v>HAWTHORNE</v>
          </cell>
          <cell r="U2838" t="str">
            <v>NY</v>
          </cell>
          <cell r="V2838" t="str">
            <v>105322140</v>
          </cell>
          <cell r="AC2838" t="str">
            <v>M</v>
          </cell>
          <cell r="AD2838" t="str">
            <v>No</v>
          </cell>
          <cell r="AE2838" t="str">
            <v>NPI only</v>
          </cell>
          <cell r="AG2838" t="str">
            <v>P</v>
          </cell>
        </row>
        <row r="2839">
          <cell r="A2839" t="str">
            <v>1619911526</v>
          </cell>
          <cell r="B2839" t="str">
            <v>02378169</v>
          </cell>
          <cell r="C2839" t="str">
            <v>TRUSTEES OF COLUMBIA UNIVERSITY, DEPT OF PSYCHIATRY</v>
          </cell>
          <cell r="D2839" t="str">
            <v>E0062297</v>
          </cell>
          <cell r="E2839" t="str">
            <v>TRUSTEES OF COLUMBIA UNIVERSITY</v>
          </cell>
          <cell r="L2839" t="str">
            <v>All Other:: Mental Health</v>
          </cell>
          <cell r="M2839" t="str">
            <v>No</v>
          </cell>
          <cell r="R2839" t="str">
            <v>TRUSTEES OF COLUMBIA UNIVERSITY, DEPT OF PSYCHIATRY</v>
          </cell>
          <cell r="W2839" t="str">
            <v>TRUSTEES OF COLUMBIA UNIVERSITY</v>
          </cell>
          <cell r="X2839" t="str">
            <v>5141 BROADWAY</v>
          </cell>
          <cell r="Y2839" t="str">
            <v>NEW YORK</v>
          </cell>
          <cell r="Z2839" t="str">
            <v>NY</v>
          </cell>
          <cell r="AA2839" t="str">
            <v>10034-1159</v>
          </cell>
          <cell r="AB2839" t="str">
            <v>PHYSICIANS GROUP</v>
          </cell>
          <cell r="AC2839" t="str">
            <v>M</v>
          </cell>
          <cell r="AD2839" t="str">
            <v>No</v>
          </cell>
          <cell r="AE2839" t="str">
            <v>MMIS</v>
          </cell>
          <cell r="AG2839" t="str">
            <v>P</v>
          </cell>
        </row>
        <row r="2840">
          <cell r="A2840" t="str">
            <v>1528150729</v>
          </cell>
          <cell r="B2840" t="str">
            <v>03181500</v>
          </cell>
          <cell r="C2840" t="str">
            <v>Hsu, Penelope</v>
          </cell>
          <cell r="D2840" t="str">
            <v>E0302337</v>
          </cell>
          <cell r="E2840" t="str">
            <v>HSU PENELOPE</v>
          </cell>
          <cell r="G2840" t="str">
            <v>Betty Cheng</v>
          </cell>
          <cell r="H2840" t="str">
            <v>(212) 379-6988</v>
          </cell>
          <cell r="I2840">
            <v>2604</v>
          </cell>
          <cell r="J2840" t="str">
            <v>bcheng@cbwchc.org</v>
          </cell>
          <cell r="L2840" t="str">
            <v>All Other:: Practitioner - Primary Care Provider (PCP)</v>
          </cell>
          <cell r="M2840" t="str">
            <v>Yes</v>
          </cell>
          <cell r="R2840" t="str">
            <v>HSU PENELOPE</v>
          </cell>
          <cell r="W2840" t="str">
            <v>HSU PENELOPE</v>
          </cell>
          <cell r="X2840" t="str">
            <v>125 WALKER ST FL 2</v>
          </cell>
          <cell r="Y2840" t="str">
            <v>NEW YORK</v>
          </cell>
          <cell r="Z2840" t="str">
            <v>NY</v>
          </cell>
          <cell r="AA2840" t="str">
            <v>10013-4135</v>
          </cell>
          <cell r="AB2840" t="str">
            <v>PHYSICIAN</v>
          </cell>
          <cell r="AC2840" t="str">
            <v>M</v>
          </cell>
          <cell r="AD2840" t="str">
            <v>No</v>
          </cell>
          <cell r="AE2840" t="str">
            <v>MMIS</v>
          </cell>
          <cell r="AF2840" t="str">
            <v>cbwchc</v>
          </cell>
          <cell r="AG2840" t="str">
            <v>P</v>
          </cell>
        </row>
        <row r="2841">
          <cell r="A2841" t="str">
            <v>1528264397</v>
          </cell>
          <cell r="B2841" t="str">
            <v>02962518</v>
          </cell>
          <cell r="C2841" t="str">
            <v>Huang, Shao Fen Sherry</v>
          </cell>
          <cell r="D2841" t="str">
            <v>E0004581</v>
          </cell>
          <cell r="E2841" t="str">
            <v>HUANG SHAO FEN SHERRY</v>
          </cell>
          <cell r="G2841" t="str">
            <v>Betty Cheng</v>
          </cell>
          <cell r="H2841" t="str">
            <v>(212) 379-6988</v>
          </cell>
          <cell r="I2841">
            <v>2604</v>
          </cell>
          <cell r="J2841" t="str">
            <v>bcheng@cbwchc.org</v>
          </cell>
          <cell r="L2841" t="str">
            <v>All Other:: Practitioner - Primary Care Provider (PCP)</v>
          </cell>
          <cell r="M2841" t="str">
            <v>Yes</v>
          </cell>
          <cell r="R2841" t="str">
            <v>HUANG SHAO FEN SHERRY</v>
          </cell>
          <cell r="W2841" t="str">
            <v>HUANG SHAO FEN SHERRY</v>
          </cell>
          <cell r="X2841" t="str">
            <v>125 WALKER ST FL 2</v>
          </cell>
          <cell r="Y2841" t="str">
            <v>NEW YORK</v>
          </cell>
          <cell r="Z2841" t="str">
            <v>NY</v>
          </cell>
          <cell r="AA2841" t="str">
            <v>10013-4135</v>
          </cell>
          <cell r="AB2841" t="str">
            <v>PHYSICIAN</v>
          </cell>
          <cell r="AC2841" t="str">
            <v>M</v>
          </cell>
          <cell r="AD2841" t="str">
            <v>No</v>
          </cell>
          <cell r="AE2841" t="str">
            <v>MMIS</v>
          </cell>
          <cell r="AF2841" t="str">
            <v>cbwchc</v>
          </cell>
          <cell r="AG2841" t="str">
            <v>P</v>
          </cell>
        </row>
        <row r="2842">
          <cell r="A2842" t="str">
            <v>1275847212</v>
          </cell>
          <cell r="B2842" t="str">
            <v>03286160</v>
          </cell>
          <cell r="C2842" t="str">
            <v>CULLEN, COLLEEN C</v>
          </cell>
          <cell r="D2842" t="str">
            <v>E0314151</v>
          </cell>
          <cell r="E2842" t="str">
            <v>CULLEN COLLEEN</v>
          </cell>
          <cell r="G2842" t="str">
            <v>Kathryn Spaziani</v>
          </cell>
          <cell r="H2842" t="str">
            <v>(212) 305-1190</v>
          </cell>
          <cell r="J2842" t="str">
            <v>kas9171@nyp.org</v>
          </cell>
          <cell r="L2842" t="str">
            <v>Practitioner - Non-Primary Care Provider (PCP)</v>
          </cell>
          <cell r="M2842" t="str">
            <v>No</v>
          </cell>
          <cell r="R2842" t="str">
            <v>CULLEN COLLEEN DR.</v>
          </cell>
          <cell r="W2842" t="str">
            <v>CULLEN COLLEEN C</v>
          </cell>
          <cell r="X2842" t="str">
            <v>3959 BROADWAY FL 6 NORTH</v>
          </cell>
          <cell r="Y2842" t="str">
            <v>NEW YORK</v>
          </cell>
          <cell r="Z2842" t="str">
            <v>NY</v>
          </cell>
          <cell r="AA2842" t="str">
            <v>10032-0000</v>
          </cell>
          <cell r="AB2842" t="str">
            <v>CLINICAL PSYCHOLOGIST</v>
          </cell>
          <cell r="AC2842" t="str">
            <v>M</v>
          </cell>
          <cell r="AD2842" t="str">
            <v>No</v>
          </cell>
          <cell r="AE2842" t="str">
            <v>MMIS</v>
          </cell>
          <cell r="AF2842" t="str">
            <v>nypwestcampus</v>
          </cell>
          <cell r="AG2842" t="str">
            <v>P</v>
          </cell>
        </row>
        <row r="2843">
          <cell r="A2843" t="str">
            <v>1598771172</v>
          </cell>
          <cell r="B2843" t="str">
            <v>02828013</v>
          </cell>
          <cell r="C2843" t="str">
            <v>WEINBERG, HARVEY I</v>
          </cell>
          <cell r="D2843" t="str">
            <v>E0017394</v>
          </cell>
          <cell r="E2843" t="str">
            <v>WEINBERG HARVEY</v>
          </cell>
          <cell r="G2843" t="str">
            <v>Kathryn Spaziani</v>
          </cell>
          <cell r="H2843" t="str">
            <v>(212) 305-1190</v>
          </cell>
          <cell r="J2843" t="str">
            <v>kas9171@nyp.org</v>
          </cell>
          <cell r="L2843" t="str">
            <v>Uncategorized</v>
          </cell>
          <cell r="M2843" t="str">
            <v>No</v>
          </cell>
          <cell r="R2843" t="str">
            <v>WEINBERG HARVEY DR.</v>
          </cell>
          <cell r="W2843" t="str">
            <v>WEINBERG HARVEY</v>
          </cell>
          <cell r="X2843" t="str">
            <v>161 FORT WASHINGTON AVE</v>
          </cell>
          <cell r="Y2843" t="str">
            <v>NEW YORK</v>
          </cell>
          <cell r="Z2843" t="str">
            <v>NY</v>
          </cell>
          <cell r="AA2843" t="str">
            <v>10032-3729</v>
          </cell>
          <cell r="AB2843" t="str">
            <v>PHYSICIAN</v>
          </cell>
          <cell r="AC2843" t="str">
            <v>M</v>
          </cell>
          <cell r="AD2843" t="str">
            <v>No</v>
          </cell>
          <cell r="AE2843" t="str">
            <v>MMIS</v>
          </cell>
          <cell r="AF2843" t="str">
            <v>nypother</v>
          </cell>
          <cell r="AG2843" t="str">
            <v>P</v>
          </cell>
        </row>
        <row r="2844">
          <cell r="A2844" t="str">
            <v>1598771842</v>
          </cell>
          <cell r="B2844" t="str">
            <v>01621883</v>
          </cell>
          <cell r="C2844" t="str">
            <v>Cross, Jennifer F.</v>
          </cell>
          <cell r="D2844" t="str">
            <v>E0137823</v>
          </cell>
          <cell r="E2844" t="str">
            <v>CROSS JENNIFER FRANCES MD</v>
          </cell>
          <cell r="G2844" t="str">
            <v>Kathryn Spaziani</v>
          </cell>
          <cell r="H2844" t="str">
            <v>(212) 305-1190</v>
          </cell>
          <cell r="J2844" t="str">
            <v>kas9171@nyp.org</v>
          </cell>
          <cell r="L2844" t="str">
            <v>Mental Health:: Practitioner - Non-Primary Care Provider (PCP)</v>
          </cell>
          <cell r="M2844" t="str">
            <v>Yes</v>
          </cell>
          <cell r="R2844" t="str">
            <v>CROSS JENNIFER</v>
          </cell>
          <cell r="W2844" t="str">
            <v>CROSS JENNIFER FRANCES MD</v>
          </cell>
          <cell r="X2844" t="str">
            <v>NY MEDICAL COLLEGE</v>
          </cell>
          <cell r="Y2844" t="str">
            <v>VALHALLA</v>
          </cell>
          <cell r="Z2844" t="str">
            <v>NY</v>
          </cell>
          <cell r="AA2844" t="str">
            <v>10595</v>
          </cell>
          <cell r="AB2844" t="str">
            <v>PHYSICIAN</v>
          </cell>
          <cell r="AC2844" t="str">
            <v>M</v>
          </cell>
          <cell r="AD2844" t="str">
            <v>No</v>
          </cell>
          <cell r="AE2844" t="str">
            <v>MMIS</v>
          </cell>
          <cell r="AF2844" t="str">
            <v>nypeastacn</v>
          </cell>
          <cell r="AG2844" t="str">
            <v>P</v>
          </cell>
        </row>
        <row r="2845">
          <cell r="A2845" t="str">
            <v>1679730428</v>
          </cell>
          <cell r="B2845" t="str">
            <v>03013389</v>
          </cell>
          <cell r="C2845" t="str">
            <v>MORROW, JOHN P</v>
          </cell>
          <cell r="D2845" t="str">
            <v>E0007405</v>
          </cell>
          <cell r="E2845" t="str">
            <v>JOHN PEARCE MORROW MD</v>
          </cell>
          <cell r="G2845" t="str">
            <v>Kathryn Spaziani</v>
          </cell>
          <cell r="H2845" t="str">
            <v>(212) 305-1190</v>
          </cell>
          <cell r="J2845" t="str">
            <v>kas9171@nyp.org</v>
          </cell>
          <cell r="L2845" t="str">
            <v>Practitioner - Non-Primary Care Provider (PCP)</v>
          </cell>
          <cell r="M2845" t="str">
            <v>No</v>
          </cell>
          <cell r="R2845" t="str">
            <v>MORROW JOHN DR.</v>
          </cell>
          <cell r="W2845" t="str">
            <v>MORROW JOHN PEARCE MD</v>
          </cell>
          <cell r="X2845" t="str">
            <v>622 W 168TH ST</v>
          </cell>
          <cell r="Y2845" t="str">
            <v>NEW YORK</v>
          </cell>
          <cell r="Z2845" t="str">
            <v>NY</v>
          </cell>
          <cell r="AA2845" t="str">
            <v>10032-3720</v>
          </cell>
          <cell r="AB2845" t="str">
            <v>PHYSICIAN</v>
          </cell>
          <cell r="AC2845" t="str">
            <v>M</v>
          </cell>
          <cell r="AD2845" t="str">
            <v>No</v>
          </cell>
          <cell r="AE2845" t="str">
            <v>MMIS</v>
          </cell>
          <cell r="AF2845" t="str">
            <v>nypwestcampus</v>
          </cell>
          <cell r="AG2845" t="str">
            <v>P</v>
          </cell>
        </row>
        <row r="2846">
          <cell r="A2846" t="str">
            <v>1679511810</v>
          </cell>
          <cell r="B2846" t="str">
            <v>03322938</v>
          </cell>
          <cell r="C2846" t="str">
            <v>GILES, JON T</v>
          </cell>
          <cell r="D2846" t="str">
            <v>E0318295</v>
          </cell>
          <cell r="E2846" t="str">
            <v>GILES JON</v>
          </cell>
          <cell r="G2846" t="str">
            <v>Kathryn Spaziani</v>
          </cell>
          <cell r="H2846" t="str">
            <v>(212) 305-1190</v>
          </cell>
          <cell r="J2846" t="str">
            <v>kas9171@nyp.org</v>
          </cell>
          <cell r="L2846" t="str">
            <v>Practitioner - Non-Primary Care Provider (PCP)</v>
          </cell>
          <cell r="M2846" t="str">
            <v>No</v>
          </cell>
          <cell r="R2846" t="str">
            <v>GILES JON</v>
          </cell>
          <cell r="W2846" t="str">
            <v>GILES JON</v>
          </cell>
          <cell r="X2846" t="str">
            <v>622 W 168TH ST</v>
          </cell>
          <cell r="Y2846" t="str">
            <v>NEW YORK</v>
          </cell>
          <cell r="Z2846" t="str">
            <v>NY</v>
          </cell>
          <cell r="AA2846" t="str">
            <v>10032-3720</v>
          </cell>
          <cell r="AB2846" t="str">
            <v>PHYSICIAN</v>
          </cell>
          <cell r="AC2846" t="str">
            <v>M</v>
          </cell>
          <cell r="AD2846" t="str">
            <v>No</v>
          </cell>
          <cell r="AE2846" t="str">
            <v>MMIS</v>
          </cell>
          <cell r="AF2846" t="str">
            <v>nypwestcampus</v>
          </cell>
          <cell r="AG2846" t="str">
            <v>P</v>
          </cell>
        </row>
        <row r="2847">
          <cell r="A2847" t="str">
            <v>1154499218</v>
          </cell>
          <cell r="B2847" t="str">
            <v>02096808</v>
          </cell>
          <cell r="C2847" t="str">
            <v>WANG, TIMOTHY C</v>
          </cell>
          <cell r="D2847" t="str">
            <v>E0090388</v>
          </cell>
          <cell r="E2847" t="str">
            <v>WANG TIMOTHY C MD</v>
          </cell>
          <cell r="G2847" t="str">
            <v>Kathryn Spaziani</v>
          </cell>
          <cell r="H2847" t="str">
            <v>(212) 305-1190</v>
          </cell>
          <cell r="J2847" t="str">
            <v>kas9171@nyp.org</v>
          </cell>
          <cell r="L2847" t="str">
            <v>Practitioner - Non-Primary Care Provider (PCP)</v>
          </cell>
          <cell r="M2847" t="str">
            <v>Yes</v>
          </cell>
          <cell r="R2847" t="str">
            <v>WANG TIMOTHY DR.</v>
          </cell>
          <cell r="W2847" t="str">
            <v>WANG TIMOTHY C MD</v>
          </cell>
          <cell r="Y2847" t="str">
            <v>WORCESTER</v>
          </cell>
          <cell r="Z2847" t="str">
            <v>MA</v>
          </cell>
          <cell r="AA2847" t="str">
            <v>01655-0001</v>
          </cell>
          <cell r="AB2847" t="str">
            <v>PHYSICIAN</v>
          </cell>
          <cell r="AC2847" t="str">
            <v>M</v>
          </cell>
          <cell r="AD2847" t="str">
            <v>No</v>
          </cell>
          <cell r="AE2847" t="str">
            <v>MMIS</v>
          </cell>
          <cell r="AF2847" t="str">
            <v>nypwestcampus</v>
          </cell>
          <cell r="AG2847" t="str">
            <v>P</v>
          </cell>
        </row>
        <row r="2848">
          <cell r="A2848" t="str">
            <v>1154540524</v>
          </cell>
          <cell r="B2848" t="str">
            <v>02892771</v>
          </cell>
          <cell r="C2848" t="str">
            <v xml:space="preserve">PANDIT, KIRAN </v>
          </cell>
          <cell r="D2848" t="str">
            <v>E0010929</v>
          </cell>
          <cell r="E2848" t="str">
            <v>PANDIT KIRAN MD</v>
          </cell>
          <cell r="G2848" t="str">
            <v>Kathryn Spaziani</v>
          </cell>
          <cell r="H2848" t="str">
            <v>(212) 305-1190</v>
          </cell>
          <cell r="J2848" t="str">
            <v>kas9171@nyp.org</v>
          </cell>
          <cell r="L2848" t="str">
            <v>Practitioner - Non-Primary Care Provider (PCP)</v>
          </cell>
          <cell r="M2848" t="str">
            <v>No</v>
          </cell>
          <cell r="R2848" t="str">
            <v>PANDIT KIRAN DR.</v>
          </cell>
          <cell r="W2848" t="str">
            <v>PANDIT KIRAN MD</v>
          </cell>
          <cell r="X2848" t="str">
            <v>622 W 168TH ST</v>
          </cell>
          <cell r="Y2848" t="str">
            <v>NEW YORK</v>
          </cell>
          <cell r="Z2848" t="str">
            <v>NY</v>
          </cell>
          <cell r="AA2848" t="str">
            <v>10032-3720</v>
          </cell>
          <cell r="AB2848" t="str">
            <v>PHYSICIAN</v>
          </cell>
          <cell r="AC2848" t="str">
            <v>M</v>
          </cell>
          <cell r="AD2848" t="str">
            <v>No</v>
          </cell>
          <cell r="AE2848" t="str">
            <v>MMIS</v>
          </cell>
          <cell r="AF2848" t="str">
            <v>nypwestcampus</v>
          </cell>
          <cell r="AG2848" t="str">
            <v>P</v>
          </cell>
        </row>
        <row r="2849">
          <cell r="A2849" t="str">
            <v>1154557973</v>
          </cell>
          <cell r="B2849" t="str">
            <v>03919468</v>
          </cell>
          <cell r="C2849" t="str">
            <v>Suman, Hridya</v>
          </cell>
          <cell r="D2849" t="str">
            <v>E0383114</v>
          </cell>
          <cell r="E2849" t="str">
            <v>SUMAN HRIDYA</v>
          </cell>
          <cell r="G2849" t="str">
            <v>Kathryn Spaziani</v>
          </cell>
          <cell r="H2849" t="str">
            <v>(212) 305-1190</v>
          </cell>
          <cell r="J2849" t="str">
            <v>kas9171@nyp.org</v>
          </cell>
          <cell r="L2849" t="str">
            <v>All Other:: Practitioner - Non-Primary Care Provider (PCP)</v>
          </cell>
          <cell r="M2849" t="str">
            <v>No</v>
          </cell>
          <cell r="R2849" t="str">
            <v>SUMAN HRIDYA DR.</v>
          </cell>
          <cell r="W2849" t="str">
            <v>SUMAN HRIDYA</v>
          </cell>
          <cell r="X2849" t="str">
            <v>525 E 68TH ST # 176</v>
          </cell>
          <cell r="Y2849" t="str">
            <v>NEW YORK</v>
          </cell>
          <cell r="Z2849" t="str">
            <v>NY</v>
          </cell>
          <cell r="AA2849" t="str">
            <v>10065-4870</v>
          </cell>
          <cell r="AB2849" t="str">
            <v>PHYSICIAN</v>
          </cell>
          <cell r="AC2849" t="str">
            <v>M</v>
          </cell>
          <cell r="AD2849" t="str">
            <v>No</v>
          </cell>
          <cell r="AE2849" t="str">
            <v>MMIS</v>
          </cell>
          <cell r="AF2849" t="str">
            <v>nypeastcampus</v>
          </cell>
          <cell r="AG2849" t="str">
            <v>P</v>
          </cell>
        </row>
        <row r="2850">
          <cell r="A2850" t="str">
            <v>1154580785</v>
          </cell>
          <cell r="B2850" t="str">
            <v>03138805</v>
          </cell>
          <cell r="C2850" t="str">
            <v>THOMAS, GEORGE M</v>
          </cell>
          <cell r="D2850" t="str">
            <v>E0297530</v>
          </cell>
          <cell r="E2850" t="str">
            <v>GEORGE THOMAS MD</v>
          </cell>
          <cell r="G2850" t="str">
            <v>Kathryn Spaziani</v>
          </cell>
          <cell r="H2850" t="str">
            <v>(212) 305-1190</v>
          </cell>
          <cell r="J2850" t="str">
            <v>kas9171@nyp.org</v>
          </cell>
          <cell r="L2850" t="str">
            <v>All Other:: Practitioner - Primary Care Provider (PCP)</v>
          </cell>
          <cell r="M2850" t="str">
            <v>No</v>
          </cell>
          <cell r="R2850" t="str">
            <v>THOMAS GEORGE DR.</v>
          </cell>
          <cell r="W2850" t="str">
            <v>THOMAS GEORGE MD</v>
          </cell>
          <cell r="X2850" t="str">
            <v>525 E 70TH ST</v>
          </cell>
          <cell r="Y2850" t="str">
            <v>NEW YORK</v>
          </cell>
          <cell r="Z2850" t="str">
            <v>NY</v>
          </cell>
          <cell r="AA2850" t="str">
            <v>10021-4872</v>
          </cell>
          <cell r="AB2850" t="str">
            <v>PHYSICIAN</v>
          </cell>
          <cell r="AC2850" t="str">
            <v>M</v>
          </cell>
          <cell r="AD2850" t="str">
            <v>No</v>
          </cell>
          <cell r="AE2850" t="str">
            <v>MMIS</v>
          </cell>
          <cell r="AF2850" t="str">
            <v>nypeastcampus</v>
          </cell>
          <cell r="AG2850" t="str">
            <v>P</v>
          </cell>
        </row>
        <row r="2851">
          <cell r="A2851" t="str">
            <v>1154581874</v>
          </cell>
          <cell r="B2851" t="str">
            <v>03535673</v>
          </cell>
          <cell r="C2851" t="str">
            <v>VARGAS, WENDY S</v>
          </cell>
          <cell r="D2851" t="str">
            <v>E0343399</v>
          </cell>
          <cell r="E2851" t="str">
            <v>VARGAS WENDY SULINA</v>
          </cell>
          <cell r="G2851" t="str">
            <v>Kathryn Spaziani</v>
          </cell>
          <cell r="H2851" t="str">
            <v>(212) 305-1190</v>
          </cell>
          <cell r="J2851" t="str">
            <v>kas9171@nyp.org</v>
          </cell>
          <cell r="L2851" t="str">
            <v>All Other:: Practitioner - Non-Primary Care Provider (PCP)</v>
          </cell>
          <cell r="M2851" t="str">
            <v>No</v>
          </cell>
          <cell r="R2851" t="str">
            <v>VARGAS WENDY DR.</v>
          </cell>
          <cell r="W2851" t="str">
            <v>VARGAS WENDY SULINA</v>
          </cell>
          <cell r="X2851" t="str">
            <v>520 E 70TH ST</v>
          </cell>
          <cell r="Y2851" t="str">
            <v>NEW YORK</v>
          </cell>
          <cell r="Z2851" t="str">
            <v>NY</v>
          </cell>
          <cell r="AA2851" t="str">
            <v>10021-9800</v>
          </cell>
          <cell r="AB2851" t="str">
            <v>PHYSICIAN</v>
          </cell>
          <cell r="AC2851" t="str">
            <v>M</v>
          </cell>
          <cell r="AD2851" t="str">
            <v>No</v>
          </cell>
          <cell r="AE2851" t="str">
            <v>MMIS</v>
          </cell>
          <cell r="AF2851" t="str">
            <v>nypwestcampus</v>
          </cell>
          <cell r="AG2851" t="str">
            <v>P</v>
          </cell>
        </row>
        <row r="2852">
          <cell r="A2852" t="str">
            <v>1053601971</v>
          </cell>
          <cell r="C2852" t="str">
            <v>CHANTAE SULLIVAN</v>
          </cell>
          <cell r="G2852" t="str">
            <v>Kathryn Spaziani</v>
          </cell>
          <cell r="H2852" t="str">
            <v>(212) 305-1190</v>
          </cell>
          <cell r="J2852" t="str">
            <v>kas9171@nyp.org</v>
          </cell>
          <cell r="K2852" t="str">
            <v>Unknown</v>
          </cell>
          <cell r="L2852" t="str">
            <v>Uncategorized</v>
          </cell>
          <cell r="M2852" t="str">
            <v>No</v>
          </cell>
          <cell r="R2852" t="str">
            <v>SULLIVAN CHANTAE</v>
          </cell>
          <cell r="S2852" t="str">
            <v>622 W 168TH ST</v>
          </cell>
          <cell r="T2852" t="str">
            <v>NEW YORK</v>
          </cell>
          <cell r="U2852" t="str">
            <v>NY</v>
          </cell>
          <cell r="V2852" t="str">
            <v>100323720</v>
          </cell>
          <cell r="AC2852" t="str">
            <v>M</v>
          </cell>
          <cell r="AD2852" t="str">
            <v>No</v>
          </cell>
          <cell r="AE2852" t="str">
            <v>NPI only</v>
          </cell>
          <cell r="AF2852" t="str">
            <v>nypother</v>
          </cell>
          <cell r="AG2852" t="str">
            <v>P</v>
          </cell>
        </row>
        <row r="2853">
          <cell r="A2853" t="str">
            <v>1265728042</v>
          </cell>
          <cell r="C2853" t="str">
            <v>EMILIE VANDER HAAR</v>
          </cell>
          <cell r="G2853" t="str">
            <v>Kathryn Spaziani</v>
          </cell>
          <cell r="H2853" t="str">
            <v>(212) 305-1190</v>
          </cell>
          <cell r="J2853" t="str">
            <v>kas9171@nyp.org</v>
          </cell>
          <cell r="K2853" t="str">
            <v>Unknown</v>
          </cell>
          <cell r="L2853" t="str">
            <v>Uncategorized</v>
          </cell>
          <cell r="M2853" t="str">
            <v>No</v>
          </cell>
          <cell r="R2853" t="str">
            <v>VANDER HAAR EMILIE</v>
          </cell>
          <cell r="S2853" t="str">
            <v>622 W 168TH ST, PH16-29</v>
          </cell>
          <cell r="T2853" t="str">
            <v>NEW YORK</v>
          </cell>
          <cell r="U2853" t="str">
            <v>NY</v>
          </cell>
          <cell r="V2853" t="str">
            <v>100323720</v>
          </cell>
          <cell r="AC2853" t="str">
            <v>M</v>
          </cell>
          <cell r="AD2853" t="str">
            <v>No</v>
          </cell>
          <cell r="AE2853" t="str">
            <v>NPI only</v>
          </cell>
          <cell r="AF2853" t="str">
            <v>nypwestcampus</v>
          </cell>
          <cell r="AG2853" t="str">
            <v>P</v>
          </cell>
        </row>
        <row r="2854">
          <cell r="A2854" t="str">
            <v>1457794257</v>
          </cell>
          <cell r="C2854" t="str">
            <v>ALIZA ALTER</v>
          </cell>
          <cell r="G2854" t="str">
            <v>Kathryn Spaziani</v>
          </cell>
          <cell r="H2854" t="str">
            <v>(212) 305-1190</v>
          </cell>
          <cell r="J2854" t="str">
            <v>kas9171@nyp.org</v>
          </cell>
          <cell r="K2854" t="str">
            <v>Unknown</v>
          </cell>
          <cell r="L2854" t="str">
            <v>Uncategorized</v>
          </cell>
          <cell r="M2854" t="str">
            <v>No</v>
          </cell>
          <cell r="R2854" t="str">
            <v>ALTER ALIZA DR.</v>
          </cell>
          <cell r="S2854" t="str">
            <v>3959 BROADWAY</v>
          </cell>
          <cell r="T2854" t="str">
            <v>NEW YORK</v>
          </cell>
          <cell r="U2854" t="str">
            <v>NY</v>
          </cell>
          <cell r="V2854" t="str">
            <v>100321559</v>
          </cell>
          <cell r="AC2854" t="str">
            <v>M</v>
          </cell>
          <cell r="AD2854" t="str">
            <v>No</v>
          </cell>
          <cell r="AE2854" t="str">
            <v>NPI only</v>
          </cell>
          <cell r="AF2854" t="str">
            <v>nypwestcampus</v>
          </cell>
          <cell r="AG2854" t="str">
            <v>P</v>
          </cell>
        </row>
        <row r="2855">
          <cell r="A2855" t="str">
            <v>1619210945</v>
          </cell>
          <cell r="B2855" t="str">
            <v>04598463</v>
          </cell>
          <cell r="C2855" t="str">
            <v>ALLISON BAXTERBECK</v>
          </cell>
          <cell r="D2855" t="str">
            <v>E0452723</v>
          </cell>
          <cell r="E2855" t="str">
            <v>BAXTERBECK ALLISON</v>
          </cell>
          <cell r="G2855" t="str">
            <v>Kathryn Spaziani</v>
          </cell>
          <cell r="H2855" t="str">
            <v>(212) 305-1190</v>
          </cell>
          <cell r="J2855" t="str">
            <v>kas9171@nyp.org</v>
          </cell>
          <cell r="L2855" t="str">
            <v>Practitioner - Non-Primary Care Provider (PCP)</v>
          </cell>
          <cell r="M2855" t="str">
            <v>No</v>
          </cell>
          <cell r="R2855" t="str">
            <v>BAXTERBECK ALLISON</v>
          </cell>
          <cell r="W2855" t="str">
            <v>BAXTERBECK ALLISON LEE</v>
          </cell>
          <cell r="AB2855" t="str">
            <v>PHYSICIAN</v>
          </cell>
          <cell r="AC2855" t="str">
            <v>M</v>
          </cell>
          <cell r="AD2855" t="str">
            <v>No</v>
          </cell>
          <cell r="AE2855" t="str">
            <v>MMIS</v>
          </cell>
          <cell r="AF2855" t="str">
            <v>nypwestcampus</v>
          </cell>
          <cell r="AG2855" t="str">
            <v>P</v>
          </cell>
        </row>
        <row r="2856">
          <cell r="A2856" t="str">
            <v>1225370398</v>
          </cell>
          <cell r="C2856" t="str">
            <v>SONA CHAUHAN</v>
          </cell>
          <cell r="G2856" t="str">
            <v>Kathryn Spaziani</v>
          </cell>
          <cell r="H2856" t="str">
            <v>(212) 305-1190</v>
          </cell>
          <cell r="J2856" t="str">
            <v>kas9171@nyp.org</v>
          </cell>
          <cell r="K2856" t="str">
            <v>Unknown</v>
          </cell>
          <cell r="L2856" t="str">
            <v>Uncategorized</v>
          </cell>
          <cell r="M2856" t="str">
            <v>No</v>
          </cell>
          <cell r="R2856" t="str">
            <v>CHAUHAN SONA DR.</v>
          </cell>
          <cell r="S2856" t="str">
            <v>3959 BROADWAY</v>
          </cell>
          <cell r="T2856" t="str">
            <v>NEW YORK</v>
          </cell>
          <cell r="U2856" t="str">
            <v>NY</v>
          </cell>
          <cell r="V2856" t="str">
            <v>100321559</v>
          </cell>
          <cell r="AC2856" t="str">
            <v>M</v>
          </cell>
          <cell r="AD2856" t="str">
            <v>No</v>
          </cell>
          <cell r="AE2856" t="str">
            <v>NPI only</v>
          </cell>
          <cell r="AF2856" t="str">
            <v>nypwestcampus</v>
          </cell>
          <cell r="AG2856" t="str">
            <v>P</v>
          </cell>
        </row>
        <row r="2857">
          <cell r="A2857" t="str">
            <v>1528326980</v>
          </cell>
          <cell r="C2857" t="str">
            <v>AMY CHIRICO</v>
          </cell>
          <cell r="G2857" t="str">
            <v>Kathryn Spaziani</v>
          </cell>
          <cell r="H2857" t="str">
            <v>(212) 305-1190</v>
          </cell>
          <cell r="J2857" t="str">
            <v>kas9171@nyp.org</v>
          </cell>
          <cell r="K2857" t="str">
            <v>Unknown</v>
          </cell>
          <cell r="L2857" t="str">
            <v>Uncategorized</v>
          </cell>
          <cell r="M2857" t="str">
            <v>No</v>
          </cell>
          <cell r="R2857" t="str">
            <v>CHIRICO AMY</v>
          </cell>
          <cell r="S2857" t="str">
            <v>3959 BROADWAY</v>
          </cell>
          <cell r="T2857" t="str">
            <v>NEW YORK</v>
          </cell>
          <cell r="U2857" t="str">
            <v>NY</v>
          </cell>
          <cell r="V2857" t="str">
            <v>100321559</v>
          </cell>
          <cell r="AC2857" t="str">
            <v>M</v>
          </cell>
          <cell r="AD2857" t="str">
            <v>No</v>
          </cell>
          <cell r="AE2857" t="str">
            <v>NPI only</v>
          </cell>
          <cell r="AF2857" t="str">
            <v>nypwestcampus</v>
          </cell>
          <cell r="AG2857" t="str">
            <v>P</v>
          </cell>
        </row>
        <row r="2858">
          <cell r="A2858" t="str">
            <v>1134485626</v>
          </cell>
          <cell r="C2858" t="str">
            <v>SAMANTHA COFFINO</v>
          </cell>
          <cell r="G2858" t="str">
            <v>Kathryn Spaziani</v>
          </cell>
          <cell r="H2858" t="str">
            <v>(212) 305-1190</v>
          </cell>
          <cell r="J2858" t="str">
            <v>kas9171@nyp.org</v>
          </cell>
          <cell r="K2858" t="str">
            <v>Unknown</v>
          </cell>
          <cell r="L2858" t="str">
            <v>Uncategorized</v>
          </cell>
          <cell r="M2858" t="str">
            <v>No</v>
          </cell>
          <cell r="R2858" t="str">
            <v>COFFINO SAMANTHA</v>
          </cell>
          <cell r="S2858" t="str">
            <v>622 W 168TH ST</v>
          </cell>
          <cell r="T2858" t="str">
            <v>NEW YORK</v>
          </cell>
          <cell r="U2858" t="str">
            <v>NY</v>
          </cell>
          <cell r="V2858" t="str">
            <v>100323720</v>
          </cell>
          <cell r="AC2858" t="str">
            <v>M</v>
          </cell>
          <cell r="AD2858" t="str">
            <v>No</v>
          </cell>
          <cell r="AE2858" t="str">
            <v>NPI only</v>
          </cell>
          <cell r="AF2858" t="str">
            <v>nypwestcampus</v>
          </cell>
          <cell r="AG2858" t="str">
            <v>P</v>
          </cell>
        </row>
        <row r="2859">
          <cell r="A2859" t="str">
            <v>1417214107</v>
          </cell>
          <cell r="C2859" t="str">
            <v>RYAN GISE</v>
          </cell>
          <cell r="G2859" t="str">
            <v>Kathryn Spaziani</v>
          </cell>
          <cell r="H2859" t="str">
            <v>(212) 305-1190</v>
          </cell>
          <cell r="J2859" t="str">
            <v>kas9171@nyp.org</v>
          </cell>
          <cell r="K2859" t="str">
            <v>Unknown</v>
          </cell>
          <cell r="L2859" t="str">
            <v>Uncategorized</v>
          </cell>
          <cell r="M2859" t="str">
            <v>No</v>
          </cell>
          <cell r="R2859" t="str">
            <v>GISE RYAN DR.</v>
          </cell>
          <cell r="S2859" t="str">
            <v>111 E 210TH ST</v>
          </cell>
          <cell r="T2859" t="str">
            <v>BRONX</v>
          </cell>
          <cell r="U2859" t="str">
            <v>NY</v>
          </cell>
          <cell r="V2859" t="str">
            <v>104672401</v>
          </cell>
          <cell r="AC2859" t="str">
            <v>M</v>
          </cell>
          <cell r="AD2859" t="str">
            <v>No</v>
          </cell>
          <cell r="AE2859" t="str">
            <v>NPI only</v>
          </cell>
          <cell r="AF2859" t="str">
            <v>nypother</v>
          </cell>
          <cell r="AG2859" t="str">
            <v>P</v>
          </cell>
        </row>
        <row r="2860">
          <cell r="A2860" t="str">
            <v>1831431618</v>
          </cell>
          <cell r="C2860" t="str">
            <v>EUGENE KHANDROS</v>
          </cell>
          <cell r="G2860" t="str">
            <v>Kathryn Spaziani</v>
          </cell>
          <cell r="H2860" t="str">
            <v>(212) 305-1190</v>
          </cell>
          <cell r="J2860" t="str">
            <v>kas9171@nyp.org</v>
          </cell>
          <cell r="K2860" t="str">
            <v>Unknown</v>
          </cell>
          <cell r="L2860" t="str">
            <v>Uncategorized</v>
          </cell>
          <cell r="M2860" t="str">
            <v>No</v>
          </cell>
          <cell r="R2860" t="str">
            <v>KHANDROS EUGENE</v>
          </cell>
          <cell r="S2860" t="str">
            <v>630 W 168TH ST, CHN 517</v>
          </cell>
          <cell r="T2860" t="str">
            <v>NEW YORK</v>
          </cell>
          <cell r="U2860" t="str">
            <v>NY</v>
          </cell>
          <cell r="V2860" t="str">
            <v>100323725</v>
          </cell>
          <cell r="AC2860" t="str">
            <v>M</v>
          </cell>
          <cell r="AD2860" t="str">
            <v>No</v>
          </cell>
          <cell r="AE2860" t="str">
            <v>NPI only</v>
          </cell>
          <cell r="AF2860" t="str">
            <v>nypwestcampus</v>
          </cell>
          <cell r="AG2860" t="str">
            <v>P</v>
          </cell>
        </row>
        <row r="2861">
          <cell r="A2861" t="str">
            <v>1730455635</v>
          </cell>
          <cell r="C2861" t="str">
            <v>NICOLE MCKINNON</v>
          </cell>
          <cell r="G2861" t="str">
            <v>Kathryn Spaziani</v>
          </cell>
          <cell r="H2861" t="str">
            <v>(212) 305-1190</v>
          </cell>
          <cell r="J2861" t="str">
            <v>kas9171@nyp.org</v>
          </cell>
          <cell r="K2861" t="str">
            <v>Unknown</v>
          </cell>
          <cell r="L2861" t="str">
            <v>Uncategorized</v>
          </cell>
          <cell r="M2861" t="str">
            <v>No</v>
          </cell>
          <cell r="R2861" t="str">
            <v>MCKINNON NICOLE</v>
          </cell>
          <cell r="S2861" t="str">
            <v>3959 BROADWAY</v>
          </cell>
          <cell r="T2861" t="str">
            <v>NEW YORK</v>
          </cell>
          <cell r="U2861" t="str">
            <v>NY</v>
          </cell>
          <cell r="V2861" t="str">
            <v>100321559</v>
          </cell>
          <cell r="AC2861" t="str">
            <v>M</v>
          </cell>
          <cell r="AD2861" t="str">
            <v>No</v>
          </cell>
          <cell r="AE2861" t="str">
            <v>NPI only</v>
          </cell>
          <cell r="AF2861" t="str">
            <v>nypother</v>
          </cell>
          <cell r="AG2861" t="str">
            <v>P</v>
          </cell>
        </row>
        <row r="2862">
          <cell r="A2862" t="str">
            <v>1770841108</v>
          </cell>
          <cell r="B2862" t="str">
            <v>04119788</v>
          </cell>
          <cell r="C2862" t="str">
            <v>JENNIFER RATHE</v>
          </cell>
          <cell r="D2862" t="str">
            <v>E0403724</v>
          </cell>
          <cell r="E2862" t="str">
            <v>RATHE JENNIFER A</v>
          </cell>
          <cell r="G2862" t="str">
            <v>Kathryn Spaziani</v>
          </cell>
          <cell r="H2862" t="str">
            <v>(212) 305-1190</v>
          </cell>
          <cell r="J2862" t="str">
            <v>kas9171@nyp.org</v>
          </cell>
          <cell r="L2862" t="str">
            <v>Practitioner - Non-Primary Care Provider (PCP)</v>
          </cell>
          <cell r="M2862" t="str">
            <v>No</v>
          </cell>
          <cell r="R2862" t="str">
            <v>RATHE JENNIFER</v>
          </cell>
          <cell r="W2862" t="str">
            <v>RATHE JENNIFER A</v>
          </cell>
          <cell r="X2862" t="str">
            <v>3959 BROADWAY</v>
          </cell>
          <cell r="Y2862" t="str">
            <v>NEW YORK</v>
          </cell>
          <cell r="Z2862" t="str">
            <v>NY</v>
          </cell>
          <cell r="AA2862" t="str">
            <v>10032-1559</v>
          </cell>
          <cell r="AB2862" t="str">
            <v>PHYSICIAN</v>
          </cell>
          <cell r="AC2862" t="str">
            <v>M</v>
          </cell>
          <cell r="AD2862" t="str">
            <v>No</v>
          </cell>
          <cell r="AE2862" t="str">
            <v>MMIS</v>
          </cell>
          <cell r="AF2862" t="str">
            <v>nypwestcampus</v>
          </cell>
          <cell r="AG2862" t="str">
            <v>P</v>
          </cell>
        </row>
        <row r="2863">
          <cell r="A2863" t="str">
            <v>1982049219</v>
          </cell>
          <cell r="C2863" t="str">
            <v>ELIZABETH SEASHORE</v>
          </cell>
          <cell r="G2863" t="str">
            <v>Kathryn Spaziani</v>
          </cell>
          <cell r="H2863" t="str">
            <v>(212) 305-1190</v>
          </cell>
          <cell r="J2863" t="str">
            <v>kas9171@nyp.org</v>
          </cell>
          <cell r="K2863" t="str">
            <v>Unknown</v>
          </cell>
          <cell r="L2863" t="str">
            <v>Uncategorized</v>
          </cell>
          <cell r="M2863" t="str">
            <v>No</v>
          </cell>
          <cell r="R2863" t="str">
            <v>SEASHORE ELIZABETH</v>
          </cell>
          <cell r="S2863" t="str">
            <v>3959 BROADWAY</v>
          </cell>
          <cell r="T2863" t="str">
            <v>NEW YORK</v>
          </cell>
          <cell r="U2863" t="str">
            <v>NY</v>
          </cell>
          <cell r="V2863" t="str">
            <v>100321559</v>
          </cell>
          <cell r="AC2863" t="str">
            <v>M</v>
          </cell>
          <cell r="AD2863" t="str">
            <v>No</v>
          </cell>
          <cell r="AE2863" t="str">
            <v>NPI only</v>
          </cell>
          <cell r="AF2863" t="str">
            <v>nypwestcampus</v>
          </cell>
          <cell r="AG2863" t="str">
            <v>P</v>
          </cell>
        </row>
        <row r="2864">
          <cell r="A2864" t="str">
            <v>1841532249</v>
          </cell>
          <cell r="C2864" t="str">
            <v>SAIRA SIDDIQUI</v>
          </cell>
          <cell r="G2864" t="str">
            <v>Kathryn Spaziani</v>
          </cell>
          <cell r="H2864" t="str">
            <v>(212) 305-1190</v>
          </cell>
          <cell r="J2864" t="str">
            <v>kas9171@nyp.org</v>
          </cell>
          <cell r="K2864" t="str">
            <v>Unknown</v>
          </cell>
          <cell r="L2864" t="str">
            <v>Uncategorized</v>
          </cell>
          <cell r="M2864" t="str">
            <v>No</v>
          </cell>
          <cell r="R2864" t="str">
            <v>SIDDIQUI SAIRA</v>
          </cell>
          <cell r="S2864" t="str">
            <v>3959 BROADWAY</v>
          </cell>
          <cell r="T2864" t="str">
            <v>NEW YORK</v>
          </cell>
          <cell r="U2864" t="str">
            <v>NY</v>
          </cell>
          <cell r="V2864" t="str">
            <v>100321559</v>
          </cell>
          <cell r="AC2864" t="str">
            <v>M</v>
          </cell>
          <cell r="AD2864" t="str">
            <v>No</v>
          </cell>
          <cell r="AE2864" t="str">
            <v>NPI only</v>
          </cell>
          <cell r="AF2864" t="str">
            <v>nypwestcampus</v>
          </cell>
          <cell r="AG2864" t="str">
            <v>P</v>
          </cell>
        </row>
        <row r="2865">
          <cell r="A2865" t="str">
            <v>1184980385</v>
          </cell>
          <cell r="C2865" t="str">
            <v>CYNTHIA SU</v>
          </cell>
          <cell r="G2865" t="str">
            <v>Kathryn Spaziani</v>
          </cell>
          <cell r="H2865" t="str">
            <v>(212) 305-1190</v>
          </cell>
          <cell r="J2865" t="str">
            <v>kas9171@nyp.org</v>
          </cell>
          <cell r="K2865" t="str">
            <v>Unknown</v>
          </cell>
          <cell r="L2865" t="str">
            <v>Practitioner - Primary Care Provider (PCP)</v>
          </cell>
          <cell r="M2865" t="str">
            <v>No</v>
          </cell>
          <cell r="R2865" t="str">
            <v>SU CYNTHIA</v>
          </cell>
          <cell r="S2865" t="str">
            <v>615 BROADWAY</v>
          </cell>
          <cell r="T2865" t="str">
            <v>HASTINGS ON HUDSON</v>
          </cell>
          <cell r="U2865" t="str">
            <v>NY</v>
          </cell>
          <cell r="V2865" t="str">
            <v>107061039</v>
          </cell>
          <cell r="AC2865" t="str">
            <v>M</v>
          </cell>
          <cell r="AD2865" t="str">
            <v>No</v>
          </cell>
          <cell r="AE2865" t="str">
            <v>NPI only</v>
          </cell>
          <cell r="AF2865" t="str">
            <v>nypother</v>
          </cell>
          <cell r="AG2865" t="str">
            <v>P</v>
          </cell>
        </row>
        <row r="2866">
          <cell r="A2866" t="str">
            <v>1013250125</v>
          </cell>
          <cell r="B2866" t="str">
            <v>04418842</v>
          </cell>
          <cell r="C2866" t="str">
            <v>ROSELLE VITTORINO</v>
          </cell>
          <cell r="D2866" t="str">
            <v>E0434445</v>
          </cell>
          <cell r="E2866" t="str">
            <v>VITTORINO ROSELLE MARGARET</v>
          </cell>
          <cell r="G2866" t="str">
            <v>Kathryn Spaziani</v>
          </cell>
          <cell r="H2866" t="str">
            <v>(212) 305-1190</v>
          </cell>
          <cell r="J2866" t="str">
            <v>kas9171@nyp.org</v>
          </cell>
          <cell r="L2866" t="str">
            <v>Uncategorized</v>
          </cell>
          <cell r="M2866" t="str">
            <v>No</v>
          </cell>
          <cell r="R2866" t="str">
            <v>VITTORINO ROSELLE</v>
          </cell>
          <cell r="W2866" t="str">
            <v>VITTORINO ROSELLE MARGARET</v>
          </cell>
          <cell r="X2866" t="str">
            <v>3959 BROADWAY</v>
          </cell>
          <cell r="Y2866" t="str">
            <v>NEW YORK</v>
          </cell>
          <cell r="Z2866" t="str">
            <v>NY</v>
          </cell>
          <cell r="AA2866" t="str">
            <v>10032-1559</v>
          </cell>
          <cell r="AB2866" t="str">
            <v>PHYSICIAN</v>
          </cell>
          <cell r="AC2866" t="str">
            <v>M</v>
          </cell>
          <cell r="AD2866" t="str">
            <v>No</v>
          </cell>
          <cell r="AE2866" t="str">
            <v>MMIS</v>
          </cell>
          <cell r="AF2866" t="str">
            <v>nypwestcampus</v>
          </cell>
          <cell r="AG2866" t="str">
            <v>P</v>
          </cell>
        </row>
        <row r="2867">
          <cell r="A2867" t="str">
            <v>1366700874</v>
          </cell>
          <cell r="C2867" t="str">
            <v>DOMINIQUE BAILEY</v>
          </cell>
          <cell r="G2867" t="str">
            <v>Kathryn Spaziani</v>
          </cell>
          <cell r="H2867" t="str">
            <v>(212) 305-1190</v>
          </cell>
          <cell r="J2867" t="str">
            <v>kas9171@nyp.org</v>
          </cell>
          <cell r="K2867" t="str">
            <v>Unknown</v>
          </cell>
          <cell r="L2867" t="str">
            <v>Uncategorized</v>
          </cell>
          <cell r="M2867" t="str">
            <v>No</v>
          </cell>
          <cell r="R2867" t="str">
            <v>BAILEY DOMNIQUE DR.</v>
          </cell>
          <cell r="S2867" t="str">
            <v>630 W. 168TH STREET - CHN 517, COLUMBIA UNIVERSITY MEDICAL CENTER</v>
          </cell>
          <cell r="T2867" t="str">
            <v>NEW YORK</v>
          </cell>
          <cell r="U2867" t="str">
            <v>NY</v>
          </cell>
          <cell r="V2867" t="str">
            <v>10032</v>
          </cell>
          <cell r="AC2867" t="str">
            <v>M</v>
          </cell>
          <cell r="AD2867" t="str">
            <v>No</v>
          </cell>
          <cell r="AE2867" t="str">
            <v>NPI only</v>
          </cell>
          <cell r="AF2867" t="str">
            <v>nypwestcampus</v>
          </cell>
          <cell r="AG2867" t="str">
            <v>P</v>
          </cell>
        </row>
        <row r="2868">
          <cell r="A2868" t="str">
            <v>1962745745</v>
          </cell>
          <cell r="C2868" t="str">
            <v>ELIZABETH CHANG</v>
          </cell>
          <cell r="G2868" t="str">
            <v>Kathryn Spaziani</v>
          </cell>
          <cell r="H2868" t="str">
            <v>(212) 305-1190</v>
          </cell>
          <cell r="J2868" t="str">
            <v>kas9171@nyp.org</v>
          </cell>
          <cell r="K2868" t="str">
            <v>Unknown</v>
          </cell>
          <cell r="L2868" t="str">
            <v>Uncategorized</v>
          </cell>
          <cell r="M2868" t="str">
            <v>No</v>
          </cell>
          <cell r="R2868" t="str">
            <v>CHANG ELIZABETH</v>
          </cell>
          <cell r="S2868" t="str">
            <v>3959 BROADWAY</v>
          </cell>
          <cell r="T2868" t="str">
            <v>NEW YORK</v>
          </cell>
          <cell r="U2868" t="str">
            <v>NY</v>
          </cell>
          <cell r="V2868" t="str">
            <v>100321559</v>
          </cell>
          <cell r="AC2868" t="str">
            <v>M</v>
          </cell>
          <cell r="AD2868" t="str">
            <v>No</v>
          </cell>
          <cell r="AE2868" t="str">
            <v>NPI only</v>
          </cell>
          <cell r="AF2868" t="str">
            <v>nypwestcampus</v>
          </cell>
          <cell r="AG2868" t="str">
            <v>P</v>
          </cell>
        </row>
        <row r="2869">
          <cell r="A2869" t="str">
            <v>1992048730</v>
          </cell>
          <cell r="B2869" t="str">
            <v>04418851</v>
          </cell>
          <cell r="C2869" t="str">
            <v>AMY DIPILATO</v>
          </cell>
          <cell r="D2869" t="str">
            <v>E0434446</v>
          </cell>
          <cell r="E2869" t="str">
            <v>DIPILATO AMY</v>
          </cell>
          <cell r="G2869" t="str">
            <v>Kathryn Spaziani</v>
          </cell>
          <cell r="H2869" t="str">
            <v>(212) 305-1190</v>
          </cell>
          <cell r="J2869" t="str">
            <v>kas9171@nyp.org</v>
          </cell>
          <cell r="L2869" t="str">
            <v>Uncategorized</v>
          </cell>
          <cell r="M2869" t="str">
            <v>No</v>
          </cell>
          <cell r="R2869" t="str">
            <v>DIPILATO AMY</v>
          </cell>
          <cell r="W2869" t="str">
            <v>DIPILATO AMY</v>
          </cell>
          <cell r="X2869" t="str">
            <v>3959 BROADWAY</v>
          </cell>
          <cell r="Y2869" t="str">
            <v>NEW YORK</v>
          </cell>
          <cell r="Z2869" t="str">
            <v>NY</v>
          </cell>
          <cell r="AA2869" t="str">
            <v>10032-1559</v>
          </cell>
          <cell r="AB2869" t="str">
            <v>PHYSICIAN</v>
          </cell>
          <cell r="AC2869" t="str">
            <v>M</v>
          </cell>
          <cell r="AD2869" t="str">
            <v>No</v>
          </cell>
          <cell r="AE2869" t="str">
            <v>MMIS</v>
          </cell>
          <cell r="AF2869" t="str">
            <v>nypwestcampus</v>
          </cell>
          <cell r="AG2869" t="str">
            <v>P</v>
          </cell>
        </row>
        <row r="2870">
          <cell r="A2870" t="str">
            <v>1346508686</v>
          </cell>
          <cell r="B2870" t="str">
            <v>04350390</v>
          </cell>
          <cell r="C2870" t="str">
            <v>JESSICA GEORGE</v>
          </cell>
          <cell r="D2870" t="str">
            <v>E0427505</v>
          </cell>
          <cell r="E2870" t="str">
            <v>GEORGE JESSICA MARY</v>
          </cell>
          <cell r="G2870" t="str">
            <v>Kathryn Spaziani</v>
          </cell>
          <cell r="H2870" t="str">
            <v>(212) 305-1190</v>
          </cell>
          <cell r="J2870" t="str">
            <v>kas9171@nyp.org</v>
          </cell>
          <cell r="L2870" t="str">
            <v>Practitioner - Non-Primary Care Provider (PCP)</v>
          </cell>
          <cell r="M2870" t="str">
            <v>No</v>
          </cell>
          <cell r="R2870" t="str">
            <v>GEORGE JESSICA MS.</v>
          </cell>
          <cell r="W2870" t="str">
            <v>GEORGE JESSICA MARY</v>
          </cell>
          <cell r="X2870" t="str">
            <v>15 WARREN ST</v>
          </cell>
          <cell r="Y2870" t="str">
            <v>NEW YORK</v>
          </cell>
          <cell r="Z2870" t="str">
            <v>NY</v>
          </cell>
          <cell r="AA2870" t="str">
            <v>10007-0029</v>
          </cell>
          <cell r="AB2870" t="str">
            <v>PHYSICIAN</v>
          </cell>
          <cell r="AC2870" t="str">
            <v>M</v>
          </cell>
          <cell r="AD2870" t="str">
            <v>No</v>
          </cell>
          <cell r="AE2870" t="str">
            <v>MMIS</v>
          </cell>
          <cell r="AF2870" t="str">
            <v>nypother</v>
          </cell>
          <cell r="AG2870" t="str">
            <v>P</v>
          </cell>
        </row>
        <row r="2871">
          <cell r="A2871" t="str">
            <v>1003173758</v>
          </cell>
          <cell r="B2871" t="str">
            <v>04314256</v>
          </cell>
          <cell r="C2871" t="str">
            <v>PAMELA GOOD</v>
          </cell>
          <cell r="D2871" t="str">
            <v>E0423724</v>
          </cell>
          <cell r="E2871" t="str">
            <v>GOOD PAMELA ISABEL</v>
          </cell>
          <cell r="G2871" t="str">
            <v>Kathryn Spaziani</v>
          </cell>
          <cell r="H2871" t="str">
            <v>(212) 305-1190</v>
          </cell>
          <cell r="J2871" t="str">
            <v>kas9171@nyp.org</v>
          </cell>
          <cell r="L2871" t="str">
            <v>Practitioner - Non-Primary Care Provider (PCP)</v>
          </cell>
          <cell r="M2871" t="str">
            <v>No</v>
          </cell>
          <cell r="R2871" t="str">
            <v>GOOD PAMELA DR.</v>
          </cell>
          <cell r="W2871" t="str">
            <v>GOOD PAMELA ISABEL</v>
          </cell>
          <cell r="X2871" t="str">
            <v>3959 BROADWAY</v>
          </cell>
          <cell r="Y2871" t="str">
            <v>NEW YORK</v>
          </cell>
          <cell r="Z2871" t="str">
            <v>NY</v>
          </cell>
          <cell r="AA2871" t="str">
            <v>10032-1559</v>
          </cell>
          <cell r="AB2871" t="str">
            <v>PHYSICIAN</v>
          </cell>
          <cell r="AC2871" t="str">
            <v>M</v>
          </cell>
          <cell r="AD2871" t="str">
            <v>No</v>
          </cell>
          <cell r="AE2871" t="str">
            <v>MMIS</v>
          </cell>
          <cell r="AF2871" t="str">
            <v>nypwestcampus</v>
          </cell>
          <cell r="AG2871" t="str">
            <v>P</v>
          </cell>
        </row>
        <row r="2872">
          <cell r="A2872" t="str">
            <v>1780979054</v>
          </cell>
          <cell r="C2872" t="str">
            <v>Miller, Ayala</v>
          </cell>
          <cell r="G2872" t="str">
            <v>Kathryn Spaziani</v>
          </cell>
          <cell r="H2872" t="str">
            <v>(212) 305-1190</v>
          </cell>
          <cell r="J2872" t="str">
            <v>kas9171@nyp.org</v>
          </cell>
          <cell r="K2872" t="str">
            <v>Physician</v>
          </cell>
          <cell r="L2872" t="str">
            <v>Uncategorized</v>
          </cell>
          <cell r="M2872" t="str">
            <v>No</v>
          </cell>
          <cell r="R2872" t="str">
            <v>WEGMAN AYALA</v>
          </cell>
          <cell r="S2872" t="str">
            <v>1559 YORK AVE</v>
          </cell>
          <cell r="T2872" t="str">
            <v>NEW YORK</v>
          </cell>
          <cell r="U2872" t="str">
            <v>NY</v>
          </cell>
          <cell r="V2872" t="str">
            <v>100286001</v>
          </cell>
          <cell r="AC2872" t="str">
            <v>M</v>
          </cell>
          <cell r="AD2872" t="str">
            <v>No</v>
          </cell>
          <cell r="AE2872" t="str">
            <v>NPI only</v>
          </cell>
          <cell r="AF2872" t="str">
            <v>nypeastcampus</v>
          </cell>
          <cell r="AG2872" t="str">
            <v>P</v>
          </cell>
        </row>
        <row r="2873">
          <cell r="A2873" t="str">
            <v>1790873073</v>
          </cell>
          <cell r="B2873" t="str">
            <v>00952763</v>
          </cell>
          <cell r="C2873" t="str">
            <v>SANTINI, DIANA L</v>
          </cell>
          <cell r="D2873" t="str">
            <v>E0204486</v>
          </cell>
          <cell r="E2873" t="str">
            <v>SANTINI DIANA              MD</v>
          </cell>
          <cell r="G2873" t="str">
            <v>Kathryn Spaziani</v>
          </cell>
          <cell r="H2873" t="str">
            <v>(212) 305-1190</v>
          </cell>
          <cell r="J2873" t="str">
            <v>kas9171@nyp.org</v>
          </cell>
          <cell r="L2873" t="str">
            <v>All Other:: Practitioner - Primary Care Provider (PCP)</v>
          </cell>
          <cell r="M2873" t="str">
            <v>No</v>
          </cell>
          <cell r="R2873" t="str">
            <v>SANTINI DIANA</v>
          </cell>
          <cell r="W2873" t="str">
            <v>SANTINI DIANA              MD</v>
          </cell>
          <cell r="X2873" t="str">
            <v>505 E 70TH ST</v>
          </cell>
          <cell r="Y2873" t="str">
            <v>NEW YORK</v>
          </cell>
          <cell r="Z2873" t="str">
            <v>NY</v>
          </cell>
          <cell r="AA2873" t="str">
            <v>10021-4872</v>
          </cell>
          <cell r="AB2873" t="str">
            <v>PHYSICIAN</v>
          </cell>
          <cell r="AC2873" t="str">
            <v>M</v>
          </cell>
          <cell r="AD2873" t="str">
            <v>No</v>
          </cell>
          <cell r="AE2873" t="str">
            <v>MMIS</v>
          </cell>
          <cell r="AF2873" t="str">
            <v>nypeastcampus</v>
          </cell>
          <cell r="AG2873" t="str">
            <v>P</v>
          </cell>
        </row>
        <row r="2874">
          <cell r="A2874" t="str">
            <v>1790888030</v>
          </cell>
          <cell r="B2874" t="str">
            <v>02785362</v>
          </cell>
          <cell r="C2874" t="str">
            <v>RICHMAN, MARION E</v>
          </cell>
          <cell r="D2874" t="str">
            <v>E0021656</v>
          </cell>
          <cell r="E2874" t="str">
            <v>RICHMAN MARION ELYSE MD</v>
          </cell>
          <cell r="G2874" t="str">
            <v>Kathryn Spaziani</v>
          </cell>
          <cell r="H2874" t="str">
            <v>(212) 305-1190</v>
          </cell>
          <cell r="J2874" t="str">
            <v>kas9171@nyp.org</v>
          </cell>
          <cell r="L2874" t="str">
            <v>All Other:: Practitioner - Primary Care Provider (PCP)</v>
          </cell>
          <cell r="M2874" t="str">
            <v>Yes</v>
          </cell>
          <cell r="R2874" t="str">
            <v>RICHMAN MARION DR.</v>
          </cell>
          <cell r="W2874" t="str">
            <v>RICHMAN MARION ELYSE</v>
          </cell>
          <cell r="X2874" t="str">
            <v>610 W 158TH ST FL 2</v>
          </cell>
          <cell r="Y2874" t="str">
            <v>NEW YORK</v>
          </cell>
          <cell r="Z2874" t="str">
            <v>NY</v>
          </cell>
          <cell r="AA2874" t="str">
            <v>10032-7104</v>
          </cell>
          <cell r="AB2874" t="str">
            <v>PHYSICIAN</v>
          </cell>
          <cell r="AC2874" t="str">
            <v>M</v>
          </cell>
          <cell r="AD2874" t="str">
            <v>No</v>
          </cell>
          <cell r="AE2874" t="str">
            <v>MMIS</v>
          </cell>
          <cell r="AF2874" t="str">
            <v>nypwestcampus</v>
          </cell>
          <cell r="AG2874" t="str">
            <v>P</v>
          </cell>
        </row>
        <row r="2875">
          <cell r="A2875" t="str">
            <v>1558670315</v>
          </cell>
          <cell r="B2875" t="str">
            <v>04304963</v>
          </cell>
          <cell r="C2875" t="str">
            <v>Laura Panitz, NP</v>
          </cell>
          <cell r="D2875" t="str">
            <v>E0422571</v>
          </cell>
          <cell r="E2875" t="str">
            <v>PANITZ LAURA</v>
          </cell>
          <cell r="G2875" t="str">
            <v>Dianna Dragatsi</v>
          </cell>
          <cell r="H2875" t="str">
            <v>(212) 942-8526</v>
          </cell>
          <cell r="J2875" t="str">
            <v>Dragats@nyspi.columbia.edu</v>
          </cell>
          <cell r="L2875" t="str">
            <v>Practitioner - Non-Primary Care Provider (PCP)</v>
          </cell>
          <cell r="M2875" t="str">
            <v>No</v>
          </cell>
          <cell r="R2875" t="str">
            <v>PANITZ LAURA</v>
          </cell>
          <cell r="W2875" t="str">
            <v>PANITZ LAURA SANDRA</v>
          </cell>
          <cell r="X2875" t="str">
            <v>1623 KINGS HWY</v>
          </cell>
          <cell r="Y2875" t="str">
            <v>BROOKLYN</v>
          </cell>
          <cell r="Z2875" t="str">
            <v>NY</v>
          </cell>
          <cell r="AA2875" t="str">
            <v>11229-1209</v>
          </cell>
          <cell r="AB2875" t="str">
            <v>PHYSICIAN</v>
          </cell>
          <cell r="AC2875" t="str">
            <v>M</v>
          </cell>
          <cell r="AD2875" t="str">
            <v>No</v>
          </cell>
          <cell r="AE2875" t="str">
            <v>MMIS</v>
          </cell>
          <cell r="AF2875" t="str">
            <v>nyspi</v>
          </cell>
          <cell r="AG2875" t="str">
            <v>P</v>
          </cell>
        </row>
        <row r="2876">
          <cell r="A2876" t="str">
            <v>1447225016</v>
          </cell>
          <cell r="B2876" t="str">
            <v>01813872</v>
          </cell>
          <cell r="C2876" t="str">
            <v xml:space="preserve">CUNNINGHAM, HETTY </v>
          </cell>
          <cell r="D2876" t="str">
            <v>E0118650</v>
          </cell>
          <cell r="E2876" t="str">
            <v>CUNNINGHAM HETTY MD</v>
          </cell>
          <cell r="G2876" t="str">
            <v>Kathryn Spaziani</v>
          </cell>
          <cell r="H2876" t="str">
            <v>(212) 305-1190</v>
          </cell>
          <cell r="J2876" t="str">
            <v>kas9171@nyp.org</v>
          </cell>
          <cell r="L2876" t="str">
            <v>Practitioner - Primary Care Provider (PCP)</v>
          </cell>
          <cell r="M2876" t="str">
            <v>Yes</v>
          </cell>
          <cell r="R2876" t="str">
            <v>CUNNINGHAM HETTY DR.</v>
          </cell>
          <cell r="W2876" t="str">
            <v>CUNNINGHAM HETTY MD</v>
          </cell>
          <cell r="X2876" t="str">
            <v>3959 BROADWAY</v>
          </cell>
          <cell r="Y2876" t="str">
            <v>NEW YORK</v>
          </cell>
          <cell r="Z2876" t="str">
            <v>NY</v>
          </cell>
          <cell r="AA2876" t="str">
            <v>10032-1559</v>
          </cell>
          <cell r="AB2876" t="str">
            <v>PHYSICIAN</v>
          </cell>
          <cell r="AC2876" t="str">
            <v>M</v>
          </cell>
          <cell r="AD2876" t="str">
            <v>No</v>
          </cell>
          <cell r="AE2876" t="str">
            <v>MMIS</v>
          </cell>
          <cell r="AF2876" t="str">
            <v>nypwestacn</v>
          </cell>
          <cell r="AG2876" t="str">
            <v>P</v>
          </cell>
        </row>
        <row r="2877">
          <cell r="A2877" t="str">
            <v>1073856605</v>
          </cell>
          <cell r="C2877" t="str">
            <v>Gross Caroline</v>
          </cell>
          <cell r="G2877" t="str">
            <v>Kathryn Spaziani</v>
          </cell>
          <cell r="H2877" t="str">
            <v>(212) 305-1255</v>
          </cell>
          <cell r="J2877" t="str">
            <v>kas9171@nyp.org</v>
          </cell>
          <cell r="K2877" t="str">
            <v>Physician</v>
          </cell>
          <cell r="L2877" t="str">
            <v>Uncategorized</v>
          </cell>
          <cell r="M2877" t="str">
            <v>No</v>
          </cell>
          <cell r="R2877" t="str">
            <v>GROSS CAROLINE</v>
          </cell>
          <cell r="S2877" t="str">
            <v>630 W 168TH ST</v>
          </cell>
          <cell r="T2877" t="str">
            <v>NEW YORK</v>
          </cell>
          <cell r="U2877" t="str">
            <v>NY</v>
          </cell>
          <cell r="V2877" t="str">
            <v>100323725</v>
          </cell>
          <cell r="AC2877" t="str">
            <v>M</v>
          </cell>
          <cell r="AD2877" t="str">
            <v>No</v>
          </cell>
          <cell r="AE2877" t="str">
            <v>NPI only</v>
          </cell>
          <cell r="AF2877" t="str">
            <v>nypwestcampus</v>
          </cell>
          <cell r="AG2877" t="str">
            <v>P</v>
          </cell>
        </row>
        <row r="2878">
          <cell r="A2878" t="str">
            <v>1700128030</v>
          </cell>
          <cell r="C2878" t="str">
            <v>Groves Holden</v>
          </cell>
          <cell r="G2878" t="str">
            <v>Kathryn Spaziani</v>
          </cell>
          <cell r="H2878" t="str">
            <v>(212) 305-1255</v>
          </cell>
          <cell r="J2878" t="str">
            <v>kas9171@nyp.org</v>
          </cell>
          <cell r="K2878" t="str">
            <v>Physician</v>
          </cell>
          <cell r="L2878" t="str">
            <v>Uncategorized</v>
          </cell>
          <cell r="M2878" t="str">
            <v>No</v>
          </cell>
          <cell r="R2878" t="str">
            <v>GROVES HOLDEN</v>
          </cell>
          <cell r="S2878" t="str">
            <v>147 VISTA DEL MONTE</v>
          </cell>
          <cell r="T2878" t="str">
            <v>LOS GATOS</v>
          </cell>
          <cell r="U2878" t="str">
            <v>CA</v>
          </cell>
          <cell r="V2878" t="str">
            <v>950306335</v>
          </cell>
          <cell r="AC2878" t="str">
            <v>M</v>
          </cell>
          <cell r="AD2878" t="str">
            <v>No</v>
          </cell>
          <cell r="AE2878" t="str">
            <v>NPI only</v>
          </cell>
          <cell r="AF2878" t="str">
            <v>nypwestcampus</v>
          </cell>
          <cell r="AG2878" t="str">
            <v>P</v>
          </cell>
        </row>
        <row r="2879">
          <cell r="A2879" t="str">
            <v>1558627679</v>
          </cell>
          <cell r="C2879" t="str">
            <v>Habib Anthony</v>
          </cell>
          <cell r="G2879" t="str">
            <v>Kathryn Spaziani</v>
          </cell>
          <cell r="H2879" t="str">
            <v>(212) 305-1255</v>
          </cell>
          <cell r="J2879" t="str">
            <v>kas9171@nyp.org</v>
          </cell>
          <cell r="K2879" t="str">
            <v>Physician</v>
          </cell>
          <cell r="L2879" t="str">
            <v>Uncategorized</v>
          </cell>
          <cell r="M2879" t="str">
            <v>No</v>
          </cell>
          <cell r="R2879" t="str">
            <v>HABIB ANTHONY DR.</v>
          </cell>
          <cell r="S2879" t="str">
            <v>622 W 168TH ST, PH5-133 STEM</v>
          </cell>
          <cell r="T2879" t="str">
            <v>NEW YORK</v>
          </cell>
          <cell r="U2879" t="str">
            <v>NY</v>
          </cell>
          <cell r="V2879" t="str">
            <v>100323720</v>
          </cell>
          <cell r="AC2879" t="str">
            <v>M</v>
          </cell>
          <cell r="AD2879" t="str">
            <v>No</v>
          </cell>
          <cell r="AE2879" t="str">
            <v>NPI only</v>
          </cell>
          <cell r="AF2879" t="str">
            <v>nypwestcampus</v>
          </cell>
          <cell r="AG2879" t="str">
            <v>P</v>
          </cell>
        </row>
        <row r="2880">
          <cell r="A2880" t="str">
            <v>1992823546</v>
          </cell>
          <cell r="B2880" t="str">
            <v>00178230</v>
          </cell>
          <cell r="C2880" t="str">
            <v>GREENHILL, LAWRENCE L</v>
          </cell>
          <cell r="D2880" t="str">
            <v>E0277276</v>
          </cell>
          <cell r="E2880" t="str">
            <v>GREENHILL LAURENCE L       MD</v>
          </cell>
          <cell r="G2880" t="str">
            <v>Kathryn Spaziani</v>
          </cell>
          <cell r="H2880" t="str">
            <v>(212) 305-1190</v>
          </cell>
          <cell r="J2880" t="str">
            <v>kas9171@nyp.org</v>
          </cell>
          <cell r="L2880" t="str">
            <v>Practitioner - Non-Primary Care Provider (PCP)</v>
          </cell>
          <cell r="M2880" t="str">
            <v>No</v>
          </cell>
          <cell r="R2880" t="str">
            <v>GREENHILL LAURENCE</v>
          </cell>
          <cell r="W2880" t="str">
            <v>GREENHILL LAURENCE L       MD</v>
          </cell>
          <cell r="X2880" t="str">
            <v>1051 RIVERSIDE DR RM 2B-2307</v>
          </cell>
          <cell r="Y2880" t="str">
            <v>NEW YORK</v>
          </cell>
          <cell r="Z2880" t="str">
            <v>NY</v>
          </cell>
          <cell r="AA2880" t="str">
            <v>10032-1007</v>
          </cell>
          <cell r="AB2880" t="str">
            <v>PHYSICIAN</v>
          </cell>
          <cell r="AC2880" t="str">
            <v>M</v>
          </cell>
          <cell r="AD2880" t="str">
            <v>No</v>
          </cell>
          <cell r="AE2880" t="str">
            <v>MMIS</v>
          </cell>
          <cell r="AF2880" t="str">
            <v>nypwestacn</v>
          </cell>
          <cell r="AG2880" t="str">
            <v>P</v>
          </cell>
        </row>
        <row r="2881">
          <cell r="A2881" t="str">
            <v>1558529982</v>
          </cell>
          <cell r="B2881" t="str">
            <v>03526529</v>
          </cell>
          <cell r="C2881" t="str">
            <v>Lennon Christine</v>
          </cell>
          <cell r="D2881" t="str">
            <v>E0342420</v>
          </cell>
          <cell r="E2881" t="str">
            <v>LENNON CHRISTINE</v>
          </cell>
          <cell r="L2881" t="str">
            <v>All Other:: Practitioner - Non-Primary Care Provider (PCP)</v>
          </cell>
          <cell r="M2881" t="str">
            <v>No</v>
          </cell>
          <cell r="R2881" t="str">
            <v>LENNON CHRISTINE DR.</v>
          </cell>
          <cell r="W2881" t="str">
            <v>LENNON CHRISTINE MARIE</v>
          </cell>
          <cell r="X2881" t="str">
            <v>525 E 68TH ST</v>
          </cell>
          <cell r="Y2881" t="str">
            <v>NEW YORK</v>
          </cell>
          <cell r="Z2881" t="str">
            <v>NY</v>
          </cell>
          <cell r="AA2881" t="str">
            <v>10065-4870</v>
          </cell>
          <cell r="AB2881" t="str">
            <v>PHYSICIAN</v>
          </cell>
          <cell r="AC2881" t="str">
            <v>M</v>
          </cell>
          <cell r="AD2881" t="str">
            <v>No</v>
          </cell>
          <cell r="AE2881" t="str">
            <v>MMIS</v>
          </cell>
          <cell r="AF2881" t="str">
            <v>nypeastcampus</v>
          </cell>
          <cell r="AG2881" t="str">
            <v>P</v>
          </cell>
        </row>
        <row r="2882">
          <cell r="A2882" t="str">
            <v>1124020953</v>
          </cell>
          <cell r="B2882" t="str">
            <v>02068468</v>
          </cell>
          <cell r="C2882" t="str">
            <v>Lichtman Adam</v>
          </cell>
          <cell r="D2882" t="str">
            <v>E0093219</v>
          </cell>
          <cell r="E2882" t="str">
            <v>LICHTMAN ADAM DAVID MD</v>
          </cell>
          <cell r="L2882" t="str">
            <v>All Other:: Practitioner - Non-Primary Care Provider (PCP)</v>
          </cell>
          <cell r="M2882" t="str">
            <v>No</v>
          </cell>
          <cell r="R2882" t="str">
            <v>LICHTMAN ADAM DR.</v>
          </cell>
          <cell r="W2882" t="str">
            <v>LICHTMAN ADAM DAVID MD</v>
          </cell>
          <cell r="X2882" t="str">
            <v>MT SINAI HOSP</v>
          </cell>
          <cell r="Y2882" t="str">
            <v>NEW YORK</v>
          </cell>
          <cell r="Z2882" t="str">
            <v>NY</v>
          </cell>
          <cell r="AA2882" t="str">
            <v>10029-6500</v>
          </cell>
          <cell r="AB2882" t="str">
            <v>PHYSICIAN</v>
          </cell>
          <cell r="AC2882" t="str">
            <v>M</v>
          </cell>
          <cell r="AD2882" t="str">
            <v>No</v>
          </cell>
          <cell r="AE2882" t="str">
            <v>MMIS</v>
          </cell>
          <cell r="AF2882" t="str">
            <v>nypeastcampus</v>
          </cell>
          <cell r="AG2882" t="str">
            <v>P</v>
          </cell>
        </row>
        <row r="2883">
          <cell r="A2883" t="str">
            <v>1629165709</v>
          </cell>
          <cell r="B2883" t="str">
            <v>01153153</v>
          </cell>
          <cell r="C2883" t="str">
            <v>Lien Cynthia</v>
          </cell>
          <cell r="D2883" t="str">
            <v>E0184569</v>
          </cell>
          <cell r="E2883" t="str">
            <v>LIEN CYNTHIA A MD</v>
          </cell>
          <cell r="L2883" t="str">
            <v>Practitioner - Non-Primary Care Provider (PCP)</v>
          </cell>
          <cell r="M2883" t="str">
            <v>No</v>
          </cell>
          <cell r="R2883" t="str">
            <v>LIEN CYNTHIA</v>
          </cell>
          <cell r="W2883" t="str">
            <v>LIEN CYNTHIA A MD</v>
          </cell>
          <cell r="X2883" t="str">
            <v>525 E 68TH ST</v>
          </cell>
          <cell r="Y2883" t="str">
            <v>NEW YORK</v>
          </cell>
          <cell r="Z2883" t="str">
            <v>NY</v>
          </cell>
          <cell r="AA2883" t="str">
            <v>10065-4870</v>
          </cell>
          <cell r="AB2883" t="str">
            <v>PHYSICIAN</v>
          </cell>
          <cell r="AC2883" t="str">
            <v>M</v>
          </cell>
          <cell r="AD2883" t="str">
            <v>No</v>
          </cell>
          <cell r="AE2883" t="str">
            <v>MMIS</v>
          </cell>
          <cell r="AF2883" t="str">
            <v>nypeastcampus</v>
          </cell>
          <cell r="AG2883" t="str">
            <v>P</v>
          </cell>
        </row>
        <row r="2884">
          <cell r="A2884" t="str">
            <v>1396982641</v>
          </cell>
          <cell r="C2884" t="str">
            <v>JULIE LAMBIASO</v>
          </cell>
          <cell r="G2884" t="str">
            <v>Eva Eng</v>
          </cell>
          <cell r="H2884" t="str">
            <v>(212) 752-5006</v>
          </cell>
          <cell r="J2884" t="str">
            <v>eeng@archcare.org</v>
          </cell>
          <cell r="K2884" t="str">
            <v>Other Practitioners</v>
          </cell>
          <cell r="L2884" t="str">
            <v>Uncategorized</v>
          </cell>
          <cell r="M2884" t="str">
            <v>No</v>
          </cell>
          <cell r="R2884" t="str">
            <v>MURPHY JULIE</v>
          </cell>
          <cell r="S2884" t="str">
            <v>516 E NIZHONI BLVD</v>
          </cell>
          <cell r="T2884" t="str">
            <v>GALLUP</v>
          </cell>
          <cell r="U2884" t="str">
            <v>NM</v>
          </cell>
          <cell r="V2884" t="str">
            <v>873015748</v>
          </cell>
          <cell r="AC2884" t="str">
            <v>M</v>
          </cell>
          <cell r="AD2884" t="str">
            <v>No</v>
          </cell>
          <cell r="AE2884" t="str">
            <v>NPI only</v>
          </cell>
          <cell r="AG2884" t="str">
            <v>P</v>
          </cell>
        </row>
        <row r="2885">
          <cell r="A2885" t="str">
            <v>1457548257</v>
          </cell>
          <cell r="B2885" t="str">
            <v>02231047</v>
          </cell>
          <cell r="C2885" t="str">
            <v>FRANCIS P DOOLEY</v>
          </cell>
          <cell r="D2885" t="str">
            <v>E0076985</v>
          </cell>
          <cell r="E2885" t="str">
            <v>DOOLEY FRANCIS PATRICK</v>
          </cell>
          <cell r="G2885" t="str">
            <v>Eva Eng</v>
          </cell>
          <cell r="H2885" t="str">
            <v>(212) 752-5007</v>
          </cell>
          <cell r="J2885" t="str">
            <v>eeng@archcare.org</v>
          </cell>
          <cell r="L2885" t="str">
            <v>Mental Health:: Practitioner - Non-Primary Care Provider (PCP)</v>
          </cell>
          <cell r="M2885" t="str">
            <v>No</v>
          </cell>
          <cell r="R2885" t="str">
            <v>DOOLEY FRANCIS MR.</v>
          </cell>
          <cell r="W2885" t="str">
            <v>DOOLEY FRANCIS PATRICK</v>
          </cell>
          <cell r="X2885" t="str">
            <v>2604 3RD AVE</v>
          </cell>
          <cell r="Y2885" t="str">
            <v>BRONX</v>
          </cell>
          <cell r="Z2885" t="str">
            <v>NY</v>
          </cell>
          <cell r="AA2885" t="str">
            <v>10454-1199</v>
          </cell>
          <cell r="AB2885" t="str">
            <v>PHYSICIAN</v>
          </cell>
          <cell r="AC2885" t="str">
            <v>M</v>
          </cell>
          <cell r="AD2885" t="str">
            <v>No</v>
          </cell>
          <cell r="AE2885" t="str">
            <v>MMIS</v>
          </cell>
          <cell r="AG2885" t="str">
            <v>P</v>
          </cell>
        </row>
        <row r="2886">
          <cell r="A2886" t="str">
            <v>1528123585</v>
          </cell>
          <cell r="B2886" t="str">
            <v>01110310</v>
          </cell>
          <cell r="C2886" t="str">
            <v>ORLANDO GONZALEZ JR</v>
          </cell>
          <cell r="D2886" t="str">
            <v>E0188844</v>
          </cell>
          <cell r="E2886" t="str">
            <v>GONZALEZ ORLANDO JR MD</v>
          </cell>
          <cell r="G2886" t="str">
            <v>Eva Eng</v>
          </cell>
          <cell r="H2886" t="str">
            <v>(212) 752-5008</v>
          </cell>
          <cell r="J2886" t="str">
            <v>eeng@archcare.org</v>
          </cell>
          <cell r="L2886" t="str">
            <v>All Other:: Practitioner - Non-Primary Care Provider (PCP)</v>
          </cell>
          <cell r="M2886" t="str">
            <v>No</v>
          </cell>
          <cell r="R2886" t="str">
            <v>GONZALEZ ORLANDO DR.</v>
          </cell>
          <cell r="W2886" t="str">
            <v>GONZALEZ ORLANDO JR MD</v>
          </cell>
          <cell r="X2886" t="str">
            <v>78 TODT HILL RD STE 107</v>
          </cell>
          <cell r="Y2886" t="str">
            <v>STATEN ISLAND</v>
          </cell>
          <cell r="Z2886" t="str">
            <v>NY</v>
          </cell>
          <cell r="AA2886" t="str">
            <v>10314-4528</v>
          </cell>
          <cell r="AB2886" t="str">
            <v>PHYSICIAN</v>
          </cell>
          <cell r="AC2886" t="str">
            <v>M</v>
          </cell>
          <cell r="AD2886" t="str">
            <v>No</v>
          </cell>
          <cell r="AE2886" t="str">
            <v>MMIS</v>
          </cell>
          <cell r="AG2886" t="str">
            <v>P</v>
          </cell>
        </row>
        <row r="2887">
          <cell r="A2887" t="str">
            <v>1003972472</v>
          </cell>
          <cell r="B2887" t="str">
            <v>00866853</v>
          </cell>
          <cell r="C2887" t="str">
            <v>VICKI-JO DEUTSCH</v>
          </cell>
          <cell r="D2887" t="str">
            <v>E0213059</v>
          </cell>
          <cell r="E2887" t="str">
            <v>DEUTSCH VICKI-JO           MD</v>
          </cell>
          <cell r="G2887" t="str">
            <v>Eva Eng</v>
          </cell>
          <cell r="H2887" t="str">
            <v>(212) 752-5009</v>
          </cell>
          <cell r="J2887" t="str">
            <v>eeng@archcare.org</v>
          </cell>
          <cell r="L2887" t="str">
            <v>All Other:: Practitioner - Non-Primary Care Provider (PCP)</v>
          </cell>
          <cell r="M2887" t="str">
            <v>No</v>
          </cell>
          <cell r="R2887" t="str">
            <v>DEUTSCH VICKI-JO</v>
          </cell>
          <cell r="W2887" t="str">
            <v>DEUTSCH VICKI-JO           MD</v>
          </cell>
          <cell r="X2887" t="str">
            <v>10 NATHAN D PERLMAN PL</v>
          </cell>
          <cell r="Y2887" t="str">
            <v>NEW YORK</v>
          </cell>
          <cell r="Z2887" t="str">
            <v>NY</v>
          </cell>
          <cell r="AA2887" t="str">
            <v>10003-3851</v>
          </cell>
          <cell r="AB2887" t="str">
            <v>PHYSICIAN</v>
          </cell>
          <cell r="AC2887" t="str">
            <v>M</v>
          </cell>
          <cell r="AD2887" t="str">
            <v>No</v>
          </cell>
          <cell r="AE2887" t="str">
            <v>MMIS</v>
          </cell>
          <cell r="AG2887" t="str">
            <v>P</v>
          </cell>
        </row>
        <row r="2888">
          <cell r="A2888" t="str">
            <v>1275566382</v>
          </cell>
          <cell r="B2888" t="str">
            <v>00856244</v>
          </cell>
          <cell r="C2888" t="str">
            <v>NUNZIA Fatica</v>
          </cell>
          <cell r="D2888" t="str">
            <v>E0214120</v>
          </cell>
          <cell r="E2888" t="str">
            <v>FATICA NUNZIA              MD</v>
          </cell>
          <cell r="G2888" t="str">
            <v>Eva Eng</v>
          </cell>
          <cell r="H2888" t="str">
            <v>(212) 752-5010</v>
          </cell>
          <cell r="J2888" t="str">
            <v>eeng@archcare.org</v>
          </cell>
          <cell r="L2888" t="str">
            <v>Practitioner - Primary Care Provider (PCP)</v>
          </cell>
          <cell r="M2888" t="str">
            <v>No</v>
          </cell>
          <cell r="R2888" t="str">
            <v>FATICA NUNZIA</v>
          </cell>
          <cell r="W2888" t="str">
            <v>FATICA NUNZIA              MD</v>
          </cell>
          <cell r="X2888" t="str">
            <v>THE NEW YORK HOSP</v>
          </cell>
          <cell r="Y2888" t="str">
            <v>NEW YORK</v>
          </cell>
          <cell r="Z2888" t="str">
            <v>NY</v>
          </cell>
          <cell r="AA2888" t="str">
            <v>10065-4885</v>
          </cell>
          <cell r="AB2888" t="str">
            <v>PHYSICIAN</v>
          </cell>
          <cell r="AC2888" t="str">
            <v>M</v>
          </cell>
          <cell r="AD2888" t="str">
            <v>No</v>
          </cell>
          <cell r="AE2888" t="str">
            <v>MMIS</v>
          </cell>
          <cell r="AG2888" t="str">
            <v>P</v>
          </cell>
        </row>
        <row r="2889">
          <cell r="A2889" t="str">
            <v>1386656080</v>
          </cell>
          <cell r="B2889" t="str">
            <v>01241203</v>
          </cell>
          <cell r="C2889" t="str">
            <v>Savarese John</v>
          </cell>
          <cell r="D2889" t="str">
            <v>E0175784</v>
          </cell>
          <cell r="E2889" t="str">
            <v>SAVARESE JOHN J MD</v>
          </cell>
          <cell r="L2889" t="str">
            <v>Practitioner - Non-Primary Care Provider (PCP)</v>
          </cell>
          <cell r="M2889" t="str">
            <v>No</v>
          </cell>
          <cell r="R2889" t="str">
            <v>SAVARESE JOHN DR.</v>
          </cell>
          <cell r="W2889" t="str">
            <v>SAVARESE JOHN J MD</v>
          </cell>
          <cell r="X2889" t="str">
            <v>525 E 68TH ST</v>
          </cell>
          <cell r="Y2889" t="str">
            <v>NEW YORK</v>
          </cell>
          <cell r="Z2889" t="str">
            <v>NY</v>
          </cell>
          <cell r="AA2889" t="str">
            <v>10065-4870</v>
          </cell>
          <cell r="AB2889" t="str">
            <v>PHYSICIAN</v>
          </cell>
          <cell r="AC2889" t="str">
            <v>M</v>
          </cell>
          <cell r="AD2889" t="str">
            <v>No</v>
          </cell>
          <cell r="AE2889" t="str">
            <v>MMIS</v>
          </cell>
          <cell r="AF2889" t="str">
            <v>nypeastcampus</v>
          </cell>
          <cell r="AG2889" t="str">
            <v>P</v>
          </cell>
        </row>
        <row r="2890">
          <cell r="A2890" t="str">
            <v>1609982016</v>
          </cell>
          <cell r="B2890" t="str">
            <v>01953608</v>
          </cell>
          <cell r="C2890" t="str">
            <v>Scharoun Jacques</v>
          </cell>
          <cell r="D2890" t="str">
            <v>E0104695</v>
          </cell>
          <cell r="E2890" t="str">
            <v>SCHAROUN JACQUES HANS MD</v>
          </cell>
          <cell r="L2890" t="str">
            <v>All Other:: Practitioner - Non-Primary Care Provider (PCP)</v>
          </cell>
          <cell r="M2890" t="str">
            <v>No</v>
          </cell>
          <cell r="R2890" t="str">
            <v>SCHAROUN JACQUES DR.</v>
          </cell>
          <cell r="W2890" t="str">
            <v>SCHAROUN JACQUES HANS MD</v>
          </cell>
          <cell r="X2890" t="str">
            <v>525 E 68TH ST</v>
          </cell>
          <cell r="Y2890" t="str">
            <v>NEW YORK</v>
          </cell>
          <cell r="Z2890" t="str">
            <v>NY</v>
          </cell>
          <cell r="AA2890" t="str">
            <v>10065-4870</v>
          </cell>
          <cell r="AB2890" t="str">
            <v>PHYSICIAN</v>
          </cell>
          <cell r="AC2890" t="str">
            <v>M</v>
          </cell>
          <cell r="AD2890" t="str">
            <v>No</v>
          </cell>
          <cell r="AE2890" t="str">
            <v>MMIS</v>
          </cell>
          <cell r="AF2890" t="str">
            <v>nypeastcampus</v>
          </cell>
          <cell r="AG2890" t="str">
            <v>P</v>
          </cell>
        </row>
        <row r="2891">
          <cell r="A2891" t="str">
            <v>1497092530</v>
          </cell>
          <cell r="C2891" t="str">
            <v>Scully Vanessa</v>
          </cell>
          <cell r="G2891" t="str">
            <v>Kathryn Spaziani</v>
          </cell>
          <cell r="H2891" t="str">
            <v>(212) 305-1255</v>
          </cell>
          <cell r="J2891" t="str">
            <v>kas9171@nyp.org</v>
          </cell>
          <cell r="K2891" t="str">
            <v>Physician</v>
          </cell>
          <cell r="L2891" t="str">
            <v>Practitioner - Non-Primary Care Provider (PCP)</v>
          </cell>
          <cell r="M2891" t="str">
            <v>No</v>
          </cell>
          <cell r="R2891" t="str">
            <v>SCULLY VANESSA MRS.</v>
          </cell>
          <cell r="S2891" t="str">
            <v>7822 DAVENPORT ST</v>
          </cell>
          <cell r="T2891" t="str">
            <v>OMAHA</v>
          </cell>
          <cell r="U2891" t="str">
            <v>NE</v>
          </cell>
          <cell r="V2891" t="str">
            <v>681143629</v>
          </cell>
          <cell r="AC2891" t="str">
            <v>M</v>
          </cell>
          <cell r="AD2891" t="str">
            <v>No</v>
          </cell>
          <cell r="AE2891" t="str">
            <v>NPI only</v>
          </cell>
          <cell r="AF2891" t="str">
            <v>nypother</v>
          </cell>
          <cell r="AG2891" t="str">
            <v>P</v>
          </cell>
        </row>
        <row r="2892">
          <cell r="A2892" t="str">
            <v>1285877159</v>
          </cell>
          <cell r="B2892" t="str">
            <v>03967517</v>
          </cell>
          <cell r="C2892" t="str">
            <v>Selzer Angela</v>
          </cell>
          <cell r="D2892" t="str">
            <v>E0388004</v>
          </cell>
          <cell r="E2892" t="str">
            <v>SELZER ANGELA</v>
          </cell>
          <cell r="G2892" t="str">
            <v>Kathryn Spaziani</v>
          </cell>
          <cell r="H2892" t="str">
            <v>(212) 305-1255</v>
          </cell>
          <cell r="J2892" t="str">
            <v>kas9171@nyp.org</v>
          </cell>
          <cell r="L2892" t="str">
            <v>All Other:: Practitioner - Non-Primary Care Provider (PCP)</v>
          </cell>
          <cell r="M2892" t="str">
            <v>No</v>
          </cell>
          <cell r="R2892" t="str">
            <v>SELZER ANGELA</v>
          </cell>
          <cell r="W2892" t="str">
            <v>SELZER ANGELA ROBERTS</v>
          </cell>
          <cell r="X2892" t="str">
            <v>525 E 68TH ST</v>
          </cell>
          <cell r="Y2892" t="str">
            <v>NEW YORK</v>
          </cell>
          <cell r="Z2892" t="str">
            <v>NY</v>
          </cell>
          <cell r="AA2892" t="str">
            <v>10065-4870</v>
          </cell>
          <cell r="AB2892" t="str">
            <v>PHYSICIAN</v>
          </cell>
          <cell r="AC2892" t="str">
            <v>M</v>
          </cell>
          <cell r="AD2892" t="str">
            <v>No</v>
          </cell>
          <cell r="AE2892" t="str">
            <v>MMIS</v>
          </cell>
          <cell r="AF2892" t="str">
            <v>nypeastcampus</v>
          </cell>
          <cell r="AG2892" t="str">
            <v>P</v>
          </cell>
        </row>
        <row r="2893">
          <cell r="A2893" t="str">
            <v>1669641403</v>
          </cell>
          <cell r="B2893" t="str">
            <v>03490888</v>
          </cell>
          <cell r="C2893" t="str">
            <v>FRIEDMAN, ALEXANDER M</v>
          </cell>
          <cell r="D2893" t="str">
            <v>E0338588</v>
          </cell>
          <cell r="E2893" t="str">
            <v>FRIEDMAN ALEXANDER MICHAEL</v>
          </cell>
          <cell r="G2893" t="str">
            <v>Kathryn Spaziani</v>
          </cell>
          <cell r="H2893" t="str">
            <v>(212) 305-1190</v>
          </cell>
          <cell r="J2893" t="str">
            <v>kas9171@nyp.org</v>
          </cell>
          <cell r="L2893" t="str">
            <v>All Other:: Practitioner - Non-Primary Care Provider (PCP)</v>
          </cell>
          <cell r="M2893" t="str">
            <v>No</v>
          </cell>
          <cell r="R2893" t="str">
            <v>FRIEDMAN ALEXANDER</v>
          </cell>
          <cell r="W2893" t="str">
            <v>FRIEDMAN ALEXANDER MICHAEL</v>
          </cell>
          <cell r="X2893" t="str">
            <v>161 FORT WASHINGTON AVE</v>
          </cell>
          <cell r="Y2893" t="str">
            <v>NEW YORK</v>
          </cell>
          <cell r="Z2893" t="str">
            <v>NY</v>
          </cell>
          <cell r="AA2893" t="str">
            <v>10032-3729</v>
          </cell>
          <cell r="AB2893" t="str">
            <v>PHYSICIAN</v>
          </cell>
          <cell r="AC2893" t="str">
            <v>M</v>
          </cell>
          <cell r="AD2893" t="str">
            <v>No</v>
          </cell>
          <cell r="AE2893" t="str">
            <v>MMIS</v>
          </cell>
          <cell r="AF2893" t="str">
            <v>nypwestacn</v>
          </cell>
          <cell r="AG2893" t="str">
            <v>P</v>
          </cell>
        </row>
        <row r="2894">
          <cell r="A2894" t="str">
            <v>1356438444</v>
          </cell>
          <cell r="B2894" t="str">
            <v>00614773</v>
          </cell>
          <cell r="C2894" t="str">
            <v>ADELMAN, RONALD D</v>
          </cell>
          <cell r="D2894" t="str">
            <v>E0238205</v>
          </cell>
          <cell r="E2894" t="str">
            <v>ADELMAN RONALD DANIEL      MD</v>
          </cell>
          <cell r="G2894" t="str">
            <v>Kathryn Spaziani</v>
          </cell>
          <cell r="H2894" t="str">
            <v>(212) 305-1190</v>
          </cell>
          <cell r="J2894" t="str">
            <v>kas9171@nyp.org</v>
          </cell>
          <cell r="L2894" t="str">
            <v>Practitioner - Primary Care Provider (PCP)</v>
          </cell>
          <cell r="M2894" t="str">
            <v>No</v>
          </cell>
          <cell r="R2894" t="str">
            <v>ADELMAN RONALD</v>
          </cell>
          <cell r="W2894" t="str">
            <v>ADELMAN RONALD DANIEL MD</v>
          </cell>
          <cell r="X2894" t="str">
            <v>1484 1ST AVE</v>
          </cell>
          <cell r="Y2894" t="str">
            <v>NEW YORK</v>
          </cell>
          <cell r="Z2894" t="str">
            <v>NY</v>
          </cell>
          <cell r="AA2894" t="str">
            <v>10075-2304</v>
          </cell>
          <cell r="AB2894" t="str">
            <v>PHYSICIAN</v>
          </cell>
          <cell r="AC2894" t="str">
            <v>M</v>
          </cell>
          <cell r="AD2894" t="str">
            <v>No</v>
          </cell>
          <cell r="AE2894" t="str">
            <v>MMIS</v>
          </cell>
          <cell r="AF2894" t="str">
            <v>nypeastacn</v>
          </cell>
          <cell r="AG2894" t="str">
            <v>P</v>
          </cell>
        </row>
        <row r="2895">
          <cell r="A2895" t="str">
            <v>1376851576</v>
          </cell>
          <cell r="B2895" t="str">
            <v>03689190</v>
          </cell>
          <cell r="C2895" t="str">
            <v>Cesar Leon, PhD</v>
          </cell>
          <cell r="D2895" t="str">
            <v>E0359395</v>
          </cell>
          <cell r="E2895" t="str">
            <v>LEON CESAR A</v>
          </cell>
          <cell r="G2895" t="str">
            <v>Dianna Dragatsi</v>
          </cell>
          <cell r="H2895" t="str">
            <v>(212) 942-8520</v>
          </cell>
          <cell r="J2895" t="str">
            <v>Dragats@nyspi.columbia.edu</v>
          </cell>
          <cell r="L2895" t="str">
            <v>Uncategorized</v>
          </cell>
          <cell r="M2895" t="str">
            <v>No</v>
          </cell>
          <cell r="R2895" t="str">
            <v>LEON CESAR DR.</v>
          </cell>
          <cell r="W2895" t="str">
            <v>LEON CESAR A</v>
          </cell>
          <cell r="X2895" t="str">
            <v>513 W 166TH ST FL 4</v>
          </cell>
          <cell r="Y2895" t="str">
            <v>NEW YORK</v>
          </cell>
          <cell r="Z2895" t="str">
            <v>NY</v>
          </cell>
          <cell r="AA2895" t="str">
            <v>10032-4207</v>
          </cell>
          <cell r="AB2895" t="str">
            <v>CLINICAL PSYCHOLOGIST</v>
          </cell>
          <cell r="AC2895" t="str">
            <v>M</v>
          </cell>
          <cell r="AD2895" t="str">
            <v>No</v>
          </cell>
          <cell r="AE2895" t="str">
            <v>MMIS</v>
          </cell>
          <cell r="AF2895" t="str">
            <v>nyspi</v>
          </cell>
          <cell r="AG2895" t="str">
            <v>P</v>
          </cell>
        </row>
        <row r="2896">
          <cell r="A2896" t="str">
            <v>1922208362</v>
          </cell>
          <cell r="B2896" t="str">
            <v>03310056</v>
          </cell>
          <cell r="C2896" t="str">
            <v>Alexandra Martins, MD</v>
          </cell>
          <cell r="D2896" t="str">
            <v>E0316861</v>
          </cell>
          <cell r="E2896" t="str">
            <v>MARTINS ALEXANDRA</v>
          </cell>
          <cell r="G2896" t="str">
            <v>Dianna Dragatsi</v>
          </cell>
          <cell r="H2896" t="str">
            <v>(212) 942-8521</v>
          </cell>
          <cell r="J2896" t="str">
            <v>Dragats@nyspi.columbia.edu</v>
          </cell>
          <cell r="L2896" t="str">
            <v>Practitioner - Non-Primary Care Provider (PCP)</v>
          </cell>
          <cell r="M2896" t="str">
            <v>No</v>
          </cell>
          <cell r="R2896" t="str">
            <v>MARTINS ALEXANDRA</v>
          </cell>
          <cell r="W2896" t="str">
            <v>MARTINS ALEXANDRA</v>
          </cell>
          <cell r="X2896" t="str">
            <v>513 W 166TH ST</v>
          </cell>
          <cell r="Y2896" t="str">
            <v>NEW YORK</v>
          </cell>
          <cell r="Z2896" t="str">
            <v>NY</v>
          </cell>
          <cell r="AA2896" t="str">
            <v>10032-4207</v>
          </cell>
          <cell r="AB2896" t="str">
            <v>PHYSICIAN</v>
          </cell>
          <cell r="AC2896" t="str">
            <v>M</v>
          </cell>
          <cell r="AD2896" t="str">
            <v>No</v>
          </cell>
          <cell r="AE2896" t="str">
            <v>MMIS</v>
          </cell>
          <cell r="AF2896" t="str">
            <v>nyspi</v>
          </cell>
          <cell r="AG2896" t="str">
            <v>P</v>
          </cell>
        </row>
        <row r="2897">
          <cell r="A2897" t="str">
            <v>1386714491</v>
          </cell>
          <cell r="B2897" t="str">
            <v>02644791</v>
          </cell>
          <cell r="C2897" t="str">
            <v>ABRAMS, STACY</v>
          </cell>
          <cell r="D2897" t="str">
            <v>E0035686</v>
          </cell>
          <cell r="E2897" t="str">
            <v>ABRAMS STACY BETH</v>
          </cell>
          <cell r="G2897" t="str">
            <v>Kathryn Spaziani</v>
          </cell>
          <cell r="H2897" t="str">
            <v>(212) 305-1190</v>
          </cell>
          <cell r="J2897" t="str">
            <v>kas9171@nyp.org</v>
          </cell>
          <cell r="L2897" t="str">
            <v>Practitioner - Non-Primary Care Provider (PCP)</v>
          </cell>
          <cell r="M2897" t="str">
            <v>No</v>
          </cell>
          <cell r="R2897" t="str">
            <v>ABRAMS STACY</v>
          </cell>
          <cell r="W2897" t="str">
            <v>ABRAMS STACY BETH</v>
          </cell>
          <cell r="X2897" t="str">
            <v>5141 BROADWAY</v>
          </cell>
          <cell r="Y2897" t="str">
            <v>NEW YORK</v>
          </cell>
          <cell r="Z2897" t="str">
            <v>NY</v>
          </cell>
          <cell r="AA2897" t="str">
            <v>10034-1159</v>
          </cell>
          <cell r="AB2897" t="str">
            <v>PHYSICIAN</v>
          </cell>
          <cell r="AC2897" t="str">
            <v>M</v>
          </cell>
          <cell r="AD2897" t="str">
            <v>No</v>
          </cell>
          <cell r="AE2897" t="str">
            <v>MMIS</v>
          </cell>
          <cell r="AF2897" t="str">
            <v>nypwestcampus</v>
          </cell>
          <cell r="AG2897" t="str">
            <v>P</v>
          </cell>
        </row>
        <row r="2898">
          <cell r="A2898" t="str">
            <v>1902997943</v>
          </cell>
          <cell r="B2898" t="str">
            <v>02803336</v>
          </cell>
          <cell r="C2898" t="str">
            <v>Jaiswal, Arti</v>
          </cell>
          <cell r="D2898" t="str">
            <v>E0019862</v>
          </cell>
          <cell r="E2898" t="str">
            <v>JAISWAL ARTI CHANDER MD</v>
          </cell>
          <cell r="G2898" t="str">
            <v>Kathryn Spaziani</v>
          </cell>
          <cell r="H2898" t="str">
            <v>(212) 305-1190</v>
          </cell>
          <cell r="J2898" t="str">
            <v>kas9171@nyp.org</v>
          </cell>
          <cell r="L2898" t="str">
            <v>All Other:: Practitioner - Primary Care Provider (PCP)</v>
          </cell>
          <cell r="M2898" t="str">
            <v>Yes</v>
          </cell>
          <cell r="R2898" t="str">
            <v>JAISWAL ARTI</v>
          </cell>
          <cell r="W2898" t="str">
            <v>JAISWAL ARTI CHANDER MD</v>
          </cell>
          <cell r="X2898" t="str">
            <v>104 FULTON AVE</v>
          </cell>
          <cell r="Y2898" t="str">
            <v>POUGHKEEPSIE</v>
          </cell>
          <cell r="Z2898" t="str">
            <v>NY</v>
          </cell>
          <cell r="AA2898" t="str">
            <v>12603-2808</v>
          </cell>
          <cell r="AB2898" t="str">
            <v>PHYSICIAN</v>
          </cell>
          <cell r="AC2898" t="str">
            <v>M</v>
          </cell>
          <cell r="AD2898" t="str">
            <v>No</v>
          </cell>
          <cell r="AE2898" t="str">
            <v>MMIS</v>
          </cell>
          <cell r="AF2898" t="str">
            <v>nypeastcampus</v>
          </cell>
          <cell r="AG2898" t="str">
            <v>P</v>
          </cell>
        </row>
        <row r="2899">
          <cell r="A2899" t="str">
            <v>1710975404</v>
          </cell>
          <cell r="B2899" t="str">
            <v>02975271</v>
          </cell>
          <cell r="C2899" t="str">
            <v>LIU, CHRISTOPHER F</v>
          </cell>
          <cell r="D2899" t="str">
            <v>E0005946</v>
          </cell>
          <cell r="E2899" t="str">
            <v>CHRISTOPHER LIU MD</v>
          </cell>
          <cell r="G2899" t="str">
            <v>Kathryn Spaziani</v>
          </cell>
          <cell r="H2899" t="str">
            <v>(212) 305-1190</v>
          </cell>
          <cell r="J2899" t="str">
            <v>kas9171@nyp.org</v>
          </cell>
          <cell r="L2899" t="str">
            <v>All Other:: Practitioner - Non-Primary Care Provider (PCP)</v>
          </cell>
          <cell r="M2899" t="str">
            <v>No</v>
          </cell>
          <cell r="R2899" t="str">
            <v>LIU CHRISTOPHER</v>
          </cell>
          <cell r="W2899" t="str">
            <v>LIU CHRISTOPHER FEI-YONG MD</v>
          </cell>
          <cell r="X2899" t="str">
            <v>520 E 70TH ST</v>
          </cell>
          <cell r="Y2899" t="str">
            <v>NEW YORK</v>
          </cell>
          <cell r="Z2899" t="str">
            <v>NY</v>
          </cell>
          <cell r="AA2899" t="str">
            <v>10021-9800</v>
          </cell>
          <cell r="AB2899" t="str">
            <v>PHYSICIAN</v>
          </cell>
          <cell r="AC2899" t="str">
            <v>M</v>
          </cell>
          <cell r="AD2899" t="str">
            <v>No</v>
          </cell>
          <cell r="AE2899" t="str">
            <v>MMIS</v>
          </cell>
          <cell r="AF2899" t="str">
            <v>nypeastcampus</v>
          </cell>
          <cell r="AG2899" t="str">
            <v>P</v>
          </cell>
        </row>
        <row r="2900">
          <cell r="A2900" t="str">
            <v>1740522283</v>
          </cell>
          <cell r="C2900" t="str">
            <v>van Oppen Dorothy</v>
          </cell>
          <cell r="G2900" t="str">
            <v>Kathryn Spaziani</v>
          </cell>
          <cell r="H2900" t="str">
            <v>(212) 305-1255</v>
          </cell>
          <cell r="J2900" t="str">
            <v>kas9171@nyp.org</v>
          </cell>
          <cell r="K2900" t="str">
            <v>Physician</v>
          </cell>
          <cell r="L2900" t="str">
            <v>Uncategorized</v>
          </cell>
          <cell r="M2900" t="str">
            <v>No</v>
          </cell>
          <cell r="R2900" t="str">
            <v>VAN OPPEN DOROTHY</v>
          </cell>
          <cell r="S2900" t="str">
            <v>622 W 168TH ST, PH5-133 STEM</v>
          </cell>
          <cell r="T2900" t="str">
            <v>NEW YORK</v>
          </cell>
          <cell r="U2900" t="str">
            <v>NY</v>
          </cell>
          <cell r="V2900" t="str">
            <v>100323720</v>
          </cell>
          <cell r="AC2900" t="str">
            <v>M</v>
          </cell>
          <cell r="AD2900" t="str">
            <v>No</v>
          </cell>
          <cell r="AE2900" t="str">
            <v>NPI only</v>
          </cell>
          <cell r="AF2900" t="str">
            <v>nypwestcampus</v>
          </cell>
          <cell r="AG2900" t="str">
            <v>P</v>
          </cell>
        </row>
        <row r="2901">
          <cell r="A2901" t="str">
            <v>1700128170</v>
          </cell>
          <cell r="C2901" t="str">
            <v>Vilnits Yefim</v>
          </cell>
          <cell r="G2901" t="str">
            <v>Kathryn Spaziani</v>
          </cell>
          <cell r="H2901" t="str">
            <v>(212) 305-1255</v>
          </cell>
          <cell r="J2901" t="str">
            <v>kas9171@nyp.org</v>
          </cell>
          <cell r="K2901" t="str">
            <v>Physician</v>
          </cell>
          <cell r="L2901" t="str">
            <v>Uncategorized</v>
          </cell>
          <cell r="M2901" t="str">
            <v>No</v>
          </cell>
          <cell r="R2901" t="str">
            <v>VILNITS YEFIM</v>
          </cell>
          <cell r="S2901" t="str">
            <v>622 W 168TH ST</v>
          </cell>
          <cell r="T2901" t="str">
            <v>NEW YORK</v>
          </cell>
          <cell r="U2901" t="str">
            <v>NY</v>
          </cell>
          <cell r="V2901" t="str">
            <v>100323720</v>
          </cell>
          <cell r="AC2901" t="str">
            <v>M</v>
          </cell>
          <cell r="AD2901" t="str">
            <v>No</v>
          </cell>
          <cell r="AE2901" t="str">
            <v>NPI only</v>
          </cell>
          <cell r="AF2901" t="str">
            <v>nypwestcampus</v>
          </cell>
          <cell r="AG2901" t="str">
            <v>P</v>
          </cell>
        </row>
        <row r="2902">
          <cell r="A2902" t="str">
            <v>1124386586</v>
          </cell>
          <cell r="C2902" t="str">
            <v>Aslam Hina</v>
          </cell>
          <cell r="G2902" t="str">
            <v>Kathryn Spaziani</v>
          </cell>
          <cell r="H2902" t="str">
            <v>(212) 305-1255</v>
          </cell>
          <cell r="J2902" t="str">
            <v>kas9171@nyp.org</v>
          </cell>
          <cell r="K2902" t="str">
            <v>Physician</v>
          </cell>
          <cell r="L2902" t="str">
            <v>Uncategorized</v>
          </cell>
          <cell r="M2902" t="str">
            <v>No</v>
          </cell>
          <cell r="R2902" t="str">
            <v>ASLAM HINA</v>
          </cell>
          <cell r="S2902" t="str">
            <v>177 FORT WASHINGTON AVE</v>
          </cell>
          <cell r="T2902" t="str">
            <v>NEW YORK</v>
          </cell>
          <cell r="U2902" t="str">
            <v>NY</v>
          </cell>
          <cell r="V2902" t="str">
            <v>100323733</v>
          </cell>
          <cell r="AC2902" t="str">
            <v>M</v>
          </cell>
          <cell r="AD2902" t="str">
            <v>No</v>
          </cell>
          <cell r="AE2902" t="str">
            <v>NPI only</v>
          </cell>
          <cell r="AF2902" t="str">
            <v>nypwestcampus</v>
          </cell>
          <cell r="AG2902" t="str">
            <v>P</v>
          </cell>
        </row>
        <row r="2903">
          <cell r="A2903" t="str">
            <v>1447448998</v>
          </cell>
          <cell r="B2903" t="str">
            <v>03416039</v>
          </cell>
          <cell r="C2903" t="str">
            <v>Tokita Hanae</v>
          </cell>
          <cell r="D2903" t="str">
            <v>E0324031</v>
          </cell>
          <cell r="E2903" t="str">
            <v>TOKITA HANAE K</v>
          </cell>
          <cell r="L2903" t="str">
            <v>All Other:: Practitioner - Non-Primary Care Provider (PCP)</v>
          </cell>
          <cell r="M2903" t="str">
            <v>No</v>
          </cell>
          <cell r="R2903" t="str">
            <v>TOKITA HANAE DR.</v>
          </cell>
          <cell r="W2903" t="str">
            <v>TOKITA HANAE KRISTINA</v>
          </cell>
          <cell r="X2903" t="str">
            <v>170 WILLIAM ST</v>
          </cell>
          <cell r="Y2903" t="str">
            <v>NEW YORK</v>
          </cell>
          <cell r="Z2903" t="str">
            <v>NY</v>
          </cell>
          <cell r="AA2903" t="str">
            <v>10038-2612</v>
          </cell>
          <cell r="AB2903" t="str">
            <v>PHYSICIAN</v>
          </cell>
          <cell r="AC2903" t="str">
            <v>M</v>
          </cell>
          <cell r="AD2903" t="str">
            <v>No</v>
          </cell>
          <cell r="AE2903" t="str">
            <v>MMIS</v>
          </cell>
          <cell r="AG2903" t="str">
            <v>P</v>
          </cell>
        </row>
        <row r="2904">
          <cell r="A2904" t="str">
            <v>1508887514</v>
          </cell>
          <cell r="B2904" t="str">
            <v>02783484</v>
          </cell>
          <cell r="C2904" t="str">
            <v>Shafiq-Hoda Rana</v>
          </cell>
          <cell r="D2904" t="str">
            <v>E0021844</v>
          </cell>
          <cell r="E2904" t="str">
            <v>SHAFIG-HODA RANA MD</v>
          </cell>
          <cell r="G2904" t="str">
            <v>Kathryn Spaziani</v>
          </cell>
          <cell r="H2904" t="str">
            <v>(212) 305-1201</v>
          </cell>
          <cell r="J2904" t="str">
            <v>kas9171@nyp.org</v>
          </cell>
          <cell r="L2904" t="str">
            <v>All Other:: Practitioner - Non-Primary Care Provider (PCP)</v>
          </cell>
          <cell r="M2904" t="str">
            <v>No</v>
          </cell>
          <cell r="R2904" t="str">
            <v>SHAFIQ-HODA RANA</v>
          </cell>
          <cell r="W2904" t="str">
            <v>SHAFIG-HODA RANA MD</v>
          </cell>
          <cell r="AB2904" t="str">
            <v>PHYSICIAN</v>
          </cell>
          <cell r="AC2904" t="str">
            <v>M</v>
          </cell>
          <cell r="AD2904" t="str">
            <v>No</v>
          </cell>
          <cell r="AE2904" t="str">
            <v>MMIS</v>
          </cell>
          <cell r="AF2904" t="str">
            <v>nypeastcampus</v>
          </cell>
          <cell r="AG2904" t="str">
            <v>P</v>
          </cell>
        </row>
        <row r="2905">
          <cell r="A2905" t="str">
            <v>1487648580</v>
          </cell>
          <cell r="B2905" t="str">
            <v>02795600</v>
          </cell>
          <cell r="C2905" t="str">
            <v>Yang Grace</v>
          </cell>
          <cell r="D2905" t="str">
            <v>E0020634</v>
          </cell>
          <cell r="E2905" t="str">
            <v>YANG GRACE</v>
          </cell>
          <cell r="G2905" t="str">
            <v>Kathryn Spaziani</v>
          </cell>
          <cell r="H2905" t="str">
            <v>(212) 305-1202</v>
          </cell>
          <cell r="J2905" t="str">
            <v>kas9171@nyp.org</v>
          </cell>
          <cell r="L2905" t="str">
            <v>All Other:: Practitioner - Non-Primary Care Provider (PCP)</v>
          </cell>
          <cell r="M2905" t="str">
            <v>No</v>
          </cell>
          <cell r="R2905" t="str">
            <v>YANG GRACE</v>
          </cell>
          <cell r="W2905" t="str">
            <v>YANG GRACE</v>
          </cell>
          <cell r="X2905" t="str">
            <v>525 PARK AVE</v>
          </cell>
          <cell r="Y2905" t="str">
            <v>NEW YORK</v>
          </cell>
          <cell r="Z2905" t="str">
            <v>NY</v>
          </cell>
          <cell r="AA2905" t="str">
            <v>10065-8197</v>
          </cell>
          <cell r="AB2905" t="str">
            <v>PHYSICIAN</v>
          </cell>
          <cell r="AC2905" t="str">
            <v>M</v>
          </cell>
          <cell r="AD2905" t="str">
            <v>No</v>
          </cell>
          <cell r="AE2905" t="str">
            <v>MMIS</v>
          </cell>
          <cell r="AF2905" t="str">
            <v>nypeastcampus</v>
          </cell>
          <cell r="AG2905" t="str">
            <v>P</v>
          </cell>
        </row>
        <row r="2906">
          <cell r="A2906" t="str">
            <v>1801034194</v>
          </cell>
          <cell r="B2906" t="str">
            <v>03400231</v>
          </cell>
          <cell r="C2906" t="str">
            <v>Hernandez Demitria</v>
          </cell>
          <cell r="D2906" t="str">
            <v>E0327888</v>
          </cell>
          <cell r="E2906" t="str">
            <v>HERNANDEZ DEMITRIA</v>
          </cell>
          <cell r="L2906" t="str">
            <v>Practitioner - Non-Primary Care Provider (PCP)</v>
          </cell>
          <cell r="M2906" t="str">
            <v>No</v>
          </cell>
          <cell r="R2906" t="str">
            <v>HERNANDEZ DEMITRIA DR.</v>
          </cell>
          <cell r="W2906" t="str">
            <v>HERNANDEZ DEMITRIA</v>
          </cell>
          <cell r="X2906" t="str">
            <v>1425 PORTLAND AVE</v>
          </cell>
          <cell r="Y2906" t="str">
            <v>ROCHESTER</v>
          </cell>
          <cell r="Z2906" t="str">
            <v>NY</v>
          </cell>
          <cell r="AA2906" t="str">
            <v>14621-3001</v>
          </cell>
          <cell r="AB2906" t="str">
            <v>PHYSICIAN</v>
          </cell>
          <cell r="AC2906" t="str">
            <v>M</v>
          </cell>
          <cell r="AD2906" t="str">
            <v>No</v>
          </cell>
          <cell r="AE2906" t="str">
            <v>MMIS</v>
          </cell>
          <cell r="AG2906" t="str">
            <v>P</v>
          </cell>
        </row>
        <row r="2907">
          <cell r="A2907" t="str">
            <v>1619152725</v>
          </cell>
          <cell r="B2907" t="str">
            <v>03339580</v>
          </cell>
          <cell r="C2907" t="str">
            <v>Michael Satlin</v>
          </cell>
          <cell r="D2907" t="str">
            <v>E0320237</v>
          </cell>
          <cell r="E2907" t="str">
            <v>SATLIN MICHAEL J MD</v>
          </cell>
          <cell r="G2907" t="str">
            <v>Eva Eng</v>
          </cell>
          <cell r="H2907" t="str">
            <v>(212) 752-4978</v>
          </cell>
          <cell r="J2907" t="str">
            <v>eeng@archcare.org</v>
          </cell>
          <cell r="L2907" t="str">
            <v>Practitioner - Non-Primary Care Provider (PCP)</v>
          </cell>
          <cell r="M2907" t="str">
            <v>No</v>
          </cell>
          <cell r="R2907" t="str">
            <v>SATLIN MICHAEL DR.</v>
          </cell>
          <cell r="W2907" t="str">
            <v>SATLIN MICHAEL J MD</v>
          </cell>
          <cell r="X2907" t="str">
            <v>525 E 68TH ST # 585</v>
          </cell>
          <cell r="Y2907" t="str">
            <v>NEW YORK</v>
          </cell>
          <cell r="Z2907" t="str">
            <v>NY</v>
          </cell>
          <cell r="AA2907" t="str">
            <v>10065-4870</v>
          </cell>
          <cell r="AB2907" t="str">
            <v>PHYSICIAN</v>
          </cell>
          <cell r="AC2907" t="str">
            <v>M</v>
          </cell>
          <cell r="AD2907" t="str">
            <v>No</v>
          </cell>
          <cell r="AE2907" t="str">
            <v>MMIS</v>
          </cell>
          <cell r="AF2907" t="str">
            <v>nypeastcampus</v>
          </cell>
          <cell r="AG2907" t="str">
            <v>P</v>
          </cell>
        </row>
        <row r="2908">
          <cell r="A2908" t="str">
            <v>1124096888</v>
          </cell>
          <cell r="B2908" t="str">
            <v>00146814</v>
          </cell>
          <cell r="C2908" t="str">
            <v>Edward H.Shalhoub</v>
          </cell>
          <cell r="D2908" t="str">
            <v>E0278712</v>
          </cell>
          <cell r="E2908" t="str">
            <v>SHALHOUB EDWARD H          MD</v>
          </cell>
          <cell r="G2908" t="str">
            <v>Eva Eng</v>
          </cell>
          <cell r="H2908" t="str">
            <v>(212) 752-4979</v>
          </cell>
          <cell r="J2908" t="str">
            <v>eeng@archcare.org</v>
          </cell>
          <cell r="L2908" t="str">
            <v>Uncategorized</v>
          </cell>
          <cell r="M2908" t="str">
            <v>No</v>
          </cell>
          <cell r="R2908" t="str">
            <v>SHALHOUB EDWARD</v>
          </cell>
          <cell r="W2908" t="str">
            <v>SHALHOUB EDWARD H MD</v>
          </cell>
          <cell r="AB2908" t="str">
            <v>PHYSICIAN</v>
          </cell>
          <cell r="AC2908" t="str">
            <v>M</v>
          </cell>
          <cell r="AD2908" t="str">
            <v>No</v>
          </cell>
          <cell r="AE2908" t="str">
            <v>MMIS</v>
          </cell>
          <cell r="AG2908" t="str">
            <v>P</v>
          </cell>
        </row>
        <row r="2909">
          <cell r="A2909" t="str">
            <v>1790817716</v>
          </cell>
          <cell r="C2909" t="str">
            <v>Michael J. Vassallo</v>
          </cell>
          <cell r="G2909" t="str">
            <v>Eva Eng</v>
          </cell>
          <cell r="H2909" t="str">
            <v>(212) 752-4980</v>
          </cell>
          <cell r="J2909" t="str">
            <v>eeng@archcare.org</v>
          </cell>
          <cell r="K2909" t="str">
            <v>Other Practitioners</v>
          </cell>
          <cell r="L2909" t="str">
            <v>Uncategorized</v>
          </cell>
          <cell r="M2909" t="str">
            <v>No</v>
          </cell>
          <cell r="R2909" t="str">
            <v>VASSALLO MICHAEL DR.</v>
          </cell>
          <cell r="S2909" t="str">
            <v>121 E 60TH ST, 10C</v>
          </cell>
          <cell r="T2909" t="str">
            <v>NEW YORK</v>
          </cell>
          <cell r="U2909" t="str">
            <v>NY</v>
          </cell>
          <cell r="V2909" t="str">
            <v>100221117</v>
          </cell>
          <cell r="AC2909" t="str">
            <v>M</v>
          </cell>
          <cell r="AD2909" t="str">
            <v>No</v>
          </cell>
          <cell r="AE2909" t="str">
            <v>NPI only</v>
          </cell>
          <cell r="AF2909" t="str">
            <v>nypeastcampus</v>
          </cell>
          <cell r="AG2909" t="str">
            <v>P</v>
          </cell>
        </row>
        <row r="2910">
          <cell r="A2910" t="str">
            <v>1023129384</v>
          </cell>
          <cell r="B2910" t="str">
            <v>02267949</v>
          </cell>
          <cell r="C2910" t="str">
            <v>Michael C. Parrinello</v>
          </cell>
          <cell r="D2910" t="str">
            <v>E0073305</v>
          </cell>
          <cell r="E2910" t="str">
            <v>PARRINELLO MICHAEL CHRISTOPHER</v>
          </cell>
          <cell r="G2910" t="str">
            <v>Eva Eng</v>
          </cell>
          <cell r="H2910" t="str">
            <v>(212) 752-4981</v>
          </cell>
          <cell r="J2910" t="str">
            <v>eeng@archcare.org</v>
          </cell>
          <cell r="L2910" t="str">
            <v>All Other:: Practitioner - Primary Care Provider (PCP)</v>
          </cell>
          <cell r="M2910" t="str">
            <v>No</v>
          </cell>
          <cell r="R2910" t="str">
            <v>PARRINELLO MICHAEL</v>
          </cell>
          <cell r="W2910" t="str">
            <v>PARRINELLO MICHAEL CHRISTOPHER</v>
          </cell>
          <cell r="X2910" t="str">
            <v>801 W 190TH ST</v>
          </cell>
          <cell r="Y2910" t="str">
            <v>NEW YORK</v>
          </cell>
          <cell r="Z2910" t="str">
            <v>NY</v>
          </cell>
          <cell r="AA2910" t="str">
            <v>10040-3802</v>
          </cell>
          <cell r="AB2910" t="str">
            <v>PHYSICIAN</v>
          </cell>
          <cell r="AC2910" t="str">
            <v>M</v>
          </cell>
          <cell r="AD2910" t="str">
            <v>No</v>
          </cell>
          <cell r="AE2910" t="str">
            <v>MMIS</v>
          </cell>
          <cell r="AG2910" t="str">
            <v>P</v>
          </cell>
        </row>
        <row r="2911">
          <cell r="A2911" t="str">
            <v>1982948808</v>
          </cell>
          <cell r="C2911" t="str">
            <v>Mallon Kelly</v>
          </cell>
          <cell r="G2911" t="str">
            <v>Kathryn Spaziani</v>
          </cell>
          <cell r="H2911" t="str">
            <v>(212) 305-1255</v>
          </cell>
          <cell r="J2911" t="str">
            <v>kas9171@nyp.org</v>
          </cell>
          <cell r="K2911" t="str">
            <v>Physician</v>
          </cell>
          <cell r="L2911" t="str">
            <v>Uncategorized</v>
          </cell>
          <cell r="M2911" t="str">
            <v>No</v>
          </cell>
          <cell r="R2911" t="str">
            <v>MALLON KELLY</v>
          </cell>
          <cell r="S2911" t="str">
            <v>45 READE PL</v>
          </cell>
          <cell r="T2911" t="str">
            <v>POUGHKEEPSIE</v>
          </cell>
          <cell r="U2911" t="str">
            <v>NY</v>
          </cell>
          <cell r="V2911" t="str">
            <v>126013947</v>
          </cell>
          <cell r="AC2911" t="str">
            <v>M</v>
          </cell>
          <cell r="AD2911" t="str">
            <v>No</v>
          </cell>
          <cell r="AE2911" t="str">
            <v>NPI only</v>
          </cell>
          <cell r="AF2911" t="str">
            <v>nypeastcampus</v>
          </cell>
          <cell r="AG2911" t="str">
            <v>P</v>
          </cell>
        </row>
        <row r="2912">
          <cell r="A2912" t="str">
            <v>1346488178</v>
          </cell>
          <cell r="B2912" t="str">
            <v>03623498</v>
          </cell>
          <cell r="C2912" t="str">
            <v>Markovic Milica</v>
          </cell>
          <cell r="D2912" t="str">
            <v>E0352607</v>
          </cell>
          <cell r="E2912" t="str">
            <v>MARKOVIC MILICA</v>
          </cell>
          <cell r="L2912" t="str">
            <v>All Other:: Practitioner - Non-Primary Care Provider (PCP)</v>
          </cell>
          <cell r="M2912" t="str">
            <v>No</v>
          </cell>
          <cell r="R2912" t="str">
            <v>MARKOVIC MILICA</v>
          </cell>
          <cell r="W2912" t="str">
            <v>MARKOVIC MILICA</v>
          </cell>
          <cell r="X2912" t="str">
            <v>525 E 68TH ST</v>
          </cell>
          <cell r="Y2912" t="str">
            <v>NEW YORK</v>
          </cell>
          <cell r="Z2912" t="str">
            <v>NY</v>
          </cell>
          <cell r="AA2912" t="str">
            <v>10065-4870</v>
          </cell>
          <cell r="AB2912" t="str">
            <v>PHYSICIAN</v>
          </cell>
          <cell r="AC2912" t="str">
            <v>M</v>
          </cell>
          <cell r="AD2912" t="str">
            <v>No</v>
          </cell>
          <cell r="AE2912" t="str">
            <v>MMIS</v>
          </cell>
          <cell r="AF2912" t="str">
            <v>nypeastcampus</v>
          </cell>
          <cell r="AG2912" t="str">
            <v>P</v>
          </cell>
        </row>
        <row r="2913">
          <cell r="A2913" t="str">
            <v>1871541011</v>
          </cell>
          <cell r="B2913" t="str">
            <v>03384214</v>
          </cell>
          <cell r="C2913" t="str">
            <v>JULIE MYERS</v>
          </cell>
          <cell r="D2913" t="str">
            <v>E0325548</v>
          </cell>
          <cell r="E2913" t="str">
            <v>MYERS JULIE ELANA</v>
          </cell>
          <cell r="G2913" t="str">
            <v>Kathryn Spaziani</v>
          </cell>
          <cell r="H2913" t="str">
            <v>(212) 305-1190</v>
          </cell>
          <cell r="J2913" t="str">
            <v>kas9171@nyp.org</v>
          </cell>
          <cell r="L2913" t="str">
            <v>Practitioner - Non-Primary Care Provider (PCP)</v>
          </cell>
          <cell r="M2913" t="str">
            <v>No</v>
          </cell>
          <cell r="R2913" t="str">
            <v>MYERS JULIE</v>
          </cell>
          <cell r="W2913" t="str">
            <v>MYERS JULIE ELANA</v>
          </cell>
          <cell r="X2913" t="str">
            <v>622 W 168TH ST</v>
          </cell>
          <cell r="Y2913" t="str">
            <v>NEW YORK</v>
          </cell>
          <cell r="Z2913" t="str">
            <v>NY</v>
          </cell>
          <cell r="AA2913" t="str">
            <v>10032-3720</v>
          </cell>
          <cell r="AB2913" t="str">
            <v>PHYSICIAN</v>
          </cell>
          <cell r="AC2913" t="str">
            <v>M</v>
          </cell>
          <cell r="AD2913" t="str">
            <v>No</v>
          </cell>
          <cell r="AE2913" t="str">
            <v>MMIS</v>
          </cell>
          <cell r="AF2913" t="str">
            <v>nypwestcampus</v>
          </cell>
          <cell r="AG2913" t="str">
            <v>P</v>
          </cell>
        </row>
        <row r="2914">
          <cell r="A2914" t="str">
            <v>1851559827</v>
          </cell>
          <cell r="B2914" t="str">
            <v>03242440</v>
          </cell>
          <cell r="C2914" t="str">
            <v>SARA NASH</v>
          </cell>
          <cell r="D2914" t="str">
            <v>E0309246</v>
          </cell>
          <cell r="E2914" t="str">
            <v>SARA SIRIS NASH</v>
          </cell>
          <cell r="G2914" t="str">
            <v>Kathryn Spaziani</v>
          </cell>
          <cell r="H2914" t="str">
            <v>(212) 305-1190</v>
          </cell>
          <cell r="J2914" t="str">
            <v>kas9171@nyp.org</v>
          </cell>
          <cell r="L2914" t="str">
            <v>Mental Health:: Practitioner - Non-Primary Care Provider (PCP)</v>
          </cell>
          <cell r="M2914" t="str">
            <v>No</v>
          </cell>
          <cell r="R2914" t="str">
            <v>NASH SARA DR.</v>
          </cell>
          <cell r="W2914" t="str">
            <v>NASH SARA SIRIS</v>
          </cell>
          <cell r="X2914" t="str">
            <v>177 FORT WASHINGTON AVE</v>
          </cell>
          <cell r="Y2914" t="str">
            <v>NEW YORK</v>
          </cell>
          <cell r="Z2914" t="str">
            <v>NY</v>
          </cell>
          <cell r="AA2914" t="str">
            <v>10032-3733</v>
          </cell>
          <cell r="AB2914" t="str">
            <v>PHYSICIAN</v>
          </cell>
          <cell r="AC2914" t="str">
            <v>M</v>
          </cell>
          <cell r="AD2914" t="str">
            <v>No</v>
          </cell>
          <cell r="AE2914" t="str">
            <v>MMIS</v>
          </cell>
          <cell r="AF2914" t="str">
            <v>nypwestcampus</v>
          </cell>
          <cell r="AG2914" t="str">
            <v>P</v>
          </cell>
        </row>
        <row r="2915">
          <cell r="A2915" t="str">
            <v>1497034151</v>
          </cell>
          <cell r="C2915" t="str">
            <v>BENJAMIN PATTERSON</v>
          </cell>
          <cell r="G2915" t="str">
            <v>Kathryn Spaziani</v>
          </cell>
          <cell r="H2915" t="str">
            <v>(212) 305-1190</v>
          </cell>
          <cell r="J2915" t="str">
            <v>kas9171@nyp.org</v>
          </cell>
          <cell r="K2915" t="str">
            <v>Unknown</v>
          </cell>
          <cell r="L2915" t="str">
            <v>Uncategorized</v>
          </cell>
          <cell r="M2915" t="str">
            <v>No</v>
          </cell>
          <cell r="R2915" t="str">
            <v>PATTERSON BENJAMIN DR.</v>
          </cell>
          <cell r="S2915" t="str">
            <v>550 1ST AVE, NYU LANGONE MEDICAL CENTER</v>
          </cell>
          <cell r="T2915" t="str">
            <v>NEW YORK</v>
          </cell>
          <cell r="U2915" t="str">
            <v>NY</v>
          </cell>
          <cell r="V2915" t="str">
            <v>100166402</v>
          </cell>
          <cell r="AC2915" t="str">
            <v>M</v>
          </cell>
          <cell r="AD2915" t="str">
            <v>No</v>
          </cell>
          <cell r="AE2915" t="str">
            <v>NPI only</v>
          </cell>
          <cell r="AF2915" t="str">
            <v>nypwestcampus</v>
          </cell>
          <cell r="AG2915" t="str">
            <v>P</v>
          </cell>
        </row>
        <row r="2916">
          <cell r="A2916" t="str">
            <v>1538383013</v>
          </cell>
          <cell r="B2916" t="str">
            <v>02988287</v>
          </cell>
          <cell r="C2916" t="str">
            <v>HONG VAN TIEU</v>
          </cell>
          <cell r="D2916" t="str">
            <v>E0007399</v>
          </cell>
          <cell r="E2916" t="str">
            <v>TIEU HONG VAN NHU</v>
          </cell>
          <cell r="G2916" t="str">
            <v>Kathryn Spaziani</v>
          </cell>
          <cell r="H2916" t="str">
            <v>(212) 305-1190</v>
          </cell>
          <cell r="J2916" t="str">
            <v>kas9171@nyp.org</v>
          </cell>
          <cell r="L2916" t="str">
            <v>Practitioner - Non-Primary Care Provider (PCP)</v>
          </cell>
          <cell r="M2916" t="str">
            <v>No</v>
          </cell>
          <cell r="R2916" t="str">
            <v>TIEU HONG VAN DR.</v>
          </cell>
          <cell r="W2916" t="str">
            <v>TIEU HONG VAN NHU MD</v>
          </cell>
          <cell r="X2916" t="str">
            <v>622 W 168TH ST</v>
          </cell>
          <cell r="Y2916" t="str">
            <v>NEW YORK</v>
          </cell>
          <cell r="Z2916" t="str">
            <v>NY</v>
          </cell>
          <cell r="AA2916" t="str">
            <v>10032-3720</v>
          </cell>
          <cell r="AB2916" t="str">
            <v>PHYSICIAN</v>
          </cell>
          <cell r="AC2916" t="str">
            <v>M</v>
          </cell>
          <cell r="AD2916" t="str">
            <v>No</v>
          </cell>
          <cell r="AE2916" t="str">
            <v>MMIS</v>
          </cell>
          <cell r="AF2916" t="str">
            <v>nypwestcampus</v>
          </cell>
          <cell r="AG2916" t="str">
            <v>P</v>
          </cell>
        </row>
        <row r="2917">
          <cell r="C2917" t="str">
            <v>MARCIA WONG</v>
          </cell>
          <cell r="G2917" t="str">
            <v>Kathryn Spaziani</v>
          </cell>
          <cell r="H2917" t="str">
            <v>(212) 305-1190</v>
          </cell>
          <cell r="J2917" t="str">
            <v>kas9171@nyp.org</v>
          </cell>
          <cell r="K2917" t="str">
            <v>Unknown</v>
          </cell>
          <cell r="L2917" t="str">
            <v>CBO</v>
          </cell>
          <cell r="M2917" t="str">
            <v>No</v>
          </cell>
          <cell r="N2917" t="str">
            <v>525 E 68th Street</v>
          </cell>
          <cell r="O2917" t="str">
            <v xml:space="preserve">New York </v>
          </cell>
          <cell r="P2917" t="str">
            <v>NY</v>
          </cell>
          <cell r="Q2917" t="str">
            <v>10021</v>
          </cell>
          <cell r="AC2917" t="str">
            <v>M</v>
          </cell>
          <cell r="AD2917" t="str">
            <v>No</v>
          </cell>
          <cell r="AE2917" t="str">
            <v>No NPI or MMIS</v>
          </cell>
          <cell r="AF2917" t="str">
            <v>nypother</v>
          </cell>
          <cell r="AG2917" t="str">
            <v>P</v>
          </cell>
        </row>
        <row r="2918">
          <cell r="A2918" t="str">
            <v>1144310327</v>
          </cell>
          <cell r="B2918" t="str">
            <v>02636955</v>
          </cell>
          <cell r="C2918" t="str">
            <v xml:space="preserve">SINHA, NAINA </v>
          </cell>
          <cell r="D2918" t="str">
            <v>E0036467</v>
          </cell>
          <cell r="E2918" t="str">
            <v>SINHA NAINA MD</v>
          </cell>
          <cell r="G2918" t="str">
            <v>Kathryn Spaziani</v>
          </cell>
          <cell r="H2918" t="str">
            <v>(212) 305-1190</v>
          </cell>
          <cell r="J2918" t="str">
            <v>kas9171@nyp.org</v>
          </cell>
          <cell r="L2918" t="str">
            <v>All Other:: Practitioner - Non-Primary Care Provider (PCP)</v>
          </cell>
          <cell r="M2918" t="str">
            <v>No</v>
          </cell>
          <cell r="R2918" t="str">
            <v>SINHA NAINA</v>
          </cell>
          <cell r="W2918" t="str">
            <v>SINHA GREGORY NAINA</v>
          </cell>
          <cell r="X2918" t="str">
            <v>211 E 80TH STREET</v>
          </cell>
          <cell r="Y2918" t="str">
            <v>NEW YORK</v>
          </cell>
          <cell r="Z2918" t="str">
            <v>NY</v>
          </cell>
          <cell r="AA2918" t="str">
            <v>10075-0531</v>
          </cell>
          <cell r="AB2918" t="str">
            <v>PHYSICIAN</v>
          </cell>
          <cell r="AC2918" t="str">
            <v>M</v>
          </cell>
          <cell r="AD2918" t="str">
            <v>No</v>
          </cell>
          <cell r="AE2918" t="str">
            <v>MMIS</v>
          </cell>
          <cell r="AF2918" t="str">
            <v>nypeastcampus</v>
          </cell>
          <cell r="AG2918" t="str">
            <v>P</v>
          </cell>
        </row>
        <row r="2919">
          <cell r="A2919" t="str">
            <v>1972543098</v>
          </cell>
          <cell r="B2919" t="str">
            <v>00352956</v>
          </cell>
          <cell r="C2919" t="str">
            <v>GROSSMAN, MARC E</v>
          </cell>
          <cell r="D2919" t="str">
            <v>E0263873</v>
          </cell>
          <cell r="E2919" t="str">
            <v>GROSSMAN MARC E            MD</v>
          </cell>
          <cell r="G2919" t="str">
            <v>Kathryn Spaziani</v>
          </cell>
          <cell r="H2919" t="str">
            <v>(212) 305-1190</v>
          </cell>
          <cell r="J2919" t="str">
            <v>kas9171@nyp.org</v>
          </cell>
          <cell r="L2919" t="str">
            <v>Practitioner - Non-Primary Care Provider (PCP)</v>
          </cell>
          <cell r="M2919" t="str">
            <v>No</v>
          </cell>
          <cell r="R2919" t="str">
            <v>GROSSMAN MARC</v>
          </cell>
          <cell r="W2919" t="str">
            <v>GROSSMAN MARC E            MD</v>
          </cell>
          <cell r="X2919" t="str">
            <v>12 GREENRIDGE AVE</v>
          </cell>
          <cell r="Y2919" t="str">
            <v>WHITE PLAINS</v>
          </cell>
          <cell r="Z2919" t="str">
            <v>NY</v>
          </cell>
          <cell r="AA2919" t="str">
            <v>10605-1238</v>
          </cell>
          <cell r="AB2919" t="str">
            <v>PHYSICIAN</v>
          </cell>
          <cell r="AC2919" t="str">
            <v>M</v>
          </cell>
          <cell r="AD2919" t="str">
            <v>No</v>
          </cell>
          <cell r="AE2919" t="str">
            <v>MMIS</v>
          </cell>
          <cell r="AF2919" t="str">
            <v>nypwestacn</v>
          </cell>
          <cell r="AG2919" t="str">
            <v>P</v>
          </cell>
        </row>
        <row r="2920">
          <cell r="A2920" t="str">
            <v>1972569655</v>
          </cell>
          <cell r="C2920" t="str">
            <v>BATHON, JOAN M</v>
          </cell>
          <cell r="G2920" t="str">
            <v>Kathryn Spaziani</v>
          </cell>
          <cell r="H2920" t="str">
            <v>(212) 305-1190</v>
          </cell>
          <cell r="J2920" t="str">
            <v>kas9171@nyp.org</v>
          </cell>
          <cell r="K2920" t="str">
            <v>Physician</v>
          </cell>
          <cell r="L2920" t="str">
            <v>Uncategorized</v>
          </cell>
          <cell r="M2920" t="str">
            <v>No</v>
          </cell>
          <cell r="R2920" t="str">
            <v>BINGHAM CLIFTON</v>
          </cell>
          <cell r="S2920" t="str">
            <v>4940 EASTERN AVE</v>
          </cell>
          <cell r="T2920" t="str">
            <v>BALTIMORE</v>
          </cell>
          <cell r="U2920" t="str">
            <v>MD</v>
          </cell>
          <cell r="V2920" t="str">
            <v>212242735</v>
          </cell>
          <cell r="AC2920" t="str">
            <v>M</v>
          </cell>
          <cell r="AD2920" t="str">
            <v>No</v>
          </cell>
          <cell r="AE2920" t="str">
            <v>NPI only</v>
          </cell>
          <cell r="AF2920" t="str">
            <v>nypother</v>
          </cell>
          <cell r="AG2920" t="str">
            <v>P</v>
          </cell>
        </row>
        <row r="2921">
          <cell r="A2921" t="str">
            <v>1275634008</v>
          </cell>
          <cell r="B2921" t="str">
            <v>02101820</v>
          </cell>
          <cell r="C2921" t="str">
            <v xml:space="preserve">PACK, ALLISON </v>
          </cell>
          <cell r="D2921" t="str">
            <v>E0089886</v>
          </cell>
          <cell r="E2921" t="str">
            <v>PACK ALISON MARY MD</v>
          </cell>
          <cell r="G2921" t="str">
            <v>Kathryn Spaziani</v>
          </cell>
          <cell r="H2921" t="str">
            <v>(212) 305-1190</v>
          </cell>
          <cell r="J2921" t="str">
            <v>kas9171@nyp.org</v>
          </cell>
          <cell r="L2921" t="str">
            <v>Practitioner - Non-Primary Care Provider (PCP)</v>
          </cell>
          <cell r="M2921" t="str">
            <v>No</v>
          </cell>
          <cell r="R2921" t="str">
            <v>PACK ALISON DR.</v>
          </cell>
          <cell r="W2921" t="str">
            <v>PACK ALISON MARY MD</v>
          </cell>
          <cell r="X2921" t="str">
            <v>COLMB PRESB NEURO</v>
          </cell>
          <cell r="Y2921" t="str">
            <v>NEW YORK</v>
          </cell>
          <cell r="Z2921" t="str">
            <v>NY</v>
          </cell>
          <cell r="AA2921" t="str">
            <v>10032-3726</v>
          </cell>
          <cell r="AB2921" t="str">
            <v>PHYSICIAN</v>
          </cell>
          <cell r="AC2921" t="str">
            <v>M</v>
          </cell>
          <cell r="AD2921" t="str">
            <v>No</v>
          </cell>
          <cell r="AE2921" t="str">
            <v>MMIS</v>
          </cell>
          <cell r="AF2921" t="str">
            <v>nypwestcampus</v>
          </cell>
          <cell r="AG2921" t="str">
            <v>P</v>
          </cell>
        </row>
        <row r="2922">
          <cell r="A2922" t="str">
            <v>1679556450</v>
          </cell>
          <cell r="B2922" t="str">
            <v>01186305</v>
          </cell>
          <cell r="C2922" t="str">
            <v>Village Center for Care AIDS Adult Day Health Center</v>
          </cell>
          <cell r="D2922" t="str">
            <v>E0181259</v>
          </cell>
          <cell r="E2922" t="str">
            <v>VILLAGE CENTER FOR CARE AADC</v>
          </cell>
          <cell r="G2922" t="str">
            <v>Allison Silvers, Chief Strategy Officer</v>
          </cell>
          <cell r="H2922" t="str">
            <v>(212) 337-9225</v>
          </cell>
          <cell r="J2922" t="str">
            <v>allisons@villagecare.org</v>
          </cell>
          <cell r="L2922" t="str">
            <v>All Other</v>
          </cell>
          <cell r="M2922" t="str">
            <v>Yes</v>
          </cell>
          <cell r="R2922" t="str">
            <v>VILLAGE CENTER FOR CARE</v>
          </cell>
          <cell r="W2922" t="str">
            <v>VILLAGECARE REHAB &amp; NRS CTR</v>
          </cell>
          <cell r="X2922" t="str">
            <v>121 W 20TH ST</v>
          </cell>
          <cell r="Y2922" t="str">
            <v>NEW YORK</v>
          </cell>
          <cell r="Z2922" t="str">
            <v>NY</v>
          </cell>
          <cell r="AA2922" t="str">
            <v>10011-3641</v>
          </cell>
          <cell r="AB2922" t="str">
            <v>LONG TERM CARE FACILITY</v>
          </cell>
          <cell r="AC2922" t="str">
            <v>M</v>
          </cell>
          <cell r="AD2922" t="str">
            <v>No</v>
          </cell>
          <cell r="AE2922" t="str">
            <v>MMIS</v>
          </cell>
          <cell r="AG2922" t="str">
            <v>P</v>
          </cell>
        </row>
        <row r="2923">
          <cell r="A2923" t="str">
            <v>1871553768</v>
          </cell>
          <cell r="B2923" t="str">
            <v>00796598</v>
          </cell>
          <cell r="C2923" t="str">
            <v>BINDER, RALPH E</v>
          </cell>
          <cell r="D2923" t="str">
            <v>E0220069</v>
          </cell>
          <cell r="E2923" t="str">
            <v>BINDER RALPH EDWARD        MD</v>
          </cell>
          <cell r="G2923" t="str">
            <v>Kathryn Spaziani</v>
          </cell>
          <cell r="H2923" t="str">
            <v>(212) 305-1190</v>
          </cell>
          <cell r="J2923" t="str">
            <v>kas9171@nyp.org</v>
          </cell>
          <cell r="L2923" t="str">
            <v>All Other:: Practitioner - Primary Care Provider (PCP)</v>
          </cell>
          <cell r="M2923" t="str">
            <v>No</v>
          </cell>
          <cell r="R2923" t="str">
            <v>BINDER RALPH DR.</v>
          </cell>
          <cell r="W2923" t="str">
            <v>BINDER RALPH EDWARD        MD</v>
          </cell>
          <cell r="X2923" t="str">
            <v>329 WHITE PLAINS ROAD</v>
          </cell>
          <cell r="Y2923" t="str">
            <v>EASTCHESTER</v>
          </cell>
          <cell r="Z2923" t="str">
            <v>NY</v>
          </cell>
          <cell r="AA2923" t="str">
            <v>10709-2807</v>
          </cell>
          <cell r="AB2923" t="str">
            <v>PHYSICIAN</v>
          </cell>
          <cell r="AC2923" t="str">
            <v>M</v>
          </cell>
          <cell r="AD2923" t="str">
            <v>No</v>
          </cell>
          <cell r="AE2923" t="str">
            <v>MMIS</v>
          </cell>
          <cell r="AF2923" t="str">
            <v>nypwestacn</v>
          </cell>
          <cell r="AG2923" t="str">
            <v>P</v>
          </cell>
        </row>
        <row r="2924">
          <cell r="C2924" t="str">
            <v>Anna Coward, MA</v>
          </cell>
          <cell r="G2924" t="str">
            <v>Dianna Dragatsi</v>
          </cell>
          <cell r="H2924" t="str">
            <v>(212) 942-8538</v>
          </cell>
          <cell r="J2924" t="str">
            <v>Dragats@nyspi.columbia.edu</v>
          </cell>
          <cell r="K2924" t="str">
            <v>Other Practitioners</v>
          </cell>
          <cell r="L2924" t="str">
            <v>CBO</v>
          </cell>
          <cell r="M2924" t="str">
            <v>No</v>
          </cell>
          <cell r="AC2924" t="str">
            <v>M</v>
          </cell>
          <cell r="AD2924" t="str">
            <v>No</v>
          </cell>
          <cell r="AE2924" t="str">
            <v>No NPI or MMIS</v>
          </cell>
          <cell r="AF2924" t="str">
            <v>nyspi</v>
          </cell>
          <cell r="AG2924" t="str">
            <v>P</v>
          </cell>
        </row>
        <row r="2925">
          <cell r="A2925" t="str">
            <v>1922011014</v>
          </cell>
          <cell r="B2925" t="str">
            <v>01852708</v>
          </cell>
          <cell r="C2925" t="str">
            <v>RABINOWITZ, ASHER D</v>
          </cell>
          <cell r="D2925" t="str">
            <v>E0114770</v>
          </cell>
          <cell r="E2925" t="str">
            <v>RABINOWITZ ASHER</v>
          </cell>
          <cell r="G2925" t="str">
            <v>Kathryn Spaziani</v>
          </cell>
          <cell r="H2925" t="str">
            <v>(212) 305-1190</v>
          </cell>
          <cell r="J2925" t="str">
            <v>kas9171@nyp.org</v>
          </cell>
          <cell r="L2925" t="str">
            <v>All Other:: Practitioner - Non-Primary Care Provider (PCP)</v>
          </cell>
          <cell r="M2925" t="str">
            <v>No</v>
          </cell>
          <cell r="R2925" t="str">
            <v>RABINOWITZ ASHER</v>
          </cell>
          <cell r="W2925" t="str">
            <v>RABINOWITZ ASHER</v>
          </cell>
          <cell r="X2925" t="str">
            <v>RABINOWITZ ASHER</v>
          </cell>
          <cell r="Y2925" t="str">
            <v>NEW YORK</v>
          </cell>
          <cell r="Z2925" t="str">
            <v>NY</v>
          </cell>
          <cell r="AA2925" t="str">
            <v>10022-1002</v>
          </cell>
          <cell r="AB2925" t="str">
            <v>PHYSICIAN</v>
          </cell>
          <cell r="AC2925" t="str">
            <v>M</v>
          </cell>
          <cell r="AD2925" t="str">
            <v>No</v>
          </cell>
          <cell r="AE2925" t="str">
            <v>MMIS</v>
          </cell>
          <cell r="AF2925" t="str">
            <v>nypwestcampus</v>
          </cell>
          <cell r="AG2925" t="str">
            <v>P</v>
          </cell>
        </row>
        <row r="2926">
          <cell r="A2926" t="str">
            <v>1841354370</v>
          </cell>
          <cell r="B2926" t="str">
            <v>02999159</v>
          </cell>
          <cell r="C2926" t="str">
            <v>Metropolitan Center for Mental Health</v>
          </cell>
          <cell r="D2926" t="str">
            <v>E0273990</v>
          </cell>
          <cell r="E2926" t="str">
            <v>METROPOLITAN CTR FOR MNTL HLT</v>
          </cell>
          <cell r="G2926" t="str">
            <v>Andrew Pardo</v>
          </cell>
          <cell r="H2926" t="str">
            <v>(212) 543-4445</v>
          </cell>
          <cell r="J2926" t="str">
            <v>apardo@metropolitancenter.com</v>
          </cell>
          <cell r="L2926" t="str">
            <v>All Other:: Mental Health:: Substance Abuse</v>
          </cell>
          <cell r="M2926" t="str">
            <v>Yes</v>
          </cell>
          <cell r="R2926" t="str">
            <v>FAMILIES AND INDIVIDUALS IN RECOVERY</v>
          </cell>
          <cell r="W2926" t="str">
            <v>METROPOLITAN CTR FOR MNTL HLT</v>
          </cell>
          <cell r="X2926" t="str">
            <v>OMH CL TRT</v>
          </cell>
          <cell r="Y2926" t="str">
            <v>NEW YORK</v>
          </cell>
          <cell r="Z2926" t="str">
            <v>NY</v>
          </cell>
          <cell r="AA2926" t="str">
            <v>10024-4018</v>
          </cell>
          <cell r="AB2926" t="str">
            <v>DIAGNOSTIC AND TREATMENT CENTER</v>
          </cell>
          <cell r="AC2926" t="str">
            <v>M</v>
          </cell>
          <cell r="AD2926" t="str">
            <v>No</v>
          </cell>
          <cell r="AE2926" t="str">
            <v>MMIS</v>
          </cell>
          <cell r="AF2926" t="str">
            <v>metropolitancenter</v>
          </cell>
          <cell r="AG2926" t="str">
            <v>P</v>
          </cell>
        </row>
        <row r="2927">
          <cell r="A2927" t="str">
            <v>1801984182</v>
          </cell>
          <cell r="B2927" t="str">
            <v>00914521</v>
          </cell>
          <cell r="C2927" t="str">
            <v>ROMAN, MARY J</v>
          </cell>
          <cell r="D2927" t="str">
            <v>E0208300</v>
          </cell>
          <cell r="E2927" t="str">
            <v>ROMAN MARY J               MD</v>
          </cell>
          <cell r="G2927" t="str">
            <v>Kathryn Spaziani</v>
          </cell>
          <cell r="H2927" t="str">
            <v>(212) 305-1190</v>
          </cell>
          <cell r="J2927" t="str">
            <v>kas9171@nyp.org</v>
          </cell>
          <cell r="L2927" t="str">
            <v>All Other:: Practitioner - Non-Primary Care Provider (PCP)</v>
          </cell>
          <cell r="M2927" t="str">
            <v>No</v>
          </cell>
          <cell r="R2927" t="str">
            <v>ROMAN MARY</v>
          </cell>
          <cell r="W2927" t="str">
            <v>ROMAN MARY J               MD</v>
          </cell>
          <cell r="X2927" t="str">
            <v>CARDIOLOGY ASC</v>
          </cell>
          <cell r="Y2927" t="str">
            <v>NEW YORK</v>
          </cell>
          <cell r="Z2927" t="str">
            <v>NY</v>
          </cell>
          <cell r="AA2927" t="str">
            <v>10021-9800</v>
          </cell>
          <cell r="AB2927" t="str">
            <v>PHYSICIAN</v>
          </cell>
          <cell r="AC2927" t="str">
            <v>M</v>
          </cell>
          <cell r="AD2927" t="str">
            <v>No</v>
          </cell>
          <cell r="AE2927" t="str">
            <v>MMIS</v>
          </cell>
          <cell r="AF2927" t="str">
            <v>nypeastcampus</v>
          </cell>
          <cell r="AG2927" t="str">
            <v>P</v>
          </cell>
        </row>
        <row r="2928">
          <cell r="A2928" t="str">
            <v>1477631174</v>
          </cell>
          <cell r="B2928" t="str">
            <v>02705860</v>
          </cell>
          <cell r="C2928" t="str">
            <v>LUBANSKY, STASI A</v>
          </cell>
          <cell r="D2928" t="str">
            <v>E0029597</v>
          </cell>
          <cell r="E2928" t="str">
            <v>LUBANSKY STASI NP</v>
          </cell>
          <cell r="G2928" t="str">
            <v>Kathryn Spaziani</v>
          </cell>
          <cell r="H2928" t="str">
            <v>(212) 305-1190</v>
          </cell>
          <cell r="J2928" t="str">
            <v>kas9171@nyp.org</v>
          </cell>
          <cell r="L2928" t="str">
            <v>All Other:: Practitioner - Primary Care Provider (PCP)</v>
          </cell>
          <cell r="M2928" t="str">
            <v>No</v>
          </cell>
          <cell r="R2928" t="str">
            <v>LUBANSKY STASI DR.</v>
          </cell>
          <cell r="W2928" t="str">
            <v>LUBANSKY STASI A</v>
          </cell>
          <cell r="X2928" t="str">
            <v>505 E 70TH ST</v>
          </cell>
          <cell r="Y2928" t="str">
            <v>NEW YORK</v>
          </cell>
          <cell r="Z2928" t="str">
            <v>NY</v>
          </cell>
          <cell r="AA2928" t="str">
            <v>10021-4872</v>
          </cell>
          <cell r="AB2928" t="str">
            <v>PHYSICIAN</v>
          </cell>
          <cell r="AC2928" t="str">
            <v>M</v>
          </cell>
          <cell r="AD2928" t="str">
            <v>No</v>
          </cell>
          <cell r="AE2928" t="str">
            <v>MMIS</v>
          </cell>
          <cell r="AF2928" t="str">
            <v>nypeastcampus</v>
          </cell>
          <cell r="AG2928" t="str">
            <v>P</v>
          </cell>
        </row>
        <row r="2929">
          <cell r="A2929" t="str">
            <v>1477732691</v>
          </cell>
          <cell r="B2929" t="str">
            <v>03030908</v>
          </cell>
          <cell r="C2929" t="str">
            <v>THOMAS, BINDHU K</v>
          </cell>
          <cell r="D2929" t="str">
            <v>E0285077</v>
          </cell>
          <cell r="E2929" t="str">
            <v>THOMAS BINDHU KANJIRAVILAYIL MD</v>
          </cell>
          <cell r="G2929" t="str">
            <v>Kathryn Spaziani</v>
          </cell>
          <cell r="H2929" t="str">
            <v>(212) 305-1190</v>
          </cell>
          <cell r="J2929" t="str">
            <v>kas9171@nyp.org</v>
          </cell>
          <cell r="L2929" t="str">
            <v>Practitioner - Primary Care Provider (PCP)</v>
          </cell>
          <cell r="M2929" t="str">
            <v>No</v>
          </cell>
          <cell r="R2929" t="str">
            <v>THOMAS BINDHU</v>
          </cell>
          <cell r="W2929" t="str">
            <v>THOMAS BINDHU KANJIRAVILAYIL MD</v>
          </cell>
          <cell r="X2929" t="str">
            <v>622 W 168TH ST</v>
          </cell>
          <cell r="Y2929" t="str">
            <v>NEW YORK</v>
          </cell>
          <cell r="Z2929" t="str">
            <v>NY</v>
          </cell>
          <cell r="AA2929" t="str">
            <v>10032-3720</v>
          </cell>
          <cell r="AB2929" t="str">
            <v>PHYSICIAN</v>
          </cell>
          <cell r="AC2929" t="str">
            <v>M</v>
          </cell>
          <cell r="AD2929" t="str">
            <v>No</v>
          </cell>
          <cell r="AE2929" t="str">
            <v>MMIS</v>
          </cell>
          <cell r="AF2929" t="str">
            <v>nypwestcampus</v>
          </cell>
          <cell r="AG2929" t="str">
            <v>P</v>
          </cell>
        </row>
        <row r="2930">
          <cell r="A2930" t="str">
            <v>1487627527</v>
          </cell>
          <cell r="B2930" t="str">
            <v>00879561</v>
          </cell>
          <cell r="C2930" t="str">
            <v>SALAMON, NAN R</v>
          </cell>
          <cell r="D2930" t="str">
            <v>E0211791</v>
          </cell>
          <cell r="E2930" t="str">
            <v>SALAMON NAN ROSE           MD</v>
          </cell>
          <cell r="G2930" t="str">
            <v>Kathryn Spaziani</v>
          </cell>
          <cell r="H2930" t="str">
            <v>(212) 305-1190</v>
          </cell>
          <cell r="J2930" t="str">
            <v>kas9171@nyp.org</v>
          </cell>
          <cell r="L2930" t="str">
            <v>Practitioner - Primary Care Provider (PCP)</v>
          </cell>
          <cell r="M2930" t="str">
            <v>Yes</v>
          </cell>
          <cell r="R2930" t="str">
            <v>SALAMON NAN MS.</v>
          </cell>
          <cell r="W2930" t="str">
            <v>SALAMON NAN ROSE           MD</v>
          </cell>
          <cell r="X2930" t="str">
            <v>COLUMBIA-PRESBYT MC</v>
          </cell>
          <cell r="Y2930" t="str">
            <v>NEW YORK</v>
          </cell>
          <cell r="Z2930" t="str">
            <v>NY</v>
          </cell>
          <cell r="AA2930" t="str">
            <v>10032-3720</v>
          </cell>
          <cell r="AB2930" t="str">
            <v>PHYSICIAN</v>
          </cell>
          <cell r="AC2930" t="str">
            <v>M</v>
          </cell>
          <cell r="AD2930" t="str">
            <v>No</v>
          </cell>
          <cell r="AE2930" t="str">
            <v>MMIS</v>
          </cell>
          <cell r="AF2930" t="str">
            <v>nypwestcampus</v>
          </cell>
          <cell r="AG2930" t="str">
            <v>P</v>
          </cell>
        </row>
        <row r="2931">
          <cell r="A2931" t="str">
            <v>1134381361</v>
          </cell>
          <cell r="B2931" t="str">
            <v>03587464</v>
          </cell>
          <cell r="C2931" t="str">
            <v>Wagner Meredith</v>
          </cell>
          <cell r="D2931" t="str">
            <v>E0348880</v>
          </cell>
          <cell r="E2931" t="str">
            <v>WAGNER MEREDITH ANN</v>
          </cell>
          <cell r="L2931" t="str">
            <v>Practitioner - Non-Primary Care Provider (PCP)</v>
          </cell>
          <cell r="M2931" t="str">
            <v>No</v>
          </cell>
          <cell r="R2931" t="str">
            <v>WAGNER MEREDITH</v>
          </cell>
          <cell r="W2931" t="str">
            <v>WAGNER MEREDITH ANN</v>
          </cell>
          <cell r="X2931" t="str">
            <v>622 W 168TH ST</v>
          </cell>
          <cell r="Y2931" t="str">
            <v>NEW YORK</v>
          </cell>
          <cell r="Z2931" t="str">
            <v>NY</v>
          </cell>
          <cell r="AA2931" t="str">
            <v>10032-3720</v>
          </cell>
          <cell r="AB2931" t="str">
            <v>PHYSICIAN</v>
          </cell>
          <cell r="AC2931" t="str">
            <v>M</v>
          </cell>
          <cell r="AD2931" t="str">
            <v>No</v>
          </cell>
          <cell r="AE2931" t="str">
            <v>MMIS</v>
          </cell>
          <cell r="AG2931" t="str">
            <v>P</v>
          </cell>
        </row>
        <row r="2932">
          <cell r="A2932" t="str">
            <v>1013051408</v>
          </cell>
          <cell r="B2932" t="str">
            <v>03047858</v>
          </cell>
          <cell r="C2932" t="str">
            <v>Bakar Melissa</v>
          </cell>
          <cell r="D2932" t="str">
            <v>E0286956</v>
          </cell>
          <cell r="E2932" t="str">
            <v>BAKAR MELISSA M MD</v>
          </cell>
          <cell r="L2932" t="str">
            <v>Practitioner - Primary Care Provider (PCP)</v>
          </cell>
          <cell r="M2932" t="str">
            <v>No</v>
          </cell>
          <cell r="R2932" t="str">
            <v>BAKAR MELISSA</v>
          </cell>
          <cell r="W2932" t="str">
            <v>BAKAR MELISSA M MD</v>
          </cell>
          <cell r="X2932" t="str">
            <v>622 W 168TH ST</v>
          </cell>
          <cell r="Y2932" t="str">
            <v>NEW YORK</v>
          </cell>
          <cell r="Z2932" t="str">
            <v>NY</v>
          </cell>
          <cell r="AA2932" t="str">
            <v>10032-3720</v>
          </cell>
          <cell r="AB2932" t="str">
            <v>PHYSICIAN</v>
          </cell>
          <cell r="AC2932" t="str">
            <v>M</v>
          </cell>
          <cell r="AD2932" t="str">
            <v>No</v>
          </cell>
          <cell r="AE2932" t="str">
            <v>MMIS</v>
          </cell>
          <cell r="AF2932" t="str">
            <v>nypwestcampus</v>
          </cell>
          <cell r="AG2932" t="str">
            <v>P</v>
          </cell>
        </row>
        <row r="2933">
          <cell r="A2933" t="str">
            <v>1740286574</v>
          </cell>
          <cell r="C2933" t="str">
            <v>Inglese Mario</v>
          </cell>
          <cell r="G2933" t="str">
            <v>Kathryn Spaziani</v>
          </cell>
          <cell r="H2933" t="str">
            <v>(212) 305-1255</v>
          </cell>
          <cell r="J2933" t="str">
            <v>kas9171@nyp.org</v>
          </cell>
          <cell r="K2933" t="str">
            <v>Physician</v>
          </cell>
          <cell r="L2933" t="str">
            <v>Uncategorized</v>
          </cell>
          <cell r="M2933" t="str">
            <v>No</v>
          </cell>
          <cell r="R2933" t="str">
            <v>INGLESE MARIO</v>
          </cell>
          <cell r="S2933" t="str">
            <v>300 COMMUNITY DR</v>
          </cell>
          <cell r="T2933" t="str">
            <v>MANHASSET</v>
          </cell>
          <cell r="U2933" t="str">
            <v>NY</v>
          </cell>
          <cell r="V2933" t="str">
            <v>110303816</v>
          </cell>
          <cell r="AC2933" t="str">
            <v>M</v>
          </cell>
          <cell r="AD2933" t="str">
            <v>No</v>
          </cell>
          <cell r="AE2933" t="str">
            <v>NPI only</v>
          </cell>
          <cell r="AF2933" t="str">
            <v>nypother</v>
          </cell>
          <cell r="AG2933" t="str">
            <v>P</v>
          </cell>
        </row>
        <row r="2934">
          <cell r="A2934" t="str">
            <v>1740244771</v>
          </cell>
          <cell r="B2934" t="str">
            <v>02132841</v>
          </cell>
          <cell r="C2934" t="str">
            <v>Kushnerik Vadim</v>
          </cell>
          <cell r="D2934" t="str">
            <v>E0086786</v>
          </cell>
          <cell r="E2934" t="str">
            <v>KUSHNERIK VADIM MD</v>
          </cell>
          <cell r="L2934" t="str">
            <v>All Other:: Practitioner - Non-Primary Care Provider (PCP)</v>
          </cell>
          <cell r="M2934" t="str">
            <v>No</v>
          </cell>
          <cell r="R2934" t="str">
            <v>KUSHNERIK VADIM</v>
          </cell>
          <cell r="W2934" t="str">
            <v>KUSHNERIK VADIM MD</v>
          </cell>
          <cell r="X2934" t="str">
            <v>NYU DOWNTOWN ANESTH</v>
          </cell>
          <cell r="Y2934" t="str">
            <v>NEW YORK</v>
          </cell>
          <cell r="Z2934" t="str">
            <v>NY</v>
          </cell>
          <cell r="AA2934" t="str">
            <v>10038-2649</v>
          </cell>
          <cell r="AB2934" t="str">
            <v>PHYSICIAN</v>
          </cell>
          <cell r="AC2934" t="str">
            <v>M</v>
          </cell>
          <cell r="AD2934" t="str">
            <v>No</v>
          </cell>
          <cell r="AE2934" t="str">
            <v>MMIS</v>
          </cell>
          <cell r="AG2934" t="str">
            <v>P</v>
          </cell>
        </row>
        <row r="2935">
          <cell r="A2935" t="str">
            <v>1235239153</v>
          </cell>
          <cell r="B2935" t="str">
            <v>02987777</v>
          </cell>
          <cell r="C2935" t="str">
            <v>Kwon Ryan</v>
          </cell>
          <cell r="D2935" t="str">
            <v>E0007270</v>
          </cell>
          <cell r="E2935" t="str">
            <v>KWON RYAN H DO</v>
          </cell>
          <cell r="L2935" t="str">
            <v>All Other:: Practitioner - Non-Primary Care Provider (PCP)</v>
          </cell>
          <cell r="M2935" t="str">
            <v>No</v>
          </cell>
          <cell r="R2935" t="str">
            <v>KWON RYAN DR.</v>
          </cell>
          <cell r="W2935" t="str">
            <v>KWON RYAN H DO</v>
          </cell>
          <cell r="X2935" t="str">
            <v>450 CLARKSON AVE</v>
          </cell>
          <cell r="Y2935" t="str">
            <v>BROOKLYN</v>
          </cell>
          <cell r="Z2935" t="str">
            <v>NY</v>
          </cell>
          <cell r="AA2935" t="str">
            <v>11203-2056</v>
          </cell>
          <cell r="AB2935" t="str">
            <v>PHYSICIAN</v>
          </cell>
          <cell r="AC2935" t="str">
            <v>M</v>
          </cell>
          <cell r="AD2935" t="str">
            <v>No</v>
          </cell>
          <cell r="AE2935" t="str">
            <v>MMIS</v>
          </cell>
          <cell r="AG2935" t="str">
            <v>P</v>
          </cell>
        </row>
        <row r="2936">
          <cell r="A2936" t="str">
            <v>1669612206</v>
          </cell>
          <cell r="B2936" t="str">
            <v>03822382</v>
          </cell>
          <cell r="C2936" t="str">
            <v>Levy Tal</v>
          </cell>
          <cell r="D2936" t="str">
            <v>E0373090</v>
          </cell>
          <cell r="E2936" t="str">
            <v>LEVY TAL S M</v>
          </cell>
          <cell r="L2936" t="str">
            <v>All Other:: Practitioner - Non-Primary Care Provider (PCP)</v>
          </cell>
          <cell r="M2936" t="str">
            <v>No</v>
          </cell>
          <cell r="R2936" t="str">
            <v>LEVY TAL DR.</v>
          </cell>
          <cell r="W2936" t="str">
            <v>LEVY TAL S M</v>
          </cell>
          <cell r="X2936" t="str">
            <v>525 E 68TH ST ANESTHESIOLOGY</v>
          </cell>
          <cell r="Y2936" t="str">
            <v>NEW YORK</v>
          </cell>
          <cell r="Z2936" t="str">
            <v>NY</v>
          </cell>
          <cell r="AA2936" t="str">
            <v>10065-4870</v>
          </cell>
          <cell r="AB2936" t="str">
            <v>PHYSICIAN</v>
          </cell>
          <cell r="AC2936" t="str">
            <v>M</v>
          </cell>
          <cell r="AD2936" t="str">
            <v>No</v>
          </cell>
          <cell r="AE2936" t="str">
            <v>MMIS</v>
          </cell>
          <cell r="AF2936" t="str">
            <v>nypeastcampus</v>
          </cell>
          <cell r="AG2936" t="str">
            <v>P</v>
          </cell>
        </row>
        <row r="2937">
          <cell r="A2937" t="str">
            <v>1578642054</v>
          </cell>
          <cell r="B2937" t="str">
            <v>01303502</v>
          </cell>
          <cell r="C2937" t="str">
            <v>FOUNTAIN HOUSE, INC.</v>
          </cell>
          <cell r="D2937" t="str">
            <v>E0169566</v>
          </cell>
          <cell r="E2937" t="str">
            <v>FOUNTAIN HOUSE,INC.</v>
          </cell>
          <cell r="L2937" t="str">
            <v>Mental Health</v>
          </cell>
          <cell r="M2937" t="str">
            <v>Yes</v>
          </cell>
          <cell r="R2937" t="str">
            <v>FOUNTAIN HOUSE, INC.</v>
          </cell>
          <cell r="W2937" t="str">
            <v>FOUNTAIN HOUSE,INC.</v>
          </cell>
          <cell r="X2937" t="str">
            <v>A/6110433-FOUN.HSE</v>
          </cell>
          <cell r="Y2937" t="str">
            <v>NEW YORK</v>
          </cell>
          <cell r="Z2937" t="str">
            <v>NY</v>
          </cell>
          <cell r="AA2937" t="str">
            <v>10036-2304</v>
          </cell>
          <cell r="AB2937" t="str">
            <v>HOME HEALTH AGENCY</v>
          </cell>
          <cell r="AC2937" t="str">
            <v>M</v>
          </cell>
          <cell r="AD2937" t="str">
            <v>No</v>
          </cell>
          <cell r="AE2937" t="str">
            <v>MMIS</v>
          </cell>
          <cell r="AG2937" t="str">
            <v>P</v>
          </cell>
        </row>
        <row r="2938">
          <cell r="A2938" t="str">
            <v>1306174123</v>
          </cell>
          <cell r="C2938" t="str">
            <v>NEW YORK CENTER FOR CHILD DEVELOPMENT</v>
          </cell>
          <cell r="K2938" t="str">
            <v>OMH</v>
          </cell>
          <cell r="L2938" t="str">
            <v>Uncategorized</v>
          </cell>
          <cell r="M2938" t="str">
            <v>No</v>
          </cell>
          <cell r="R2938" t="str">
            <v>NEW YORK CENTER FOR CHILD DEVELOPMENT</v>
          </cell>
          <cell r="S2938" t="str">
            <v>328 E 62ND ST</v>
          </cell>
          <cell r="T2938" t="str">
            <v>NEW YORK</v>
          </cell>
          <cell r="U2938" t="str">
            <v>NY</v>
          </cell>
          <cell r="V2938" t="str">
            <v>100658206</v>
          </cell>
          <cell r="AC2938" t="str">
            <v>M</v>
          </cell>
          <cell r="AD2938" t="str">
            <v>No</v>
          </cell>
          <cell r="AE2938" t="str">
            <v>NPI only</v>
          </cell>
          <cell r="AG2938" t="str">
            <v>P</v>
          </cell>
        </row>
        <row r="2939">
          <cell r="A2939" t="str">
            <v>1962791517</v>
          </cell>
          <cell r="C2939" t="str">
            <v>Pfeiffer Thomas</v>
          </cell>
          <cell r="G2939" t="str">
            <v>Kathryn Spaziani</v>
          </cell>
          <cell r="H2939" t="str">
            <v>(212) 305-1255</v>
          </cell>
          <cell r="J2939" t="str">
            <v>kas9171@nyp.org</v>
          </cell>
          <cell r="K2939" t="str">
            <v>Physician</v>
          </cell>
          <cell r="L2939" t="str">
            <v>Uncategorized</v>
          </cell>
          <cell r="M2939" t="str">
            <v>No</v>
          </cell>
          <cell r="R2939" t="str">
            <v>PFEIFFER THOMAS DR.</v>
          </cell>
          <cell r="S2939" t="str">
            <v>1 BETHLEHEM PLZ, SUITE 506</v>
          </cell>
          <cell r="T2939" t="str">
            <v>BETHLEHEM</v>
          </cell>
          <cell r="U2939" t="str">
            <v>PA</v>
          </cell>
          <cell r="V2939" t="str">
            <v>180185754</v>
          </cell>
          <cell r="AC2939" t="str">
            <v>M</v>
          </cell>
          <cell r="AD2939" t="str">
            <v>No</v>
          </cell>
          <cell r="AE2939" t="str">
            <v>NPI only</v>
          </cell>
          <cell r="AF2939" t="str">
            <v>nypwestcampus</v>
          </cell>
          <cell r="AG2939" t="str">
            <v>P</v>
          </cell>
        </row>
        <row r="2940">
          <cell r="A2940" t="str">
            <v>1225328495</v>
          </cell>
          <cell r="C2940" t="str">
            <v>Prin Meghan</v>
          </cell>
          <cell r="G2940" t="str">
            <v>Kathryn Spaziani</v>
          </cell>
          <cell r="H2940" t="str">
            <v>(212) 305-1255</v>
          </cell>
          <cell r="J2940" t="str">
            <v>kas9171@nyp.org</v>
          </cell>
          <cell r="K2940" t="str">
            <v>Physician</v>
          </cell>
          <cell r="L2940" t="str">
            <v>Uncategorized</v>
          </cell>
          <cell r="M2940" t="str">
            <v>No</v>
          </cell>
          <cell r="R2940" t="str">
            <v>PRIN MEGHAN</v>
          </cell>
          <cell r="S2940" t="str">
            <v>622 W 168TH ST, DEPT ANESTHESIOLOGY PH-5, STERN RM 133</v>
          </cell>
          <cell r="T2940" t="str">
            <v>NEW YORK</v>
          </cell>
          <cell r="U2940" t="str">
            <v>NY</v>
          </cell>
          <cell r="V2940" t="str">
            <v>100323720</v>
          </cell>
          <cell r="AC2940" t="str">
            <v>M</v>
          </cell>
          <cell r="AD2940" t="str">
            <v>No</v>
          </cell>
          <cell r="AE2940" t="str">
            <v>NPI only</v>
          </cell>
          <cell r="AF2940" t="str">
            <v>nypwestcampus</v>
          </cell>
          <cell r="AG2940" t="str">
            <v>P</v>
          </cell>
        </row>
        <row r="2941">
          <cell r="A2941" t="str">
            <v>1134541626</v>
          </cell>
          <cell r="B2941" t="str">
            <v>04135351</v>
          </cell>
          <cell r="C2941" t="str">
            <v>AIDS HEALTHCARE FOUNDATION</v>
          </cell>
          <cell r="D2941" t="str">
            <v>E0405289</v>
          </cell>
          <cell r="E2941" t="str">
            <v>AIDS HEALTHCARE FOUNDATION</v>
          </cell>
          <cell r="L2941" t="str">
            <v>Pharmacy</v>
          </cell>
          <cell r="M2941" t="str">
            <v>No</v>
          </cell>
          <cell r="R2941" t="str">
            <v>AIDS HEALTHCARE FOUNDATION</v>
          </cell>
          <cell r="W2941" t="str">
            <v>AIDS HEALTHCARE FOUNDATION</v>
          </cell>
          <cell r="X2941" t="str">
            <v>475 ATLANTIC AVE</v>
          </cell>
          <cell r="Y2941" t="str">
            <v>BROOKLYN</v>
          </cell>
          <cell r="Z2941" t="str">
            <v>NY</v>
          </cell>
          <cell r="AA2941" t="str">
            <v>11217-1812</v>
          </cell>
          <cell r="AB2941" t="str">
            <v>PHARMACY</v>
          </cell>
          <cell r="AC2941" t="str">
            <v>M</v>
          </cell>
          <cell r="AD2941" t="str">
            <v>No</v>
          </cell>
          <cell r="AE2941" t="str">
            <v>MMIS</v>
          </cell>
          <cell r="AG2941" t="str">
            <v>P</v>
          </cell>
        </row>
        <row r="2942">
          <cell r="C2942" t="str">
            <v>Fort George Community Enrichment Center</v>
          </cell>
          <cell r="K2942" t="str">
            <v>Community Advocacy and Support</v>
          </cell>
          <cell r="L2942" t="str">
            <v>CBO</v>
          </cell>
          <cell r="M2942" t="str">
            <v>No</v>
          </cell>
          <cell r="P2942" t="str">
            <v>NY</v>
          </cell>
          <cell r="AC2942" t="str">
            <v>M</v>
          </cell>
          <cell r="AD2942" t="str">
            <v>No</v>
          </cell>
          <cell r="AE2942" t="str">
            <v>No NPI or MMIS</v>
          </cell>
          <cell r="AG2942" t="str">
            <v>P</v>
          </cell>
        </row>
        <row r="2943">
          <cell r="A2943" t="str">
            <v>1538396148</v>
          </cell>
          <cell r="B2943" t="str">
            <v>03651085</v>
          </cell>
          <cell r="C2943" t="str">
            <v>Hampton, Elisa Padilla</v>
          </cell>
          <cell r="D2943" t="str">
            <v>E0355579</v>
          </cell>
          <cell r="E2943" t="str">
            <v>HAMPTON ELISA PADILLA</v>
          </cell>
          <cell r="G2943" t="str">
            <v>Kathryn Spaziani</v>
          </cell>
          <cell r="H2943" t="str">
            <v>(212) 305-1190</v>
          </cell>
          <cell r="J2943" t="str">
            <v>kas9171@nyp.org</v>
          </cell>
          <cell r="L2943" t="str">
            <v>All Other:: Practitioner - Primary Care Provider (PCP)</v>
          </cell>
          <cell r="M2943" t="str">
            <v>No</v>
          </cell>
          <cell r="R2943" t="str">
            <v>HAMPTON ELISA</v>
          </cell>
          <cell r="W2943" t="str">
            <v>HAMPTON ELISA PADILLA</v>
          </cell>
          <cell r="X2943" t="str">
            <v>525 E 68TH ST</v>
          </cell>
          <cell r="Y2943" t="str">
            <v>NEW YORK</v>
          </cell>
          <cell r="Z2943" t="str">
            <v>NY</v>
          </cell>
          <cell r="AA2943" t="str">
            <v>10065-4870</v>
          </cell>
          <cell r="AB2943" t="str">
            <v>PHYSICIAN</v>
          </cell>
          <cell r="AC2943" t="str">
            <v>M</v>
          </cell>
          <cell r="AD2943" t="str">
            <v>No</v>
          </cell>
          <cell r="AE2943" t="str">
            <v>MMIS</v>
          </cell>
          <cell r="AF2943" t="str">
            <v>nypeastacn</v>
          </cell>
          <cell r="AG2943" t="str">
            <v>P</v>
          </cell>
        </row>
        <row r="2944">
          <cell r="A2944" t="str">
            <v>1871522706</v>
          </cell>
          <cell r="B2944" t="str">
            <v>03573080</v>
          </cell>
          <cell r="C2944" t="str">
            <v>Toni Otello</v>
          </cell>
          <cell r="D2944" t="str">
            <v>E0347403</v>
          </cell>
          <cell r="E2944" t="str">
            <v>OTELLO TONI ANNE</v>
          </cell>
          <cell r="G2944" t="str">
            <v>Eva Eng</v>
          </cell>
          <cell r="H2944" t="str">
            <v>(212) 752-5018</v>
          </cell>
          <cell r="J2944" t="str">
            <v>eeng@archcare.org</v>
          </cell>
          <cell r="L2944" t="str">
            <v>Practitioner - Non-Primary Care Provider (PCP)</v>
          </cell>
          <cell r="M2944" t="str">
            <v>No</v>
          </cell>
          <cell r="R2944" t="str">
            <v>OTELLO TONI</v>
          </cell>
          <cell r="W2944" t="str">
            <v>OTELLO TONI ANNE</v>
          </cell>
          <cell r="X2944" t="str">
            <v>420 LEXINGTON AVE STE 1644</v>
          </cell>
          <cell r="Y2944" t="str">
            <v>NEW YORK</v>
          </cell>
          <cell r="Z2944" t="str">
            <v>NY</v>
          </cell>
          <cell r="AA2944" t="str">
            <v>10170-1699</v>
          </cell>
          <cell r="AB2944" t="str">
            <v>PHYSICIAN</v>
          </cell>
          <cell r="AC2944" t="str">
            <v>M</v>
          </cell>
          <cell r="AD2944" t="str">
            <v>No</v>
          </cell>
          <cell r="AE2944" t="str">
            <v>MMIS</v>
          </cell>
          <cell r="AG2944" t="str">
            <v>P</v>
          </cell>
        </row>
        <row r="2945">
          <cell r="A2945" t="str">
            <v>1740340942</v>
          </cell>
          <cell r="B2945" t="str">
            <v>00160870</v>
          </cell>
          <cell r="C2945" t="str">
            <v>Marvin Teich</v>
          </cell>
          <cell r="D2945" t="str">
            <v>E0278099</v>
          </cell>
          <cell r="E2945" t="str">
            <v>TEICH MARVIN L MD</v>
          </cell>
          <cell r="G2945" t="str">
            <v>Eva Eng</v>
          </cell>
          <cell r="H2945" t="str">
            <v>(212) 752-5019</v>
          </cell>
          <cell r="J2945" t="str">
            <v>eeng@archcare.org</v>
          </cell>
          <cell r="L2945" t="str">
            <v>All Other:: Practitioner - Primary Care Provider (PCP)</v>
          </cell>
          <cell r="M2945" t="str">
            <v>Yes</v>
          </cell>
          <cell r="R2945" t="str">
            <v>TEICH MARVIN</v>
          </cell>
          <cell r="W2945" t="str">
            <v>TEICH MARVIN L MD</v>
          </cell>
          <cell r="X2945" t="str">
            <v>665 THWAITES PL</v>
          </cell>
          <cell r="Y2945" t="str">
            <v>BRONX</v>
          </cell>
          <cell r="Z2945" t="str">
            <v>NY</v>
          </cell>
          <cell r="AA2945" t="str">
            <v>10467-7947</v>
          </cell>
          <cell r="AB2945" t="str">
            <v>PHYSICIAN</v>
          </cell>
          <cell r="AC2945" t="str">
            <v>M</v>
          </cell>
          <cell r="AD2945" t="str">
            <v>No</v>
          </cell>
          <cell r="AE2945" t="str">
            <v>MMIS</v>
          </cell>
          <cell r="AG2945" t="str">
            <v>P</v>
          </cell>
        </row>
        <row r="2946">
          <cell r="A2946" t="str">
            <v>1437492972</v>
          </cell>
          <cell r="C2946" t="str">
            <v>Coffey Kristen</v>
          </cell>
          <cell r="G2946" t="str">
            <v>Kathryn Spaziani</v>
          </cell>
          <cell r="H2946" t="str">
            <v>(212) 305-1255</v>
          </cell>
          <cell r="J2946" t="str">
            <v>kas9171@nyp.org</v>
          </cell>
          <cell r="K2946" t="str">
            <v>Physician</v>
          </cell>
          <cell r="L2946" t="str">
            <v>Uncategorized</v>
          </cell>
          <cell r="M2946" t="str">
            <v>No</v>
          </cell>
          <cell r="R2946" t="str">
            <v>COFFEY KRISTEN</v>
          </cell>
          <cell r="S2946" t="str">
            <v>353 E 17TH ST, 2ND FLOOR RM 223</v>
          </cell>
          <cell r="T2946" t="str">
            <v>NEW YORK</v>
          </cell>
          <cell r="U2946" t="str">
            <v>NY</v>
          </cell>
          <cell r="V2946" t="str">
            <v>100033821</v>
          </cell>
          <cell r="AC2946" t="str">
            <v>M</v>
          </cell>
          <cell r="AD2946" t="str">
            <v>No</v>
          </cell>
          <cell r="AE2946" t="str">
            <v>NPI only</v>
          </cell>
          <cell r="AF2946" t="str">
            <v>nypeastcampus</v>
          </cell>
          <cell r="AG2946" t="str">
            <v>P</v>
          </cell>
        </row>
        <row r="2947">
          <cell r="A2947" t="str">
            <v>1467719294</v>
          </cell>
          <cell r="C2947" t="str">
            <v>Dashevsky Brittany</v>
          </cell>
          <cell r="G2947" t="str">
            <v>Kathryn Spaziani</v>
          </cell>
          <cell r="H2947" t="str">
            <v>(212) 305-1255</v>
          </cell>
          <cell r="J2947" t="str">
            <v>kas9171@nyp.org</v>
          </cell>
          <cell r="K2947" t="str">
            <v>Physician</v>
          </cell>
          <cell r="L2947" t="str">
            <v>Uncategorized</v>
          </cell>
          <cell r="M2947" t="str">
            <v>No</v>
          </cell>
          <cell r="R2947" t="str">
            <v>DASHEVSKY BRITTANY</v>
          </cell>
          <cell r="S2947" t="str">
            <v>5841 S MARYLAND AVE, MC2026</v>
          </cell>
          <cell r="T2947" t="str">
            <v>CHICAGO</v>
          </cell>
          <cell r="U2947" t="str">
            <v>IL</v>
          </cell>
          <cell r="V2947" t="str">
            <v>606371447</v>
          </cell>
          <cell r="AC2947" t="str">
            <v>M</v>
          </cell>
          <cell r="AD2947" t="str">
            <v>No</v>
          </cell>
          <cell r="AE2947" t="str">
            <v>NPI only</v>
          </cell>
          <cell r="AF2947" t="str">
            <v>nypother</v>
          </cell>
          <cell r="AG2947" t="str">
            <v>P</v>
          </cell>
        </row>
        <row r="2948">
          <cell r="A2948" t="str">
            <v>1386972339</v>
          </cell>
          <cell r="B2948" t="str">
            <v>03197284</v>
          </cell>
          <cell r="C2948" t="str">
            <v>27 AUDUBON PHARMACY CORP.</v>
          </cell>
          <cell r="D2948" t="str">
            <v>E0304189</v>
          </cell>
          <cell r="E2948" t="str">
            <v>27 AUDUBON PHARMACY CORP</v>
          </cell>
          <cell r="L2948" t="str">
            <v>Pharmacy</v>
          </cell>
          <cell r="M2948" t="str">
            <v>Yes</v>
          </cell>
          <cell r="R2948" t="str">
            <v>27 AUDUBON PHARMACY CORP</v>
          </cell>
          <cell r="W2948" t="str">
            <v>27 AUDUBON PHARMACY CORP</v>
          </cell>
          <cell r="X2948" t="str">
            <v>27 AUDUBON AVE</v>
          </cell>
          <cell r="Y2948" t="str">
            <v>NEW YORK</v>
          </cell>
          <cell r="Z2948" t="str">
            <v>NY</v>
          </cell>
          <cell r="AA2948" t="str">
            <v>10032-2241</v>
          </cell>
          <cell r="AB2948" t="str">
            <v>PHARMACY</v>
          </cell>
          <cell r="AC2948" t="str">
            <v>M</v>
          </cell>
          <cell r="AD2948" t="str">
            <v>No</v>
          </cell>
          <cell r="AE2948" t="str">
            <v>MMIS</v>
          </cell>
          <cell r="AG2948" t="str">
            <v>P</v>
          </cell>
        </row>
        <row r="2949">
          <cell r="A2949" t="str">
            <v>1235486002</v>
          </cell>
          <cell r="B2949" t="str">
            <v>03498368</v>
          </cell>
          <cell r="C2949" t="str">
            <v>Judith Sanders</v>
          </cell>
          <cell r="D2949" t="str">
            <v>E0339407</v>
          </cell>
          <cell r="E2949" t="str">
            <v>SANDERS JUDITH LYNN</v>
          </cell>
          <cell r="L2949" t="str">
            <v>All Other:: Practitioner - Primary Care Provider (PCP)</v>
          </cell>
          <cell r="M2949" t="str">
            <v>Yes</v>
          </cell>
          <cell r="R2949" t="str">
            <v>SANDERS JUDITH MISS</v>
          </cell>
          <cell r="W2949" t="str">
            <v>SANDERS JUDITH LYNN</v>
          </cell>
          <cell r="X2949" t="str">
            <v>9498 MANHATTAN AVENUE</v>
          </cell>
          <cell r="Y2949" t="str">
            <v>BROOKLYN</v>
          </cell>
          <cell r="Z2949" t="str">
            <v>NY</v>
          </cell>
          <cell r="AA2949" t="str">
            <v>11206-2505</v>
          </cell>
          <cell r="AB2949" t="str">
            <v>PHYSICIAN</v>
          </cell>
          <cell r="AC2949" t="str">
            <v>M</v>
          </cell>
          <cell r="AD2949" t="str">
            <v>No</v>
          </cell>
          <cell r="AE2949" t="str">
            <v>MMIS</v>
          </cell>
          <cell r="AG2949" t="str">
            <v>P</v>
          </cell>
        </row>
        <row r="2950">
          <cell r="A2950" t="str">
            <v>1245660273</v>
          </cell>
          <cell r="B2950" t="str">
            <v>03970207</v>
          </cell>
          <cell r="C2950" t="str">
            <v>Lana Blidnaya</v>
          </cell>
          <cell r="D2950" t="str">
            <v>E0388337</v>
          </cell>
          <cell r="E2950" t="str">
            <v>BLIDNAYA LANA</v>
          </cell>
          <cell r="G2950" t="str">
            <v>Kathryn Spaziani</v>
          </cell>
          <cell r="H2950" t="str">
            <v>(212) 305-1255</v>
          </cell>
          <cell r="J2950" t="str">
            <v>kas9171@nyp.org</v>
          </cell>
          <cell r="L2950" t="str">
            <v>All Other:: Practitioner - Primary Care Provider (PCP)</v>
          </cell>
          <cell r="M2950" t="str">
            <v>No</v>
          </cell>
          <cell r="R2950" t="str">
            <v>BLIDNAYA LANA</v>
          </cell>
          <cell r="W2950" t="str">
            <v>BLIDNAYA LANA</v>
          </cell>
          <cell r="X2950" t="str">
            <v>999 BLAKE AVE</v>
          </cell>
          <cell r="Y2950" t="str">
            <v>BROOKLYN</v>
          </cell>
          <cell r="Z2950" t="str">
            <v>NY</v>
          </cell>
          <cell r="AA2950" t="str">
            <v>11208-3535</v>
          </cell>
          <cell r="AB2950" t="str">
            <v>PHYSICIAN</v>
          </cell>
          <cell r="AC2950" t="str">
            <v>M</v>
          </cell>
          <cell r="AD2950" t="str">
            <v>No</v>
          </cell>
          <cell r="AE2950" t="str">
            <v>MMIS</v>
          </cell>
          <cell r="AF2950" t="str">
            <v>nypother</v>
          </cell>
          <cell r="AG2950" t="str">
            <v>P</v>
          </cell>
        </row>
        <row r="2951">
          <cell r="A2951" t="str">
            <v>1689867251</v>
          </cell>
          <cell r="B2951" t="str">
            <v>02229270</v>
          </cell>
          <cell r="C2951" t="str">
            <v>Alabre Frantzces</v>
          </cell>
          <cell r="D2951" t="str">
            <v>E0077162</v>
          </cell>
          <cell r="E2951" t="str">
            <v>ALABRE FRANTZCES MARIE</v>
          </cell>
          <cell r="L2951" t="str">
            <v>All Other:: Practitioner - Non-Primary Care Provider (PCP)</v>
          </cell>
          <cell r="M2951" t="str">
            <v>No</v>
          </cell>
          <cell r="R2951" t="str">
            <v>ALABRE FRANTZCES MRS.</v>
          </cell>
          <cell r="W2951" t="str">
            <v>ALABRE FRANTZCES MARIE</v>
          </cell>
          <cell r="X2951" t="str">
            <v>301 E 17TH ST</v>
          </cell>
          <cell r="Y2951" t="str">
            <v>NEW YORK</v>
          </cell>
          <cell r="Z2951" t="str">
            <v>NY</v>
          </cell>
          <cell r="AA2951" t="str">
            <v>10003-3804</v>
          </cell>
          <cell r="AB2951" t="str">
            <v>PHYSICIAN</v>
          </cell>
          <cell r="AC2951" t="str">
            <v>M</v>
          </cell>
          <cell r="AD2951" t="str">
            <v>No</v>
          </cell>
          <cell r="AE2951" t="str">
            <v>MMIS</v>
          </cell>
          <cell r="AF2951" t="str">
            <v>nypeastcampus</v>
          </cell>
          <cell r="AG2951" t="str">
            <v>P</v>
          </cell>
        </row>
        <row r="2952">
          <cell r="A2952" t="str">
            <v>1235141532</v>
          </cell>
          <cell r="B2952" t="str">
            <v>01553731</v>
          </cell>
          <cell r="C2952" t="str">
            <v>Lahm Daniel</v>
          </cell>
          <cell r="D2952" t="str">
            <v>E0144624</v>
          </cell>
          <cell r="E2952" t="str">
            <v>LAHM DANIEL M III MD</v>
          </cell>
          <cell r="L2952" t="str">
            <v>All Other:: Practitioner - Non-Primary Care Provider (PCP)</v>
          </cell>
          <cell r="M2952" t="str">
            <v>No</v>
          </cell>
          <cell r="R2952" t="str">
            <v>LAHM DANIEL DR.</v>
          </cell>
          <cell r="W2952" t="str">
            <v>LAHM DANIEL M III MD</v>
          </cell>
          <cell r="X2952" t="str">
            <v>NY DOWNTOWN HSP</v>
          </cell>
          <cell r="Y2952" t="str">
            <v>NEW YORK</v>
          </cell>
          <cell r="Z2952" t="str">
            <v>NY</v>
          </cell>
          <cell r="AA2952" t="str">
            <v>10038-2649</v>
          </cell>
          <cell r="AB2952" t="str">
            <v>PHYSICIAN</v>
          </cell>
          <cell r="AC2952" t="str">
            <v>M</v>
          </cell>
          <cell r="AD2952" t="str">
            <v>No</v>
          </cell>
          <cell r="AE2952" t="str">
            <v>MMIS</v>
          </cell>
          <cell r="AF2952" t="str">
            <v>nypeastcampus</v>
          </cell>
          <cell r="AG2952" t="str">
            <v>P</v>
          </cell>
        </row>
        <row r="2953">
          <cell r="A2953" t="str">
            <v>1982842795</v>
          </cell>
          <cell r="B2953" t="str">
            <v>03348065</v>
          </cell>
          <cell r="C2953" t="str">
            <v>Mazzeo Maria</v>
          </cell>
          <cell r="D2953" t="str">
            <v>E0321167</v>
          </cell>
          <cell r="E2953" t="str">
            <v>MAZZEO MARIA</v>
          </cell>
          <cell r="L2953" t="str">
            <v>All Other:: Practitioner - Non-Primary Care Provider (PCP)</v>
          </cell>
          <cell r="M2953" t="str">
            <v>No</v>
          </cell>
          <cell r="R2953" t="str">
            <v>MAZZEO MARIA DR.</v>
          </cell>
          <cell r="W2953" t="str">
            <v>MAZZEO MARIA</v>
          </cell>
          <cell r="X2953" t="str">
            <v>525 E 68TH ST</v>
          </cell>
          <cell r="Y2953" t="str">
            <v>NEW YORK</v>
          </cell>
          <cell r="Z2953" t="str">
            <v>NY</v>
          </cell>
          <cell r="AA2953" t="str">
            <v>10065-4870</v>
          </cell>
          <cell r="AB2953" t="str">
            <v>PHYSICIAN</v>
          </cell>
          <cell r="AC2953" t="str">
            <v>M</v>
          </cell>
          <cell r="AD2953" t="str">
            <v>No</v>
          </cell>
          <cell r="AE2953" t="str">
            <v>MMIS</v>
          </cell>
          <cell r="AG2953" t="str">
            <v>P</v>
          </cell>
        </row>
        <row r="2954">
          <cell r="A2954" t="str">
            <v>1457503559</v>
          </cell>
          <cell r="C2954" t="str">
            <v>Scheidler Giovanna</v>
          </cell>
          <cell r="G2954" t="str">
            <v>Kathryn Spaziani</v>
          </cell>
          <cell r="H2954" t="str">
            <v>(212) 305-1255</v>
          </cell>
          <cell r="J2954" t="str">
            <v>kas9171@nyp.org</v>
          </cell>
          <cell r="K2954" t="str">
            <v>Physician</v>
          </cell>
          <cell r="L2954" t="str">
            <v>Uncategorized</v>
          </cell>
          <cell r="M2954" t="str">
            <v>No</v>
          </cell>
          <cell r="R2954" t="str">
            <v>SCHEIDLER GIOVANNA MRS.</v>
          </cell>
          <cell r="S2954" t="str">
            <v>525 E 68TH ST</v>
          </cell>
          <cell r="T2954" t="str">
            <v>NEW YORK</v>
          </cell>
          <cell r="U2954" t="str">
            <v>NY</v>
          </cell>
          <cell r="V2954" t="str">
            <v>100654870</v>
          </cell>
          <cell r="AC2954" t="str">
            <v>M</v>
          </cell>
          <cell r="AD2954" t="str">
            <v>No</v>
          </cell>
          <cell r="AE2954" t="str">
            <v>NPI only</v>
          </cell>
          <cell r="AF2954" t="str">
            <v>nypeastcampus</v>
          </cell>
          <cell r="AG2954" t="str">
            <v>P</v>
          </cell>
        </row>
        <row r="2955">
          <cell r="A2955" t="str">
            <v>1871932301</v>
          </cell>
          <cell r="B2955" t="str">
            <v>03990434</v>
          </cell>
          <cell r="C2955" t="str">
            <v>Shankar Samantha</v>
          </cell>
          <cell r="D2955" t="str">
            <v>E0390320</v>
          </cell>
          <cell r="E2955" t="str">
            <v>SHANKAR SAMANTHA G</v>
          </cell>
          <cell r="G2955" t="str">
            <v>Kathryn Spaziani</v>
          </cell>
          <cell r="H2955" t="str">
            <v>(212) 305-1255</v>
          </cell>
          <cell r="J2955" t="str">
            <v>kas9171@nyp.org</v>
          </cell>
          <cell r="L2955" t="str">
            <v>All Other:: Practitioner - Non-Primary Care Provider (PCP)</v>
          </cell>
          <cell r="M2955" t="str">
            <v>No</v>
          </cell>
          <cell r="R2955" t="str">
            <v>SHANKAR SAMANTHA</v>
          </cell>
          <cell r="W2955" t="str">
            <v>SHANKAR SAMANTHA G</v>
          </cell>
          <cell r="X2955" t="str">
            <v>55 PALMER AVE</v>
          </cell>
          <cell r="Y2955" t="str">
            <v>BRONXVILLE</v>
          </cell>
          <cell r="Z2955" t="str">
            <v>NY</v>
          </cell>
          <cell r="AA2955" t="str">
            <v>10708-3403</v>
          </cell>
          <cell r="AB2955" t="str">
            <v>PHYSICIAN</v>
          </cell>
          <cell r="AC2955" t="str">
            <v>M</v>
          </cell>
          <cell r="AD2955" t="str">
            <v>No</v>
          </cell>
          <cell r="AE2955" t="str">
            <v>MMIS</v>
          </cell>
          <cell r="AF2955" t="str">
            <v>nypwestcampus</v>
          </cell>
          <cell r="AG2955" t="str">
            <v>P</v>
          </cell>
        </row>
        <row r="2956">
          <cell r="A2956" t="str">
            <v>1891052544</v>
          </cell>
          <cell r="C2956" t="str">
            <v>Batt Dorian</v>
          </cell>
          <cell r="G2956" t="str">
            <v>Kathryn Spaziani</v>
          </cell>
          <cell r="H2956" t="str">
            <v>(212) 305-1255</v>
          </cell>
          <cell r="J2956" t="str">
            <v>kas9171@nyp.org</v>
          </cell>
          <cell r="K2956" t="str">
            <v>Physician</v>
          </cell>
          <cell r="L2956" t="str">
            <v>Uncategorized</v>
          </cell>
          <cell r="M2956" t="str">
            <v>No</v>
          </cell>
          <cell r="R2956" t="str">
            <v>BATT DORIAN</v>
          </cell>
          <cell r="S2956" t="str">
            <v>525 E 68TH ST, ROOM M314</v>
          </cell>
          <cell r="T2956" t="str">
            <v>NEW YORK</v>
          </cell>
          <cell r="U2956" t="str">
            <v>NY</v>
          </cell>
          <cell r="V2956" t="str">
            <v>100654870</v>
          </cell>
          <cell r="AC2956" t="str">
            <v>M</v>
          </cell>
          <cell r="AD2956" t="str">
            <v>No</v>
          </cell>
          <cell r="AE2956" t="str">
            <v>NPI only</v>
          </cell>
          <cell r="AF2956" t="str">
            <v>nypeastcampus</v>
          </cell>
          <cell r="AG2956" t="str">
            <v>P</v>
          </cell>
        </row>
        <row r="2957">
          <cell r="A2957" t="str">
            <v>1467879460</v>
          </cell>
          <cell r="C2957" t="str">
            <v>Chang Connie</v>
          </cell>
          <cell r="G2957" t="str">
            <v>Kathryn Spaziani</v>
          </cell>
          <cell r="H2957" t="str">
            <v>(212) 305-1255</v>
          </cell>
          <cell r="J2957" t="str">
            <v>kas9171@nyp.org</v>
          </cell>
          <cell r="K2957" t="str">
            <v>Physician</v>
          </cell>
          <cell r="L2957" t="str">
            <v>Uncategorized</v>
          </cell>
          <cell r="M2957" t="str">
            <v>No</v>
          </cell>
          <cell r="R2957" t="str">
            <v>CHANG CONNIE</v>
          </cell>
          <cell r="S2957" t="str">
            <v>22 HEREFORD DR</v>
          </cell>
          <cell r="T2957" t="str">
            <v>PRINCETON JCT</v>
          </cell>
          <cell r="U2957" t="str">
            <v>NJ</v>
          </cell>
          <cell r="V2957" t="str">
            <v>085501513</v>
          </cell>
          <cell r="AC2957" t="str">
            <v>M</v>
          </cell>
          <cell r="AD2957" t="str">
            <v>No</v>
          </cell>
          <cell r="AE2957" t="str">
            <v>NPI only</v>
          </cell>
          <cell r="AF2957" t="str">
            <v>nypwestcampus</v>
          </cell>
          <cell r="AG2957" t="str">
            <v>P</v>
          </cell>
        </row>
        <row r="2958">
          <cell r="A2958" t="str">
            <v>1609294180</v>
          </cell>
          <cell r="C2958" t="str">
            <v>Chaponis Stephen</v>
          </cell>
          <cell r="G2958" t="str">
            <v>Kathryn Spaziani</v>
          </cell>
          <cell r="H2958" t="str">
            <v>(212) 305-1255</v>
          </cell>
          <cell r="J2958" t="str">
            <v>kas9171@nyp.org</v>
          </cell>
          <cell r="K2958" t="str">
            <v>Physician</v>
          </cell>
          <cell r="L2958" t="str">
            <v>Uncategorized</v>
          </cell>
          <cell r="M2958" t="str">
            <v>No</v>
          </cell>
          <cell r="R2958" t="str">
            <v>CHAPONIS STEPHEN</v>
          </cell>
          <cell r="S2958" t="str">
            <v>622 W 168TH ST, PH5-133</v>
          </cell>
          <cell r="T2958" t="str">
            <v>NEW YORK</v>
          </cell>
          <cell r="U2958" t="str">
            <v>NY</v>
          </cell>
          <cell r="V2958" t="str">
            <v>100323720</v>
          </cell>
          <cell r="AC2958" t="str">
            <v>M</v>
          </cell>
          <cell r="AD2958" t="str">
            <v>No</v>
          </cell>
          <cell r="AE2958" t="str">
            <v>NPI only</v>
          </cell>
          <cell r="AF2958" t="str">
            <v>nypwestcampus</v>
          </cell>
          <cell r="AG2958" t="str">
            <v>P</v>
          </cell>
        </row>
        <row r="2959">
          <cell r="A2959" t="str">
            <v>1619233855</v>
          </cell>
          <cell r="B2959" t="str">
            <v>04425687</v>
          </cell>
          <cell r="C2959" t="str">
            <v>Haralabakis Nicholas</v>
          </cell>
          <cell r="D2959" t="str">
            <v>E0435136</v>
          </cell>
          <cell r="E2959" t="str">
            <v>HARALABAKIS NICHOLAS ANTHONY</v>
          </cell>
          <cell r="G2959" t="str">
            <v>Kathryn Spaziani</v>
          </cell>
          <cell r="H2959" t="str">
            <v>(212) 305-1255</v>
          </cell>
          <cell r="J2959" t="str">
            <v>kas9171@nyp.org</v>
          </cell>
          <cell r="L2959" t="str">
            <v>Uncategorized</v>
          </cell>
          <cell r="M2959" t="str">
            <v>No</v>
          </cell>
          <cell r="R2959" t="str">
            <v>HARALABAKIS NICHOLAS DR.</v>
          </cell>
          <cell r="W2959" t="str">
            <v>HARALABAKIS NICHOLAS ANTHONY</v>
          </cell>
          <cell r="X2959" t="str">
            <v>525 E 68TH ST # A101</v>
          </cell>
          <cell r="Y2959" t="str">
            <v>NEW YORK</v>
          </cell>
          <cell r="Z2959" t="str">
            <v>NY</v>
          </cell>
          <cell r="AA2959" t="str">
            <v>10065-4870</v>
          </cell>
          <cell r="AB2959" t="str">
            <v>PHYSICIAN</v>
          </cell>
          <cell r="AC2959" t="str">
            <v>M</v>
          </cell>
          <cell r="AD2959" t="str">
            <v>No</v>
          </cell>
          <cell r="AE2959" t="str">
            <v>MMIS</v>
          </cell>
          <cell r="AF2959" t="str">
            <v>nypeastcampus</v>
          </cell>
          <cell r="AG2959" t="str">
            <v>P</v>
          </cell>
        </row>
        <row r="2960">
          <cell r="A2960" t="str">
            <v>1467871038</v>
          </cell>
          <cell r="C2960" t="str">
            <v>Hoffman Zachary</v>
          </cell>
          <cell r="G2960" t="str">
            <v>Kathryn Spaziani</v>
          </cell>
          <cell r="H2960" t="str">
            <v>(212) 305-1255</v>
          </cell>
          <cell r="J2960" t="str">
            <v>kas9171@nyp.org</v>
          </cell>
          <cell r="K2960" t="str">
            <v>Physician</v>
          </cell>
          <cell r="L2960" t="str">
            <v>Uncategorized</v>
          </cell>
          <cell r="M2960" t="str">
            <v>No</v>
          </cell>
          <cell r="R2960" t="str">
            <v>HOFFMAN ZACHARY</v>
          </cell>
          <cell r="S2960" t="str">
            <v>525 E 68TH ST # 124, ROOM M-312 (ANESTHESIOLOGY)</v>
          </cell>
          <cell r="T2960" t="str">
            <v>NEW YORK</v>
          </cell>
          <cell r="U2960" t="str">
            <v>NY</v>
          </cell>
          <cell r="V2960" t="str">
            <v>100654870</v>
          </cell>
          <cell r="AC2960" t="str">
            <v>M</v>
          </cell>
          <cell r="AD2960" t="str">
            <v>No</v>
          </cell>
          <cell r="AE2960" t="str">
            <v>NPI only</v>
          </cell>
          <cell r="AF2960" t="str">
            <v>nypeastcampus</v>
          </cell>
          <cell r="AG2960" t="str">
            <v>P</v>
          </cell>
        </row>
        <row r="2961">
          <cell r="A2961" t="str">
            <v>1396988697</v>
          </cell>
          <cell r="B2961" t="str">
            <v>03687170</v>
          </cell>
          <cell r="C2961" t="str">
            <v>CARSON, KATHERINE L</v>
          </cell>
          <cell r="D2961" t="str">
            <v>E0359209</v>
          </cell>
          <cell r="E2961" t="str">
            <v>CARSON KATHERINE</v>
          </cell>
          <cell r="G2961" t="str">
            <v>Kathryn Spaziani</v>
          </cell>
          <cell r="H2961" t="str">
            <v>(212) 305-1190</v>
          </cell>
          <cell r="J2961" t="str">
            <v>kas9171@nyp.org</v>
          </cell>
          <cell r="L2961" t="str">
            <v>All Other:: Practitioner - Primary Care Provider (PCP)</v>
          </cell>
          <cell r="M2961" t="str">
            <v>No</v>
          </cell>
          <cell r="R2961" t="str">
            <v>STRAUS KATHERINE</v>
          </cell>
          <cell r="W2961" t="str">
            <v>CARSON KATHERINE LECKER</v>
          </cell>
          <cell r="X2961" t="str">
            <v>622 W 168TH ST</v>
          </cell>
          <cell r="Y2961" t="str">
            <v>NEW YORK</v>
          </cell>
          <cell r="Z2961" t="str">
            <v>NY</v>
          </cell>
          <cell r="AA2961" t="str">
            <v>10032-3720</v>
          </cell>
          <cell r="AB2961" t="str">
            <v>PHYSICIAN</v>
          </cell>
          <cell r="AC2961" t="str">
            <v>M</v>
          </cell>
          <cell r="AD2961" t="str">
            <v>No</v>
          </cell>
          <cell r="AE2961" t="str">
            <v>MMIS</v>
          </cell>
          <cell r="AF2961" t="str">
            <v>nypwestcampus</v>
          </cell>
          <cell r="AG2961" t="str">
            <v>P</v>
          </cell>
        </row>
        <row r="2962">
          <cell r="C2962" t="str">
            <v>Fountain House, Inc</v>
          </cell>
          <cell r="G2962" t="str">
            <v xml:space="preserve">Kenn Dudek </v>
          </cell>
          <cell r="H2962" t="str">
            <v>(212) 582-0340</v>
          </cell>
          <cell r="J2962" t="str">
            <v>kdudek@fountainhouse.org</v>
          </cell>
          <cell r="K2962" t="str">
            <v>Community Advocacy and Support</v>
          </cell>
          <cell r="L2962" t="str">
            <v>CBO</v>
          </cell>
          <cell r="M2962" t="str">
            <v>No</v>
          </cell>
          <cell r="AC2962" t="str">
            <v>M</v>
          </cell>
          <cell r="AD2962" t="str">
            <v>No</v>
          </cell>
          <cell r="AE2962" t="str">
            <v>No NPI or MMIS</v>
          </cell>
          <cell r="AG2962" t="str">
            <v>P</v>
          </cell>
        </row>
        <row r="2963">
          <cell r="A2963" t="str">
            <v>1013293380</v>
          </cell>
          <cell r="B2963" t="str">
            <v>03550465</v>
          </cell>
          <cell r="C2963" t="str">
            <v>Kaplan, Rachel B.</v>
          </cell>
          <cell r="D2963" t="str">
            <v>E0344964</v>
          </cell>
          <cell r="E2963" t="str">
            <v>KAPLAN RACHEL BETH</v>
          </cell>
          <cell r="G2963" t="str">
            <v>Kathryn Spaziani</v>
          </cell>
          <cell r="H2963" t="str">
            <v>(212) 305-1190</v>
          </cell>
          <cell r="J2963" t="str">
            <v>kas9171@nyp.org</v>
          </cell>
          <cell r="L2963" t="str">
            <v>Mental Health:: Practitioner - Non-Primary Care Provider (PCP)</v>
          </cell>
          <cell r="M2963" t="str">
            <v>No</v>
          </cell>
          <cell r="R2963" t="str">
            <v>KAPLAN RACHEL MISS</v>
          </cell>
          <cell r="W2963" t="str">
            <v>KAPLAN RACHEL BETH</v>
          </cell>
          <cell r="X2963" t="str">
            <v>525 E 68TH ST</v>
          </cell>
          <cell r="Y2963" t="str">
            <v>NEW YORK</v>
          </cell>
          <cell r="Z2963" t="str">
            <v>NY</v>
          </cell>
          <cell r="AA2963" t="str">
            <v>10065-4870</v>
          </cell>
          <cell r="AB2963" t="str">
            <v>PHYSICIAN</v>
          </cell>
          <cell r="AC2963" t="str">
            <v>M</v>
          </cell>
          <cell r="AD2963" t="str">
            <v>No</v>
          </cell>
          <cell r="AE2963" t="str">
            <v>MMIS</v>
          </cell>
          <cell r="AF2963" t="str">
            <v>nypeastacn</v>
          </cell>
          <cell r="AG2963" t="str">
            <v>P</v>
          </cell>
        </row>
        <row r="2964">
          <cell r="A2964" t="str">
            <v>1003988718</v>
          </cell>
          <cell r="B2964" t="str">
            <v>02568349</v>
          </cell>
          <cell r="C2964" t="str">
            <v xml:space="preserve">ROBENZADEH - AZAR, ANGELA </v>
          </cell>
          <cell r="D2964" t="str">
            <v>E0043318</v>
          </cell>
          <cell r="E2964" t="str">
            <v>ROBENZADEH AZAR ANGELA MD</v>
          </cell>
          <cell r="G2964" t="str">
            <v>Kathryn Spaziani</v>
          </cell>
          <cell r="H2964" t="str">
            <v>(212) 305-1190</v>
          </cell>
          <cell r="J2964" t="str">
            <v>kas9171@nyp.org</v>
          </cell>
          <cell r="L2964" t="str">
            <v>All Other:: Practitioner - Non-Primary Care Provider (PCP)</v>
          </cell>
          <cell r="M2964" t="str">
            <v>No</v>
          </cell>
          <cell r="R2964" t="str">
            <v>AZAR ANGELA MRS.</v>
          </cell>
          <cell r="W2964" t="str">
            <v>ROBENZADEH AZAR ANGELA MD</v>
          </cell>
          <cell r="X2964" t="str">
            <v>2535 31ST AVE</v>
          </cell>
          <cell r="Y2964" t="str">
            <v>LONG ISLAND CITY</v>
          </cell>
          <cell r="Z2964" t="str">
            <v>NY</v>
          </cell>
          <cell r="AA2964" t="str">
            <v>11106-3607</v>
          </cell>
          <cell r="AB2964" t="str">
            <v>PHYSICIAN</v>
          </cell>
          <cell r="AC2964" t="str">
            <v>M</v>
          </cell>
          <cell r="AD2964" t="str">
            <v>No</v>
          </cell>
          <cell r="AE2964" t="str">
            <v>MMIS</v>
          </cell>
          <cell r="AF2964" t="str">
            <v>nypwestcampus</v>
          </cell>
          <cell r="AG2964" t="str">
            <v>P</v>
          </cell>
        </row>
        <row r="2965">
          <cell r="A2965" t="str">
            <v>1487758686</v>
          </cell>
          <cell r="B2965" t="str">
            <v>03202673</v>
          </cell>
          <cell r="C2965" t="str">
            <v>HALL, ELIZABETH K</v>
          </cell>
          <cell r="D2965" t="str">
            <v>E0304753</v>
          </cell>
          <cell r="E2965" t="str">
            <v>HALL ELIZABETH K</v>
          </cell>
          <cell r="G2965" t="str">
            <v>Kathryn Spaziani</v>
          </cell>
          <cell r="H2965" t="str">
            <v>(212) 305-1190</v>
          </cell>
          <cell r="J2965" t="str">
            <v>kas9171@nyp.org</v>
          </cell>
          <cell r="L2965" t="str">
            <v>All Other:: Practitioner - Primary Care Provider (PCP)</v>
          </cell>
          <cell r="M2965" t="str">
            <v>Yes</v>
          </cell>
          <cell r="R2965" t="str">
            <v>HALL ELIZABETH MS.</v>
          </cell>
          <cell r="W2965" t="str">
            <v>HALL ELIZABETH K</v>
          </cell>
          <cell r="X2965" t="str">
            <v>610 W 158TH ST</v>
          </cell>
          <cell r="Y2965" t="str">
            <v>NEW YORK</v>
          </cell>
          <cell r="Z2965" t="str">
            <v>NY</v>
          </cell>
          <cell r="AA2965" t="str">
            <v>10032-7104</v>
          </cell>
          <cell r="AB2965" t="str">
            <v>PHYSICIAN</v>
          </cell>
          <cell r="AC2965" t="str">
            <v>M</v>
          </cell>
          <cell r="AD2965" t="str">
            <v>No</v>
          </cell>
          <cell r="AE2965" t="str">
            <v>MMIS</v>
          </cell>
          <cell r="AF2965" t="str">
            <v>nypwestacn</v>
          </cell>
          <cell r="AG2965" t="str">
            <v>P</v>
          </cell>
        </row>
        <row r="2966">
          <cell r="A2966" t="str">
            <v>1124257639</v>
          </cell>
          <cell r="B2966" t="str">
            <v>04426546</v>
          </cell>
          <cell r="C2966" t="str">
            <v>Sarkar Debkumar</v>
          </cell>
          <cell r="D2966" t="str">
            <v>E0435222</v>
          </cell>
          <cell r="E2966" t="str">
            <v>SARKAR DEBKUMAR</v>
          </cell>
          <cell r="G2966" t="str">
            <v>Kathryn Spaziani</v>
          </cell>
          <cell r="H2966" t="str">
            <v>(212) 305-1255</v>
          </cell>
          <cell r="J2966" t="str">
            <v>kas9171@nyp.org</v>
          </cell>
          <cell r="L2966" t="str">
            <v>Uncategorized</v>
          </cell>
          <cell r="M2966" t="str">
            <v>No</v>
          </cell>
          <cell r="R2966" t="str">
            <v>SARKAR DEBKUMAR DR.</v>
          </cell>
          <cell r="W2966" t="str">
            <v>SARKAR DEBKUMAR</v>
          </cell>
          <cell r="X2966" t="str">
            <v>4802 10TH AVE</v>
          </cell>
          <cell r="Y2966" t="str">
            <v>BROOKLYN</v>
          </cell>
          <cell r="Z2966" t="str">
            <v>NY</v>
          </cell>
          <cell r="AA2966" t="str">
            <v>11219-2916</v>
          </cell>
          <cell r="AB2966" t="str">
            <v>PHYSICIAN</v>
          </cell>
          <cell r="AC2966" t="str">
            <v>M</v>
          </cell>
          <cell r="AD2966" t="str">
            <v>No</v>
          </cell>
          <cell r="AE2966" t="str">
            <v>MMIS</v>
          </cell>
          <cell r="AF2966" t="str">
            <v>nypother</v>
          </cell>
          <cell r="AG2966" t="str">
            <v>P</v>
          </cell>
        </row>
        <row r="2967">
          <cell r="A2967" t="str">
            <v>1194910257</v>
          </cell>
          <cell r="B2967" t="str">
            <v>03309359</v>
          </cell>
          <cell r="C2967" t="str">
            <v>Pillai, Sophia M.</v>
          </cell>
          <cell r="D2967" t="str">
            <v>E0316791</v>
          </cell>
          <cell r="E2967" t="str">
            <v>PILLAI SOPHIA</v>
          </cell>
          <cell r="G2967" t="str">
            <v>Kathryn Spaziani</v>
          </cell>
          <cell r="H2967" t="str">
            <v>(212) 305-1190</v>
          </cell>
          <cell r="J2967" t="str">
            <v>kas9171@nyp.org</v>
          </cell>
          <cell r="L2967" t="str">
            <v>All Other:: Practitioner - Non-Primary Care Provider (PCP)</v>
          </cell>
          <cell r="M2967" t="str">
            <v>No</v>
          </cell>
          <cell r="R2967" t="str">
            <v>PILLAI SOPHIA DR.</v>
          </cell>
          <cell r="W2967" t="str">
            <v>PILLAI SOPHIA MUTHUSWAMY</v>
          </cell>
          <cell r="X2967" t="str">
            <v>301 E 17TH ST</v>
          </cell>
          <cell r="Y2967" t="str">
            <v>NEW YORK</v>
          </cell>
          <cell r="Z2967" t="str">
            <v>NY</v>
          </cell>
          <cell r="AA2967" t="str">
            <v>10003-3804</v>
          </cell>
          <cell r="AB2967" t="str">
            <v>PHYSICIAN</v>
          </cell>
          <cell r="AC2967" t="str">
            <v>M</v>
          </cell>
          <cell r="AD2967" t="str">
            <v>No</v>
          </cell>
          <cell r="AE2967" t="str">
            <v>MMIS</v>
          </cell>
          <cell r="AF2967" t="str">
            <v>nypeastcampus</v>
          </cell>
          <cell r="AG2967" t="str">
            <v>P</v>
          </cell>
        </row>
        <row r="2968">
          <cell r="A2968" t="str">
            <v>1588605661</v>
          </cell>
          <cell r="B2968" t="str">
            <v>01506692</v>
          </cell>
          <cell r="C2968" t="str">
            <v xml:space="preserve">SHERMAN, DAVID </v>
          </cell>
          <cell r="D2968" t="str">
            <v>E0149319</v>
          </cell>
          <cell r="E2968" t="str">
            <v>SHERMAN DAVID MD</v>
          </cell>
          <cell r="G2968" t="str">
            <v>Kathryn Spaziani</v>
          </cell>
          <cell r="H2968" t="str">
            <v>(212) 305-1190</v>
          </cell>
          <cell r="J2968" t="str">
            <v>kas9171@nyp.org</v>
          </cell>
          <cell r="L2968" t="str">
            <v>Practitioner - Non-Primary Care Provider (PCP)</v>
          </cell>
          <cell r="M2968" t="str">
            <v>No</v>
          </cell>
          <cell r="R2968" t="str">
            <v>SHERMAN DAVID</v>
          </cell>
          <cell r="W2968" t="str">
            <v>SHERMAN DAVID MD</v>
          </cell>
          <cell r="Y2968" t="str">
            <v>NEW YORK</v>
          </cell>
          <cell r="Z2968" t="str">
            <v>NY</v>
          </cell>
          <cell r="AA2968" t="str">
            <v>10032-3725</v>
          </cell>
          <cell r="AB2968" t="str">
            <v>PHYSICIAN</v>
          </cell>
          <cell r="AC2968" t="str">
            <v>M</v>
          </cell>
          <cell r="AD2968" t="str">
            <v>No</v>
          </cell>
          <cell r="AE2968" t="str">
            <v>MMIS</v>
          </cell>
          <cell r="AF2968" t="str">
            <v>nypwestcampus</v>
          </cell>
          <cell r="AG2968" t="str">
            <v>P</v>
          </cell>
        </row>
        <row r="2969">
          <cell r="A2969" t="str">
            <v>1790706265</v>
          </cell>
          <cell r="B2969" t="str">
            <v>03233630</v>
          </cell>
          <cell r="C2969" t="str">
            <v>RONALD GORALEWICZ</v>
          </cell>
          <cell r="D2969" t="str">
            <v>E0308193</v>
          </cell>
          <cell r="E2969" t="str">
            <v>GORALEWICZ RONALD</v>
          </cell>
          <cell r="G2969" t="str">
            <v>Kathryn Spaziani</v>
          </cell>
          <cell r="H2969" t="str">
            <v>(212) 305-1190</v>
          </cell>
          <cell r="J2969" t="str">
            <v>kas9171@nyp.org</v>
          </cell>
          <cell r="L2969" t="str">
            <v>Practitioner - Non-Primary Care Provider (PCP)</v>
          </cell>
          <cell r="M2969" t="str">
            <v>No</v>
          </cell>
          <cell r="R2969" t="str">
            <v>GORALEWICZ RONALD MR.</v>
          </cell>
          <cell r="W2969" t="str">
            <v>GORALEWICZ RONALD</v>
          </cell>
          <cell r="X2969" t="str">
            <v>1484 1ST AVE</v>
          </cell>
          <cell r="Y2969" t="str">
            <v>NEW YORK</v>
          </cell>
          <cell r="Z2969" t="str">
            <v>NY</v>
          </cell>
          <cell r="AA2969" t="str">
            <v>10075-2304</v>
          </cell>
          <cell r="AB2969" t="str">
            <v>PHYSICIAN</v>
          </cell>
          <cell r="AC2969" t="str">
            <v>M</v>
          </cell>
          <cell r="AD2969" t="str">
            <v>No</v>
          </cell>
          <cell r="AE2969" t="str">
            <v>MMIS</v>
          </cell>
          <cell r="AF2969" t="str">
            <v>nypeastacn</v>
          </cell>
          <cell r="AG2969" t="str">
            <v>P</v>
          </cell>
        </row>
        <row r="2970">
          <cell r="A2970" t="str">
            <v>1972856003</v>
          </cell>
          <cell r="B2970" t="str">
            <v>04062680</v>
          </cell>
          <cell r="C2970" t="str">
            <v>SARAH GREENBERG</v>
          </cell>
          <cell r="D2970" t="str">
            <v>E0397917</v>
          </cell>
          <cell r="E2970" t="str">
            <v>GREENBERG SARA</v>
          </cell>
          <cell r="G2970" t="str">
            <v>Kathryn Spaziani</v>
          </cell>
          <cell r="H2970" t="str">
            <v>(212) 305-1190</v>
          </cell>
          <cell r="J2970" t="str">
            <v>kas9171@nyp.org</v>
          </cell>
          <cell r="L2970" t="str">
            <v>Uncategorized</v>
          </cell>
          <cell r="M2970" t="str">
            <v>No</v>
          </cell>
          <cell r="R2970" t="str">
            <v>GREENBERG SARA</v>
          </cell>
          <cell r="W2970" t="str">
            <v>GREENBERG SARA</v>
          </cell>
          <cell r="X2970" t="str">
            <v>610 W 158TH ST</v>
          </cell>
          <cell r="Y2970" t="str">
            <v>NEW YORK</v>
          </cell>
          <cell r="Z2970" t="str">
            <v>NY</v>
          </cell>
          <cell r="AA2970" t="str">
            <v>10032-7104</v>
          </cell>
          <cell r="AB2970" t="str">
            <v>CLINICAL SOCIAL WORKER (CSW)</v>
          </cell>
          <cell r="AC2970" t="str">
            <v>M</v>
          </cell>
          <cell r="AD2970" t="str">
            <v>No</v>
          </cell>
          <cell r="AE2970" t="str">
            <v>MMIS</v>
          </cell>
          <cell r="AF2970" t="str">
            <v>nypwestacn</v>
          </cell>
          <cell r="AG2970" t="str">
            <v>P</v>
          </cell>
        </row>
        <row r="2971">
          <cell r="C2971" t="str">
            <v>HOWARD GROTH</v>
          </cell>
          <cell r="G2971" t="str">
            <v>Kathryn Spaziani</v>
          </cell>
          <cell r="H2971" t="str">
            <v>(212) 305-1190</v>
          </cell>
          <cell r="J2971" t="str">
            <v>kas9171@nyp.org</v>
          </cell>
          <cell r="K2971" t="str">
            <v>Unknown</v>
          </cell>
          <cell r="L2971" t="str">
            <v>CBO</v>
          </cell>
          <cell r="M2971" t="str">
            <v>No</v>
          </cell>
          <cell r="N2971" t="str">
            <v>525 E 68th Street</v>
          </cell>
          <cell r="O2971" t="str">
            <v xml:space="preserve">New York </v>
          </cell>
          <cell r="P2971" t="str">
            <v>NY</v>
          </cell>
          <cell r="Q2971" t="str">
            <v>10021</v>
          </cell>
          <cell r="AC2971" t="str">
            <v>M</v>
          </cell>
          <cell r="AD2971" t="str">
            <v>No</v>
          </cell>
          <cell r="AE2971" t="str">
            <v>No NPI or MMIS</v>
          </cell>
          <cell r="AF2971" t="str">
            <v>nypother</v>
          </cell>
          <cell r="AG2971" t="str">
            <v>P</v>
          </cell>
        </row>
        <row r="2972">
          <cell r="A2972" t="str">
            <v>1578821757</v>
          </cell>
          <cell r="C2972" t="str">
            <v>Hershey Michael</v>
          </cell>
          <cell r="G2972" t="str">
            <v>Kathryn Spaziani</v>
          </cell>
          <cell r="H2972" t="str">
            <v>(212) 305-1255</v>
          </cell>
          <cell r="J2972" t="str">
            <v>kas9171@nyp.org</v>
          </cell>
          <cell r="K2972" t="str">
            <v>Physician</v>
          </cell>
          <cell r="L2972" t="str">
            <v>Uncategorized</v>
          </cell>
          <cell r="M2972" t="str">
            <v>No</v>
          </cell>
          <cell r="R2972" t="str">
            <v>HERSHEY MICHAEL DR.</v>
          </cell>
          <cell r="S2972" t="str">
            <v>550 1ST AVE</v>
          </cell>
          <cell r="T2972" t="str">
            <v>NEW YORK</v>
          </cell>
          <cell r="U2972" t="str">
            <v>NY</v>
          </cell>
          <cell r="V2972" t="str">
            <v>100166402</v>
          </cell>
          <cell r="AC2972" t="str">
            <v>M</v>
          </cell>
          <cell r="AD2972" t="str">
            <v>No</v>
          </cell>
          <cell r="AE2972" t="str">
            <v>NPI only</v>
          </cell>
          <cell r="AF2972" t="str">
            <v>nypwestcampus</v>
          </cell>
          <cell r="AG2972" t="str">
            <v>P</v>
          </cell>
        </row>
        <row r="2973">
          <cell r="A2973" t="str">
            <v>1104064906</v>
          </cell>
          <cell r="B2973" t="str">
            <v>03441292</v>
          </cell>
          <cell r="C2973" t="str">
            <v>Storer Kingsley</v>
          </cell>
          <cell r="D2973" t="str">
            <v>E0332832</v>
          </cell>
          <cell r="E2973" t="str">
            <v>STORER KINGSLEY</v>
          </cell>
          <cell r="L2973" t="str">
            <v>All Other:: Practitioner - Non-Primary Care Provider (PCP)</v>
          </cell>
          <cell r="M2973" t="str">
            <v>No</v>
          </cell>
          <cell r="R2973" t="str">
            <v>STORER KINGSLEY DR.</v>
          </cell>
          <cell r="W2973" t="str">
            <v>STORER KINGSLEY MD</v>
          </cell>
          <cell r="X2973" t="str">
            <v>525 E 68TH ST # 585</v>
          </cell>
          <cell r="Y2973" t="str">
            <v>NEW YORK</v>
          </cell>
          <cell r="Z2973" t="str">
            <v>NY</v>
          </cell>
          <cell r="AA2973" t="str">
            <v>10065-4870</v>
          </cell>
          <cell r="AB2973" t="str">
            <v>PHYSICIAN</v>
          </cell>
          <cell r="AC2973" t="str">
            <v>M</v>
          </cell>
          <cell r="AD2973" t="str">
            <v>No</v>
          </cell>
          <cell r="AE2973" t="str">
            <v>MMIS</v>
          </cell>
          <cell r="AF2973" t="str">
            <v>nypeastcampus</v>
          </cell>
          <cell r="AG2973" t="str">
            <v>P</v>
          </cell>
        </row>
        <row r="2974">
          <cell r="A2974" t="str">
            <v>1184652067</v>
          </cell>
          <cell r="B2974" t="str">
            <v>01845541</v>
          </cell>
          <cell r="C2974" t="str">
            <v>OLGA WILDFEUER</v>
          </cell>
          <cell r="D2974" t="str">
            <v>E0115486</v>
          </cell>
          <cell r="E2974" t="str">
            <v>WILDFEURER OLGA MD</v>
          </cell>
          <cell r="G2974" t="str">
            <v>Eva Eng</v>
          </cell>
          <cell r="H2974" t="str">
            <v>(212) 752-4999</v>
          </cell>
          <cell r="J2974" t="str">
            <v>eeng@archcare.org</v>
          </cell>
          <cell r="L2974" t="str">
            <v>All Other:: Practitioner - Primary Care Provider (PCP)</v>
          </cell>
          <cell r="M2974" t="str">
            <v>No</v>
          </cell>
          <cell r="R2974" t="str">
            <v>WILDFEUER OLGA DR.</v>
          </cell>
          <cell r="W2974" t="str">
            <v>WILDFEURER OLGA</v>
          </cell>
          <cell r="X2974" t="str">
            <v>55 GREENE AVE STE LLB</v>
          </cell>
          <cell r="Y2974" t="str">
            <v>BROOKLYN</v>
          </cell>
          <cell r="Z2974" t="str">
            <v>NY</v>
          </cell>
          <cell r="AA2974" t="str">
            <v>11238-6432</v>
          </cell>
          <cell r="AB2974" t="str">
            <v>PHYSICIAN</v>
          </cell>
          <cell r="AC2974" t="str">
            <v>M</v>
          </cell>
          <cell r="AD2974" t="str">
            <v>No</v>
          </cell>
          <cell r="AE2974" t="str">
            <v>MMIS</v>
          </cell>
          <cell r="AG2974" t="str">
            <v>P</v>
          </cell>
        </row>
        <row r="2975">
          <cell r="A2975" t="str">
            <v>1083650758</v>
          </cell>
          <cell r="B2975" t="str">
            <v>02706352</v>
          </cell>
          <cell r="C2975" t="str">
            <v>GELLER, JEFFERY A</v>
          </cell>
          <cell r="D2975" t="str">
            <v>E0029549</v>
          </cell>
          <cell r="E2975" t="str">
            <v>GELLER JEFFREY MD</v>
          </cell>
          <cell r="G2975" t="str">
            <v>Kathryn Spaziani</v>
          </cell>
          <cell r="H2975" t="str">
            <v>(212) 305-1190</v>
          </cell>
          <cell r="J2975" t="str">
            <v>kas9171@nyp.org</v>
          </cell>
          <cell r="L2975" t="str">
            <v>Practitioner - Non-Primary Care Provider (PCP)</v>
          </cell>
          <cell r="M2975" t="str">
            <v>No</v>
          </cell>
          <cell r="R2975" t="str">
            <v>GELLER JEFFREY DR.</v>
          </cell>
          <cell r="W2975" t="str">
            <v>GELLER JEFFREY MD</v>
          </cell>
          <cell r="X2975" t="str">
            <v>161 FORT WASHINGTON AVE</v>
          </cell>
          <cell r="Y2975" t="str">
            <v>NEW YORK</v>
          </cell>
          <cell r="Z2975" t="str">
            <v>NY</v>
          </cell>
          <cell r="AA2975" t="str">
            <v>10032-3729</v>
          </cell>
          <cell r="AB2975" t="str">
            <v>PHYSICIAN</v>
          </cell>
          <cell r="AC2975" t="str">
            <v>M</v>
          </cell>
          <cell r="AD2975" t="str">
            <v>No</v>
          </cell>
          <cell r="AE2975" t="str">
            <v>MMIS</v>
          </cell>
          <cell r="AF2975" t="str">
            <v>nypwestacn</v>
          </cell>
          <cell r="AG2975" t="str">
            <v>P</v>
          </cell>
        </row>
        <row r="2976">
          <cell r="A2976" t="str">
            <v>1710109947</v>
          </cell>
          <cell r="B2976" t="str">
            <v>01484019</v>
          </cell>
          <cell r="C2976" t="str">
            <v>AIDS Service Center of Lower Manhattan Inc., dba ASCNYC</v>
          </cell>
          <cell r="D2976" t="str">
            <v>E0151585</v>
          </cell>
          <cell r="E2976" t="str">
            <v>AIDS SVC CTR MANHATTEN AI</v>
          </cell>
          <cell r="G2976" t="str">
            <v>Marcy Rae Thompson</v>
          </cell>
          <cell r="H2976" t="str">
            <v>(212) 645-0875</v>
          </cell>
          <cell r="J2976" t="str">
            <v>marcy@ascnyc.org</v>
          </cell>
          <cell r="L2976" t="str">
            <v>Case Management / Health Home</v>
          </cell>
          <cell r="M2976" t="str">
            <v>Yes</v>
          </cell>
          <cell r="R2976" t="str">
            <v>AIDS SERVICE CENTER OF LOWER MANHATTAN, INC</v>
          </cell>
          <cell r="W2976" t="str">
            <v>AIDS SERVICE CTR LOWER MANHATTAN</v>
          </cell>
          <cell r="X2976" t="str">
            <v>64 W 35TH ST FL 3</v>
          </cell>
          <cell r="Y2976" t="str">
            <v>NEW YORK</v>
          </cell>
          <cell r="Z2976" t="str">
            <v>NY</v>
          </cell>
          <cell r="AA2976" t="str">
            <v>10001-2201</v>
          </cell>
          <cell r="AB2976" t="str">
            <v>HOME HEALTH AGENCY</v>
          </cell>
          <cell r="AC2976" t="str">
            <v>M</v>
          </cell>
          <cell r="AD2976" t="str">
            <v>No</v>
          </cell>
          <cell r="AE2976" t="str">
            <v>MMIS</v>
          </cell>
          <cell r="AG2976" t="str">
            <v>P</v>
          </cell>
        </row>
        <row r="2977">
          <cell r="A2977" t="str">
            <v>1316945926</v>
          </cell>
          <cell r="B2977" t="str">
            <v>00280795</v>
          </cell>
          <cell r="C2977" t="str">
            <v>FRIEDMAN, JOEL M</v>
          </cell>
          <cell r="D2977" t="str">
            <v>E0270996</v>
          </cell>
          <cell r="E2977" t="str">
            <v>FRIEDMAN JOEL M</v>
          </cell>
          <cell r="G2977" t="str">
            <v>Kathryn Spaziani</v>
          </cell>
          <cell r="H2977" t="str">
            <v>(212) 305-1190</v>
          </cell>
          <cell r="J2977" t="str">
            <v>kas9171@nyp.org</v>
          </cell>
          <cell r="L2977" t="str">
            <v>All Other:: Practitioner - Non-Primary Care Provider (PCP)</v>
          </cell>
          <cell r="M2977" t="str">
            <v>Yes</v>
          </cell>
          <cell r="R2977" t="str">
            <v>FRIEDMAN JOEL</v>
          </cell>
          <cell r="W2977" t="str">
            <v>FRIEDMAN JOEL M</v>
          </cell>
          <cell r="X2977" t="str">
            <v>3333 HENRY HUDSON PKWY STE 9</v>
          </cell>
          <cell r="Y2977" t="str">
            <v>BRONX</v>
          </cell>
          <cell r="Z2977" t="str">
            <v>NY</v>
          </cell>
          <cell r="AA2977" t="str">
            <v>10463-3224</v>
          </cell>
          <cell r="AB2977" t="str">
            <v>DENTIST</v>
          </cell>
          <cell r="AC2977" t="str">
            <v>M</v>
          </cell>
          <cell r="AD2977" t="str">
            <v>No</v>
          </cell>
          <cell r="AE2977" t="str">
            <v>MMIS</v>
          </cell>
          <cell r="AF2977" t="str">
            <v>nypeastacn</v>
          </cell>
          <cell r="AG2977" t="str">
            <v>P</v>
          </cell>
        </row>
        <row r="2978">
          <cell r="C2978" t="str">
            <v>Dominican Women's Development Center</v>
          </cell>
          <cell r="G2978" t="str">
            <v>Rosita Romero</v>
          </cell>
          <cell r="J2978" t="str">
            <v>rromero@dwdc.org</v>
          </cell>
          <cell r="K2978" t="str">
            <v>Community Advocacy and Support</v>
          </cell>
          <cell r="L2978" t="str">
            <v>CBO</v>
          </cell>
          <cell r="M2978" t="str">
            <v>No</v>
          </cell>
          <cell r="AC2978" t="str">
            <v>M</v>
          </cell>
          <cell r="AD2978" t="str">
            <v>No</v>
          </cell>
          <cell r="AE2978" t="str">
            <v>No NPI or MMIS</v>
          </cell>
          <cell r="AG2978" t="str">
            <v>P</v>
          </cell>
        </row>
        <row r="2979">
          <cell r="C2979" t="str">
            <v>Northern Manhattan Improvement Corporation</v>
          </cell>
          <cell r="G2979" t="str">
            <v>Maria Lizardo</v>
          </cell>
          <cell r="J2979" t="str">
            <v>marializardo@mmic.org</v>
          </cell>
          <cell r="K2979" t="str">
            <v>Community Advocacy and Support</v>
          </cell>
          <cell r="L2979" t="str">
            <v>CBO</v>
          </cell>
          <cell r="M2979" t="str">
            <v>No</v>
          </cell>
          <cell r="AC2979" t="str">
            <v>M</v>
          </cell>
          <cell r="AD2979" t="str">
            <v>No</v>
          </cell>
          <cell r="AE2979" t="str">
            <v>No NPI or MMIS</v>
          </cell>
          <cell r="AG2979" t="str">
            <v>P</v>
          </cell>
        </row>
        <row r="2980">
          <cell r="A2980" t="str">
            <v>1790941722</v>
          </cell>
          <cell r="B2980" t="str">
            <v>03579435</v>
          </cell>
          <cell r="C2980" t="str">
            <v>Winokur Ronald</v>
          </cell>
          <cell r="D2980" t="str">
            <v>E0348037</v>
          </cell>
          <cell r="E2980" t="str">
            <v>WINOKUR RONALD SCOTT</v>
          </cell>
          <cell r="L2980" t="str">
            <v>All Other:: Practitioner - Non-Primary Care Provider (PCP)</v>
          </cell>
          <cell r="M2980" t="str">
            <v>No</v>
          </cell>
          <cell r="R2980" t="str">
            <v>WINOKUR RONALD</v>
          </cell>
          <cell r="W2980" t="str">
            <v>WINOKUR RONALD SCOTT</v>
          </cell>
          <cell r="X2980" t="str">
            <v>525 E 68TH ST # 141</v>
          </cell>
          <cell r="Y2980" t="str">
            <v>NEW YORK</v>
          </cell>
          <cell r="Z2980" t="str">
            <v>NY</v>
          </cell>
          <cell r="AA2980" t="str">
            <v>10065-4870</v>
          </cell>
          <cell r="AB2980" t="str">
            <v>PHYSICIAN</v>
          </cell>
          <cell r="AC2980" t="str">
            <v>M</v>
          </cell>
          <cell r="AD2980" t="str">
            <v>No</v>
          </cell>
          <cell r="AE2980" t="str">
            <v>MMIS</v>
          </cell>
          <cell r="AF2980" t="str">
            <v>nypeastcampus</v>
          </cell>
          <cell r="AG2980" t="str">
            <v>P</v>
          </cell>
        </row>
        <row r="2981">
          <cell r="A2981" t="str">
            <v>1225155310</v>
          </cell>
          <cell r="B2981" t="str">
            <v>02530830</v>
          </cell>
          <cell r="C2981" t="str">
            <v>Cheta Ghansham</v>
          </cell>
          <cell r="D2981" t="str">
            <v>E0047061</v>
          </cell>
          <cell r="E2981" t="str">
            <v>CHETA GHANSHAM RPA</v>
          </cell>
          <cell r="L2981" t="str">
            <v>Practitioner - Non-Primary Care Provider (PCP)</v>
          </cell>
          <cell r="M2981" t="str">
            <v>No</v>
          </cell>
          <cell r="R2981" t="str">
            <v>CHETA GHANSHAM MR.</v>
          </cell>
          <cell r="W2981" t="str">
            <v>CHETA GHANSHAM  RPA</v>
          </cell>
          <cell r="X2981" t="str">
            <v>525 E 68TH ST</v>
          </cell>
          <cell r="Y2981" t="str">
            <v>NEW YORK</v>
          </cell>
          <cell r="Z2981" t="str">
            <v>NY</v>
          </cell>
          <cell r="AA2981" t="str">
            <v>10065-4870</v>
          </cell>
          <cell r="AB2981" t="str">
            <v>PHYSICIAN</v>
          </cell>
          <cell r="AC2981" t="str">
            <v>M</v>
          </cell>
          <cell r="AD2981" t="str">
            <v>No</v>
          </cell>
          <cell r="AE2981" t="str">
            <v>MMIS</v>
          </cell>
          <cell r="AF2981" t="str">
            <v>nypeastcampus</v>
          </cell>
          <cell r="AG2981" t="str">
            <v>P</v>
          </cell>
        </row>
        <row r="2982">
          <cell r="A2982" t="str">
            <v>1992882112</v>
          </cell>
          <cell r="C2982" t="str">
            <v>JOSE ECAL</v>
          </cell>
          <cell r="G2982" t="str">
            <v>Eva Eng</v>
          </cell>
          <cell r="H2982" t="str">
            <v>(212) 752-4993</v>
          </cell>
          <cell r="J2982" t="str">
            <v>eeng@archcare.org</v>
          </cell>
          <cell r="K2982" t="str">
            <v>Other Practitioners</v>
          </cell>
          <cell r="L2982" t="str">
            <v>Uncategorized</v>
          </cell>
          <cell r="M2982" t="str">
            <v>No</v>
          </cell>
          <cell r="R2982" t="str">
            <v>ECAL JOSE DR.</v>
          </cell>
          <cell r="S2982" t="str">
            <v>768 W SIDE AVE</v>
          </cell>
          <cell r="T2982" t="str">
            <v>JERSEY CITY</v>
          </cell>
          <cell r="U2982" t="str">
            <v>NJ</v>
          </cell>
          <cell r="V2982" t="str">
            <v>073066010</v>
          </cell>
          <cell r="AC2982" t="str">
            <v>M</v>
          </cell>
          <cell r="AD2982" t="str">
            <v>No</v>
          </cell>
          <cell r="AE2982" t="str">
            <v>NPI only</v>
          </cell>
          <cell r="AG2982" t="str">
            <v>P</v>
          </cell>
        </row>
        <row r="2983">
          <cell r="A2983" t="str">
            <v>1447241252</v>
          </cell>
          <cell r="B2983" t="str">
            <v>01883398</v>
          </cell>
          <cell r="C2983" t="str">
            <v>HAROLD FLAMER</v>
          </cell>
          <cell r="D2983" t="str">
            <v>E0111705</v>
          </cell>
          <cell r="E2983" t="str">
            <v>FLAMER HAROLD E MD</v>
          </cell>
          <cell r="G2983" t="str">
            <v>Eva Eng</v>
          </cell>
          <cell r="H2983" t="str">
            <v>(212) 752-4994</v>
          </cell>
          <cell r="J2983" t="str">
            <v>eeng@archcare.org</v>
          </cell>
          <cell r="L2983" t="str">
            <v>Practitioner - Non-Primary Care Provider (PCP)</v>
          </cell>
          <cell r="M2983" t="str">
            <v>Yes</v>
          </cell>
          <cell r="R2983" t="str">
            <v>FLAMER HAROLD DR.</v>
          </cell>
          <cell r="W2983" t="str">
            <v>FLAMER HAROLD E MD</v>
          </cell>
          <cell r="X2983" t="str">
            <v>4802 10TH AVE</v>
          </cell>
          <cell r="Y2983" t="str">
            <v>BROOKLYN</v>
          </cell>
          <cell r="Z2983" t="str">
            <v>NY</v>
          </cell>
          <cell r="AA2983" t="str">
            <v>11219-2916</v>
          </cell>
          <cell r="AB2983" t="str">
            <v>PHYSICIAN</v>
          </cell>
          <cell r="AC2983" t="str">
            <v>M</v>
          </cell>
          <cell r="AD2983" t="str">
            <v>No</v>
          </cell>
          <cell r="AE2983" t="str">
            <v>MMIS</v>
          </cell>
          <cell r="AG2983" t="str">
            <v>P</v>
          </cell>
        </row>
        <row r="2984">
          <cell r="A2984" t="str">
            <v>1386822922</v>
          </cell>
          <cell r="B2984" t="str">
            <v>03050479</v>
          </cell>
          <cell r="C2984" t="str">
            <v>JYOTI KINI</v>
          </cell>
          <cell r="D2984" t="str">
            <v>E0287239</v>
          </cell>
          <cell r="E2984" t="str">
            <v>KINI JYOTI</v>
          </cell>
          <cell r="G2984" t="str">
            <v>Eva Eng</v>
          </cell>
          <cell r="H2984" t="str">
            <v>(212) 752-4995</v>
          </cell>
          <cell r="J2984" t="str">
            <v>eeng@archcare.org</v>
          </cell>
          <cell r="L2984" t="str">
            <v>All Other:: Practitioner - Primary Care Provider (PCP)</v>
          </cell>
          <cell r="M2984" t="str">
            <v>Yes</v>
          </cell>
          <cell r="R2984" t="str">
            <v>KINI JYOTI</v>
          </cell>
          <cell r="W2984" t="str">
            <v>KINI JYOTI</v>
          </cell>
          <cell r="X2984" t="str">
            <v>3251 WESTCHESTER AVE</v>
          </cell>
          <cell r="Y2984" t="str">
            <v>BRONX</v>
          </cell>
          <cell r="Z2984" t="str">
            <v>NY</v>
          </cell>
          <cell r="AA2984" t="str">
            <v>10461-4509</v>
          </cell>
          <cell r="AB2984" t="str">
            <v>PHYSICIAN</v>
          </cell>
          <cell r="AC2984" t="str">
            <v>M</v>
          </cell>
          <cell r="AD2984" t="str">
            <v>No</v>
          </cell>
          <cell r="AE2984" t="str">
            <v>MMIS</v>
          </cell>
          <cell r="AG2984" t="str">
            <v>P</v>
          </cell>
        </row>
        <row r="2985">
          <cell r="A2985" t="str">
            <v>1700902236</v>
          </cell>
          <cell r="B2985" t="str">
            <v>00814099</v>
          </cell>
          <cell r="C2985" t="str">
            <v>Kyee Mau</v>
          </cell>
          <cell r="D2985" t="str">
            <v>E0218323</v>
          </cell>
          <cell r="E2985" t="str">
            <v>MAW KYEE TINT              MD</v>
          </cell>
          <cell r="G2985" t="str">
            <v>Eva Eng</v>
          </cell>
          <cell r="H2985" t="str">
            <v>(212) 752-4996</v>
          </cell>
          <cell r="J2985" t="str">
            <v>eeng@archcare.org</v>
          </cell>
          <cell r="L2985" t="str">
            <v>Practitioner - Non-Primary Care Provider (PCP)</v>
          </cell>
          <cell r="M2985" t="str">
            <v>No</v>
          </cell>
          <cell r="R2985" t="str">
            <v>MAW KYEE DR.</v>
          </cell>
          <cell r="W2985" t="str">
            <v>MAW KYEE TINT              MD</v>
          </cell>
          <cell r="X2985" t="str">
            <v>3925 65TH ST</v>
          </cell>
          <cell r="Y2985" t="str">
            <v>WOODSIDE</v>
          </cell>
          <cell r="Z2985" t="str">
            <v>NY</v>
          </cell>
          <cell r="AA2985" t="str">
            <v>11377-3672</v>
          </cell>
          <cell r="AB2985" t="str">
            <v>PHYSICIAN</v>
          </cell>
          <cell r="AC2985" t="str">
            <v>M</v>
          </cell>
          <cell r="AD2985" t="str">
            <v>No</v>
          </cell>
          <cell r="AE2985" t="str">
            <v>MMIS</v>
          </cell>
          <cell r="AG2985" t="str">
            <v>P</v>
          </cell>
        </row>
        <row r="2986">
          <cell r="A2986" t="str">
            <v>1710187554</v>
          </cell>
          <cell r="B2986" t="str">
            <v>03480839</v>
          </cell>
          <cell r="C2986" t="str">
            <v>Chien, Kimberley Ann</v>
          </cell>
          <cell r="D2986" t="str">
            <v>E0337438</v>
          </cell>
          <cell r="E2986" t="str">
            <v>CHIEN KIMBERLEY ANN</v>
          </cell>
          <cell r="G2986" t="str">
            <v>Kathryn Spaziani</v>
          </cell>
          <cell r="H2986" t="str">
            <v>(212) 305-1190</v>
          </cell>
          <cell r="J2986" t="str">
            <v>kas9171@nyp.org</v>
          </cell>
          <cell r="L2986" t="str">
            <v>All Other:: Practitioner - Non-Primary Care Provider (PCP)</v>
          </cell>
          <cell r="M2986" t="str">
            <v>No</v>
          </cell>
          <cell r="R2986" t="str">
            <v>CHIEN KIMBERLEY DR.</v>
          </cell>
          <cell r="W2986" t="str">
            <v>CHIEN KIMBERLEY ANN</v>
          </cell>
          <cell r="X2986" t="str">
            <v>525 E 68TH ST</v>
          </cell>
          <cell r="Y2986" t="str">
            <v>NEW YORK</v>
          </cell>
          <cell r="Z2986" t="str">
            <v>NY</v>
          </cell>
          <cell r="AA2986" t="str">
            <v>10065-4870</v>
          </cell>
          <cell r="AB2986" t="str">
            <v>PHYSICIAN</v>
          </cell>
          <cell r="AC2986" t="str">
            <v>M</v>
          </cell>
          <cell r="AD2986" t="str">
            <v>No</v>
          </cell>
          <cell r="AE2986" t="str">
            <v>MMIS</v>
          </cell>
          <cell r="AF2986" t="str">
            <v>nypeastacn</v>
          </cell>
          <cell r="AG2986" t="str">
            <v>P</v>
          </cell>
        </row>
        <row r="2987">
          <cell r="A2987" t="str">
            <v>1063635142</v>
          </cell>
          <cell r="B2987" t="str">
            <v>01783504</v>
          </cell>
          <cell r="C2987" t="str">
            <v>ST Marys Community Care Professionals Corp</v>
          </cell>
          <cell r="D2987" t="str">
            <v>E0121680</v>
          </cell>
          <cell r="E2987" t="str">
            <v>ST MARY'S COMM CARE PROF INC</v>
          </cell>
          <cell r="G2987" t="str">
            <v>Edwin F. Simpser, MD</v>
          </cell>
          <cell r="H2987" t="str">
            <v>(718) 281-8777</v>
          </cell>
          <cell r="J2987" t="str">
            <v>esimpser@stmaryskids.org</v>
          </cell>
          <cell r="L2987" t="str">
            <v>All Other</v>
          </cell>
          <cell r="M2987" t="str">
            <v>No</v>
          </cell>
          <cell r="R2987" t="str">
            <v>ST MARY'S COMMUNITY CARE PROFESSIONAL, CORP.</v>
          </cell>
          <cell r="W2987" t="str">
            <v>ST MARY'S COMM CARE PROF CORP</v>
          </cell>
          <cell r="X2987" t="str">
            <v>5 DAKOTA DR STE 200</v>
          </cell>
          <cell r="Y2987" t="str">
            <v>NEW HYDE PARK</v>
          </cell>
          <cell r="Z2987" t="str">
            <v>NY</v>
          </cell>
          <cell r="AA2987" t="str">
            <v>11042-1109</v>
          </cell>
          <cell r="AB2987" t="str">
            <v>NURSE</v>
          </cell>
          <cell r="AC2987" t="str">
            <v>M</v>
          </cell>
          <cell r="AD2987" t="str">
            <v>No</v>
          </cell>
          <cell r="AE2987" t="str">
            <v>MMIS</v>
          </cell>
          <cell r="AG2987" t="str">
            <v>P</v>
          </cell>
        </row>
        <row r="2988">
          <cell r="A2988" t="str">
            <v>1932323748</v>
          </cell>
          <cell r="B2988" t="str">
            <v>01881438</v>
          </cell>
          <cell r="C2988" t="str">
            <v>Iris House, Inc.</v>
          </cell>
          <cell r="D2988" t="str">
            <v>E0111901</v>
          </cell>
          <cell r="E2988" t="str">
            <v>IRIS HOUSE AI</v>
          </cell>
          <cell r="G2988" t="str">
            <v>Ingrid Floyd</v>
          </cell>
          <cell r="H2988" t="str">
            <v>(646) 548-0100</v>
          </cell>
          <cell r="I2988">
            <v>238</v>
          </cell>
          <cell r="J2988" t="str">
            <v>ifloyd@irishouse.org</v>
          </cell>
          <cell r="L2988" t="str">
            <v>Uncategorized</v>
          </cell>
          <cell r="M2988" t="str">
            <v>Yes</v>
          </cell>
          <cell r="R2988" t="str">
            <v>IRIS HOUSE, INC.</v>
          </cell>
          <cell r="W2988" t="str">
            <v>IRIS HOUSE A CTR/WOMEN LIV WITH HIV</v>
          </cell>
          <cell r="X2988" t="str">
            <v>2271 2ND AVE</v>
          </cell>
          <cell r="Y2988" t="str">
            <v>NEW YORK</v>
          </cell>
          <cell r="Z2988" t="str">
            <v>NY</v>
          </cell>
          <cell r="AA2988" t="str">
            <v>10035-4801</v>
          </cell>
          <cell r="AB2988" t="str">
            <v>HOME HEALTH AGENCY</v>
          </cell>
          <cell r="AC2988" t="str">
            <v>M</v>
          </cell>
          <cell r="AD2988" t="str">
            <v>No</v>
          </cell>
          <cell r="AE2988" t="str">
            <v>MMIS</v>
          </cell>
          <cell r="AG2988" t="str">
            <v>P</v>
          </cell>
        </row>
        <row r="2989">
          <cell r="A2989" t="str">
            <v>1679506869</v>
          </cell>
          <cell r="B2989" t="str">
            <v>02096977</v>
          </cell>
          <cell r="C2989" t="str">
            <v>HLIBCZUK, VERONICA M</v>
          </cell>
          <cell r="D2989" t="str">
            <v>E0090371</v>
          </cell>
          <cell r="E2989" t="str">
            <v>HLIBCZUK VERONICA MARIA MD</v>
          </cell>
          <cell r="G2989" t="str">
            <v>Kathryn Spaziani</v>
          </cell>
          <cell r="H2989" t="str">
            <v>(212) 305-1190</v>
          </cell>
          <cell r="J2989" t="str">
            <v>kas9171@nyp.org</v>
          </cell>
          <cell r="L2989" t="str">
            <v>All Other:: Practitioner - Non-Primary Care Provider (PCP)</v>
          </cell>
          <cell r="M2989" t="str">
            <v>No</v>
          </cell>
          <cell r="R2989" t="str">
            <v>HLIBCZUK VERONICA</v>
          </cell>
          <cell r="W2989" t="str">
            <v>HLIBCZUK VERONICA MARIA MD</v>
          </cell>
          <cell r="X2989" t="str">
            <v>LINCOLN HSP</v>
          </cell>
          <cell r="Y2989" t="str">
            <v>BRONX</v>
          </cell>
          <cell r="Z2989" t="str">
            <v>NY</v>
          </cell>
          <cell r="AA2989" t="str">
            <v>10451-5589</v>
          </cell>
          <cell r="AB2989" t="str">
            <v>PHYSICIAN</v>
          </cell>
          <cell r="AC2989" t="str">
            <v>M</v>
          </cell>
          <cell r="AD2989" t="str">
            <v>No</v>
          </cell>
          <cell r="AE2989" t="str">
            <v>MMIS</v>
          </cell>
          <cell r="AF2989" t="str">
            <v>nypwestacn</v>
          </cell>
          <cell r="AG2989" t="str">
            <v>P</v>
          </cell>
        </row>
        <row r="2990">
          <cell r="A2990" t="str">
            <v>1508016726</v>
          </cell>
          <cell r="B2990" t="str">
            <v>03041949</v>
          </cell>
          <cell r="C2990" t="str">
            <v>TEBBS, MELISSA T</v>
          </cell>
          <cell r="D2990" t="str">
            <v>E0286308</v>
          </cell>
          <cell r="E2990" t="str">
            <v>TEBBS MELISSA</v>
          </cell>
          <cell r="G2990" t="str">
            <v>Kathryn Spaziani</v>
          </cell>
          <cell r="H2990" t="str">
            <v>(212) 305-1190</v>
          </cell>
          <cell r="J2990" t="str">
            <v>kas9171@nyp.org</v>
          </cell>
          <cell r="L2990" t="str">
            <v>Practitioner - Non-Primary Care Provider (PCP)</v>
          </cell>
          <cell r="M2990" t="str">
            <v>No</v>
          </cell>
          <cell r="R2990" t="str">
            <v>BITALVO MELISSA</v>
          </cell>
          <cell r="W2990" t="str">
            <v>TEBBS MELISSA</v>
          </cell>
          <cell r="X2990" t="str">
            <v>622 WEST 168TH STREE</v>
          </cell>
          <cell r="Y2990" t="str">
            <v>NEW YORK</v>
          </cell>
          <cell r="Z2990" t="str">
            <v>NY</v>
          </cell>
          <cell r="AA2990" t="str">
            <v>10032</v>
          </cell>
          <cell r="AB2990" t="str">
            <v>CLINICAL SOCIAL WORKER (CSW)</v>
          </cell>
          <cell r="AC2990" t="str">
            <v>M</v>
          </cell>
          <cell r="AD2990" t="str">
            <v>No</v>
          </cell>
          <cell r="AE2990" t="str">
            <v>MMIS</v>
          </cell>
          <cell r="AF2990" t="str">
            <v>nypwestacn</v>
          </cell>
          <cell r="AG2990" t="str">
            <v>P</v>
          </cell>
        </row>
        <row r="2991">
          <cell r="A2991" t="str">
            <v>1780998575</v>
          </cell>
          <cell r="C2991" t="str">
            <v>Charles B. Wang Community Health Center</v>
          </cell>
          <cell r="G2991" t="str">
            <v>Betty Cheng, COO</v>
          </cell>
          <cell r="H2991" t="str">
            <v>(212) 379-6988</v>
          </cell>
          <cell r="I2991">
            <v>2604</v>
          </cell>
          <cell r="J2991" t="str">
            <v>bcheng@cbwchc.org</v>
          </cell>
          <cell r="K2991" t="str">
            <v>Clinic</v>
          </cell>
          <cell r="L2991" t="str">
            <v>Uncategorized</v>
          </cell>
          <cell r="M2991" t="str">
            <v>No</v>
          </cell>
          <cell r="R2991" t="str">
            <v>CHARLES B. WANG COMMUNITY HEALTH CENTER, INC.</v>
          </cell>
          <cell r="S2991" t="str">
            <v>13626 37TH AVE</v>
          </cell>
          <cell r="T2991" t="str">
            <v>FLUSHING</v>
          </cell>
          <cell r="U2991" t="str">
            <v>NY</v>
          </cell>
          <cell r="V2991" t="str">
            <v>113546533</v>
          </cell>
          <cell r="AC2991" t="str">
            <v>M</v>
          </cell>
          <cell r="AD2991" t="str">
            <v>No</v>
          </cell>
          <cell r="AE2991" t="str">
            <v>NPI only</v>
          </cell>
          <cell r="AF2991" t="str">
            <v>cbwchc</v>
          </cell>
          <cell r="AG2991" t="str">
            <v>P</v>
          </cell>
        </row>
        <row r="2992">
          <cell r="A2992" t="str">
            <v>1548237555</v>
          </cell>
          <cell r="B2992" t="str">
            <v>01468693</v>
          </cell>
          <cell r="C2992" t="str">
            <v>WILLIAMS, LAURENCE L</v>
          </cell>
          <cell r="D2992" t="str">
            <v>E0153115</v>
          </cell>
          <cell r="E2992" t="str">
            <v>WILLIAM LAURENCE MD</v>
          </cell>
          <cell r="G2992" t="str">
            <v>Kathryn Spaziani</v>
          </cell>
          <cell r="H2992" t="str">
            <v>(212) 305-1190</v>
          </cell>
          <cell r="J2992" t="str">
            <v>kas9171@nyp.org</v>
          </cell>
          <cell r="L2992" t="str">
            <v>All Other:: Practitioner - Primary Care Provider (PCP)</v>
          </cell>
          <cell r="M2992" t="str">
            <v>Yes</v>
          </cell>
          <cell r="R2992" t="str">
            <v>WILLIAMS LAURENCE DR.</v>
          </cell>
          <cell r="W2992" t="str">
            <v>WILLIAM LAURENCE MD</v>
          </cell>
          <cell r="X2992" t="str">
            <v>MONTEFIORE MED CTR</v>
          </cell>
          <cell r="Y2992" t="str">
            <v>BRONX</v>
          </cell>
          <cell r="Z2992" t="str">
            <v>NY</v>
          </cell>
          <cell r="AA2992" t="str">
            <v>10467-2490</v>
          </cell>
          <cell r="AB2992" t="str">
            <v>PHYSICIAN</v>
          </cell>
          <cell r="AC2992" t="str">
            <v>M</v>
          </cell>
          <cell r="AD2992" t="str">
            <v>No</v>
          </cell>
          <cell r="AE2992" t="str">
            <v>MMIS</v>
          </cell>
          <cell r="AF2992" t="str">
            <v>nypwestcampus</v>
          </cell>
          <cell r="AG2992" t="str">
            <v>P</v>
          </cell>
        </row>
        <row r="2993">
          <cell r="A2993" t="str">
            <v>1548357619</v>
          </cell>
          <cell r="B2993" t="str">
            <v>01144509</v>
          </cell>
          <cell r="C2993" t="str">
            <v>MORALES, SUSANA R</v>
          </cell>
          <cell r="D2993" t="str">
            <v>E0185431</v>
          </cell>
          <cell r="E2993" t="str">
            <v>MORALES SUSAN RITA MD</v>
          </cell>
          <cell r="G2993" t="str">
            <v>Kathryn Spaziani</v>
          </cell>
          <cell r="H2993" t="str">
            <v>(212) 305-1190</v>
          </cell>
          <cell r="J2993" t="str">
            <v>kas9171@nyp.org</v>
          </cell>
          <cell r="L2993" t="str">
            <v>All Other:: Practitioner - Primary Care Provider (PCP)</v>
          </cell>
          <cell r="M2993" t="str">
            <v>No</v>
          </cell>
          <cell r="R2993" t="str">
            <v>MORALES SUSAN</v>
          </cell>
          <cell r="W2993" t="str">
            <v>MORALES SUSAN RITA MD</v>
          </cell>
          <cell r="Y2993" t="str">
            <v>NEW YORK</v>
          </cell>
          <cell r="Z2993" t="str">
            <v>NY</v>
          </cell>
          <cell r="AA2993" t="str">
            <v>10032-3720</v>
          </cell>
          <cell r="AB2993" t="str">
            <v>PHYSICIAN</v>
          </cell>
          <cell r="AC2993" t="str">
            <v>M</v>
          </cell>
          <cell r="AD2993" t="str">
            <v>No</v>
          </cell>
          <cell r="AE2993" t="str">
            <v>MMIS</v>
          </cell>
          <cell r="AF2993" t="str">
            <v>nypeastcampus</v>
          </cell>
          <cell r="AG2993" t="str">
            <v>P</v>
          </cell>
        </row>
        <row r="2994">
          <cell r="A2994" t="str">
            <v>1053330332</v>
          </cell>
          <cell r="B2994" t="str">
            <v>01634371</v>
          </cell>
          <cell r="C2994" t="str">
            <v>EBNER, SUSANA A</v>
          </cell>
          <cell r="D2994" t="str">
            <v>E0136576</v>
          </cell>
          <cell r="E2994" t="str">
            <v>EBNER SUSANA</v>
          </cell>
          <cell r="G2994" t="str">
            <v>Kathryn Spaziani</v>
          </cell>
          <cell r="H2994" t="str">
            <v>(212) 305-1190</v>
          </cell>
          <cell r="J2994" t="str">
            <v>kas9171@nyp.org</v>
          </cell>
          <cell r="L2994" t="str">
            <v>All Other:: Practitioner - Non-Primary Care Provider (PCP)</v>
          </cell>
          <cell r="M2994" t="str">
            <v>No</v>
          </cell>
          <cell r="R2994" t="str">
            <v>EBNER SUSANA DR.</v>
          </cell>
          <cell r="W2994" t="str">
            <v>EBNER SUSANA</v>
          </cell>
          <cell r="X2994" t="str">
            <v>622 W 168TH ST</v>
          </cell>
          <cell r="Y2994" t="str">
            <v>NEW YORK</v>
          </cell>
          <cell r="Z2994" t="str">
            <v>NY</v>
          </cell>
          <cell r="AA2994" t="str">
            <v>10032-3720</v>
          </cell>
          <cell r="AB2994" t="str">
            <v>PHYSICIAN</v>
          </cell>
          <cell r="AC2994" t="str">
            <v>M</v>
          </cell>
          <cell r="AD2994" t="str">
            <v>No</v>
          </cell>
          <cell r="AE2994" t="str">
            <v>MMIS</v>
          </cell>
          <cell r="AF2994" t="str">
            <v>nypwestacn</v>
          </cell>
          <cell r="AG2994" t="str">
            <v>P</v>
          </cell>
        </row>
        <row r="2995">
          <cell r="A2995" t="str">
            <v>1225102163</v>
          </cell>
          <cell r="B2995" t="str">
            <v>03847436</v>
          </cell>
          <cell r="C2995" t="str">
            <v>MALHOTRA, SAMEER</v>
          </cell>
          <cell r="D2995" t="str">
            <v>E0375734</v>
          </cell>
          <cell r="E2995" t="str">
            <v>MALHOTRA SAMEER</v>
          </cell>
          <cell r="G2995" t="str">
            <v>Kathryn Spaziani</v>
          </cell>
          <cell r="H2995" t="str">
            <v>(212) 305-1291</v>
          </cell>
          <cell r="J2995" t="str">
            <v>kas9171@nyp.org</v>
          </cell>
          <cell r="L2995" t="str">
            <v>Practitioner - Non-Primary Care Provider (PCP)</v>
          </cell>
          <cell r="M2995" t="str">
            <v>No</v>
          </cell>
          <cell r="R2995" t="str">
            <v>MALHOTRA SAMEER DR.</v>
          </cell>
          <cell r="W2995" t="str">
            <v>MALHOTRA SAMEER</v>
          </cell>
          <cell r="X2995" t="str">
            <v>505 E 70TH ST</v>
          </cell>
          <cell r="Y2995" t="str">
            <v>NEW YORK</v>
          </cell>
          <cell r="Z2995" t="str">
            <v>NY</v>
          </cell>
          <cell r="AA2995" t="str">
            <v>10021-4872</v>
          </cell>
          <cell r="AB2995" t="str">
            <v>PHYSICIAN</v>
          </cell>
          <cell r="AC2995" t="str">
            <v>M</v>
          </cell>
          <cell r="AD2995" t="str">
            <v>No</v>
          </cell>
          <cell r="AE2995" t="str">
            <v>MMIS</v>
          </cell>
          <cell r="AF2995" t="str">
            <v>nypeastcampus</v>
          </cell>
          <cell r="AG2995" t="str">
            <v>P</v>
          </cell>
        </row>
        <row r="2996">
          <cell r="A2996" t="str">
            <v>1437318417</v>
          </cell>
          <cell r="B2996" t="str">
            <v>03255727</v>
          </cell>
          <cell r="C2996" t="str">
            <v>MANGAT, HALINDER</v>
          </cell>
          <cell r="D2996" t="str">
            <v>E0310712</v>
          </cell>
          <cell r="E2996" t="str">
            <v>MANGAT HALINDER SINGH</v>
          </cell>
          <cell r="G2996" t="str">
            <v>Kathryn Spaziani</v>
          </cell>
          <cell r="H2996" t="str">
            <v>(212) 305-1292</v>
          </cell>
          <cell r="J2996" t="str">
            <v>kas9171@nyp.org</v>
          </cell>
          <cell r="L2996" t="str">
            <v>Practitioner - Non-Primary Care Provider (PCP)</v>
          </cell>
          <cell r="M2996" t="str">
            <v>No</v>
          </cell>
          <cell r="R2996" t="str">
            <v>MANGAT HALINDER DR.</v>
          </cell>
          <cell r="W2996" t="str">
            <v>MANGAT HALINDER SINGH</v>
          </cell>
          <cell r="X2996" t="str">
            <v>525 E 68TH ST RM F610</v>
          </cell>
          <cell r="Y2996" t="str">
            <v>NEW YORK</v>
          </cell>
          <cell r="Z2996" t="str">
            <v>NY</v>
          </cell>
          <cell r="AA2996" t="str">
            <v>10065-4870</v>
          </cell>
          <cell r="AB2996" t="str">
            <v>PHYSICIAN</v>
          </cell>
          <cell r="AC2996" t="str">
            <v>M</v>
          </cell>
          <cell r="AD2996" t="str">
            <v>No</v>
          </cell>
          <cell r="AE2996" t="str">
            <v>MMIS</v>
          </cell>
          <cell r="AF2996" t="str">
            <v>nypeastcampus</v>
          </cell>
          <cell r="AG2996" t="str">
            <v>P</v>
          </cell>
        </row>
        <row r="2997">
          <cell r="A2997" t="str">
            <v>1083771232</v>
          </cell>
          <cell r="B2997" t="str">
            <v>01060402</v>
          </cell>
          <cell r="C2997" t="str">
            <v>INWOOD COMMUNITY SERVICES, INC.</v>
          </cell>
          <cell r="D2997" t="str">
            <v>E0193827</v>
          </cell>
          <cell r="E2997" t="str">
            <v>INWOOD COMMUNITY SERVICES</v>
          </cell>
          <cell r="L2997" t="str">
            <v>All Other:: Mental Health:: Substance Abuse</v>
          </cell>
          <cell r="M2997" t="str">
            <v>Yes</v>
          </cell>
          <cell r="R2997" t="str">
            <v>INWOOD COMMUNITY SERVICES, INC.</v>
          </cell>
          <cell r="W2997" t="str">
            <v>INWOOD COMMUNITY SERVICES</v>
          </cell>
          <cell r="X2997" t="str">
            <v>GET CENTERED CL</v>
          </cell>
          <cell r="Y2997" t="str">
            <v>NEW YORK</v>
          </cell>
          <cell r="Z2997" t="str">
            <v>NY</v>
          </cell>
          <cell r="AA2997" t="str">
            <v>10034-5003</v>
          </cell>
          <cell r="AB2997" t="str">
            <v>DIAGNOSTIC AND TREATMENT CENTER</v>
          </cell>
          <cell r="AC2997" t="str">
            <v>M</v>
          </cell>
          <cell r="AD2997" t="str">
            <v>No</v>
          </cell>
          <cell r="AE2997" t="str">
            <v>MMIS</v>
          </cell>
          <cell r="AG2997" t="str">
            <v>P</v>
          </cell>
        </row>
        <row r="2998">
          <cell r="A2998" t="str">
            <v>1942528005</v>
          </cell>
          <cell r="B2998" t="str">
            <v>03313366</v>
          </cell>
          <cell r="C2998" t="str">
            <v>DESCHAMPS, ANA L</v>
          </cell>
          <cell r="D2998" t="str">
            <v>E0317192</v>
          </cell>
          <cell r="E2998" t="str">
            <v>DESCHAMPS ANA</v>
          </cell>
          <cell r="G2998" t="str">
            <v>Kathryn Spaziani</v>
          </cell>
          <cell r="H2998" t="str">
            <v>(212) 305-1190</v>
          </cell>
          <cell r="J2998" t="str">
            <v>kas9171@nyp.org</v>
          </cell>
          <cell r="L2998" t="str">
            <v>Uncategorized</v>
          </cell>
          <cell r="M2998" t="str">
            <v>No</v>
          </cell>
          <cell r="R2998" t="str">
            <v>DESCHAMPS ANA</v>
          </cell>
          <cell r="W2998" t="str">
            <v>DESCHAMPS ANA</v>
          </cell>
          <cell r="X2998" t="str">
            <v>4588 BROADWAY</v>
          </cell>
          <cell r="Y2998" t="str">
            <v>NEW YORK</v>
          </cell>
          <cell r="Z2998" t="str">
            <v>NY</v>
          </cell>
          <cell r="AA2998" t="str">
            <v>10040-2101</v>
          </cell>
          <cell r="AB2998" t="str">
            <v>CLINICAL SOCIAL WORKER (CSW)</v>
          </cell>
          <cell r="AC2998" t="str">
            <v>M</v>
          </cell>
          <cell r="AD2998" t="str">
            <v>No</v>
          </cell>
          <cell r="AE2998" t="str">
            <v>MMIS</v>
          </cell>
          <cell r="AF2998" t="str">
            <v>nypwestacn</v>
          </cell>
          <cell r="AG2998" t="str">
            <v>P</v>
          </cell>
        </row>
        <row r="2999">
          <cell r="A2999" t="str">
            <v>1689785883</v>
          </cell>
          <cell r="B2999" t="str">
            <v>00991057</v>
          </cell>
          <cell r="C2999" t="str">
            <v>BLUME, RALPH S</v>
          </cell>
          <cell r="D2999" t="str">
            <v>E0200693</v>
          </cell>
          <cell r="E2999" t="str">
            <v>BLUME RALPH S              MD</v>
          </cell>
          <cell r="G2999" t="str">
            <v>Kathryn Spaziani</v>
          </cell>
          <cell r="H2999" t="str">
            <v>(212) 305-1190</v>
          </cell>
          <cell r="J2999" t="str">
            <v>kas9171@nyp.org</v>
          </cell>
          <cell r="L2999" t="str">
            <v>Practitioner - Non-Primary Care Provider (PCP)</v>
          </cell>
          <cell r="M2999" t="str">
            <v>No</v>
          </cell>
          <cell r="R2999" t="str">
            <v>BLUME RALPH DR.</v>
          </cell>
          <cell r="W2999" t="str">
            <v>BLUME RALPH S              MD</v>
          </cell>
          <cell r="Y2999" t="str">
            <v>NEW YORK</v>
          </cell>
          <cell r="Z2999" t="str">
            <v>NY</v>
          </cell>
          <cell r="AA2999" t="str">
            <v>10032-3720</v>
          </cell>
          <cell r="AB2999" t="str">
            <v>PHYSICIAN</v>
          </cell>
          <cell r="AC2999" t="str">
            <v>M</v>
          </cell>
          <cell r="AD2999" t="str">
            <v>No</v>
          </cell>
          <cell r="AE2999" t="str">
            <v>MMIS</v>
          </cell>
          <cell r="AF2999" t="str">
            <v>nypwestcampus</v>
          </cell>
          <cell r="AG2999" t="str">
            <v>P</v>
          </cell>
        </row>
        <row r="3000">
          <cell r="A3000" t="str">
            <v>1982987616</v>
          </cell>
          <cell r="C3000" t="str">
            <v>Mason Andrea</v>
          </cell>
          <cell r="G3000" t="str">
            <v>Kathryn Spaziani</v>
          </cell>
          <cell r="H3000" t="str">
            <v>(212) 305-1255</v>
          </cell>
          <cell r="J3000" t="str">
            <v>kas9171@nyp.org</v>
          </cell>
          <cell r="K3000" t="str">
            <v>Physician</v>
          </cell>
          <cell r="L3000" t="str">
            <v>Practitioner - Non-Primary Care Provider (PCP)</v>
          </cell>
          <cell r="M3000" t="str">
            <v>No</v>
          </cell>
          <cell r="R3000" t="str">
            <v>GUIDA ANDREA</v>
          </cell>
          <cell r="S3000" t="str">
            <v>3300 GALLOWS RD, INOVA FAIRFAX HOSPITAL</v>
          </cell>
          <cell r="T3000" t="str">
            <v>FALLS CHURCH</v>
          </cell>
          <cell r="U3000" t="str">
            <v>VA</v>
          </cell>
          <cell r="V3000" t="str">
            <v>220423307</v>
          </cell>
          <cell r="AC3000" t="str">
            <v>M</v>
          </cell>
          <cell r="AD3000" t="str">
            <v>No</v>
          </cell>
          <cell r="AE3000" t="str">
            <v>NPI only</v>
          </cell>
          <cell r="AF3000" t="str">
            <v>nypeastcampus</v>
          </cell>
          <cell r="AG3000" t="str">
            <v>P</v>
          </cell>
        </row>
        <row r="3001">
          <cell r="A3001" t="str">
            <v>1609186162</v>
          </cell>
          <cell r="C3001" t="str">
            <v>Hsu Yen-Michael</v>
          </cell>
          <cell r="G3001" t="str">
            <v>Kathryn Spaziani</v>
          </cell>
          <cell r="H3001" t="str">
            <v>(212) 305-1240</v>
          </cell>
          <cell r="J3001" t="str">
            <v>kas9171@nyp.org</v>
          </cell>
          <cell r="K3001" t="str">
            <v>Physician</v>
          </cell>
          <cell r="L3001" t="str">
            <v>Uncategorized</v>
          </cell>
          <cell r="M3001" t="str">
            <v>No</v>
          </cell>
          <cell r="R3001" t="str">
            <v>HSU YEN-MICHAEL DR.</v>
          </cell>
          <cell r="S3001" t="str">
            <v>660 S EUCLID AVE, BOX 8118</v>
          </cell>
          <cell r="T3001" t="str">
            <v>SAINT LOUIS</v>
          </cell>
          <cell r="U3001" t="str">
            <v>MO</v>
          </cell>
          <cell r="V3001" t="str">
            <v>631101010</v>
          </cell>
          <cell r="AC3001" t="str">
            <v>M</v>
          </cell>
          <cell r="AD3001" t="str">
            <v>No</v>
          </cell>
          <cell r="AE3001" t="str">
            <v>NPI only</v>
          </cell>
          <cell r="AF3001" t="str">
            <v>nypeastcampus</v>
          </cell>
          <cell r="AG3001" t="str">
            <v>P</v>
          </cell>
        </row>
        <row r="3002">
          <cell r="A3002" t="str">
            <v>1508207457</v>
          </cell>
          <cell r="C3002" t="str">
            <v>Inghirami Giorgio</v>
          </cell>
          <cell r="G3002" t="str">
            <v>Kathryn Spaziani</v>
          </cell>
          <cell r="H3002" t="str">
            <v>(212) 305-1241</v>
          </cell>
          <cell r="J3002" t="str">
            <v>kas9171@nyp.org</v>
          </cell>
          <cell r="K3002" t="str">
            <v>Physician</v>
          </cell>
          <cell r="L3002" t="str">
            <v>Uncategorized</v>
          </cell>
          <cell r="M3002" t="str">
            <v>No</v>
          </cell>
          <cell r="R3002" t="str">
            <v>WEILL CORNELL MEDICAL COLLEGE</v>
          </cell>
          <cell r="S3002" t="str">
            <v>1300 YORK AVE - ROOM C-302, WEILL CORNELL MEDICAL COLLEGE</v>
          </cell>
          <cell r="T3002" t="str">
            <v>NEW YORK</v>
          </cell>
          <cell r="U3002" t="str">
            <v>NY</v>
          </cell>
          <cell r="V3002" t="str">
            <v>10065</v>
          </cell>
          <cell r="AC3002" t="str">
            <v>M</v>
          </cell>
          <cell r="AD3002" t="str">
            <v>No</v>
          </cell>
          <cell r="AE3002" t="str">
            <v>NPI only</v>
          </cell>
          <cell r="AF3002" t="str">
            <v>nypeastcampus</v>
          </cell>
          <cell r="AG3002" t="str">
            <v>P</v>
          </cell>
        </row>
        <row r="3003">
          <cell r="A3003" t="str">
            <v>1205928124</v>
          </cell>
          <cell r="B3003" t="str">
            <v>03493363</v>
          </cell>
          <cell r="C3003" t="str">
            <v>Jessurun Jose</v>
          </cell>
          <cell r="D3003" t="str">
            <v>E0338848</v>
          </cell>
          <cell r="E3003" t="str">
            <v>JESSURUN-SOLOMOU JOSE</v>
          </cell>
          <cell r="G3003" t="str">
            <v>Kathryn Spaziani</v>
          </cell>
          <cell r="H3003" t="str">
            <v>(212) 305-1242</v>
          </cell>
          <cell r="J3003" t="str">
            <v>kas9171@nyp.org</v>
          </cell>
          <cell r="L3003" t="str">
            <v>All Other:: Practitioner - Non-Primary Care Provider (PCP)</v>
          </cell>
          <cell r="M3003" t="str">
            <v>No</v>
          </cell>
          <cell r="R3003" t="str">
            <v>JESSURUN-SOLOMOU JOSE</v>
          </cell>
          <cell r="W3003" t="str">
            <v>JESSURUN-SOLOMOU JOSE</v>
          </cell>
          <cell r="X3003" t="str">
            <v>525 E 68TH ST</v>
          </cell>
          <cell r="Y3003" t="str">
            <v>NEW YORK</v>
          </cell>
          <cell r="Z3003" t="str">
            <v>NY</v>
          </cell>
          <cell r="AA3003" t="str">
            <v>10065-4870</v>
          </cell>
          <cell r="AB3003" t="str">
            <v>PHYSICIAN</v>
          </cell>
          <cell r="AC3003" t="str">
            <v>M</v>
          </cell>
          <cell r="AD3003" t="str">
            <v>No</v>
          </cell>
          <cell r="AE3003" t="str">
            <v>MMIS</v>
          </cell>
          <cell r="AF3003" t="str">
            <v>nypeastcampus</v>
          </cell>
          <cell r="AG3003" t="str">
            <v>P</v>
          </cell>
        </row>
        <row r="3004">
          <cell r="A3004" t="str">
            <v>1467744664</v>
          </cell>
          <cell r="B3004" t="str">
            <v>03588965</v>
          </cell>
          <cell r="C3004" t="str">
            <v>Liu Yen-Chun</v>
          </cell>
          <cell r="D3004" t="str">
            <v>E0349048</v>
          </cell>
          <cell r="E3004" t="str">
            <v>LIU YEN-CHUN</v>
          </cell>
          <cell r="G3004" t="str">
            <v>Kathryn Spaziani</v>
          </cell>
          <cell r="H3004" t="str">
            <v>(212) 305-1243</v>
          </cell>
          <cell r="J3004" t="str">
            <v>kas9171@nyp.org</v>
          </cell>
          <cell r="L3004" t="str">
            <v>All Other:: Practitioner - Non-Primary Care Provider (PCP)</v>
          </cell>
          <cell r="M3004" t="str">
            <v>No</v>
          </cell>
          <cell r="R3004" t="str">
            <v>LIU YEN-CHUN DR.</v>
          </cell>
          <cell r="W3004" t="str">
            <v>LIU YEN-CHUN</v>
          </cell>
          <cell r="X3004" t="str">
            <v>525 E 68TH ST</v>
          </cell>
          <cell r="Y3004" t="str">
            <v>NEW YORK</v>
          </cell>
          <cell r="Z3004" t="str">
            <v>NY</v>
          </cell>
          <cell r="AA3004" t="str">
            <v>10065-4870</v>
          </cell>
          <cell r="AB3004" t="str">
            <v>PHYSICIAN</v>
          </cell>
          <cell r="AC3004" t="str">
            <v>M</v>
          </cell>
          <cell r="AD3004" t="str">
            <v>No</v>
          </cell>
          <cell r="AE3004" t="str">
            <v>MMIS</v>
          </cell>
          <cell r="AF3004" t="str">
            <v>nypeastcampus</v>
          </cell>
          <cell r="AG3004" t="str">
            <v>P</v>
          </cell>
        </row>
        <row r="3005">
          <cell r="A3005" t="str">
            <v>1942610621</v>
          </cell>
          <cell r="C3005" t="str">
            <v>Mitsios John</v>
          </cell>
          <cell r="G3005" t="str">
            <v>Kathryn Spaziani</v>
          </cell>
          <cell r="H3005" t="str">
            <v>(212) 305-1244</v>
          </cell>
          <cell r="J3005" t="str">
            <v>kas9171@nyp.org</v>
          </cell>
          <cell r="K3005" t="str">
            <v>Physician</v>
          </cell>
          <cell r="L3005" t="str">
            <v>Uncategorized</v>
          </cell>
          <cell r="M3005" t="str">
            <v>No</v>
          </cell>
          <cell r="R3005" t="str">
            <v>MITSIOS JOHN DR.</v>
          </cell>
          <cell r="S3005" t="str">
            <v>1300 YORK AVE</v>
          </cell>
          <cell r="T3005" t="str">
            <v>NEW YORK</v>
          </cell>
          <cell r="U3005" t="str">
            <v>NY</v>
          </cell>
          <cell r="V3005" t="str">
            <v>100654805</v>
          </cell>
          <cell r="AC3005" t="str">
            <v>M</v>
          </cell>
          <cell r="AD3005" t="str">
            <v>No</v>
          </cell>
          <cell r="AE3005" t="str">
            <v>NPI only</v>
          </cell>
          <cell r="AF3005" t="str">
            <v>nypeastcampus</v>
          </cell>
          <cell r="AG3005" t="str">
            <v>P</v>
          </cell>
        </row>
        <row r="3006">
          <cell r="A3006" t="str">
            <v>1326135427</v>
          </cell>
          <cell r="B3006" t="str">
            <v>01768478</v>
          </cell>
          <cell r="C3006" t="str">
            <v>COLE, CURTIS L</v>
          </cell>
          <cell r="D3006" t="str">
            <v>E0123181</v>
          </cell>
          <cell r="E3006" t="str">
            <v>COLE CURTIS L MD</v>
          </cell>
          <cell r="G3006" t="str">
            <v>Kathryn Spaziani</v>
          </cell>
          <cell r="H3006" t="str">
            <v>(212) 305-1190</v>
          </cell>
          <cell r="J3006" t="str">
            <v>kas9171@nyp.org</v>
          </cell>
          <cell r="L3006" t="str">
            <v>Practitioner - Primary Care Provider (PCP)</v>
          </cell>
          <cell r="M3006" t="str">
            <v>No</v>
          </cell>
          <cell r="R3006" t="str">
            <v>COLE CURTIS</v>
          </cell>
          <cell r="W3006" t="str">
            <v>COLE CURTIS L MD</v>
          </cell>
          <cell r="X3006" t="str">
            <v>CORNELL INT MED ASC</v>
          </cell>
          <cell r="Y3006" t="str">
            <v>NEW YORK</v>
          </cell>
          <cell r="Z3006" t="str">
            <v>NY</v>
          </cell>
          <cell r="AA3006" t="str">
            <v>10021-4872</v>
          </cell>
          <cell r="AB3006" t="str">
            <v>PHYSICIAN</v>
          </cell>
          <cell r="AC3006" t="str">
            <v>M</v>
          </cell>
          <cell r="AD3006" t="str">
            <v>No</v>
          </cell>
          <cell r="AE3006" t="str">
            <v>MMIS</v>
          </cell>
          <cell r="AF3006" t="str">
            <v>nypeastacn</v>
          </cell>
          <cell r="AG3006" t="str">
            <v>P</v>
          </cell>
        </row>
        <row r="3007">
          <cell r="A3007" t="str">
            <v>1235329830</v>
          </cell>
          <cell r="B3007" t="str">
            <v>03564665</v>
          </cell>
          <cell r="C3007" t="str">
            <v>KUO, JENNIFER H</v>
          </cell>
          <cell r="D3007" t="str">
            <v>E0346502</v>
          </cell>
          <cell r="E3007" t="str">
            <v>KUO JENNIFER HONG</v>
          </cell>
          <cell r="G3007" t="str">
            <v>Kathryn Spaziani</v>
          </cell>
          <cell r="H3007" t="str">
            <v>(212) 305-1190</v>
          </cell>
          <cell r="J3007" t="str">
            <v>kas9171@nyp.org</v>
          </cell>
          <cell r="L3007" t="str">
            <v>All Other:: Practitioner - Non-Primary Care Provider (PCP)</v>
          </cell>
          <cell r="M3007" t="str">
            <v>No</v>
          </cell>
          <cell r="R3007" t="str">
            <v>KUO JENNIFER</v>
          </cell>
          <cell r="W3007" t="str">
            <v>KUO JENNIFER HONG</v>
          </cell>
          <cell r="X3007" t="str">
            <v>161 FORT WASHINGTON AVE FL 8</v>
          </cell>
          <cell r="Y3007" t="str">
            <v>NEW YORK</v>
          </cell>
          <cell r="Z3007" t="str">
            <v>NY</v>
          </cell>
          <cell r="AA3007" t="str">
            <v>10032-3729</v>
          </cell>
          <cell r="AB3007" t="str">
            <v>PHYSICIAN</v>
          </cell>
          <cell r="AC3007" t="str">
            <v>M</v>
          </cell>
          <cell r="AD3007" t="str">
            <v>No</v>
          </cell>
          <cell r="AE3007" t="str">
            <v>MMIS</v>
          </cell>
          <cell r="AF3007" t="str">
            <v>nypwestcampus</v>
          </cell>
          <cell r="AG3007" t="str">
            <v>P</v>
          </cell>
        </row>
        <row r="3008">
          <cell r="A3008" t="str">
            <v>1538208962</v>
          </cell>
          <cell r="B3008" t="str">
            <v>03302701</v>
          </cell>
          <cell r="C3008" t="str">
            <v>JOSEPH, DIONNE J</v>
          </cell>
          <cell r="D3008" t="str">
            <v>E0316004</v>
          </cell>
          <cell r="E3008" t="str">
            <v>JOSEPH DIONNE J</v>
          </cell>
          <cell r="G3008" t="str">
            <v>Kathryn Spaziani</v>
          </cell>
          <cell r="H3008" t="str">
            <v>(212) 305-1190</v>
          </cell>
          <cell r="J3008" t="str">
            <v>kas9171@nyp.org</v>
          </cell>
          <cell r="L3008" t="str">
            <v>Practitioner - Non-Primary Care Provider (PCP)</v>
          </cell>
          <cell r="M3008" t="str">
            <v>No</v>
          </cell>
          <cell r="R3008" t="str">
            <v>JOSEPH DIONNE MS.</v>
          </cell>
          <cell r="W3008" t="str">
            <v>JOSEPH DIONNE J</v>
          </cell>
          <cell r="X3008" t="str">
            <v>6 EDGECOMBE AVE</v>
          </cell>
          <cell r="Y3008" t="str">
            <v>NEW YORK</v>
          </cell>
          <cell r="Z3008" t="str">
            <v>NY</v>
          </cell>
          <cell r="AA3008" t="str">
            <v>10030-2432</v>
          </cell>
          <cell r="AB3008" t="str">
            <v>PHYSICIAN</v>
          </cell>
          <cell r="AC3008" t="str">
            <v>M</v>
          </cell>
          <cell r="AD3008" t="str">
            <v>No</v>
          </cell>
          <cell r="AE3008" t="str">
            <v>MMIS</v>
          </cell>
          <cell r="AF3008" t="str">
            <v>nypwestacn</v>
          </cell>
          <cell r="AG3008" t="str">
            <v>P</v>
          </cell>
        </row>
        <row r="3009">
          <cell r="A3009" t="str">
            <v>1629124706</v>
          </cell>
          <cell r="B3009" t="str">
            <v>01924703</v>
          </cell>
          <cell r="C3009" t="str">
            <v>YOON, CECILIA J</v>
          </cell>
          <cell r="D3009" t="str">
            <v>E0107580</v>
          </cell>
          <cell r="E3009" t="str">
            <v>YOON CECILIA J MD</v>
          </cell>
          <cell r="G3009" t="str">
            <v>Kathryn Spaziani</v>
          </cell>
          <cell r="H3009" t="str">
            <v>(212) 305-1190</v>
          </cell>
          <cell r="J3009" t="str">
            <v>kas9171@nyp.org</v>
          </cell>
          <cell r="L3009" t="str">
            <v>All Other:: Practitioner - Primary Care Provider (PCP)</v>
          </cell>
          <cell r="M3009" t="str">
            <v>No</v>
          </cell>
          <cell r="R3009" t="str">
            <v>YOON CECILIA DR.</v>
          </cell>
          <cell r="W3009" t="str">
            <v>YOON CECILIA J</v>
          </cell>
          <cell r="X3009" t="str">
            <v>525 E 68TH ST # 125</v>
          </cell>
          <cell r="Y3009" t="str">
            <v>NEW YORK</v>
          </cell>
          <cell r="Z3009" t="str">
            <v>NY</v>
          </cell>
          <cell r="AA3009" t="str">
            <v>10065-4870</v>
          </cell>
          <cell r="AB3009" t="str">
            <v>PHYSICIAN</v>
          </cell>
          <cell r="AC3009" t="str">
            <v>M</v>
          </cell>
          <cell r="AD3009" t="str">
            <v>No</v>
          </cell>
          <cell r="AE3009" t="str">
            <v>MMIS</v>
          </cell>
          <cell r="AF3009" t="str">
            <v>nypeastcampus</v>
          </cell>
          <cell r="AG3009" t="str">
            <v>P</v>
          </cell>
        </row>
        <row r="3010">
          <cell r="A3010" t="str">
            <v>1316139686</v>
          </cell>
          <cell r="B3010" t="str">
            <v>02983402</v>
          </cell>
          <cell r="C3010" t="str">
            <v>BRENNER, KEITH R</v>
          </cell>
          <cell r="D3010" t="str">
            <v>E0006692</v>
          </cell>
          <cell r="E3010" t="str">
            <v>BRENNER KEITH RODNEY MD</v>
          </cell>
          <cell r="G3010" t="str">
            <v>Kathryn Spaziani</v>
          </cell>
          <cell r="H3010" t="str">
            <v>(212) 305-1190</v>
          </cell>
          <cell r="J3010" t="str">
            <v>kas9171@nyp.org</v>
          </cell>
          <cell r="L3010" t="str">
            <v>Practitioner - Non-Primary Care Provider (PCP)</v>
          </cell>
          <cell r="M3010" t="str">
            <v>No</v>
          </cell>
          <cell r="R3010" t="str">
            <v>BRENNER KEITH DR.</v>
          </cell>
          <cell r="W3010" t="str">
            <v>BRENNER KEITH RODNEY MD</v>
          </cell>
          <cell r="X3010" t="str">
            <v>622 W 168TH ST</v>
          </cell>
          <cell r="Y3010" t="str">
            <v>NEW YORK</v>
          </cell>
          <cell r="Z3010" t="str">
            <v>NY</v>
          </cell>
          <cell r="AA3010" t="str">
            <v>10032-3720</v>
          </cell>
          <cell r="AB3010" t="str">
            <v>PHYSICIAN</v>
          </cell>
          <cell r="AC3010" t="str">
            <v>M</v>
          </cell>
          <cell r="AD3010" t="str">
            <v>No</v>
          </cell>
          <cell r="AE3010" t="str">
            <v>MMIS</v>
          </cell>
          <cell r="AF3010" t="str">
            <v>nypwestacn</v>
          </cell>
          <cell r="AG3010" t="str">
            <v>P</v>
          </cell>
        </row>
        <row r="3011">
          <cell r="A3011" t="str">
            <v>1043300221</v>
          </cell>
          <cell r="B3011" t="str">
            <v>01139651</v>
          </cell>
          <cell r="C3011" t="str">
            <v>Davis, Jessica G</v>
          </cell>
          <cell r="D3011" t="str">
            <v>E0185916</v>
          </cell>
          <cell r="E3011" t="str">
            <v>DAVIS JESSICA MD</v>
          </cell>
          <cell r="G3011" t="str">
            <v>Kathryn Spaziani</v>
          </cell>
          <cell r="H3011" t="str">
            <v>(212) 305-1190</v>
          </cell>
          <cell r="J3011" t="str">
            <v>kas9171@nyp.org</v>
          </cell>
          <cell r="L3011" t="str">
            <v>All Other:: Practitioner - Non-Primary Care Provider (PCP)</v>
          </cell>
          <cell r="M3011" t="str">
            <v>No</v>
          </cell>
          <cell r="R3011" t="str">
            <v>DAVIS JESSICA</v>
          </cell>
          <cell r="W3011" t="str">
            <v>DAVIS JESSICA MD</v>
          </cell>
          <cell r="X3011" t="str">
            <v>RM HT-150</v>
          </cell>
          <cell r="Y3011" t="str">
            <v>NEW YORK</v>
          </cell>
          <cell r="Z3011" t="str">
            <v>NY</v>
          </cell>
          <cell r="AA3011" t="str">
            <v>10021-4872</v>
          </cell>
          <cell r="AB3011" t="str">
            <v>PHYSICIAN</v>
          </cell>
          <cell r="AC3011" t="str">
            <v>M</v>
          </cell>
          <cell r="AD3011" t="str">
            <v>No</v>
          </cell>
          <cell r="AE3011" t="str">
            <v>MMIS</v>
          </cell>
          <cell r="AF3011" t="str">
            <v>nypother</v>
          </cell>
          <cell r="AG3011" t="str">
            <v>P</v>
          </cell>
        </row>
        <row r="3012">
          <cell r="A3012" t="str">
            <v>1043328354</v>
          </cell>
          <cell r="B3012" t="str">
            <v>02186198</v>
          </cell>
          <cell r="C3012" t="str">
            <v>COLUMBIA PRESBYTERIAN EASTSIDE RADIOLOGY</v>
          </cell>
          <cell r="D3012" t="str">
            <v>E0081461</v>
          </cell>
          <cell r="E3012" t="str">
            <v>TRUSTEES OF COLUMBIA UNIV</v>
          </cell>
          <cell r="L3012" t="str">
            <v>All Other</v>
          </cell>
          <cell r="M3012" t="str">
            <v>No</v>
          </cell>
          <cell r="R3012" t="str">
            <v>TRUSTEES OF COLUMBIA UNIVERSITY IN THE CITY OF NEW YORK</v>
          </cell>
          <cell r="W3012" t="str">
            <v>TRUSTEES OF COLUMBIA UNIVERSITY IN</v>
          </cell>
          <cell r="X3012" t="str">
            <v>51 WEST 51 STREET</v>
          </cell>
          <cell r="Y3012" t="str">
            <v>NEW YORK</v>
          </cell>
          <cell r="Z3012" t="str">
            <v>NY</v>
          </cell>
          <cell r="AA3012" t="str">
            <v>10019-6113</v>
          </cell>
          <cell r="AB3012" t="str">
            <v>PHYSICIANS GROUP</v>
          </cell>
          <cell r="AC3012" t="str">
            <v>M</v>
          </cell>
          <cell r="AD3012" t="str">
            <v>No</v>
          </cell>
          <cell r="AE3012" t="str">
            <v>MMIS</v>
          </cell>
          <cell r="AG3012" t="str">
            <v>P</v>
          </cell>
        </row>
        <row r="3013">
          <cell r="A3013" t="str">
            <v>1750692869</v>
          </cell>
          <cell r="C3013" t="str">
            <v>Winant Abbey</v>
          </cell>
          <cell r="G3013" t="str">
            <v>Kathryn Spaziani</v>
          </cell>
          <cell r="H3013" t="str">
            <v>(212) 305-1255</v>
          </cell>
          <cell r="J3013" t="str">
            <v>kas9171@nyp.org</v>
          </cell>
          <cell r="K3013" t="str">
            <v>Physician</v>
          </cell>
          <cell r="L3013" t="str">
            <v>Uncategorized</v>
          </cell>
          <cell r="M3013" t="str">
            <v>No</v>
          </cell>
          <cell r="R3013" t="str">
            <v>WINANT ABBEY DR.</v>
          </cell>
          <cell r="S3013" t="str">
            <v>300 LONGWOOD AVE, BOSTON CHILDRENS HOSPITAL DEPARTMENT OF RADIOLOGY</v>
          </cell>
          <cell r="T3013" t="str">
            <v>BOSTON</v>
          </cell>
          <cell r="U3013" t="str">
            <v>MA</v>
          </cell>
          <cell r="V3013" t="str">
            <v>021155724</v>
          </cell>
          <cell r="AC3013" t="str">
            <v>M</v>
          </cell>
          <cell r="AD3013" t="str">
            <v>No</v>
          </cell>
          <cell r="AE3013" t="str">
            <v>NPI only</v>
          </cell>
          <cell r="AF3013" t="str">
            <v>nypother</v>
          </cell>
          <cell r="AG3013" t="str">
            <v>P</v>
          </cell>
        </row>
        <row r="3014">
          <cell r="A3014" t="str">
            <v>1073741468</v>
          </cell>
          <cell r="B3014" t="str">
            <v>04186265</v>
          </cell>
          <cell r="C3014" t="str">
            <v>Ahmad Noor</v>
          </cell>
          <cell r="D3014" t="str">
            <v>E0410513</v>
          </cell>
          <cell r="E3014" t="str">
            <v>AHMAD NOOR</v>
          </cell>
          <cell r="G3014" t="str">
            <v>Kathryn Spaziani</v>
          </cell>
          <cell r="H3014" t="str">
            <v>(212) 305-1255</v>
          </cell>
          <cell r="J3014" t="str">
            <v>kas9171@nyp.org</v>
          </cell>
          <cell r="L3014" t="str">
            <v>All Other:: Practitioner - Non-Primary Care Provider (PCP)</v>
          </cell>
          <cell r="M3014" t="str">
            <v>No</v>
          </cell>
          <cell r="R3014" t="str">
            <v>AHMAD NOOR</v>
          </cell>
          <cell r="W3014" t="str">
            <v>AHMAD NOOR</v>
          </cell>
          <cell r="X3014" t="str">
            <v>475 SEAVIEW AVE</v>
          </cell>
          <cell r="Y3014" t="str">
            <v>STATEN ISLAND</v>
          </cell>
          <cell r="Z3014" t="str">
            <v>NY</v>
          </cell>
          <cell r="AA3014" t="str">
            <v>10305-3436</v>
          </cell>
          <cell r="AB3014" t="str">
            <v>PHYSICIAN</v>
          </cell>
          <cell r="AC3014" t="str">
            <v>M</v>
          </cell>
          <cell r="AD3014" t="str">
            <v>No</v>
          </cell>
          <cell r="AE3014" t="str">
            <v>MMIS</v>
          </cell>
          <cell r="AF3014" t="str">
            <v>nypother</v>
          </cell>
          <cell r="AG3014" t="str">
            <v>P</v>
          </cell>
        </row>
        <row r="3015">
          <cell r="A3015" t="str">
            <v>1932341591</v>
          </cell>
          <cell r="C3015" t="str">
            <v>Drozhinin Leonid</v>
          </cell>
          <cell r="G3015" t="str">
            <v>Kathryn Spaziani</v>
          </cell>
          <cell r="H3015" t="str">
            <v>(212) 305-1255</v>
          </cell>
          <cell r="J3015" t="str">
            <v>kas9171@nyp.org</v>
          </cell>
          <cell r="K3015" t="str">
            <v>Physician</v>
          </cell>
          <cell r="L3015" t="str">
            <v>Uncategorized</v>
          </cell>
          <cell r="M3015" t="str">
            <v>No</v>
          </cell>
          <cell r="R3015" t="str">
            <v>DROZHININ LEONID</v>
          </cell>
          <cell r="S3015" t="str">
            <v>3700 WASHINGTON AVE</v>
          </cell>
          <cell r="T3015" t="str">
            <v>EVANSVILLE</v>
          </cell>
          <cell r="U3015" t="str">
            <v>IN</v>
          </cell>
          <cell r="V3015" t="str">
            <v>477140541</v>
          </cell>
          <cell r="AC3015" t="str">
            <v>M</v>
          </cell>
          <cell r="AD3015" t="str">
            <v>No</v>
          </cell>
          <cell r="AE3015" t="str">
            <v>NPI only</v>
          </cell>
          <cell r="AF3015" t="str">
            <v>nypother</v>
          </cell>
          <cell r="AG3015" t="str">
            <v>P</v>
          </cell>
        </row>
        <row r="3016">
          <cell r="A3016" t="str">
            <v>1053560441</v>
          </cell>
          <cell r="B3016" t="str">
            <v>03716323</v>
          </cell>
          <cell r="C3016" t="str">
            <v xml:space="preserve">RODRIGUEZ-RUIZ, ANDRES </v>
          </cell>
          <cell r="D3016" t="str">
            <v>E0362199</v>
          </cell>
          <cell r="E3016" t="str">
            <v>RODRIGUEZ-RUIZ ANDRES A</v>
          </cell>
          <cell r="G3016" t="str">
            <v>Kathryn Spaziani</v>
          </cell>
          <cell r="H3016" t="str">
            <v>(212) 305-1190</v>
          </cell>
          <cell r="J3016" t="str">
            <v>kas9171@nyp.org</v>
          </cell>
          <cell r="L3016" t="str">
            <v>All Other:: Practitioner - Non-Primary Care Provider (PCP)</v>
          </cell>
          <cell r="M3016" t="str">
            <v>No</v>
          </cell>
          <cell r="R3016" t="str">
            <v>RODRIGUEZ-RUIZ ANDRES DR.</v>
          </cell>
          <cell r="W3016" t="str">
            <v>RODRIGUEZ-RUIZ ANDRES A</v>
          </cell>
          <cell r="X3016" t="str">
            <v>710 W 168TH ST</v>
          </cell>
          <cell r="Y3016" t="str">
            <v>NEW YORK</v>
          </cell>
          <cell r="Z3016" t="str">
            <v>NY</v>
          </cell>
          <cell r="AA3016" t="str">
            <v>10032-3726</v>
          </cell>
          <cell r="AB3016" t="str">
            <v>PHYSICIAN</v>
          </cell>
          <cell r="AC3016" t="str">
            <v>M</v>
          </cell>
          <cell r="AD3016" t="str">
            <v>No</v>
          </cell>
          <cell r="AE3016" t="str">
            <v>MMIS</v>
          </cell>
          <cell r="AF3016" t="str">
            <v>nypother</v>
          </cell>
          <cell r="AG3016" t="str">
            <v>P</v>
          </cell>
        </row>
        <row r="3017">
          <cell r="A3017" t="str">
            <v>1306837000</v>
          </cell>
          <cell r="B3017" t="str">
            <v>01044522</v>
          </cell>
          <cell r="C3017" t="str">
            <v xml:space="preserve">Constance A. Young </v>
          </cell>
          <cell r="D3017" t="str">
            <v>E0195415</v>
          </cell>
          <cell r="E3017" t="str">
            <v>YOUNG CONSTANCE A MD PLLC</v>
          </cell>
          <cell r="L3017" t="str">
            <v>All Other:: Practitioner - Non-Primary Care Provider (PCP)</v>
          </cell>
          <cell r="M3017" t="str">
            <v>Yes</v>
          </cell>
          <cell r="R3017" t="str">
            <v>YOUNG CONSTANCE DR.</v>
          </cell>
          <cell r="W3017" t="str">
            <v>YOUNG CONSTANCE A MD PLLC</v>
          </cell>
          <cell r="X3017" t="str">
            <v>1650 GRAND CONCOURSE</v>
          </cell>
          <cell r="Y3017" t="str">
            <v>BRONX</v>
          </cell>
          <cell r="Z3017" t="str">
            <v>NY</v>
          </cell>
          <cell r="AA3017" t="str">
            <v>10457-7606</v>
          </cell>
          <cell r="AB3017" t="str">
            <v>PHYSICIAN</v>
          </cell>
          <cell r="AC3017" t="str">
            <v>M</v>
          </cell>
          <cell r="AD3017" t="str">
            <v>No</v>
          </cell>
          <cell r="AE3017" t="str">
            <v>MMIS</v>
          </cell>
          <cell r="AF3017" t="str">
            <v>nypwestcampus</v>
          </cell>
          <cell r="AG3017" t="str">
            <v>P</v>
          </cell>
        </row>
        <row r="3018">
          <cell r="A3018" t="str">
            <v>1861757379</v>
          </cell>
          <cell r="C3018" t="str">
            <v>Dean Kathryn</v>
          </cell>
          <cell r="G3018" t="str">
            <v>Kathryn Spaziani</v>
          </cell>
          <cell r="H3018" t="str">
            <v>(212) 305-1255</v>
          </cell>
          <cell r="J3018" t="str">
            <v>kas9171@nyp.org</v>
          </cell>
          <cell r="K3018" t="str">
            <v>Physician</v>
          </cell>
          <cell r="L3018" t="str">
            <v>Uncategorized</v>
          </cell>
          <cell r="M3018" t="str">
            <v>No</v>
          </cell>
          <cell r="R3018" t="str">
            <v>DEAN KATHRYN DR.</v>
          </cell>
          <cell r="S3018" t="str">
            <v>525 E 68TH ST</v>
          </cell>
          <cell r="T3018" t="str">
            <v>NEW YORK</v>
          </cell>
          <cell r="U3018" t="str">
            <v>NY</v>
          </cell>
          <cell r="V3018" t="str">
            <v>100654870</v>
          </cell>
          <cell r="AC3018" t="str">
            <v>M</v>
          </cell>
          <cell r="AD3018" t="str">
            <v>No</v>
          </cell>
          <cell r="AE3018" t="str">
            <v>NPI only</v>
          </cell>
          <cell r="AF3018" t="str">
            <v>nypeastcampus</v>
          </cell>
          <cell r="AG3018" t="str">
            <v>P</v>
          </cell>
        </row>
        <row r="3019">
          <cell r="A3019" t="str">
            <v>1265722888</v>
          </cell>
          <cell r="C3019" t="str">
            <v>Drexler Ian</v>
          </cell>
          <cell r="G3019" t="str">
            <v>Kathryn Spaziani</v>
          </cell>
          <cell r="H3019" t="str">
            <v>(212) 305-1255</v>
          </cell>
          <cell r="J3019" t="str">
            <v>kas9171@nyp.org</v>
          </cell>
          <cell r="K3019" t="str">
            <v>Physician</v>
          </cell>
          <cell r="L3019" t="str">
            <v>Uncategorized</v>
          </cell>
          <cell r="M3019" t="str">
            <v>No</v>
          </cell>
          <cell r="R3019" t="str">
            <v>DREXLER IAN</v>
          </cell>
          <cell r="S3019" t="str">
            <v>525 E 68TH ST</v>
          </cell>
          <cell r="T3019" t="str">
            <v>NEW YORK</v>
          </cell>
          <cell r="U3019" t="str">
            <v>NY</v>
          </cell>
          <cell r="V3019" t="str">
            <v>100654870</v>
          </cell>
          <cell r="AC3019" t="str">
            <v>M</v>
          </cell>
          <cell r="AD3019" t="str">
            <v>No</v>
          </cell>
          <cell r="AE3019" t="str">
            <v>NPI only</v>
          </cell>
          <cell r="AF3019" t="str">
            <v>nypeastcampus</v>
          </cell>
          <cell r="AG3019" t="str">
            <v>P</v>
          </cell>
        </row>
        <row r="3020">
          <cell r="A3020" t="str">
            <v>1184990350</v>
          </cell>
          <cell r="C3020" t="str">
            <v>Escalon Joanna</v>
          </cell>
          <cell r="G3020" t="str">
            <v>Kathryn Spaziani</v>
          </cell>
          <cell r="H3020" t="str">
            <v>(212) 305-1255</v>
          </cell>
          <cell r="J3020" t="str">
            <v>kas9171@nyp.org</v>
          </cell>
          <cell r="K3020" t="str">
            <v>Physician</v>
          </cell>
          <cell r="L3020" t="str">
            <v>Uncategorized</v>
          </cell>
          <cell r="M3020" t="str">
            <v>No</v>
          </cell>
          <cell r="R3020" t="str">
            <v>ESCALON JOANNA</v>
          </cell>
          <cell r="S3020" t="str">
            <v>525 E 68TH ST, BOX 141</v>
          </cell>
          <cell r="T3020" t="str">
            <v>NEW YORK</v>
          </cell>
          <cell r="U3020" t="str">
            <v>NY</v>
          </cell>
          <cell r="V3020" t="str">
            <v>100654870</v>
          </cell>
          <cell r="AC3020" t="str">
            <v>M</v>
          </cell>
          <cell r="AD3020" t="str">
            <v>No</v>
          </cell>
          <cell r="AE3020" t="str">
            <v>NPI only</v>
          </cell>
          <cell r="AF3020" t="str">
            <v>nypeastcampus</v>
          </cell>
          <cell r="AG3020" t="str">
            <v>P</v>
          </cell>
        </row>
        <row r="3021">
          <cell r="A3021" t="str">
            <v>1669455655</v>
          </cell>
          <cell r="B3021" t="str">
            <v>02587126</v>
          </cell>
          <cell r="C3021" t="str">
            <v>Tang Chin</v>
          </cell>
          <cell r="D3021" t="str">
            <v>E0041443</v>
          </cell>
          <cell r="E3021" t="str">
            <v>TANG CHIN MD</v>
          </cell>
          <cell r="L3021" t="str">
            <v>All Other:: Practitioner - Non-Primary Care Provider (PCP)</v>
          </cell>
          <cell r="M3021" t="str">
            <v>No</v>
          </cell>
          <cell r="R3021" t="str">
            <v>TANG CHIN DR.</v>
          </cell>
          <cell r="W3021" t="str">
            <v>TANG CHIN MD</v>
          </cell>
          <cell r="X3021" t="str">
            <v>505 E 70TH ST # 130</v>
          </cell>
          <cell r="Y3021" t="str">
            <v>NEW YORK</v>
          </cell>
          <cell r="Z3021" t="str">
            <v>NY</v>
          </cell>
          <cell r="AA3021" t="str">
            <v>10021-4872</v>
          </cell>
          <cell r="AB3021" t="str">
            <v>PHYSICIAN</v>
          </cell>
          <cell r="AC3021" t="str">
            <v>M</v>
          </cell>
          <cell r="AD3021" t="str">
            <v>No</v>
          </cell>
          <cell r="AE3021" t="str">
            <v>MMIS</v>
          </cell>
          <cell r="AF3021" t="str">
            <v>nypeastcampus</v>
          </cell>
          <cell r="AG3021" t="str">
            <v>P</v>
          </cell>
        </row>
        <row r="3022">
          <cell r="A3022" t="str">
            <v>1598082539</v>
          </cell>
          <cell r="B3022" t="str">
            <v>03726794</v>
          </cell>
          <cell r="C3022" t="str">
            <v>Tang Stephanie</v>
          </cell>
          <cell r="D3022" t="str">
            <v>E0363245</v>
          </cell>
          <cell r="E3022" t="str">
            <v>TANG STEPHANIE</v>
          </cell>
          <cell r="L3022" t="str">
            <v>Practitioner - Non-Primary Care Provider (PCP)</v>
          </cell>
          <cell r="M3022" t="str">
            <v>No</v>
          </cell>
          <cell r="R3022" t="str">
            <v>TANG STEPHANIE</v>
          </cell>
          <cell r="W3022" t="str">
            <v>TANG STEPHANIE J</v>
          </cell>
          <cell r="X3022" t="str">
            <v>1275 YORK AVE</v>
          </cell>
          <cell r="Y3022" t="str">
            <v>NEW YORK</v>
          </cell>
          <cell r="Z3022" t="str">
            <v>NY</v>
          </cell>
          <cell r="AA3022" t="str">
            <v>10065-6007</v>
          </cell>
          <cell r="AB3022" t="str">
            <v>PHYSICIAN</v>
          </cell>
          <cell r="AC3022" t="str">
            <v>M</v>
          </cell>
          <cell r="AD3022" t="str">
            <v>No</v>
          </cell>
          <cell r="AE3022" t="str">
            <v>MMIS</v>
          </cell>
          <cell r="AF3022" t="str">
            <v>nypeastcampus</v>
          </cell>
          <cell r="AG3022" t="str">
            <v>P</v>
          </cell>
        </row>
        <row r="3023">
          <cell r="A3023" t="str">
            <v>1215965876</v>
          </cell>
          <cell r="B3023" t="str">
            <v>02710378</v>
          </cell>
          <cell r="C3023" t="str">
            <v>Laifer-Narin Sherelle</v>
          </cell>
          <cell r="D3023" t="str">
            <v>E0029148</v>
          </cell>
          <cell r="E3023" t="str">
            <v>LAIFER-NARIN SHERELLE L MD</v>
          </cell>
          <cell r="L3023" t="str">
            <v>All Other:: Practitioner - Non-Primary Care Provider (PCP)</v>
          </cell>
          <cell r="M3023" t="str">
            <v>No</v>
          </cell>
          <cell r="R3023" t="str">
            <v>LAIFER-NARIN SHERELLE</v>
          </cell>
          <cell r="W3023" t="str">
            <v>LAIFER-NARIN SHERELLE L MD</v>
          </cell>
          <cell r="X3023" t="str">
            <v>622 W 168TH ST</v>
          </cell>
          <cell r="Y3023" t="str">
            <v>NEW YORK</v>
          </cell>
          <cell r="Z3023" t="str">
            <v>NY</v>
          </cell>
          <cell r="AA3023" t="str">
            <v>10032-3720</v>
          </cell>
          <cell r="AB3023" t="str">
            <v>PHYSICIAN</v>
          </cell>
          <cell r="AC3023" t="str">
            <v>M</v>
          </cell>
          <cell r="AD3023" t="str">
            <v>No</v>
          </cell>
          <cell r="AE3023" t="str">
            <v>MMIS</v>
          </cell>
          <cell r="AF3023" t="str">
            <v>nypwestcampus</v>
          </cell>
          <cell r="AG3023" t="str">
            <v>P</v>
          </cell>
        </row>
        <row r="3024">
          <cell r="A3024" t="str">
            <v>1306878046</v>
          </cell>
          <cell r="B3024" t="str">
            <v>00750270</v>
          </cell>
          <cell r="C3024" t="str">
            <v>Newhouse Jeffrey</v>
          </cell>
          <cell r="D3024" t="str">
            <v>E0224687</v>
          </cell>
          <cell r="E3024" t="str">
            <v>NEWHOUSE JEFFREY H         MD</v>
          </cell>
          <cell r="L3024" t="str">
            <v>All Other:: Practitioner - Non-Primary Care Provider (PCP)</v>
          </cell>
          <cell r="M3024" t="str">
            <v>No</v>
          </cell>
          <cell r="R3024" t="str">
            <v>NEWHOUSE JEFFREY</v>
          </cell>
          <cell r="W3024" t="str">
            <v>NEWHOUSE JEFFREY H         MD</v>
          </cell>
          <cell r="X3024" t="str">
            <v>PRESBYTERIAN HOSPITA</v>
          </cell>
          <cell r="Y3024" t="str">
            <v>NEW YORK</v>
          </cell>
          <cell r="Z3024" t="str">
            <v>NY</v>
          </cell>
          <cell r="AA3024" t="str">
            <v>10032-3720</v>
          </cell>
          <cell r="AB3024" t="str">
            <v>PHYSICIAN</v>
          </cell>
          <cell r="AC3024" t="str">
            <v>M</v>
          </cell>
          <cell r="AD3024" t="str">
            <v>No</v>
          </cell>
          <cell r="AE3024" t="str">
            <v>MMIS</v>
          </cell>
          <cell r="AF3024" t="str">
            <v>nypwestcampus</v>
          </cell>
          <cell r="AG3024" t="str">
            <v>P</v>
          </cell>
        </row>
        <row r="3025">
          <cell r="A3025" t="str">
            <v>1356373096</v>
          </cell>
          <cell r="B3025" t="str">
            <v>01925713</v>
          </cell>
          <cell r="C3025" t="str">
            <v>Prince Martin</v>
          </cell>
          <cell r="D3025" t="str">
            <v>E0107479</v>
          </cell>
          <cell r="E3025" t="str">
            <v>PRINCE MARTIN R MD</v>
          </cell>
          <cell r="L3025" t="str">
            <v>All Other:: Practitioner - Non-Primary Care Provider (PCP)</v>
          </cell>
          <cell r="M3025" t="str">
            <v>No</v>
          </cell>
          <cell r="R3025" t="str">
            <v>PRINCE MARTIN</v>
          </cell>
          <cell r="W3025" t="str">
            <v>PRINCE MARTIN R MD</v>
          </cell>
          <cell r="X3025" t="str">
            <v>NYH-CUMC RADIOLOGY</v>
          </cell>
          <cell r="Y3025" t="str">
            <v>NEW YORK</v>
          </cell>
          <cell r="Z3025" t="str">
            <v>NY</v>
          </cell>
          <cell r="AA3025" t="str">
            <v>10065-4870</v>
          </cell>
          <cell r="AB3025" t="str">
            <v>PHYSICIAN</v>
          </cell>
          <cell r="AC3025" t="str">
            <v>M</v>
          </cell>
          <cell r="AD3025" t="str">
            <v>No</v>
          </cell>
          <cell r="AE3025" t="str">
            <v>MMIS</v>
          </cell>
          <cell r="AF3025" t="str">
            <v>nypwestcampus</v>
          </cell>
          <cell r="AG3025" t="str">
            <v>P</v>
          </cell>
        </row>
        <row r="3026">
          <cell r="A3026" t="str">
            <v>1033484092</v>
          </cell>
          <cell r="B3026" t="str">
            <v>03584521</v>
          </cell>
          <cell r="C3026" t="str">
            <v>Gaudet John</v>
          </cell>
          <cell r="D3026" t="str">
            <v>E0348579</v>
          </cell>
          <cell r="E3026" t="str">
            <v>VAN DRIEST JOHN GAVDET</v>
          </cell>
          <cell r="L3026" t="str">
            <v>All Other:: Practitioner - Non-Primary Care Provider (PCP)</v>
          </cell>
          <cell r="M3026" t="str">
            <v>No</v>
          </cell>
          <cell r="R3026" t="str">
            <v>GAUDET JOHN</v>
          </cell>
          <cell r="W3026" t="str">
            <v>GAUDET JOHN G</v>
          </cell>
          <cell r="X3026" t="str">
            <v>622 W 168TH ST</v>
          </cell>
          <cell r="Y3026" t="str">
            <v>NEW YORK</v>
          </cell>
          <cell r="Z3026" t="str">
            <v>NY</v>
          </cell>
          <cell r="AA3026" t="str">
            <v>10032-3720</v>
          </cell>
          <cell r="AB3026" t="str">
            <v>PHYSICIAN</v>
          </cell>
          <cell r="AC3026" t="str">
            <v>M</v>
          </cell>
          <cell r="AD3026" t="str">
            <v>No</v>
          </cell>
          <cell r="AE3026" t="str">
            <v>MMIS</v>
          </cell>
          <cell r="AF3026" t="str">
            <v>nypwestcampus</v>
          </cell>
          <cell r="AG3026" t="str">
            <v>P</v>
          </cell>
        </row>
        <row r="3027">
          <cell r="A3027" t="str">
            <v>1235281510</v>
          </cell>
          <cell r="B3027" t="str">
            <v>02023256</v>
          </cell>
          <cell r="C3027" t="str">
            <v>Clapcich Anthony</v>
          </cell>
          <cell r="D3027" t="str">
            <v>E0097737</v>
          </cell>
          <cell r="E3027" t="str">
            <v>CLAPCICH ANTHONY JOSEPH MD</v>
          </cell>
          <cell r="L3027" t="str">
            <v>All Other:: Practitioner - Non-Primary Care Provider (PCP)</v>
          </cell>
          <cell r="M3027" t="str">
            <v>No</v>
          </cell>
          <cell r="R3027" t="str">
            <v>CLAPCICH ANTHONY DR.</v>
          </cell>
          <cell r="W3027" t="str">
            <v>CLAPCICH ANTHONY JOSEPH MD</v>
          </cell>
          <cell r="X3027" t="str">
            <v>N Y PRESB HSP</v>
          </cell>
          <cell r="Y3027" t="str">
            <v>NEW YORK</v>
          </cell>
          <cell r="Z3027" t="str">
            <v>NY</v>
          </cell>
          <cell r="AA3027" t="str">
            <v>10032-3720</v>
          </cell>
          <cell r="AB3027" t="str">
            <v>PHYSICIAN</v>
          </cell>
          <cell r="AC3027" t="str">
            <v>M</v>
          </cell>
          <cell r="AD3027" t="str">
            <v>No</v>
          </cell>
          <cell r="AE3027" t="str">
            <v>MMIS</v>
          </cell>
          <cell r="AF3027" t="str">
            <v>nypwestcampus</v>
          </cell>
          <cell r="AG3027" t="str">
            <v>P</v>
          </cell>
        </row>
        <row r="3028">
          <cell r="A3028" t="str">
            <v>1417183567</v>
          </cell>
          <cell r="B3028" t="str">
            <v>03223907</v>
          </cell>
          <cell r="C3028" t="str">
            <v>Behr Gerald</v>
          </cell>
          <cell r="D3028" t="str">
            <v>E0307065</v>
          </cell>
          <cell r="E3028" t="str">
            <v>BEHR GERALD GIDEON</v>
          </cell>
          <cell r="L3028" t="str">
            <v>All Other:: Practitioner - Non-Primary Care Provider (PCP)</v>
          </cell>
          <cell r="M3028" t="str">
            <v>No</v>
          </cell>
          <cell r="R3028" t="str">
            <v>BEHR GERALD</v>
          </cell>
          <cell r="W3028" t="str">
            <v>BEHR GERALD GIDEON</v>
          </cell>
          <cell r="X3028" t="str">
            <v>622 W 168TH ST</v>
          </cell>
          <cell r="Y3028" t="str">
            <v>NEW YORK</v>
          </cell>
          <cell r="Z3028" t="str">
            <v>NY</v>
          </cell>
          <cell r="AA3028" t="str">
            <v>10032-3720</v>
          </cell>
          <cell r="AB3028" t="str">
            <v>PHYSICIAN</v>
          </cell>
          <cell r="AC3028" t="str">
            <v>M</v>
          </cell>
          <cell r="AD3028" t="str">
            <v>No</v>
          </cell>
          <cell r="AE3028" t="str">
            <v>MMIS</v>
          </cell>
          <cell r="AF3028" t="str">
            <v>nypwestcampus</v>
          </cell>
          <cell r="AG3028" t="str">
            <v>P</v>
          </cell>
        </row>
        <row r="3029">
          <cell r="A3029" t="str">
            <v>1073520664</v>
          </cell>
          <cell r="B3029" t="str">
            <v>02799860</v>
          </cell>
          <cell r="C3029" t="str">
            <v>Chen Susie</v>
          </cell>
          <cell r="D3029" t="str">
            <v>E0020208</v>
          </cell>
          <cell r="E3029" t="str">
            <v>CHEN SUSIE MD</v>
          </cell>
          <cell r="L3029" t="str">
            <v>All Other:: Practitioner - Non-Primary Care Provider (PCP)</v>
          </cell>
          <cell r="M3029" t="str">
            <v>No</v>
          </cell>
          <cell r="R3029" t="str">
            <v>CHEN SUSIE</v>
          </cell>
          <cell r="W3029" t="str">
            <v>CHEN SUSIE MD</v>
          </cell>
          <cell r="X3029" t="str">
            <v>622 W 168TH ST</v>
          </cell>
          <cell r="Y3029" t="str">
            <v>NEW YORK</v>
          </cell>
          <cell r="Z3029" t="str">
            <v>NY</v>
          </cell>
          <cell r="AA3029" t="str">
            <v>10032-3720</v>
          </cell>
          <cell r="AB3029" t="str">
            <v>PHYSICIAN</v>
          </cell>
          <cell r="AC3029" t="str">
            <v>M</v>
          </cell>
          <cell r="AD3029" t="str">
            <v>No</v>
          </cell>
          <cell r="AE3029" t="str">
            <v>MMIS</v>
          </cell>
          <cell r="AF3029" t="str">
            <v>nypwestcampus</v>
          </cell>
          <cell r="AG3029" t="str">
            <v>P</v>
          </cell>
        </row>
        <row r="3030">
          <cell r="A3030" t="str">
            <v>1164627717</v>
          </cell>
          <cell r="B3030" t="str">
            <v>03465092</v>
          </cell>
          <cell r="C3030" t="str">
            <v>Mango Victoria</v>
          </cell>
          <cell r="D3030" t="str">
            <v>E0335687</v>
          </cell>
          <cell r="E3030" t="str">
            <v>MANGO VICTORIA</v>
          </cell>
          <cell r="L3030" t="str">
            <v>All Other:: Practitioner - Non-Primary Care Provider (PCP)</v>
          </cell>
          <cell r="M3030" t="str">
            <v>No</v>
          </cell>
          <cell r="R3030" t="str">
            <v>MANGO VICTORIA DR.</v>
          </cell>
          <cell r="W3030" t="str">
            <v>MANGO VICTORIA</v>
          </cell>
          <cell r="X3030" t="str">
            <v>622 W 168TH ST</v>
          </cell>
          <cell r="Y3030" t="str">
            <v>NEW YORK</v>
          </cell>
          <cell r="Z3030" t="str">
            <v>NY</v>
          </cell>
          <cell r="AA3030" t="str">
            <v>10032-3720</v>
          </cell>
          <cell r="AB3030" t="str">
            <v>PHYSICIAN</v>
          </cell>
          <cell r="AC3030" t="str">
            <v>M</v>
          </cell>
          <cell r="AD3030" t="str">
            <v>No</v>
          </cell>
          <cell r="AE3030" t="str">
            <v>MMIS</v>
          </cell>
          <cell r="AF3030" t="str">
            <v>nypwestcampus</v>
          </cell>
          <cell r="AG3030" t="str">
            <v>P</v>
          </cell>
        </row>
        <row r="3031">
          <cell r="A3031" t="str">
            <v>1346474582</v>
          </cell>
          <cell r="B3031" t="str">
            <v>03868297</v>
          </cell>
          <cell r="C3031" t="str">
            <v>Nguyen Dustin</v>
          </cell>
          <cell r="D3031" t="str">
            <v>E0377827</v>
          </cell>
          <cell r="E3031" t="str">
            <v>NGUYEN DUSTIN DUY</v>
          </cell>
          <cell r="L3031" t="str">
            <v>All Other:: Practitioner - Non-Primary Care Provider (PCP)</v>
          </cell>
          <cell r="M3031" t="str">
            <v>No</v>
          </cell>
          <cell r="R3031" t="str">
            <v>NGUYEN DUSTIN</v>
          </cell>
          <cell r="W3031" t="str">
            <v>NGUYEN DUSTIN DUY</v>
          </cell>
          <cell r="X3031" t="str">
            <v>622 W 168TH ST</v>
          </cell>
          <cell r="Y3031" t="str">
            <v>NEW YORK</v>
          </cell>
          <cell r="Z3031" t="str">
            <v>NY</v>
          </cell>
          <cell r="AA3031" t="str">
            <v>10032-3720</v>
          </cell>
          <cell r="AB3031" t="str">
            <v>PHYSICIAN</v>
          </cell>
          <cell r="AC3031" t="str">
            <v>M</v>
          </cell>
          <cell r="AD3031" t="str">
            <v>No</v>
          </cell>
          <cell r="AE3031" t="str">
            <v>MMIS</v>
          </cell>
          <cell r="AG3031" t="str">
            <v>P</v>
          </cell>
        </row>
        <row r="3032">
          <cell r="A3032" t="str">
            <v>1164433991</v>
          </cell>
          <cell r="B3032" t="str">
            <v>01074708</v>
          </cell>
          <cell r="C3032" t="str">
            <v>Fong Jill</v>
          </cell>
          <cell r="D3032" t="str">
            <v>E0192400</v>
          </cell>
          <cell r="E3032" t="str">
            <v>FONG JILL MD</v>
          </cell>
          <cell r="L3032" t="str">
            <v>Practitioner - Non-Primary Care Provider (PCP)</v>
          </cell>
          <cell r="M3032" t="str">
            <v>No</v>
          </cell>
          <cell r="R3032" t="str">
            <v>FONG JILL DR.</v>
          </cell>
          <cell r="W3032" t="str">
            <v>FONG JILL MD</v>
          </cell>
          <cell r="X3032" t="str">
            <v>DEPT OF ANESTH</v>
          </cell>
          <cell r="Y3032" t="str">
            <v>NEW YORK</v>
          </cell>
          <cell r="Z3032" t="str">
            <v>NY</v>
          </cell>
          <cell r="AA3032" t="str">
            <v>10065-4870</v>
          </cell>
          <cell r="AB3032" t="str">
            <v>PHYSICIAN</v>
          </cell>
          <cell r="AC3032" t="str">
            <v>M</v>
          </cell>
          <cell r="AD3032" t="str">
            <v>No</v>
          </cell>
          <cell r="AE3032" t="str">
            <v>MMIS</v>
          </cell>
          <cell r="AF3032" t="str">
            <v>nypeastcampus</v>
          </cell>
          <cell r="AG3032" t="str">
            <v>P</v>
          </cell>
        </row>
        <row r="3033">
          <cell r="A3033" t="str">
            <v>1831416437</v>
          </cell>
          <cell r="C3033" t="str">
            <v>Choi James</v>
          </cell>
          <cell r="G3033" t="str">
            <v>Kathryn Spaziani</v>
          </cell>
          <cell r="H3033" t="str">
            <v>(212) 305-1255</v>
          </cell>
          <cell r="J3033" t="str">
            <v>kas9171@nyp.org</v>
          </cell>
          <cell r="K3033" t="str">
            <v>Physician</v>
          </cell>
          <cell r="L3033" t="str">
            <v>Practitioner - Non-Primary Care Provider (PCP)</v>
          </cell>
          <cell r="M3033" t="str">
            <v>No</v>
          </cell>
          <cell r="R3033" t="str">
            <v>CHOI JAMES</v>
          </cell>
          <cell r="S3033" t="str">
            <v>622 WEST 168TH STREET</v>
          </cell>
          <cell r="T3033" t="str">
            <v>NEW YORK</v>
          </cell>
          <cell r="U3033" t="str">
            <v>NY</v>
          </cell>
          <cell r="V3033" t="str">
            <v>10032</v>
          </cell>
          <cell r="AC3033" t="str">
            <v>M</v>
          </cell>
          <cell r="AD3033" t="str">
            <v>No</v>
          </cell>
          <cell r="AE3033" t="str">
            <v>NPI only</v>
          </cell>
          <cell r="AF3033" t="str">
            <v>nypother</v>
          </cell>
          <cell r="AG3033" t="str">
            <v>P</v>
          </cell>
        </row>
        <row r="3034">
          <cell r="A3034" t="str">
            <v>1235452723</v>
          </cell>
          <cell r="C3034" t="str">
            <v>Powell Daniel</v>
          </cell>
          <cell r="G3034" t="str">
            <v>Kathryn Spaziani</v>
          </cell>
          <cell r="H3034" t="str">
            <v>(212) 305-1255</v>
          </cell>
          <cell r="J3034" t="str">
            <v>kas9171@nyp.org</v>
          </cell>
          <cell r="K3034" t="str">
            <v>Physician</v>
          </cell>
          <cell r="L3034" t="str">
            <v>Uncategorized</v>
          </cell>
          <cell r="M3034" t="str">
            <v>No</v>
          </cell>
          <cell r="R3034" t="str">
            <v>POWELL DANIEL</v>
          </cell>
          <cell r="S3034" t="str">
            <v>7945 WOLF RIVER BLVD</v>
          </cell>
          <cell r="T3034" t="str">
            <v>GERMANTOWN</v>
          </cell>
          <cell r="U3034" t="str">
            <v>TN</v>
          </cell>
          <cell r="V3034" t="str">
            <v>381381762</v>
          </cell>
          <cell r="AC3034" t="str">
            <v>M</v>
          </cell>
          <cell r="AD3034" t="str">
            <v>No</v>
          </cell>
          <cell r="AE3034" t="str">
            <v>NPI only</v>
          </cell>
          <cell r="AF3034" t="str">
            <v>nypother</v>
          </cell>
          <cell r="AG3034" t="str">
            <v>P</v>
          </cell>
        </row>
        <row r="3035">
          <cell r="A3035" t="str">
            <v>1891928255</v>
          </cell>
          <cell r="B3035" t="str">
            <v>04326078</v>
          </cell>
          <cell r="C3035" t="str">
            <v>Vitale Michael</v>
          </cell>
          <cell r="D3035" t="str">
            <v>E0424912</v>
          </cell>
          <cell r="E3035" t="str">
            <v>VITALE MICHAEL ERIC</v>
          </cell>
          <cell r="G3035" t="str">
            <v>Kathryn Spaziani</v>
          </cell>
          <cell r="H3035" t="str">
            <v>(212) 305-1255</v>
          </cell>
          <cell r="J3035" t="str">
            <v>kas9171@nyp.org</v>
          </cell>
          <cell r="L3035" t="str">
            <v>Practitioner - Non-Primary Care Provider (PCP)</v>
          </cell>
          <cell r="M3035" t="str">
            <v>No</v>
          </cell>
          <cell r="R3035" t="str">
            <v>VITALE MICHAEL DR.</v>
          </cell>
          <cell r="W3035" t="str">
            <v>VITALE MICHAEL ERIC</v>
          </cell>
          <cell r="X3035" t="str">
            <v>101 HOSPITAL RD</v>
          </cell>
          <cell r="Y3035" t="str">
            <v>PATCHOGUE</v>
          </cell>
          <cell r="Z3035" t="str">
            <v>NY</v>
          </cell>
          <cell r="AA3035" t="str">
            <v>11772-4870</v>
          </cell>
          <cell r="AB3035" t="str">
            <v>PHYSICIAN</v>
          </cell>
          <cell r="AC3035" t="str">
            <v>M</v>
          </cell>
          <cell r="AD3035" t="str">
            <v>No</v>
          </cell>
          <cell r="AE3035" t="str">
            <v>MMIS</v>
          </cell>
          <cell r="AF3035" t="str">
            <v>nypother</v>
          </cell>
          <cell r="AG3035" t="str">
            <v>P</v>
          </cell>
        </row>
        <row r="3036">
          <cell r="A3036" t="str">
            <v>1609850031</v>
          </cell>
          <cell r="B3036" t="str">
            <v>02433907</v>
          </cell>
          <cell r="C3036" t="str">
            <v>Ding, Qing</v>
          </cell>
          <cell r="D3036" t="str">
            <v>E0056741</v>
          </cell>
          <cell r="E3036" t="str">
            <v>DING QING MD</v>
          </cell>
          <cell r="G3036" t="str">
            <v>Betty Cheng</v>
          </cell>
          <cell r="H3036" t="str">
            <v>(212) 379-6988</v>
          </cell>
          <cell r="I3036">
            <v>2604</v>
          </cell>
          <cell r="J3036" t="str">
            <v>bcheng@cbwchc.org</v>
          </cell>
          <cell r="L3036" t="str">
            <v>All Other:: Practitioner - Non-Primary Care Provider (PCP)</v>
          </cell>
          <cell r="M3036" t="str">
            <v>Yes</v>
          </cell>
          <cell r="R3036" t="str">
            <v>DING QING DR.</v>
          </cell>
          <cell r="W3036" t="str">
            <v>DING QING MD</v>
          </cell>
          <cell r="X3036" t="str">
            <v>SINOG MEDICAL ASSC</v>
          </cell>
          <cell r="Y3036" t="str">
            <v>NEW YORK</v>
          </cell>
          <cell r="Z3036" t="str">
            <v>NY</v>
          </cell>
          <cell r="AA3036" t="str">
            <v>10013-3100</v>
          </cell>
          <cell r="AB3036" t="str">
            <v>PHYSICIAN</v>
          </cell>
          <cell r="AC3036" t="str">
            <v>M</v>
          </cell>
          <cell r="AD3036" t="str">
            <v>No</v>
          </cell>
          <cell r="AE3036" t="str">
            <v>MMIS</v>
          </cell>
          <cell r="AF3036" t="str">
            <v>cbwchc</v>
          </cell>
          <cell r="AG3036" t="str">
            <v>P</v>
          </cell>
        </row>
        <row r="3037">
          <cell r="A3037" t="str">
            <v>1992794184</v>
          </cell>
          <cell r="B3037" t="str">
            <v>01887145</v>
          </cell>
          <cell r="C3037" t="str">
            <v>Gong, Mabel Pui Bow</v>
          </cell>
          <cell r="D3037" t="str">
            <v>E0111330</v>
          </cell>
          <cell r="E3037" t="str">
            <v>GONG MABEL PUI BOW MD</v>
          </cell>
          <cell r="G3037" t="str">
            <v>Betty Cheng</v>
          </cell>
          <cell r="H3037" t="str">
            <v>(212) 379-6988</v>
          </cell>
          <cell r="I3037">
            <v>2604</v>
          </cell>
          <cell r="J3037" t="str">
            <v>bcheng@cbwchc.org</v>
          </cell>
          <cell r="L3037" t="str">
            <v>All Other:: Practitioner - Non-Primary Care Provider (PCP)</v>
          </cell>
          <cell r="M3037" t="str">
            <v>Yes</v>
          </cell>
          <cell r="R3037" t="str">
            <v>GONG MABEL</v>
          </cell>
          <cell r="W3037" t="str">
            <v>GONG MABEL PUI BOW</v>
          </cell>
          <cell r="X3037" t="str">
            <v>FL 5</v>
          </cell>
          <cell r="Y3037" t="str">
            <v>NEW YORK</v>
          </cell>
          <cell r="Z3037" t="str">
            <v>NY</v>
          </cell>
          <cell r="AA3037" t="str">
            <v>10038-2612</v>
          </cell>
          <cell r="AB3037" t="str">
            <v>PHYSICIAN</v>
          </cell>
          <cell r="AC3037" t="str">
            <v>M</v>
          </cell>
          <cell r="AD3037" t="str">
            <v>No</v>
          </cell>
          <cell r="AE3037" t="str">
            <v>MMIS</v>
          </cell>
          <cell r="AF3037" t="str">
            <v>cbwchc</v>
          </cell>
          <cell r="AG3037" t="str">
            <v>P</v>
          </cell>
        </row>
        <row r="3038">
          <cell r="A3038" t="str">
            <v>1447679212</v>
          </cell>
          <cell r="C3038" t="str">
            <v>Lee Brian</v>
          </cell>
          <cell r="G3038" t="str">
            <v>Kathryn Spaziani</v>
          </cell>
          <cell r="H3038" t="str">
            <v>(212) 305-1255</v>
          </cell>
          <cell r="J3038" t="str">
            <v>kas9171@nyp.org</v>
          </cell>
          <cell r="K3038" t="str">
            <v>Physician</v>
          </cell>
          <cell r="L3038" t="str">
            <v>Uncategorized</v>
          </cell>
          <cell r="M3038" t="str">
            <v>No</v>
          </cell>
          <cell r="R3038" t="str">
            <v>LEE BRIAN</v>
          </cell>
          <cell r="S3038" t="str">
            <v>622 W 168TH ST PH 5-133</v>
          </cell>
          <cell r="T3038" t="str">
            <v>NEW YORK</v>
          </cell>
          <cell r="U3038" t="str">
            <v>NY</v>
          </cell>
          <cell r="V3038" t="str">
            <v>100323720</v>
          </cell>
          <cell r="AC3038" t="str">
            <v>M</v>
          </cell>
          <cell r="AD3038" t="str">
            <v>No</v>
          </cell>
          <cell r="AE3038" t="str">
            <v>NPI only</v>
          </cell>
          <cell r="AF3038" t="str">
            <v>nypwestcampus</v>
          </cell>
          <cell r="AG3038" t="str">
            <v>P</v>
          </cell>
        </row>
        <row r="3039">
          <cell r="A3039" t="str">
            <v>1609165174</v>
          </cell>
          <cell r="B3039" t="str">
            <v>04586581</v>
          </cell>
          <cell r="C3039" t="str">
            <v>Lee Jennifer</v>
          </cell>
          <cell r="D3039" t="str">
            <v>E0451461</v>
          </cell>
          <cell r="E3039" t="str">
            <v>LEE JENNIFER K</v>
          </cell>
          <cell r="G3039" t="str">
            <v>Kathryn Spaziani</v>
          </cell>
          <cell r="H3039" t="str">
            <v>(212) 305-1255</v>
          </cell>
          <cell r="J3039" t="str">
            <v>kas9171@nyp.org</v>
          </cell>
          <cell r="L3039" t="str">
            <v>Uncategorized</v>
          </cell>
          <cell r="M3039" t="str">
            <v>No</v>
          </cell>
          <cell r="R3039" t="str">
            <v>LEE JENNIFER</v>
          </cell>
          <cell r="W3039" t="str">
            <v>LEE JENNIFER K</v>
          </cell>
          <cell r="AB3039" t="str">
            <v>PHYSICIAN</v>
          </cell>
          <cell r="AC3039" t="str">
            <v>M</v>
          </cell>
          <cell r="AD3039" t="str">
            <v>No</v>
          </cell>
          <cell r="AE3039" t="str">
            <v>MMIS</v>
          </cell>
          <cell r="AF3039" t="str">
            <v>nypwestcampus</v>
          </cell>
          <cell r="AG3039" t="str">
            <v>P</v>
          </cell>
        </row>
        <row r="3040">
          <cell r="A3040" t="str">
            <v>1699193482</v>
          </cell>
          <cell r="C3040" t="str">
            <v>Lee Jennifer</v>
          </cell>
          <cell r="G3040" t="str">
            <v>Kathryn Spaziani</v>
          </cell>
          <cell r="H3040" t="str">
            <v>(212) 305-1255</v>
          </cell>
          <cell r="J3040" t="str">
            <v>kas9171@nyp.org</v>
          </cell>
          <cell r="K3040" t="str">
            <v>Physician</v>
          </cell>
          <cell r="L3040" t="str">
            <v>Uncategorized</v>
          </cell>
          <cell r="M3040" t="str">
            <v>No</v>
          </cell>
          <cell r="R3040" t="str">
            <v>LEE JENNIFER</v>
          </cell>
          <cell r="S3040" t="str">
            <v>622 W 168TH ST, PH5-133</v>
          </cell>
          <cell r="T3040" t="str">
            <v>NEW YORK</v>
          </cell>
          <cell r="U3040" t="str">
            <v>NY</v>
          </cell>
          <cell r="V3040" t="str">
            <v>100323720</v>
          </cell>
          <cell r="AC3040" t="str">
            <v>M</v>
          </cell>
          <cell r="AD3040" t="str">
            <v>No</v>
          </cell>
          <cell r="AE3040" t="str">
            <v>NPI only</v>
          </cell>
          <cell r="AF3040" t="str">
            <v>nypwestcampus</v>
          </cell>
          <cell r="AG3040" t="str">
            <v>P</v>
          </cell>
        </row>
        <row r="3041">
          <cell r="A3041" t="str">
            <v>1649536384</v>
          </cell>
          <cell r="B3041" t="str">
            <v>04499345</v>
          </cell>
          <cell r="C3041" t="str">
            <v>Lee Susie</v>
          </cell>
          <cell r="D3041" t="str">
            <v>E0442626</v>
          </cell>
          <cell r="E3041" t="str">
            <v>LEE SUSIE</v>
          </cell>
          <cell r="G3041" t="str">
            <v>Kathryn Spaziani</v>
          </cell>
          <cell r="H3041" t="str">
            <v>(212) 305-1255</v>
          </cell>
          <cell r="J3041" t="str">
            <v>kas9171@nyp.org</v>
          </cell>
          <cell r="L3041" t="str">
            <v>Uncategorized</v>
          </cell>
          <cell r="M3041" t="str">
            <v>No</v>
          </cell>
          <cell r="R3041" t="str">
            <v>LEE SUSIE DR.</v>
          </cell>
          <cell r="W3041" t="str">
            <v>LEE SUSIE SO-HYUN</v>
          </cell>
          <cell r="AB3041" t="str">
            <v>PHYSICIAN</v>
          </cell>
          <cell r="AC3041" t="str">
            <v>M</v>
          </cell>
          <cell r="AD3041" t="str">
            <v>No</v>
          </cell>
          <cell r="AE3041" t="str">
            <v>MMIS</v>
          </cell>
          <cell r="AF3041" t="str">
            <v>nypwestcampus</v>
          </cell>
          <cell r="AG3041" t="str">
            <v>P</v>
          </cell>
        </row>
        <row r="3042">
          <cell r="A3042" t="str">
            <v>1558704668</v>
          </cell>
          <cell r="C3042" t="str">
            <v>Lo Jessie</v>
          </cell>
          <cell r="G3042" t="str">
            <v>Kathryn Spaziani</v>
          </cell>
          <cell r="H3042" t="str">
            <v>(212) 305-1255</v>
          </cell>
          <cell r="J3042" t="str">
            <v>kas9171@nyp.org</v>
          </cell>
          <cell r="K3042" t="str">
            <v>Physician</v>
          </cell>
          <cell r="L3042" t="str">
            <v>Uncategorized</v>
          </cell>
          <cell r="M3042" t="str">
            <v>No</v>
          </cell>
          <cell r="R3042" t="str">
            <v>LO JESSIE</v>
          </cell>
          <cell r="S3042" t="str">
            <v>622 W 168TH ST, PH5-133 STEM</v>
          </cell>
          <cell r="T3042" t="str">
            <v>NEW YORK</v>
          </cell>
          <cell r="U3042" t="str">
            <v>NY</v>
          </cell>
          <cell r="V3042" t="str">
            <v>100323720</v>
          </cell>
          <cell r="AC3042" t="str">
            <v>M</v>
          </cell>
          <cell r="AD3042" t="str">
            <v>No</v>
          </cell>
          <cell r="AE3042" t="str">
            <v>NPI only</v>
          </cell>
          <cell r="AF3042" t="str">
            <v>nypwestcampus</v>
          </cell>
          <cell r="AG3042" t="str">
            <v>P</v>
          </cell>
        </row>
        <row r="3043">
          <cell r="A3043" t="str">
            <v>1457632580</v>
          </cell>
          <cell r="B3043" t="str">
            <v>03629536</v>
          </cell>
          <cell r="C3043" t="str">
            <v>Mobley David</v>
          </cell>
          <cell r="D3043" t="str">
            <v>E0353246</v>
          </cell>
          <cell r="E3043" t="str">
            <v>MOBLEY DAVID</v>
          </cell>
          <cell r="L3043" t="str">
            <v>All Other:: Practitioner - Non-Primary Care Provider (PCP)</v>
          </cell>
          <cell r="M3043" t="str">
            <v>No</v>
          </cell>
          <cell r="R3043" t="str">
            <v>MOBLEY DAVID DR.</v>
          </cell>
          <cell r="W3043" t="str">
            <v>MOBLEY DAVID</v>
          </cell>
          <cell r="X3043" t="str">
            <v>4802 10TH AVE</v>
          </cell>
          <cell r="Y3043" t="str">
            <v>BROOKLYN</v>
          </cell>
          <cell r="Z3043" t="str">
            <v>NY</v>
          </cell>
          <cell r="AA3043" t="str">
            <v>11219-2916</v>
          </cell>
          <cell r="AB3043" t="str">
            <v>PHYSICIAN</v>
          </cell>
          <cell r="AC3043" t="str">
            <v>M</v>
          </cell>
          <cell r="AD3043" t="str">
            <v>No</v>
          </cell>
          <cell r="AE3043" t="str">
            <v>MMIS</v>
          </cell>
          <cell r="AF3043" t="str">
            <v>nypwestcampus</v>
          </cell>
          <cell r="AG3043" t="str">
            <v>P</v>
          </cell>
        </row>
        <row r="3044">
          <cell r="A3044" t="str">
            <v>1063483154</v>
          </cell>
          <cell r="B3044" t="str">
            <v>01610219</v>
          </cell>
          <cell r="C3044" t="str">
            <v>Schlossberg Peter</v>
          </cell>
          <cell r="D3044" t="str">
            <v>E0138990</v>
          </cell>
          <cell r="E3044" t="str">
            <v>SCHLOSSBERG PETER MD</v>
          </cell>
          <cell r="L3044" t="str">
            <v>All Other:: Practitioner - Non-Primary Care Provider (PCP)</v>
          </cell>
          <cell r="M3044" t="str">
            <v>No</v>
          </cell>
          <cell r="R3044" t="str">
            <v>SCHLOSSBERG PETER MR.</v>
          </cell>
          <cell r="W3044" t="str">
            <v>SCHLOSSBERG PETER MD</v>
          </cell>
          <cell r="X3044" t="str">
            <v>622 W 168TH ST</v>
          </cell>
          <cell r="Y3044" t="str">
            <v>NEW YORK</v>
          </cell>
          <cell r="Z3044" t="str">
            <v>NY</v>
          </cell>
          <cell r="AA3044" t="str">
            <v>10032-3720</v>
          </cell>
          <cell r="AB3044" t="str">
            <v>PHYSICIAN</v>
          </cell>
          <cell r="AC3044" t="str">
            <v>M</v>
          </cell>
          <cell r="AD3044" t="str">
            <v>No</v>
          </cell>
          <cell r="AE3044" t="str">
            <v>MMIS</v>
          </cell>
          <cell r="AF3044" t="str">
            <v>nypwestcampus</v>
          </cell>
          <cell r="AG3044" t="str">
            <v>P</v>
          </cell>
        </row>
        <row r="3045">
          <cell r="A3045" t="str">
            <v>1235378233</v>
          </cell>
          <cell r="B3045" t="str">
            <v>03106058</v>
          </cell>
          <cell r="C3045" t="str">
            <v>Sheynzon Vladimir</v>
          </cell>
          <cell r="D3045" t="str">
            <v>E0293576</v>
          </cell>
          <cell r="E3045" t="str">
            <v>SHEYNZON VLADIMIR</v>
          </cell>
          <cell r="L3045" t="str">
            <v>All Other:: Practitioner - Non-Primary Care Provider (PCP)</v>
          </cell>
          <cell r="M3045" t="str">
            <v>No</v>
          </cell>
          <cell r="R3045" t="str">
            <v>SHEYNZON VLADIMIR DR.</v>
          </cell>
          <cell r="W3045" t="str">
            <v>SHEYNZON VLADIMIR</v>
          </cell>
          <cell r="X3045" t="str">
            <v>100 NICOLLS RD</v>
          </cell>
          <cell r="Y3045" t="str">
            <v>STONY BROOK</v>
          </cell>
          <cell r="Z3045" t="str">
            <v>NY</v>
          </cell>
          <cell r="AA3045" t="str">
            <v>11794-8460</v>
          </cell>
          <cell r="AB3045" t="str">
            <v>PHYSICIAN</v>
          </cell>
          <cell r="AC3045" t="str">
            <v>M</v>
          </cell>
          <cell r="AD3045" t="str">
            <v>No</v>
          </cell>
          <cell r="AE3045" t="str">
            <v>MMIS</v>
          </cell>
          <cell r="AF3045" t="str">
            <v>nypwestcampus</v>
          </cell>
          <cell r="AG3045" t="str">
            <v>P</v>
          </cell>
        </row>
        <row r="3046">
          <cell r="A3046" t="str">
            <v>1255339420</v>
          </cell>
          <cell r="B3046" t="str">
            <v>01949811</v>
          </cell>
          <cell r="C3046" t="str">
            <v>Sperling David</v>
          </cell>
          <cell r="D3046" t="str">
            <v>E0105074</v>
          </cell>
          <cell r="E3046" t="str">
            <v>SPERLING DAVID C MD</v>
          </cell>
          <cell r="L3046" t="str">
            <v>All Other:: Practitioner - Non-Primary Care Provider (PCP)</v>
          </cell>
          <cell r="M3046" t="str">
            <v>No</v>
          </cell>
          <cell r="R3046" t="str">
            <v>SPERLING DAVID DR.</v>
          </cell>
          <cell r="W3046" t="str">
            <v>SPERLING DAVID C MD</v>
          </cell>
          <cell r="X3046" t="str">
            <v>ST BARNABAS HOSP</v>
          </cell>
          <cell r="Y3046" t="str">
            <v>BRONX</v>
          </cell>
          <cell r="Z3046" t="str">
            <v>NY</v>
          </cell>
          <cell r="AA3046" t="str">
            <v>10457</v>
          </cell>
          <cell r="AB3046" t="str">
            <v>PHYSICIAN</v>
          </cell>
          <cell r="AC3046" t="str">
            <v>M</v>
          </cell>
          <cell r="AD3046" t="str">
            <v>No</v>
          </cell>
          <cell r="AE3046" t="str">
            <v>MMIS</v>
          </cell>
          <cell r="AF3046" t="str">
            <v>nypwestcampus</v>
          </cell>
          <cell r="AG3046" t="str">
            <v>P</v>
          </cell>
        </row>
        <row r="3047">
          <cell r="A3047" t="str">
            <v>1013097591</v>
          </cell>
          <cell r="C3047" t="str">
            <v>Benoit Evangeline</v>
          </cell>
          <cell r="G3047" t="str">
            <v>Kathryn Spaziani</v>
          </cell>
          <cell r="H3047" t="str">
            <v>(212) 305-1255</v>
          </cell>
          <cell r="J3047" t="str">
            <v>kas9171@nyp.org</v>
          </cell>
          <cell r="K3047" t="str">
            <v>Physician</v>
          </cell>
          <cell r="L3047" t="str">
            <v>Uncategorized</v>
          </cell>
          <cell r="M3047" t="str">
            <v>No</v>
          </cell>
          <cell r="R3047" t="str">
            <v>BENOIT EVANGELINE MS.</v>
          </cell>
          <cell r="S3047" t="str">
            <v>950 CAMPBELL AVE</v>
          </cell>
          <cell r="T3047" t="str">
            <v>WEST HAVEN</v>
          </cell>
          <cell r="U3047" t="str">
            <v>CT</v>
          </cell>
          <cell r="V3047" t="str">
            <v>065162770</v>
          </cell>
          <cell r="AC3047" t="str">
            <v>M</v>
          </cell>
          <cell r="AD3047" t="str">
            <v>No</v>
          </cell>
          <cell r="AE3047" t="str">
            <v>NPI only</v>
          </cell>
          <cell r="AF3047" t="str">
            <v>nypeastcampus</v>
          </cell>
          <cell r="AG3047" t="str">
            <v>P</v>
          </cell>
        </row>
        <row r="3048">
          <cell r="A3048" t="str">
            <v>1972707339</v>
          </cell>
          <cell r="C3048" t="str">
            <v>Bloch Marisa</v>
          </cell>
          <cell r="G3048" t="str">
            <v>Kathryn Spaziani</v>
          </cell>
          <cell r="H3048" t="str">
            <v>(212) 305-1255</v>
          </cell>
          <cell r="J3048" t="str">
            <v>kas9171@nyp.org</v>
          </cell>
          <cell r="K3048" t="str">
            <v>Physician</v>
          </cell>
          <cell r="L3048" t="str">
            <v>Uncategorized</v>
          </cell>
          <cell r="M3048" t="str">
            <v>No</v>
          </cell>
          <cell r="R3048" t="str">
            <v>BLOCH MARISA</v>
          </cell>
          <cell r="S3048" t="str">
            <v>525 E 68TH ST</v>
          </cell>
          <cell r="T3048" t="str">
            <v>NEW YORK</v>
          </cell>
          <cell r="U3048" t="str">
            <v>NY</v>
          </cell>
          <cell r="V3048" t="str">
            <v>100214870</v>
          </cell>
          <cell r="AC3048" t="str">
            <v>M</v>
          </cell>
          <cell r="AD3048" t="str">
            <v>No</v>
          </cell>
          <cell r="AE3048" t="str">
            <v>NPI only</v>
          </cell>
          <cell r="AF3048" t="str">
            <v>nypeastcampus</v>
          </cell>
          <cell r="AG3048" t="str">
            <v>P</v>
          </cell>
        </row>
        <row r="3049">
          <cell r="A3049" t="str">
            <v>1740572163</v>
          </cell>
          <cell r="C3049" t="str">
            <v>Bauer Maria</v>
          </cell>
          <cell r="G3049" t="str">
            <v>Kathryn Spaziani</v>
          </cell>
          <cell r="H3049" t="str">
            <v>(212) 305-1255</v>
          </cell>
          <cell r="J3049" t="str">
            <v>kas9171@nyp.org</v>
          </cell>
          <cell r="K3049" t="str">
            <v>Physician</v>
          </cell>
          <cell r="L3049" t="str">
            <v>Uncategorized</v>
          </cell>
          <cell r="M3049" t="str">
            <v>No</v>
          </cell>
          <cell r="R3049" t="str">
            <v>BAUER MARIA</v>
          </cell>
          <cell r="S3049" t="str">
            <v>525 E 68TH ST # M312</v>
          </cell>
          <cell r="T3049" t="str">
            <v>NEW YORK</v>
          </cell>
          <cell r="U3049" t="str">
            <v>NY</v>
          </cell>
          <cell r="V3049" t="str">
            <v>100654870</v>
          </cell>
          <cell r="AC3049" t="str">
            <v>M</v>
          </cell>
          <cell r="AD3049" t="str">
            <v>No</v>
          </cell>
          <cell r="AE3049" t="str">
            <v>NPI only</v>
          </cell>
          <cell r="AF3049" t="str">
            <v>nypother</v>
          </cell>
          <cell r="AG3049" t="str">
            <v>P</v>
          </cell>
        </row>
        <row r="3050">
          <cell r="A3050" t="str">
            <v>1508285909</v>
          </cell>
          <cell r="C3050" t="str">
            <v>Bergene James</v>
          </cell>
          <cell r="G3050" t="str">
            <v>Kathryn Spaziani</v>
          </cell>
          <cell r="H3050" t="str">
            <v>(212) 305-1255</v>
          </cell>
          <cell r="J3050" t="str">
            <v>kas9171@nyp.org</v>
          </cell>
          <cell r="K3050" t="str">
            <v>Physician</v>
          </cell>
          <cell r="L3050" t="str">
            <v>Uncategorized</v>
          </cell>
          <cell r="M3050" t="str">
            <v>No</v>
          </cell>
          <cell r="R3050" t="str">
            <v>BERGENE JAMES DR.</v>
          </cell>
          <cell r="S3050" t="str">
            <v>525 E 68TH ST</v>
          </cell>
          <cell r="T3050" t="str">
            <v>NEW YORK</v>
          </cell>
          <cell r="U3050" t="str">
            <v>NY</v>
          </cell>
          <cell r="V3050" t="str">
            <v>100654870</v>
          </cell>
          <cell r="AC3050" t="str">
            <v>M</v>
          </cell>
          <cell r="AD3050" t="str">
            <v>No</v>
          </cell>
          <cell r="AE3050" t="str">
            <v>NPI only</v>
          </cell>
          <cell r="AF3050" t="str">
            <v>nypeastcampus</v>
          </cell>
          <cell r="AG3050" t="str">
            <v>P</v>
          </cell>
        </row>
        <row r="3051">
          <cell r="A3051" t="str">
            <v>1659490563</v>
          </cell>
          <cell r="B3051" t="str">
            <v>02598709</v>
          </cell>
          <cell r="C3051" t="str">
            <v>Sandra Rolston</v>
          </cell>
          <cell r="D3051" t="str">
            <v>E0040287</v>
          </cell>
          <cell r="E3051" t="str">
            <v>ROLSTON SANDRA A MD</v>
          </cell>
          <cell r="G3051" t="str">
            <v>Corina Sharp</v>
          </cell>
          <cell r="H3051" t="str">
            <v>(212) 545-2441</v>
          </cell>
          <cell r="J3051" t="str">
            <v>csharp@chnnyc.org</v>
          </cell>
          <cell r="L3051" t="str">
            <v>All Other:: Practitioner - Primary Care Provider (PCP)</v>
          </cell>
          <cell r="M3051" t="str">
            <v>Yes</v>
          </cell>
          <cell r="R3051" t="str">
            <v>ROLSTON SANDRA</v>
          </cell>
          <cell r="W3051" t="str">
            <v>ROLSTON SANDRA A MD</v>
          </cell>
          <cell r="X3051" t="str">
            <v>BMERF</v>
          </cell>
          <cell r="Y3051" t="str">
            <v>SPRINGFIELD</v>
          </cell>
          <cell r="Z3051" t="str">
            <v>MA</v>
          </cell>
          <cell r="AA3051" t="str">
            <v>01199-1006</v>
          </cell>
          <cell r="AB3051" t="str">
            <v>PHYSICIAN</v>
          </cell>
          <cell r="AC3051" t="str">
            <v>M</v>
          </cell>
          <cell r="AD3051" t="str">
            <v>No</v>
          </cell>
          <cell r="AE3051" t="str">
            <v>MMIS</v>
          </cell>
          <cell r="AF3051" t="str">
            <v>chn</v>
          </cell>
          <cell r="AG3051" t="str">
            <v>P</v>
          </cell>
        </row>
        <row r="3052">
          <cell r="A3052" t="str">
            <v>1366544686</v>
          </cell>
          <cell r="B3052" t="str">
            <v>01582461</v>
          </cell>
          <cell r="C3052" t="str">
            <v>DOMINGUEZ-RAFER, CARMEN M</v>
          </cell>
          <cell r="D3052" t="str">
            <v>E0141760</v>
          </cell>
          <cell r="E3052" t="str">
            <v>DOMINGUEZ-RAFER CARMEN M MD</v>
          </cell>
          <cell r="G3052" t="str">
            <v>Kathryn Spaziani</v>
          </cell>
          <cell r="H3052" t="str">
            <v>(212) 305-1190</v>
          </cell>
          <cell r="J3052" t="str">
            <v>kas9171@nyp.org</v>
          </cell>
          <cell r="L3052" t="str">
            <v>All Other:: Practitioner - Primary Care Provider (PCP)</v>
          </cell>
          <cell r="M3052" t="str">
            <v>Yes</v>
          </cell>
          <cell r="R3052" t="str">
            <v>DOMINGUEZ-RAFER CARMEN DR.</v>
          </cell>
          <cell r="W3052" t="str">
            <v>DOMINGUEZ-RAFER CARMEN M MD</v>
          </cell>
          <cell r="X3052" t="str">
            <v>111 E 210TH ST</v>
          </cell>
          <cell r="Y3052" t="str">
            <v>BRONX</v>
          </cell>
          <cell r="Z3052" t="str">
            <v>NY</v>
          </cell>
          <cell r="AA3052" t="str">
            <v>10467-2401</v>
          </cell>
          <cell r="AB3052" t="str">
            <v>PHYSICIAN</v>
          </cell>
          <cell r="AC3052" t="str">
            <v>M</v>
          </cell>
          <cell r="AD3052" t="str">
            <v>No</v>
          </cell>
          <cell r="AE3052" t="str">
            <v>MMIS</v>
          </cell>
          <cell r="AF3052" t="str">
            <v>nypwestacn</v>
          </cell>
          <cell r="AG3052" t="str">
            <v>P</v>
          </cell>
        </row>
        <row r="3053">
          <cell r="A3053" t="str">
            <v>1366609711</v>
          </cell>
          <cell r="B3053" t="str">
            <v>03623750</v>
          </cell>
          <cell r="C3053" t="str">
            <v>ELLMAN, TANYA M</v>
          </cell>
          <cell r="D3053" t="str">
            <v>E0352633</v>
          </cell>
          <cell r="E3053" t="str">
            <v>ELLMAN TANYA MICHAELE</v>
          </cell>
          <cell r="G3053" t="str">
            <v>Kathryn Spaziani</v>
          </cell>
          <cell r="H3053" t="str">
            <v>(212) 305-1190</v>
          </cell>
          <cell r="J3053" t="str">
            <v>kas9171@nyp.org</v>
          </cell>
          <cell r="L3053" t="str">
            <v>Practitioner - Non-Primary Care Provider (PCP)</v>
          </cell>
          <cell r="M3053" t="str">
            <v>No</v>
          </cell>
          <cell r="R3053" t="str">
            <v>ELLMAN TANYA DR.</v>
          </cell>
          <cell r="W3053" t="str">
            <v>ELLMAN TANYA MICHAELE</v>
          </cell>
          <cell r="X3053" t="str">
            <v>622 W 168TH ST</v>
          </cell>
          <cell r="Y3053" t="str">
            <v>NEW YORK</v>
          </cell>
          <cell r="Z3053" t="str">
            <v>NY</v>
          </cell>
          <cell r="AA3053" t="str">
            <v>10032-3720</v>
          </cell>
          <cell r="AB3053" t="str">
            <v>PHYSICIAN</v>
          </cell>
          <cell r="AC3053" t="str">
            <v>M</v>
          </cell>
          <cell r="AD3053" t="str">
            <v>No</v>
          </cell>
          <cell r="AE3053" t="str">
            <v>MMIS</v>
          </cell>
          <cell r="AF3053" t="str">
            <v>nypwestacn</v>
          </cell>
          <cell r="AG3053" t="str">
            <v>P</v>
          </cell>
        </row>
        <row r="3054">
          <cell r="A3054" t="str">
            <v>1851437917</v>
          </cell>
          <cell r="C3054" t="str">
            <v>Pastor Carmen</v>
          </cell>
          <cell r="G3054" t="str">
            <v>Kathryn Spaziani</v>
          </cell>
          <cell r="H3054" t="str">
            <v>(212) 305-1255</v>
          </cell>
          <cell r="J3054" t="str">
            <v>kas9171@nyp.org</v>
          </cell>
          <cell r="K3054" t="str">
            <v>Physician</v>
          </cell>
          <cell r="L3054" t="str">
            <v>Uncategorized</v>
          </cell>
          <cell r="M3054" t="str">
            <v>No</v>
          </cell>
          <cell r="R3054" t="str">
            <v>PASTOR CARMEN MS.</v>
          </cell>
          <cell r="S3054" t="str">
            <v>622 W 168TH ST</v>
          </cell>
          <cell r="T3054" t="str">
            <v>NEW YORK</v>
          </cell>
          <cell r="U3054" t="str">
            <v>NY</v>
          </cell>
          <cell r="V3054" t="str">
            <v>100323720</v>
          </cell>
          <cell r="AC3054" t="str">
            <v>M</v>
          </cell>
          <cell r="AD3054" t="str">
            <v>No</v>
          </cell>
          <cell r="AE3054" t="str">
            <v>NPI only</v>
          </cell>
          <cell r="AF3054" t="str">
            <v>nypother</v>
          </cell>
          <cell r="AG3054" t="str">
            <v>P</v>
          </cell>
        </row>
        <row r="3055">
          <cell r="A3055" t="str">
            <v>1871508184</v>
          </cell>
          <cell r="B3055" t="str">
            <v>02378545</v>
          </cell>
          <cell r="C3055" t="str">
            <v>Charnoff-Katz Karin</v>
          </cell>
          <cell r="D3055" t="str">
            <v>E0062259</v>
          </cell>
          <cell r="E3055" t="str">
            <v>CHARNOFF KATZ KARIN SUE MD</v>
          </cell>
          <cell r="L3055" t="str">
            <v>All Other:: Practitioner - Non-Primary Care Provider (PCP)</v>
          </cell>
          <cell r="M3055" t="str">
            <v>No</v>
          </cell>
          <cell r="R3055" t="str">
            <v>CHARNOFF-KATZ KARIN</v>
          </cell>
          <cell r="W3055" t="str">
            <v>CHARNOFF KATZ KARIN SUE MD</v>
          </cell>
          <cell r="X3055" t="str">
            <v>NYH CUMC RADIO GRP</v>
          </cell>
          <cell r="Y3055" t="str">
            <v>NEW YORK</v>
          </cell>
          <cell r="Z3055" t="str">
            <v>NY</v>
          </cell>
          <cell r="AA3055" t="str">
            <v>10065-4870</v>
          </cell>
          <cell r="AB3055" t="str">
            <v>PHYSICIAN</v>
          </cell>
          <cell r="AC3055" t="str">
            <v>M</v>
          </cell>
          <cell r="AD3055" t="str">
            <v>No</v>
          </cell>
          <cell r="AE3055" t="str">
            <v>MMIS</v>
          </cell>
          <cell r="AF3055" t="str">
            <v>nypeastcampus</v>
          </cell>
          <cell r="AG3055" t="str">
            <v>P</v>
          </cell>
        </row>
        <row r="3056">
          <cell r="A3056" t="str">
            <v>1083751895</v>
          </cell>
          <cell r="B3056" t="str">
            <v>03077709</v>
          </cell>
          <cell r="C3056" t="str">
            <v>SCHNEIER, HOLLY A</v>
          </cell>
          <cell r="D3056" t="str">
            <v>E0290415</v>
          </cell>
          <cell r="E3056" t="str">
            <v>SCHNEIER HOLLY</v>
          </cell>
          <cell r="G3056" t="str">
            <v>Kathryn Spaziani</v>
          </cell>
          <cell r="H3056" t="str">
            <v>(212) 305-1190</v>
          </cell>
          <cell r="J3056" t="str">
            <v>kas9171@nyp.org</v>
          </cell>
          <cell r="L3056" t="str">
            <v>Practitioner - Non-Primary Care Provider (PCP)</v>
          </cell>
          <cell r="M3056" t="str">
            <v>No</v>
          </cell>
          <cell r="R3056" t="str">
            <v>SCHNEIER HOLLY DR.</v>
          </cell>
          <cell r="W3056" t="str">
            <v>SCHNEIER HOLLY</v>
          </cell>
          <cell r="X3056" t="str">
            <v>635 WEST 165TH STREET</v>
          </cell>
          <cell r="Y3056" t="str">
            <v>NEW YORK</v>
          </cell>
          <cell r="Z3056" t="str">
            <v>NY</v>
          </cell>
          <cell r="AA3056" t="str">
            <v>10032-3724</v>
          </cell>
          <cell r="AB3056" t="str">
            <v>PHYSICIAN</v>
          </cell>
          <cell r="AC3056" t="str">
            <v>M</v>
          </cell>
          <cell r="AD3056" t="str">
            <v>No</v>
          </cell>
          <cell r="AE3056" t="str">
            <v>MMIS</v>
          </cell>
          <cell r="AF3056" t="str">
            <v>nypother</v>
          </cell>
          <cell r="AG3056" t="str">
            <v>P</v>
          </cell>
        </row>
        <row r="3057">
          <cell r="A3057" t="str">
            <v>1083778559</v>
          </cell>
          <cell r="B3057" t="str">
            <v>00776009</v>
          </cell>
          <cell r="C3057" t="str">
            <v>PULLMAN, SETH L</v>
          </cell>
          <cell r="D3057" t="str">
            <v>E0222124</v>
          </cell>
          <cell r="E3057" t="str">
            <v>PULLMAN SETH               MD</v>
          </cell>
          <cell r="G3057" t="str">
            <v>Kathryn Spaziani</v>
          </cell>
          <cell r="H3057" t="str">
            <v>(212) 305-1190</v>
          </cell>
          <cell r="J3057" t="str">
            <v>kas9171@nyp.org</v>
          </cell>
          <cell r="L3057" t="str">
            <v>Practitioner - Non-Primary Care Provider (PCP)</v>
          </cell>
          <cell r="M3057" t="str">
            <v>No</v>
          </cell>
          <cell r="R3057" t="str">
            <v>PULLMAN SETH DR.</v>
          </cell>
          <cell r="W3057" t="str">
            <v>PULLMAN SETH               MD</v>
          </cell>
          <cell r="X3057" t="str">
            <v>APT 407</v>
          </cell>
          <cell r="Y3057" t="str">
            <v>WASHINGTON</v>
          </cell>
          <cell r="Z3057" t="str">
            <v>DC</v>
          </cell>
          <cell r="AA3057" t="str">
            <v>20007-4856</v>
          </cell>
          <cell r="AB3057" t="str">
            <v>PHYSICIAN</v>
          </cell>
          <cell r="AC3057" t="str">
            <v>M</v>
          </cell>
          <cell r="AD3057" t="str">
            <v>No</v>
          </cell>
          <cell r="AE3057" t="str">
            <v>MMIS</v>
          </cell>
          <cell r="AF3057" t="str">
            <v>nypwestcampus</v>
          </cell>
          <cell r="AG3057" t="str">
            <v>P</v>
          </cell>
        </row>
        <row r="3058">
          <cell r="A3058" t="str">
            <v>1134377500</v>
          </cell>
          <cell r="C3058" t="str">
            <v>Solis-Serrano Esther</v>
          </cell>
          <cell r="G3058" t="str">
            <v>Kathryn Spaziani</v>
          </cell>
          <cell r="H3058" t="str">
            <v>(212) 305-1255</v>
          </cell>
          <cell r="J3058" t="str">
            <v>kas9171@nyp.org</v>
          </cell>
          <cell r="K3058" t="str">
            <v>Physician</v>
          </cell>
          <cell r="L3058" t="str">
            <v>Practitioner - Non-Primary Care Provider (PCP)</v>
          </cell>
          <cell r="M3058" t="str">
            <v>No</v>
          </cell>
          <cell r="R3058" t="str">
            <v>SOLIS-SERRANO ESTHER</v>
          </cell>
          <cell r="S3058" t="str">
            <v>622 W 168TH ST</v>
          </cell>
          <cell r="T3058" t="str">
            <v>NEW YORK</v>
          </cell>
          <cell r="U3058" t="str">
            <v>NY</v>
          </cell>
          <cell r="V3058" t="str">
            <v>100323720</v>
          </cell>
          <cell r="AC3058" t="str">
            <v>M</v>
          </cell>
          <cell r="AD3058" t="str">
            <v>No</v>
          </cell>
          <cell r="AE3058" t="str">
            <v>NPI only</v>
          </cell>
          <cell r="AF3058" t="str">
            <v>nypwestcampus</v>
          </cell>
          <cell r="AG3058" t="str">
            <v>P</v>
          </cell>
        </row>
        <row r="3059">
          <cell r="A3059" t="str">
            <v>1861801235</v>
          </cell>
          <cell r="B3059" t="str">
            <v>04000726</v>
          </cell>
          <cell r="C3059" t="str">
            <v>Stevens Katie</v>
          </cell>
          <cell r="D3059" t="str">
            <v>E0391466</v>
          </cell>
          <cell r="E3059" t="str">
            <v>STEVENS KATIE LYNN</v>
          </cell>
          <cell r="G3059" t="str">
            <v>Kathryn Spaziani</v>
          </cell>
          <cell r="H3059" t="str">
            <v>(212) 305-1255</v>
          </cell>
          <cell r="J3059" t="str">
            <v>kas9171@nyp.org</v>
          </cell>
          <cell r="L3059" t="str">
            <v>Practitioner - Non-Primary Care Provider (PCP)</v>
          </cell>
          <cell r="M3059" t="str">
            <v>No</v>
          </cell>
          <cell r="R3059" t="str">
            <v>STEVENS KATIE</v>
          </cell>
          <cell r="W3059" t="str">
            <v>STEVENS KATIE LYNN</v>
          </cell>
          <cell r="X3059" t="str">
            <v>622 W 168TH ST</v>
          </cell>
          <cell r="Y3059" t="str">
            <v>NEW YORK</v>
          </cell>
          <cell r="Z3059" t="str">
            <v>NY</v>
          </cell>
          <cell r="AA3059" t="str">
            <v>10032-3720</v>
          </cell>
          <cell r="AB3059" t="str">
            <v>PHYSICIAN</v>
          </cell>
          <cell r="AC3059" t="str">
            <v>M</v>
          </cell>
          <cell r="AD3059" t="str">
            <v>No</v>
          </cell>
          <cell r="AE3059" t="str">
            <v>MMIS</v>
          </cell>
          <cell r="AF3059" t="str">
            <v>nypwestcampus</v>
          </cell>
          <cell r="AG3059" t="str">
            <v>P</v>
          </cell>
        </row>
        <row r="3060">
          <cell r="C3060" t="str">
            <v>RICHARD HAWKINS</v>
          </cell>
          <cell r="G3060" t="str">
            <v>Kathryn Spaziani</v>
          </cell>
          <cell r="H3060" t="str">
            <v>(212) 305-1190</v>
          </cell>
          <cell r="J3060" t="str">
            <v>kas9171@nyp.org</v>
          </cell>
          <cell r="K3060" t="str">
            <v>Unknown</v>
          </cell>
          <cell r="L3060" t="str">
            <v>CBO</v>
          </cell>
          <cell r="M3060" t="str">
            <v>No</v>
          </cell>
          <cell r="N3060" t="str">
            <v>525 E 68th Street</v>
          </cell>
          <cell r="O3060" t="str">
            <v xml:space="preserve">New York </v>
          </cell>
          <cell r="P3060" t="str">
            <v>NY</v>
          </cell>
          <cell r="Q3060" t="str">
            <v>10021</v>
          </cell>
          <cell r="AC3060" t="str">
            <v>M</v>
          </cell>
          <cell r="AD3060" t="str">
            <v>No</v>
          </cell>
          <cell r="AE3060" t="str">
            <v>No NPI or MMIS</v>
          </cell>
          <cell r="AF3060" t="str">
            <v>nypother</v>
          </cell>
          <cell r="AG3060" t="str">
            <v>P</v>
          </cell>
        </row>
        <row r="3061">
          <cell r="A3061" t="str">
            <v>1558673079</v>
          </cell>
          <cell r="B3061" t="str">
            <v>03285696</v>
          </cell>
          <cell r="C3061" t="str">
            <v>CINDY HENG</v>
          </cell>
          <cell r="D3061" t="str">
            <v>E0314104</v>
          </cell>
          <cell r="E3061" t="str">
            <v>HENG CINDY</v>
          </cell>
          <cell r="G3061" t="str">
            <v>Kathryn Spaziani</v>
          </cell>
          <cell r="H3061" t="str">
            <v>(212) 305-1190</v>
          </cell>
          <cell r="J3061" t="str">
            <v>kas9171@nyp.org</v>
          </cell>
          <cell r="L3061" t="str">
            <v>Practitioner - Non-Primary Care Provider (PCP)</v>
          </cell>
          <cell r="M3061" t="str">
            <v>No</v>
          </cell>
          <cell r="R3061" t="str">
            <v>HENG CINDY</v>
          </cell>
          <cell r="W3061" t="str">
            <v>HENG CINDY</v>
          </cell>
          <cell r="X3061" t="str">
            <v>BAKER 525 E 68TH ST</v>
          </cell>
          <cell r="Y3061" t="str">
            <v>NEW YORK</v>
          </cell>
          <cell r="Z3061" t="str">
            <v>NY</v>
          </cell>
          <cell r="AA3061" t="str">
            <v>10021-0000</v>
          </cell>
          <cell r="AB3061" t="str">
            <v>CLINICAL SOCIAL WORKER (CSW)</v>
          </cell>
          <cell r="AC3061" t="str">
            <v>M</v>
          </cell>
          <cell r="AD3061" t="str">
            <v>No</v>
          </cell>
          <cell r="AE3061" t="str">
            <v>MMIS</v>
          </cell>
          <cell r="AF3061" t="str">
            <v>nypeastacn</v>
          </cell>
          <cell r="AG3061" t="str">
            <v>P</v>
          </cell>
        </row>
        <row r="3062">
          <cell r="A3062" t="str">
            <v>1881922821</v>
          </cell>
          <cell r="B3062" t="str">
            <v>03545071</v>
          </cell>
          <cell r="C3062" t="str">
            <v>JACQUELINE HIDALGO</v>
          </cell>
          <cell r="D3062" t="str">
            <v>E0344386</v>
          </cell>
          <cell r="E3062" t="str">
            <v>HIDALGO JACQUELINE</v>
          </cell>
          <cell r="G3062" t="str">
            <v>Kathryn Spaziani</v>
          </cell>
          <cell r="H3062" t="str">
            <v>(212) 305-1190</v>
          </cell>
          <cell r="J3062" t="str">
            <v>kas9171@nyp.org</v>
          </cell>
          <cell r="L3062" t="str">
            <v>Practitioner - Non-Primary Care Provider (PCP)</v>
          </cell>
          <cell r="M3062" t="str">
            <v>No</v>
          </cell>
          <cell r="R3062" t="str">
            <v>NEW YORK-PRESBYTERIAN HOSPITAL</v>
          </cell>
          <cell r="W3062" t="str">
            <v>HIDALGO JACQUELINE</v>
          </cell>
          <cell r="X3062" t="str">
            <v>180 FORT WASHINGTON AVE</v>
          </cell>
          <cell r="Y3062" t="str">
            <v>NEW YORK</v>
          </cell>
          <cell r="Z3062" t="str">
            <v>NY</v>
          </cell>
          <cell r="AA3062" t="str">
            <v>10032-3722</v>
          </cell>
          <cell r="AB3062" t="str">
            <v>CLINICAL SOCIAL WORKER (CSW)</v>
          </cell>
          <cell r="AC3062" t="str">
            <v>M</v>
          </cell>
          <cell r="AD3062" t="str">
            <v>No</v>
          </cell>
          <cell r="AE3062" t="str">
            <v>MMIS</v>
          </cell>
          <cell r="AF3062" t="str">
            <v>nypwestacn</v>
          </cell>
          <cell r="AG3062" t="str">
            <v>P</v>
          </cell>
        </row>
        <row r="3063">
          <cell r="A3063" t="str">
            <v>1649489717</v>
          </cell>
          <cell r="C3063" t="str">
            <v>WILLIAM JACOBS</v>
          </cell>
          <cell r="G3063" t="str">
            <v>Kathryn Spaziani</v>
          </cell>
          <cell r="H3063" t="str">
            <v>(212) 305-1190</v>
          </cell>
          <cell r="J3063" t="str">
            <v>kas9171@nyp.org</v>
          </cell>
          <cell r="K3063" t="str">
            <v>Unknown</v>
          </cell>
          <cell r="L3063" t="str">
            <v>Uncategorized</v>
          </cell>
          <cell r="M3063" t="str">
            <v>No</v>
          </cell>
          <cell r="R3063" t="str">
            <v>NEW PRESBYTERIAN HOSPITAL</v>
          </cell>
          <cell r="S3063" t="str">
            <v>622 W 168TH ST # VC2-205</v>
          </cell>
          <cell r="T3063" t="str">
            <v>NEW YORK</v>
          </cell>
          <cell r="U3063" t="str">
            <v>NY</v>
          </cell>
          <cell r="V3063" t="str">
            <v>100323720</v>
          </cell>
          <cell r="AC3063" t="str">
            <v>M</v>
          </cell>
          <cell r="AD3063" t="str">
            <v>No</v>
          </cell>
          <cell r="AE3063" t="str">
            <v>NPI only</v>
          </cell>
          <cell r="AF3063" t="str">
            <v>nypother</v>
          </cell>
          <cell r="AG3063" t="str">
            <v>P</v>
          </cell>
        </row>
        <row r="3064">
          <cell r="A3064" t="str">
            <v>1902080161</v>
          </cell>
          <cell r="C3064" t="str">
            <v>TALIA KOLLENSCHER</v>
          </cell>
          <cell r="G3064" t="str">
            <v>Kathryn Spaziani</v>
          </cell>
          <cell r="H3064" t="str">
            <v>(212) 305-1190</v>
          </cell>
          <cell r="J3064" t="str">
            <v>kas9171@nyp.org</v>
          </cell>
          <cell r="K3064" t="str">
            <v>Unknown</v>
          </cell>
          <cell r="L3064" t="str">
            <v>Uncategorized</v>
          </cell>
          <cell r="M3064" t="str">
            <v>No</v>
          </cell>
          <cell r="R3064" t="str">
            <v>KOLLENSCHER TALIA</v>
          </cell>
          <cell r="S3064" t="str">
            <v>1 GUSTAVE LEVY PL</v>
          </cell>
          <cell r="T3064" t="str">
            <v>NEW YORK</v>
          </cell>
          <cell r="U3064" t="str">
            <v>NY</v>
          </cell>
          <cell r="V3064" t="str">
            <v>10029</v>
          </cell>
          <cell r="AC3064" t="str">
            <v>M</v>
          </cell>
          <cell r="AD3064" t="str">
            <v>No</v>
          </cell>
          <cell r="AE3064" t="str">
            <v>NPI only</v>
          </cell>
          <cell r="AF3064" t="str">
            <v>nypother</v>
          </cell>
          <cell r="AG3064" t="str">
            <v>P</v>
          </cell>
        </row>
        <row r="3065">
          <cell r="A3065" t="str">
            <v>1104106475</v>
          </cell>
          <cell r="C3065" t="str">
            <v>MARCY KOPAKIN</v>
          </cell>
          <cell r="G3065" t="str">
            <v>Kathryn Spaziani</v>
          </cell>
          <cell r="H3065" t="str">
            <v>(212) 305-1190</v>
          </cell>
          <cell r="J3065" t="str">
            <v>kas9171@nyp.org</v>
          </cell>
          <cell r="K3065" t="str">
            <v>Unknown</v>
          </cell>
          <cell r="L3065" t="str">
            <v>Uncategorized</v>
          </cell>
          <cell r="M3065" t="str">
            <v>No</v>
          </cell>
          <cell r="R3065" t="str">
            <v>KOPAKIN MARCY MS.</v>
          </cell>
          <cell r="S3065" t="str">
            <v>330 E 71ST ST, SUITE 1B</v>
          </cell>
          <cell r="T3065" t="str">
            <v>NEW YORK</v>
          </cell>
          <cell r="U3065" t="str">
            <v>NY</v>
          </cell>
          <cell r="V3065" t="str">
            <v>100215274</v>
          </cell>
          <cell r="AC3065" t="str">
            <v>M</v>
          </cell>
          <cell r="AD3065" t="str">
            <v>No</v>
          </cell>
          <cell r="AE3065" t="str">
            <v>NPI only</v>
          </cell>
          <cell r="AF3065" t="str">
            <v>nypother</v>
          </cell>
          <cell r="AG3065" t="str">
            <v>P</v>
          </cell>
        </row>
        <row r="3066">
          <cell r="A3066" t="str">
            <v>1356684179</v>
          </cell>
          <cell r="B3066" t="str">
            <v>03687730</v>
          </cell>
          <cell r="C3066" t="str">
            <v>MARY LEARY</v>
          </cell>
          <cell r="D3066" t="str">
            <v>E0359265</v>
          </cell>
          <cell r="E3066" t="str">
            <v>LEARY MARY</v>
          </cell>
          <cell r="G3066" t="str">
            <v>Kathryn Spaziani</v>
          </cell>
          <cell r="H3066" t="str">
            <v>(212) 305-1190</v>
          </cell>
          <cell r="J3066" t="str">
            <v>kas9171@nyp.org</v>
          </cell>
          <cell r="L3066" t="str">
            <v>Practitioner - Non-Primary Care Provider (PCP)</v>
          </cell>
          <cell r="M3066" t="str">
            <v>No</v>
          </cell>
          <cell r="R3066" t="str">
            <v>LEARY MARY MS.</v>
          </cell>
          <cell r="W3066" t="str">
            <v>LEARY MARY</v>
          </cell>
          <cell r="X3066" t="str">
            <v>505 E 70TH ST</v>
          </cell>
          <cell r="Y3066" t="str">
            <v>NEW YORK</v>
          </cell>
          <cell r="Z3066" t="str">
            <v>NY</v>
          </cell>
          <cell r="AA3066" t="str">
            <v>10021-4872</v>
          </cell>
          <cell r="AB3066" t="str">
            <v>CLINICAL SOCIAL WORKER (CSW)</v>
          </cell>
          <cell r="AC3066" t="str">
            <v>M</v>
          </cell>
          <cell r="AD3066" t="str">
            <v>No</v>
          </cell>
          <cell r="AE3066" t="str">
            <v>MMIS</v>
          </cell>
          <cell r="AF3066" t="str">
            <v>nypother</v>
          </cell>
          <cell r="AG3066" t="str">
            <v>P</v>
          </cell>
        </row>
        <row r="3067">
          <cell r="A3067" t="str">
            <v>1518102490</v>
          </cell>
          <cell r="B3067" t="str">
            <v>03090131</v>
          </cell>
          <cell r="C3067" t="str">
            <v>JAQUELINE LEFKOWITZ</v>
          </cell>
          <cell r="D3067" t="str">
            <v>E0291872</v>
          </cell>
          <cell r="E3067" t="str">
            <v>LEFKOWITZ JACQUELINE MICHELE</v>
          </cell>
          <cell r="G3067" t="str">
            <v>Kathryn Spaziani</v>
          </cell>
          <cell r="H3067" t="str">
            <v>(212) 305-1190</v>
          </cell>
          <cell r="J3067" t="str">
            <v>kas9171@nyp.org</v>
          </cell>
          <cell r="L3067" t="str">
            <v>Mental Health:: Practitioner - Non-Primary Care Provider (PCP)</v>
          </cell>
          <cell r="M3067" t="str">
            <v>No</v>
          </cell>
          <cell r="R3067" t="str">
            <v>LEFKOWITZ JACQUELINE</v>
          </cell>
          <cell r="W3067" t="str">
            <v>LEFKOWITZ JACQUELINE MICHELE</v>
          </cell>
          <cell r="X3067" t="str">
            <v>11020 71ST RD # 111</v>
          </cell>
          <cell r="Y3067" t="str">
            <v>FOREST HILLS</v>
          </cell>
          <cell r="Z3067" t="str">
            <v>NY</v>
          </cell>
          <cell r="AA3067" t="str">
            <v>11375-4914</v>
          </cell>
          <cell r="AB3067" t="str">
            <v>CLINICAL SOCIAL WORKER (CSW)</v>
          </cell>
          <cell r="AC3067" t="str">
            <v>M</v>
          </cell>
          <cell r="AD3067" t="str">
            <v>No</v>
          </cell>
          <cell r="AE3067" t="str">
            <v>MMIS</v>
          </cell>
          <cell r="AF3067" t="str">
            <v>nypother</v>
          </cell>
          <cell r="AG3067" t="str">
            <v>P</v>
          </cell>
        </row>
        <row r="3068">
          <cell r="A3068" t="str">
            <v>1831476852</v>
          </cell>
          <cell r="B3068" t="str">
            <v>03690411</v>
          </cell>
          <cell r="C3068" t="str">
            <v>CASSIDIE LI</v>
          </cell>
          <cell r="D3068" t="str">
            <v>E0359509</v>
          </cell>
          <cell r="E3068" t="str">
            <v>LI CASSIDIE</v>
          </cell>
          <cell r="G3068" t="str">
            <v>Kathryn Spaziani</v>
          </cell>
          <cell r="H3068" t="str">
            <v>(212) 305-1190</v>
          </cell>
          <cell r="J3068" t="str">
            <v>kas9171@nyp.org</v>
          </cell>
          <cell r="L3068" t="str">
            <v>Practitioner - Non-Primary Care Provider (PCP)</v>
          </cell>
          <cell r="M3068" t="str">
            <v>No</v>
          </cell>
          <cell r="R3068" t="str">
            <v>LI CASSIDIE MS.</v>
          </cell>
          <cell r="W3068" t="str">
            <v>LI CASSIDIE</v>
          </cell>
          <cell r="X3068" t="str">
            <v>240 EAST 38TH ST</v>
          </cell>
          <cell r="Y3068" t="str">
            <v>NEW YORK</v>
          </cell>
          <cell r="Z3068" t="str">
            <v>NY</v>
          </cell>
          <cell r="AA3068" t="str">
            <v>10016-2708</v>
          </cell>
          <cell r="AB3068" t="str">
            <v>PHYSICIAN</v>
          </cell>
          <cell r="AC3068" t="str">
            <v>M</v>
          </cell>
          <cell r="AD3068" t="str">
            <v>No</v>
          </cell>
          <cell r="AE3068" t="str">
            <v>MMIS</v>
          </cell>
          <cell r="AF3068" t="str">
            <v>nypeastcampus</v>
          </cell>
          <cell r="AG3068" t="str">
            <v>P</v>
          </cell>
        </row>
        <row r="3069">
          <cell r="A3069" t="str">
            <v>1134180169</v>
          </cell>
          <cell r="C3069" t="str">
            <v>MARISSA LICATA</v>
          </cell>
          <cell r="G3069" t="str">
            <v>Kathryn Spaziani</v>
          </cell>
          <cell r="H3069" t="str">
            <v>(212) 305-1190</v>
          </cell>
          <cell r="J3069" t="str">
            <v>kas9171@nyp.org</v>
          </cell>
          <cell r="K3069" t="str">
            <v>Unknown</v>
          </cell>
          <cell r="L3069" t="str">
            <v>Uncategorized</v>
          </cell>
          <cell r="M3069" t="str">
            <v>No</v>
          </cell>
          <cell r="R3069" t="str">
            <v>LICATA MARISSA</v>
          </cell>
          <cell r="S3069" t="str">
            <v>177 FORT WASHINGTON AVE, VC- 4TH FLOOR AREA 1, ROOM H</v>
          </cell>
          <cell r="T3069" t="str">
            <v>NEW YORK</v>
          </cell>
          <cell r="U3069" t="str">
            <v>NY</v>
          </cell>
          <cell r="V3069" t="str">
            <v>100323733</v>
          </cell>
          <cell r="AC3069" t="str">
            <v>M</v>
          </cell>
          <cell r="AD3069" t="str">
            <v>No</v>
          </cell>
          <cell r="AE3069" t="str">
            <v>NPI only</v>
          </cell>
          <cell r="AF3069" t="str">
            <v>nypother</v>
          </cell>
          <cell r="AG3069" t="str">
            <v>P</v>
          </cell>
        </row>
        <row r="3070">
          <cell r="A3070" t="str">
            <v>1528249026</v>
          </cell>
          <cell r="C3070" t="str">
            <v>MEREDITH LISS</v>
          </cell>
          <cell r="G3070" t="str">
            <v>Kathryn Spaziani</v>
          </cell>
          <cell r="H3070" t="str">
            <v>(212) 305-1190</v>
          </cell>
          <cell r="J3070" t="str">
            <v>kas9171@nyp.org</v>
          </cell>
          <cell r="K3070" t="str">
            <v>Unknown</v>
          </cell>
          <cell r="L3070" t="str">
            <v>Practitioner - Non-Primary Care Provider (PCP)</v>
          </cell>
          <cell r="M3070" t="str">
            <v>No</v>
          </cell>
          <cell r="R3070" t="str">
            <v>LISS MEREDITH</v>
          </cell>
          <cell r="S3070" t="str">
            <v>525 E 68TH ST, B24</v>
          </cell>
          <cell r="T3070" t="str">
            <v>NEW YORK</v>
          </cell>
          <cell r="U3070" t="str">
            <v>NY</v>
          </cell>
          <cell r="V3070" t="str">
            <v>100654870</v>
          </cell>
          <cell r="AC3070" t="str">
            <v>M</v>
          </cell>
          <cell r="AD3070" t="str">
            <v>No</v>
          </cell>
          <cell r="AE3070" t="str">
            <v>NPI only</v>
          </cell>
          <cell r="AF3070" t="str">
            <v>nypother</v>
          </cell>
          <cell r="AG3070" t="str">
            <v>P</v>
          </cell>
        </row>
        <row r="3071">
          <cell r="A3071" t="str">
            <v>1679654347</v>
          </cell>
          <cell r="B3071" t="str">
            <v>03266199</v>
          </cell>
          <cell r="C3071" t="str">
            <v>JOHNNY LOPEZ</v>
          </cell>
          <cell r="D3071" t="str">
            <v>E0311899</v>
          </cell>
          <cell r="E3071" t="str">
            <v>LOPEZ JOHNNY</v>
          </cell>
          <cell r="G3071" t="str">
            <v>Kathryn Spaziani</v>
          </cell>
          <cell r="H3071" t="str">
            <v>(212) 305-1190</v>
          </cell>
          <cell r="J3071" t="str">
            <v>kas9171@nyp.org</v>
          </cell>
          <cell r="L3071" t="str">
            <v>Practitioner - Non-Primary Care Provider (PCP)</v>
          </cell>
          <cell r="M3071" t="str">
            <v>No</v>
          </cell>
          <cell r="R3071" t="str">
            <v>LOPEZ JOHNNY MR.</v>
          </cell>
          <cell r="W3071" t="str">
            <v>LOPEZ JOHNNY</v>
          </cell>
          <cell r="X3071" t="str">
            <v>630 WEST 168TH STREE</v>
          </cell>
          <cell r="Y3071" t="str">
            <v>NEW YORK</v>
          </cell>
          <cell r="Z3071" t="str">
            <v>NY</v>
          </cell>
          <cell r="AA3071" t="str">
            <v>10032</v>
          </cell>
          <cell r="AB3071" t="str">
            <v>CLINICAL SOCIAL WORKER (CSW)</v>
          </cell>
          <cell r="AC3071" t="str">
            <v>M</v>
          </cell>
          <cell r="AD3071" t="str">
            <v>No</v>
          </cell>
          <cell r="AE3071" t="str">
            <v>MMIS</v>
          </cell>
          <cell r="AF3071" t="str">
            <v>nypother</v>
          </cell>
          <cell r="AG3071" t="str">
            <v>P</v>
          </cell>
        </row>
        <row r="3072">
          <cell r="A3072" t="str">
            <v>1518294172</v>
          </cell>
          <cell r="B3072" t="str">
            <v>03173668</v>
          </cell>
          <cell r="C3072" t="str">
            <v>ALEJANDRA MALAVE</v>
          </cell>
          <cell r="D3072" t="str">
            <v>E0301466</v>
          </cell>
          <cell r="E3072" t="str">
            <v>MALAVE ALEJANDRA</v>
          </cell>
          <cell r="G3072" t="str">
            <v>Kathryn Spaziani</v>
          </cell>
          <cell r="H3072" t="str">
            <v>(212) 305-1190</v>
          </cell>
          <cell r="J3072" t="str">
            <v>kas9171@nyp.org</v>
          </cell>
          <cell r="L3072" t="str">
            <v>Practitioner - Non-Primary Care Provider (PCP)</v>
          </cell>
          <cell r="M3072" t="str">
            <v>No</v>
          </cell>
          <cell r="R3072" t="str">
            <v>MALAVE ALEJANDRA</v>
          </cell>
          <cell r="W3072" t="str">
            <v>MALAVE ALEJANDRA</v>
          </cell>
          <cell r="X3072" t="str">
            <v>715 WEST 179TH STREE</v>
          </cell>
          <cell r="Y3072" t="str">
            <v>NEW YORK</v>
          </cell>
          <cell r="Z3072" t="str">
            <v>NY</v>
          </cell>
          <cell r="AA3072" t="str">
            <v>10033</v>
          </cell>
          <cell r="AB3072" t="str">
            <v>CLINICAL SOCIAL WORKER (CSW)</v>
          </cell>
          <cell r="AC3072" t="str">
            <v>M</v>
          </cell>
          <cell r="AD3072" t="str">
            <v>No</v>
          </cell>
          <cell r="AE3072" t="str">
            <v>MMIS</v>
          </cell>
          <cell r="AF3072" t="str">
            <v>nypother</v>
          </cell>
          <cell r="AG3072" t="str">
            <v>P</v>
          </cell>
        </row>
        <row r="3073">
          <cell r="A3073" t="str">
            <v>1326221383</v>
          </cell>
          <cell r="B3073" t="str">
            <v>03393991</v>
          </cell>
          <cell r="C3073" t="str">
            <v>BETH MALETZ</v>
          </cell>
          <cell r="D3073" t="str">
            <v>E0326934</v>
          </cell>
          <cell r="E3073" t="str">
            <v>MALETZ BETH JODI</v>
          </cell>
          <cell r="G3073" t="str">
            <v>Kathryn Spaziani</v>
          </cell>
          <cell r="H3073" t="str">
            <v>(212) 305-1190</v>
          </cell>
          <cell r="J3073" t="str">
            <v>kas9171@nyp.org</v>
          </cell>
          <cell r="L3073" t="str">
            <v>Practitioner - Non-Primary Care Provider (PCP)</v>
          </cell>
          <cell r="M3073" t="str">
            <v>No</v>
          </cell>
          <cell r="R3073" t="str">
            <v>MALETZ BETH</v>
          </cell>
          <cell r="W3073" t="str">
            <v>MALETZ BETH JODI</v>
          </cell>
          <cell r="X3073" t="str">
            <v>575 W 181ST ST</v>
          </cell>
          <cell r="Y3073" t="str">
            <v>NEW YORK</v>
          </cell>
          <cell r="Z3073" t="str">
            <v>NY</v>
          </cell>
          <cell r="AA3073" t="str">
            <v>10033-5002</v>
          </cell>
          <cell r="AB3073" t="str">
            <v>PHYSICIAN</v>
          </cell>
          <cell r="AC3073" t="str">
            <v>M</v>
          </cell>
          <cell r="AD3073" t="str">
            <v>No</v>
          </cell>
          <cell r="AE3073" t="str">
            <v>MMIS</v>
          </cell>
          <cell r="AF3073" t="str">
            <v>nypwestcampus</v>
          </cell>
          <cell r="AG3073" t="str">
            <v>P</v>
          </cell>
        </row>
        <row r="3074">
          <cell r="A3074" t="str">
            <v>1992843080</v>
          </cell>
          <cell r="B3074" t="str">
            <v>03090228</v>
          </cell>
          <cell r="C3074" t="str">
            <v>SUSAN MATORIN</v>
          </cell>
          <cell r="D3074" t="str">
            <v>E0291881</v>
          </cell>
          <cell r="E3074" t="str">
            <v>MATORIN SUSAN</v>
          </cell>
          <cell r="G3074" t="str">
            <v>Kathryn Spaziani</v>
          </cell>
          <cell r="H3074" t="str">
            <v>(212) 305-1190</v>
          </cell>
          <cell r="J3074" t="str">
            <v>kas9171@nyp.org</v>
          </cell>
          <cell r="L3074" t="str">
            <v>Uncategorized</v>
          </cell>
          <cell r="M3074" t="str">
            <v>No</v>
          </cell>
          <cell r="R3074" t="str">
            <v>MATORIN SUSAN</v>
          </cell>
          <cell r="W3074" t="str">
            <v>MATORIN SUSAN</v>
          </cell>
          <cell r="X3074" t="str">
            <v>525 E 68TH STREET 11</v>
          </cell>
          <cell r="Y3074" t="str">
            <v>NEW YORK</v>
          </cell>
          <cell r="Z3074" t="str">
            <v>NY</v>
          </cell>
          <cell r="AA3074" t="str">
            <v>10021</v>
          </cell>
          <cell r="AB3074" t="str">
            <v>CLINICAL SOCIAL WORKER (CSW)</v>
          </cell>
          <cell r="AC3074" t="str">
            <v>M</v>
          </cell>
          <cell r="AD3074" t="str">
            <v>No</v>
          </cell>
          <cell r="AE3074" t="str">
            <v>MMIS</v>
          </cell>
          <cell r="AF3074" t="str">
            <v>nypeastcampus</v>
          </cell>
          <cell r="AG3074" t="str">
            <v>P</v>
          </cell>
        </row>
        <row r="3075">
          <cell r="A3075" t="str">
            <v>1811132590</v>
          </cell>
          <cell r="B3075" t="str">
            <v>03090113</v>
          </cell>
          <cell r="C3075" t="str">
            <v>EILEEN MATOS</v>
          </cell>
          <cell r="D3075" t="str">
            <v>E0291870</v>
          </cell>
          <cell r="E3075" t="str">
            <v>MATOS EILEEN F</v>
          </cell>
          <cell r="G3075" t="str">
            <v>Kathryn Spaziani</v>
          </cell>
          <cell r="H3075" t="str">
            <v>(212) 305-1190</v>
          </cell>
          <cell r="J3075" t="str">
            <v>kas9171@nyp.org</v>
          </cell>
          <cell r="L3075" t="str">
            <v>Practitioner - Non-Primary Care Provider (PCP)</v>
          </cell>
          <cell r="M3075" t="str">
            <v>No</v>
          </cell>
          <cell r="R3075" t="str">
            <v>MATOS EILEEN</v>
          </cell>
          <cell r="W3075" t="str">
            <v>MATOS EILEEN F</v>
          </cell>
          <cell r="X3075" t="str">
            <v>505 E 70TH ST</v>
          </cell>
          <cell r="Y3075" t="str">
            <v>NEW YORK</v>
          </cell>
          <cell r="Z3075" t="str">
            <v>NY</v>
          </cell>
          <cell r="AA3075" t="str">
            <v>10021-4872</v>
          </cell>
          <cell r="AB3075" t="str">
            <v>CLINICAL SOCIAL WORKER (CSW)</v>
          </cell>
          <cell r="AC3075" t="str">
            <v>M</v>
          </cell>
          <cell r="AD3075" t="str">
            <v>No</v>
          </cell>
          <cell r="AE3075" t="str">
            <v>MMIS</v>
          </cell>
          <cell r="AF3075" t="str">
            <v>nypother</v>
          </cell>
          <cell r="AG3075" t="str">
            <v>P</v>
          </cell>
        </row>
        <row r="3076">
          <cell r="A3076" t="str">
            <v>1992017404</v>
          </cell>
          <cell r="B3076" t="str">
            <v>03285545</v>
          </cell>
          <cell r="C3076" t="str">
            <v>MICHELLE MCMANUS</v>
          </cell>
          <cell r="D3076" t="str">
            <v>E0314089</v>
          </cell>
          <cell r="E3076" t="str">
            <v>MCMANUS MICHELLE</v>
          </cell>
          <cell r="G3076" t="str">
            <v>Kathryn Spaziani</v>
          </cell>
          <cell r="H3076" t="str">
            <v>(212) 305-1190</v>
          </cell>
          <cell r="J3076" t="str">
            <v>kas9171@nyp.org</v>
          </cell>
          <cell r="L3076" t="str">
            <v>Uncategorized</v>
          </cell>
          <cell r="M3076" t="str">
            <v>No</v>
          </cell>
          <cell r="R3076" t="str">
            <v>MCMANUS MICHELLE MS.</v>
          </cell>
          <cell r="W3076" t="str">
            <v>MCMANUS MICHELLE L</v>
          </cell>
          <cell r="X3076" t="str">
            <v>53 W 23RD ST FL 6</v>
          </cell>
          <cell r="Y3076" t="str">
            <v>NEW YORK</v>
          </cell>
          <cell r="Z3076" t="str">
            <v>NY</v>
          </cell>
          <cell r="AA3076" t="str">
            <v>10010-4237</v>
          </cell>
          <cell r="AB3076" t="str">
            <v>CLINICAL SOCIAL WORKER (CSW)</v>
          </cell>
          <cell r="AC3076" t="str">
            <v>M</v>
          </cell>
          <cell r="AD3076" t="str">
            <v>No</v>
          </cell>
          <cell r="AE3076" t="str">
            <v>MMIS</v>
          </cell>
          <cell r="AF3076" t="str">
            <v>nypother</v>
          </cell>
          <cell r="AG3076" t="str">
            <v>P</v>
          </cell>
        </row>
        <row r="3077">
          <cell r="A3077" t="str">
            <v>1639389885</v>
          </cell>
          <cell r="B3077" t="str">
            <v>01855572</v>
          </cell>
          <cell r="C3077" t="str">
            <v>PATRICIA MCMASTER</v>
          </cell>
          <cell r="D3077" t="str">
            <v>E0114483</v>
          </cell>
          <cell r="E3077" t="str">
            <v>MCMASTER PATRICIA ALICE CNM</v>
          </cell>
          <cell r="G3077" t="str">
            <v>Kathryn Spaziani</v>
          </cell>
          <cell r="H3077" t="str">
            <v>(212) 305-1190</v>
          </cell>
          <cell r="J3077" t="str">
            <v>kas9171@nyp.org</v>
          </cell>
          <cell r="L3077" t="str">
            <v>All Other:: Practitioner - Non-Primary Care Provider (PCP)</v>
          </cell>
          <cell r="M3077" t="str">
            <v>Yes</v>
          </cell>
          <cell r="R3077" t="str">
            <v>MCMASTER PATRICIA</v>
          </cell>
          <cell r="W3077" t="str">
            <v>MCMASTER PATRICIA ALICE CNM</v>
          </cell>
          <cell r="X3077" t="str">
            <v>575 W 191ST ST</v>
          </cell>
          <cell r="Y3077" t="str">
            <v>NEW YORK</v>
          </cell>
          <cell r="Z3077" t="str">
            <v>NY</v>
          </cell>
          <cell r="AA3077" t="str">
            <v>10040-3501</v>
          </cell>
          <cell r="AB3077" t="str">
            <v>NURSE</v>
          </cell>
          <cell r="AC3077" t="str">
            <v>M</v>
          </cell>
          <cell r="AD3077" t="str">
            <v>No</v>
          </cell>
          <cell r="AE3077" t="str">
            <v>MMIS</v>
          </cell>
          <cell r="AF3077" t="str">
            <v>nypwestcampus</v>
          </cell>
          <cell r="AG3077" t="str">
            <v>P</v>
          </cell>
        </row>
        <row r="3078">
          <cell r="A3078" t="str">
            <v>1013035328</v>
          </cell>
          <cell r="B3078" t="str">
            <v>03099832</v>
          </cell>
          <cell r="C3078" t="str">
            <v>MARIA MERCURIO</v>
          </cell>
          <cell r="D3078" t="str">
            <v>E0293017</v>
          </cell>
          <cell r="E3078" t="str">
            <v>MERCURIO MARIA</v>
          </cell>
          <cell r="G3078" t="str">
            <v>Kathryn Spaziani</v>
          </cell>
          <cell r="H3078" t="str">
            <v>(212) 305-1190</v>
          </cell>
          <cell r="J3078" t="str">
            <v>kas9171@nyp.org</v>
          </cell>
          <cell r="L3078" t="str">
            <v>Practitioner - Non-Primary Care Provider (PCP)</v>
          </cell>
          <cell r="M3078" t="str">
            <v>No</v>
          </cell>
          <cell r="R3078" t="str">
            <v>MERCURIO MARIA</v>
          </cell>
          <cell r="W3078" t="str">
            <v>MERCURIO MARIA</v>
          </cell>
          <cell r="X3078" t="str">
            <v>622 W 168TH ST FL 2</v>
          </cell>
          <cell r="Y3078" t="str">
            <v>NEW YORK</v>
          </cell>
          <cell r="Z3078" t="str">
            <v>NY</v>
          </cell>
          <cell r="AA3078" t="str">
            <v>10032-3720</v>
          </cell>
          <cell r="AB3078" t="str">
            <v>CLINICAL SOCIAL WORKER (CSW)</v>
          </cell>
          <cell r="AC3078" t="str">
            <v>M</v>
          </cell>
          <cell r="AD3078" t="str">
            <v>No</v>
          </cell>
          <cell r="AE3078" t="str">
            <v>MMIS</v>
          </cell>
          <cell r="AF3078" t="str">
            <v>nypother</v>
          </cell>
          <cell r="AG3078" t="str">
            <v>P</v>
          </cell>
        </row>
        <row r="3079">
          <cell r="A3079" t="str">
            <v>1194026609</v>
          </cell>
          <cell r="B3079" t="str">
            <v>03535426</v>
          </cell>
          <cell r="C3079" t="str">
            <v>DEBRA OLSON-PLASTRIK</v>
          </cell>
          <cell r="D3079" t="str">
            <v>E0343374</v>
          </cell>
          <cell r="E3079" t="str">
            <v>OLSON-PLASTRIK DEBRA</v>
          </cell>
          <cell r="G3079" t="str">
            <v>Kathryn Spaziani</v>
          </cell>
          <cell r="H3079" t="str">
            <v>(212) 305-1190</v>
          </cell>
          <cell r="J3079" t="str">
            <v>kas9171@nyp.org</v>
          </cell>
          <cell r="L3079" t="str">
            <v>Practitioner - Non-Primary Care Provider (PCP)</v>
          </cell>
          <cell r="M3079" t="str">
            <v>No</v>
          </cell>
          <cell r="R3079" t="str">
            <v>OLSON-PLASTRIK DEBRA MS.</v>
          </cell>
          <cell r="W3079" t="str">
            <v>OLSON-PLASTRIK DEBRA</v>
          </cell>
          <cell r="X3079" t="str">
            <v>BAKER 525 EAST 68TH STREET F-23</v>
          </cell>
          <cell r="Y3079" t="str">
            <v>NEW YORK</v>
          </cell>
          <cell r="Z3079" t="str">
            <v>NY</v>
          </cell>
          <cell r="AA3079" t="str">
            <v>10021-0000</v>
          </cell>
          <cell r="AB3079" t="str">
            <v>CLINICAL SOCIAL WORKER (CSW)</v>
          </cell>
          <cell r="AC3079" t="str">
            <v>M</v>
          </cell>
          <cell r="AD3079" t="str">
            <v>No</v>
          </cell>
          <cell r="AE3079" t="str">
            <v>MMIS</v>
          </cell>
          <cell r="AF3079" t="str">
            <v>nypother</v>
          </cell>
          <cell r="AG3079" t="str">
            <v>P</v>
          </cell>
        </row>
        <row r="3080">
          <cell r="A3080" t="str">
            <v>1831443886</v>
          </cell>
          <cell r="B3080" t="str">
            <v>03853858</v>
          </cell>
          <cell r="C3080" t="str">
            <v>JOHN PAGE</v>
          </cell>
          <cell r="D3080" t="str">
            <v>E0376371</v>
          </cell>
          <cell r="E3080" t="str">
            <v>PAGE JOHN</v>
          </cell>
          <cell r="G3080" t="str">
            <v>Kathryn Spaziani</v>
          </cell>
          <cell r="H3080" t="str">
            <v>(212) 305-1190</v>
          </cell>
          <cell r="J3080" t="str">
            <v>kas9171@nyp.org</v>
          </cell>
          <cell r="L3080" t="str">
            <v>Uncategorized</v>
          </cell>
          <cell r="M3080" t="str">
            <v>No</v>
          </cell>
          <cell r="R3080" t="str">
            <v>PAGE JOHN MR.</v>
          </cell>
          <cell r="W3080" t="str">
            <v>PAGE JOHN</v>
          </cell>
          <cell r="X3080" t="str">
            <v>525 E 68TH ST</v>
          </cell>
          <cell r="Y3080" t="str">
            <v>NEW YORK</v>
          </cell>
          <cell r="Z3080" t="str">
            <v>NY</v>
          </cell>
          <cell r="AA3080" t="str">
            <v>10065-4870</v>
          </cell>
          <cell r="AB3080" t="str">
            <v>CLINICAL SOCIAL WORKER (CSW)</v>
          </cell>
          <cell r="AC3080" t="str">
            <v>M</v>
          </cell>
          <cell r="AD3080" t="str">
            <v>No</v>
          </cell>
          <cell r="AE3080" t="str">
            <v>MMIS</v>
          </cell>
          <cell r="AF3080" t="str">
            <v>nypother</v>
          </cell>
          <cell r="AG3080" t="str">
            <v>P</v>
          </cell>
        </row>
        <row r="3081">
          <cell r="A3081" t="str">
            <v>1003933771</v>
          </cell>
          <cell r="B3081" t="str">
            <v>02550883</v>
          </cell>
          <cell r="C3081" t="str">
            <v>STEVEN PALMER</v>
          </cell>
          <cell r="D3081" t="str">
            <v>E0045061</v>
          </cell>
          <cell r="E3081" t="str">
            <v>PALMER STEVEN J</v>
          </cell>
          <cell r="G3081" t="str">
            <v>Kathryn Spaziani</v>
          </cell>
          <cell r="H3081" t="str">
            <v>(212) 305-1190</v>
          </cell>
          <cell r="J3081" t="str">
            <v>kas9171@nyp.org</v>
          </cell>
          <cell r="L3081" t="str">
            <v>Practitioner - Non-Primary Care Provider (PCP)</v>
          </cell>
          <cell r="M3081" t="str">
            <v>No</v>
          </cell>
          <cell r="R3081" t="str">
            <v>PALMER STEVEN MR.</v>
          </cell>
          <cell r="W3081" t="str">
            <v>PALMER STEVEN J</v>
          </cell>
          <cell r="X3081" t="str">
            <v>PALMER STEVEN J</v>
          </cell>
          <cell r="Y3081" t="str">
            <v>NEW YORK</v>
          </cell>
          <cell r="Z3081" t="str">
            <v>NY</v>
          </cell>
          <cell r="AA3081" t="str">
            <v>10032-3720</v>
          </cell>
          <cell r="AB3081" t="str">
            <v>PHYSICIAN</v>
          </cell>
          <cell r="AC3081" t="str">
            <v>M</v>
          </cell>
          <cell r="AD3081" t="str">
            <v>No</v>
          </cell>
          <cell r="AE3081" t="str">
            <v>MMIS</v>
          </cell>
          <cell r="AF3081" t="str">
            <v>nypwestcampus</v>
          </cell>
          <cell r="AG3081" t="str">
            <v>P</v>
          </cell>
        </row>
        <row r="3082">
          <cell r="C3082" t="str">
            <v>MARLENA PALOMBO</v>
          </cell>
          <cell r="G3082" t="str">
            <v>Kathryn Spaziani</v>
          </cell>
          <cell r="H3082" t="str">
            <v>(212) 305-1190</v>
          </cell>
          <cell r="J3082" t="str">
            <v>kas9171@nyp.org</v>
          </cell>
          <cell r="K3082" t="str">
            <v>Unknown</v>
          </cell>
          <cell r="L3082" t="str">
            <v>CBO</v>
          </cell>
          <cell r="M3082" t="str">
            <v>No</v>
          </cell>
          <cell r="N3082" t="str">
            <v>525 E 68th Street</v>
          </cell>
          <cell r="O3082" t="str">
            <v xml:space="preserve">New York </v>
          </cell>
          <cell r="P3082" t="str">
            <v>NY</v>
          </cell>
          <cell r="Q3082" t="str">
            <v>10021</v>
          </cell>
          <cell r="AC3082" t="str">
            <v>M</v>
          </cell>
          <cell r="AD3082" t="str">
            <v>No</v>
          </cell>
          <cell r="AE3082" t="str">
            <v>No NPI or MMIS</v>
          </cell>
          <cell r="AF3082" t="str">
            <v>nypother</v>
          </cell>
          <cell r="AG3082" t="str">
            <v>P</v>
          </cell>
        </row>
        <row r="3083">
          <cell r="A3083" t="str">
            <v>1437291614</v>
          </cell>
          <cell r="B3083" t="str">
            <v>02136670</v>
          </cell>
          <cell r="C3083" t="str">
            <v>MARLINDA PASCOE</v>
          </cell>
          <cell r="D3083" t="str">
            <v>E0086404</v>
          </cell>
          <cell r="E3083" t="str">
            <v>PASCOE MARILINDA CNM</v>
          </cell>
          <cell r="G3083" t="str">
            <v>Kathryn Spaziani</v>
          </cell>
          <cell r="H3083" t="str">
            <v>(212) 305-1190</v>
          </cell>
          <cell r="J3083" t="str">
            <v>kas9171@nyp.org</v>
          </cell>
          <cell r="L3083" t="str">
            <v>Practitioner - Non-Primary Care Provider (PCP)</v>
          </cell>
          <cell r="M3083" t="str">
            <v>Yes</v>
          </cell>
          <cell r="R3083" t="str">
            <v>PASCOE MARILINDA MS.</v>
          </cell>
          <cell r="W3083" t="str">
            <v>PASCOE MARILINDA CNM</v>
          </cell>
          <cell r="X3083" t="str">
            <v>CHARLES RANGEL CLIN</v>
          </cell>
          <cell r="Y3083" t="str">
            <v>NEW YORK</v>
          </cell>
          <cell r="Z3083" t="str">
            <v>NY</v>
          </cell>
          <cell r="AA3083" t="str">
            <v>10027-2520</v>
          </cell>
          <cell r="AB3083" t="str">
            <v>NURSE</v>
          </cell>
          <cell r="AC3083" t="str">
            <v>M</v>
          </cell>
          <cell r="AD3083" t="str">
            <v>No</v>
          </cell>
          <cell r="AE3083" t="str">
            <v>MMIS</v>
          </cell>
          <cell r="AF3083" t="str">
            <v>nypwestcampus</v>
          </cell>
          <cell r="AG3083" t="str">
            <v>P</v>
          </cell>
        </row>
        <row r="3084">
          <cell r="A3084" t="str">
            <v>1144466046</v>
          </cell>
          <cell r="B3084" t="str">
            <v>03090351</v>
          </cell>
          <cell r="C3084" t="str">
            <v>HARRIET PLASKOW</v>
          </cell>
          <cell r="D3084" t="str">
            <v>E0291894</v>
          </cell>
          <cell r="E3084" t="str">
            <v>PLASKOW HARRIET</v>
          </cell>
          <cell r="G3084" t="str">
            <v>Kathryn Spaziani</v>
          </cell>
          <cell r="H3084" t="str">
            <v>(212) 305-1190</v>
          </cell>
          <cell r="J3084" t="str">
            <v>kas9171@nyp.org</v>
          </cell>
          <cell r="L3084" t="str">
            <v>Practitioner - Non-Primary Care Provider (PCP)</v>
          </cell>
          <cell r="M3084" t="str">
            <v>No</v>
          </cell>
          <cell r="R3084" t="str">
            <v>PLASKOW HARRIET MS.</v>
          </cell>
          <cell r="W3084" t="str">
            <v>PLASKOW HARRIET</v>
          </cell>
          <cell r="X3084" t="str">
            <v>525 E 68TH ST</v>
          </cell>
          <cell r="Y3084" t="str">
            <v>NEW YORK</v>
          </cell>
          <cell r="Z3084" t="str">
            <v>NY</v>
          </cell>
          <cell r="AA3084" t="str">
            <v>10065-4870</v>
          </cell>
          <cell r="AB3084" t="str">
            <v>CLINICAL SOCIAL WORKER (CSW)</v>
          </cell>
          <cell r="AC3084" t="str">
            <v>M</v>
          </cell>
          <cell r="AD3084" t="str">
            <v>No</v>
          </cell>
          <cell r="AE3084" t="str">
            <v>MMIS</v>
          </cell>
          <cell r="AF3084" t="str">
            <v>nypother</v>
          </cell>
          <cell r="AG3084" t="str">
            <v>P</v>
          </cell>
        </row>
        <row r="3085">
          <cell r="A3085" t="str">
            <v>1811016710</v>
          </cell>
          <cell r="C3085" t="str">
            <v>JEFFERY REYES</v>
          </cell>
          <cell r="G3085" t="str">
            <v>Kathryn Spaziani</v>
          </cell>
          <cell r="H3085" t="str">
            <v>(212) 305-1190</v>
          </cell>
          <cell r="J3085" t="str">
            <v>kas9171@nyp.org</v>
          </cell>
          <cell r="K3085" t="str">
            <v>Unknown</v>
          </cell>
          <cell r="L3085" t="str">
            <v>Practitioner - Non-Primary Care Provider (PCP)</v>
          </cell>
          <cell r="M3085" t="str">
            <v>No</v>
          </cell>
          <cell r="R3085" t="str">
            <v>REYES JEFFREY</v>
          </cell>
          <cell r="S3085" t="str">
            <v>177 FORT WASHINGTON AVE, SUITE 8-004</v>
          </cell>
          <cell r="T3085" t="str">
            <v>NEW YORK</v>
          </cell>
          <cell r="U3085" t="str">
            <v>NY</v>
          </cell>
          <cell r="V3085" t="str">
            <v>100323733</v>
          </cell>
          <cell r="AC3085" t="str">
            <v>M</v>
          </cell>
          <cell r="AD3085" t="str">
            <v>No</v>
          </cell>
          <cell r="AE3085" t="str">
            <v>NPI only</v>
          </cell>
          <cell r="AF3085" t="str">
            <v>nypwestcampus</v>
          </cell>
          <cell r="AG3085" t="str">
            <v>P</v>
          </cell>
        </row>
        <row r="3086">
          <cell r="A3086" t="str">
            <v>1447466131</v>
          </cell>
          <cell r="B3086" t="str">
            <v>01628440</v>
          </cell>
          <cell r="C3086" t="str">
            <v>ANNETTE RICKEL</v>
          </cell>
          <cell r="D3086" t="str">
            <v>E0137169</v>
          </cell>
          <cell r="E3086" t="str">
            <v>NAYYAR RASHID MD</v>
          </cell>
          <cell r="G3086" t="str">
            <v>Kathryn Spaziani</v>
          </cell>
          <cell r="H3086" t="str">
            <v>(212) 305-1190</v>
          </cell>
          <cell r="J3086" t="str">
            <v>kas9171@nyp.org</v>
          </cell>
          <cell r="L3086" t="str">
            <v>Practitioner - Non-Primary Care Provider (PCP)</v>
          </cell>
          <cell r="M3086" t="str">
            <v>No</v>
          </cell>
          <cell r="R3086" t="str">
            <v>RICKEL ANNETTE DR.</v>
          </cell>
          <cell r="W3086" t="str">
            <v>NAYYAR RASHID MD</v>
          </cell>
          <cell r="X3086" t="str">
            <v>BUFFALO COLUMBUS HSP</v>
          </cell>
          <cell r="Y3086" t="str">
            <v>BUFFALO</v>
          </cell>
          <cell r="Z3086" t="str">
            <v>NY</v>
          </cell>
          <cell r="AA3086" t="str">
            <v>14201-2135</v>
          </cell>
          <cell r="AB3086" t="str">
            <v>PHYSICIAN</v>
          </cell>
          <cell r="AC3086" t="str">
            <v>M</v>
          </cell>
          <cell r="AD3086" t="str">
            <v>No</v>
          </cell>
          <cell r="AE3086" t="str">
            <v>MMIS</v>
          </cell>
          <cell r="AF3086" t="str">
            <v>nypeastcampus</v>
          </cell>
          <cell r="AG3086" t="str">
            <v>P</v>
          </cell>
        </row>
        <row r="3087">
          <cell r="A3087" t="str">
            <v>1972801991</v>
          </cell>
          <cell r="B3087" t="str">
            <v>03421914</v>
          </cell>
          <cell r="C3087" t="str">
            <v>JESUS ROBLES</v>
          </cell>
          <cell r="D3087" t="str">
            <v>E0330474</v>
          </cell>
          <cell r="E3087" t="str">
            <v>ROBLES JESUS</v>
          </cell>
          <cell r="G3087" t="str">
            <v>Kathryn Spaziani</v>
          </cell>
          <cell r="H3087" t="str">
            <v>(212) 305-1190</v>
          </cell>
          <cell r="J3087" t="str">
            <v>kas9171@nyp.org</v>
          </cell>
          <cell r="L3087" t="str">
            <v>Mental Health:: Practitioner - Non-Primary Care Provider (PCP)</v>
          </cell>
          <cell r="M3087" t="str">
            <v>No</v>
          </cell>
          <cell r="R3087" t="str">
            <v>ROBLES JESUS</v>
          </cell>
          <cell r="W3087" t="str">
            <v>ROBLES JESUS A.</v>
          </cell>
          <cell r="X3087" t="str">
            <v>525 E 68TH ST</v>
          </cell>
          <cell r="Y3087" t="str">
            <v>NEW YORK</v>
          </cell>
          <cell r="Z3087" t="str">
            <v>NY</v>
          </cell>
          <cell r="AA3087" t="str">
            <v>10065-4870</v>
          </cell>
          <cell r="AB3087" t="str">
            <v>CLINICAL SOCIAL WORKER (CSW)</v>
          </cell>
          <cell r="AC3087" t="str">
            <v>M</v>
          </cell>
          <cell r="AD3087" t="str">
            <v>No</v>
          </cell>
          <cell r="AE3087" t="str">
            <v>MMIS</v>
          </cell>
          <cell r="AF3087" t="str">
            <v>nypother</v>
          </cell>
          <cell r="AG3087" t="str">
            <v>P</v>
          </cell>
        </row>
        <row r="3088">
          <cell r="A3088" t="str">
            <v>1811137342</v>
          </cell>
          <cell r="B3088" t="str">
            <v>03099901</v>
          </cell>
          <cell r="C3088" t="str">
            <v>DINORAH RODRIGUEZ</v>
          </cell>
          <cell r="D3088" t="str">
            <v>E0293024</v>
          </cell>
          <cell r="E3088" t="str">
            <v>RODRIGUEZ DINORAH</v>
          </cell>
          <cell r="G3088" t="str">
            <v>Kathryn Spaziani</v>
          </cell>
          <cell r="H3088" t="str">
            <v>(212) 305-1190</v>
          </cell>
          <cell r="J3088" t="str">
            <v>kas9171@nyp.org</v>
          </cell>
          <cell r="L3088" t="str">
            <v>Practitioner - Non-Primary Care Provider (PCP)</v>
          </cell>
          <cell r="M3088" t="str">
            <v>No</v>
          </cell>
          <cell r="R3088" t="str">
            <v>RODRIGUEZ DINORAH MS.</v>
          </cell>
          <cell r="W3088" t="str">
            <v>RODRIGUEZ DINORAH M</v>
          </cell>
          <cell r="X3088" t="str">
            <v>21 AUDUBON AVE</v>
          </cell>
          <cell r="Y3088" t="str">
            <v>NEW YORK</v>
          </cell>
          <cell r="Z3088" t="str">
            <v>NY</v>
          </cell>
          <cell r="AA3088" t="str">
            <v>10032-4220</v>
          </cell>
          <cell r="AB3088" t="str">
            <v>CLINICAL SOCIAL WORKER (CSW)</v>
          </cell>
          <cell r="AC3088" t="str">
            <v>M</v>
          </cell>
          <cell r="AD3088" t="str">
            <v>No</v>
          </cell>
          <cell r="AE3088" t="str">
            <v>MMIS</v>
          </cell>
          <cell r="AF3088" t="str">
            <v>nypother</v>
          </cell>
          <cell r="AG3088" t="str">
            <v>P</v>
          </cell>
        </row>
        <row r="3089">
          <cell r="C3089" t="str">
            <v>SARAH ROFFE</v>
          </cell>
          <cell r="G3089" t="str">
            <v>Kathryn Spaziani</v>
          </cell>
          <cell r="H3089" t="str">
            <v>(212) 305-1190</v>
          </cell>
          <cell r="J3089" t="str">
            <v>kas9171@nyp.org</v>
          </cell>
          <cell r="K3089" t="str">
            <v>Unknown</v>
          </cell>
          <cell r="L3089" t="str">
            <v>CBO</v>
          </cell>
          <cell r="M3089" t="str">
            <v>No</v>
          </cell>
          <cell r="N3089" t="str">
            <v>525 E 68th Street</v>
          </cell>
          <cell r="O3089" t="str">
            <v xml:space="preserve">New York </v>
          </cell>
          <cell r="P3089" t="str">
            <v>NY</v>
          </cell>
          <cell r="Q3089" t="str">
            <v>10021</v>
          </cell>
          <cell r="AC3089" t="str">
            <v>M</v>
          </cell>
          <cell r="AD3089" t="str">
            <v>No</v>
          </cell>
          <cell r="AE3089" t="str">
            <v>No NPI or MMIS</v>
          </cell>
          <cell r="AF3089" t="str">
            <v>nypother</v>
          </cell>
          <cell r="AG3089" t="str">
            <v>P</v>
          </cell>
        </row>
        <row r="3090">
          <cell r="A3090" t="str">
            <v>1801190608</v>
          </cell>
          <cell r="C3090" t="str">
            <v>LISA RONCO</v>
          </cell>
          <cell r="G3090" t="str">
            <v>Kathryn Spaziani</v>
          </cell>
          <cell r="H3090" t="str">
            <v>(212) 305-1190</v>
          </cell>
          <cell r="J3090" t="str">
            <v>kas9171@nyp.org</v>
          </cell>
          <cell r="K3090" t="str">
            <v>Unknown</v>
          </cell>
          <cell r="L3090" t="str">
            <v>Uncategorized</v>
          </cell>
          <cell r="M3090" t="str">
            <v>No</v>
          </cell>
          <cell r="R3090" t="str">
            <v>RONCO LISA</v>
          </cell>
          <cell r="S3090" t="str">
            <v>622 W 168TH ST, HARKNESS PAVILLION 6 TH FLOOR</v>
          </cell>
          <cell r="T3090" t="str">
            <v>NEW YORK</v>
          </cell>
          <cell r="U3090" t="str">
            <v>NY</v>
          </cell>
          <cell r="V3090" t="str">
            <v>100323720</v>
          </cell>
          <cell r="AC3090" t="str">
            <v>M</v>
          </cell>
          <cell r="AD3090" t="str">
            <v>No</v>
          </cell>
          <cell r="AE3090" t="str">
            <v>NPI only</v>
          </cell>
          <cell r="AF3090" t="str">
            <v>nypother</v>
          </cell>
          <cell r="AG3090" t="str">
            <v>P</v>
          </cell>
        </row>
        <row r="3091">
          <cell r="A3091" t="str">
            <v>1528197449</v>
          </cell>
          <cell r="B3091" t="str">
            <v>03108078</v>
          </cell>
          <cell r="C3091" t="str">
            <v>GISELLE ROSADO</v>
          </cell>
          <cell r="D3091" t="str">
            <v>E0294000</v>
          </cell>
          <cell r="E3091" t="str">
            <v>ROSADO GISELLE</v>
          </cell>
          <cell r="G3091" t="str">
            <v>Kathryn Spaziani</v>
          </cell>
          <cell r="H3091" t="str">
            <v>(212) 305-1190</v>
          </cell>
          <cell r="J3091" t="str">
            <v>kas9171@nyp.org</v>
          </cell>
          <cell r="L3091" t="str">
            <v>Practitioner - Non-Primary Care Provider (PCP)</v>
          </cell>
          <cell r="M3091" t="str">
            <v>No</v>
          </cell>
          <cell r="R3091" t="str">
            <v>ROSADO GISELLE</v>
          </cell>
          <cell r="W3091" t="str">
            <v>ROSADO GISELLE J</v>
          </cell>
          <cell r="X3091" t="str">
            <v>534 W 135TH ST</v>
          </cell>
          <cell r="Y3091" t="str">
            <v>NEW YORK</v>
          </cell>
          <cell r="Z3091" t="str">
            <v>NY</v>
          </cell>
          <cell r="AA3091" t="str">
            <v>10031-8644</v>
          </cell>
          <cell r="AB3091" t="str">
            <v>CLINICAL SOCIAL WORKER (CSW)</v>
          </cell>
          <cell r="AC3091" t="str">
            <v>M</v>
          </cell>
          <cell r="AD3091" t="str">
            <v>No</v>
          </cell>
          <cell r="AE3091" t="str">
            <v>MMIS</v>
          </cell>
          <cell r="AF3091" t="str">
            <v>nypother</v>
          </cell>
          <cell r="AG3091" t="str">
            <v>P</v>
          </cell>
        </row>
        <row r="3092">
          <cell r="A3092" t="str">
            <v>1679734941</v>
          </cell>
          <cell r="B3092" t="str">
            <v>03022093</v>
          </cell>
          <cell r="C3092" t="str">
            <v>MARISSA ROSLYN</v>
          </cell>
          <cell r="D3092" t="str">
            <v>E0284172</v>
          </cell>
          <cell r="E3092" t="str">
            <v>ROSLYN MARISSA</v>
          </cell>
          <cell r="G3092" t="str">
            <v>Kathryn Spaziani</v>
          </cell>
          <cell r="H3092" t="str">
            <v>(212) 305-1190</v>
          </cell>
          <cell r="J3092" t="str">
            <v>kas9171@nyp.org</v>
          </cell>
          <cell r="L3092" t="str">
            <v>All Other:: Practitioner - Primary Care Provider (PCP)</v>
          </cell>
          <cell r="M3092" t="str">
            <v>No</v>
          </cell>
          <cell r="R3092" t="str">
            <v>ROSLYN-CLARK MARISSA</v>
          </cell>
          <cell r="W3092" t="str">
            <v>ROSLYN-CLARK MARISSA BETH</v>
          </cell>
          <cell r="X3092" t="str">
            <v>40 SAW MILL RIVER RD</v>
          </cell>
          <cell r="Y3092" t="str">
            <v>HAWTHORNE</v>
          </cell>
          <cell r="Z3092" t="str">
            <v>NY</v>
          </cell>
          <cell r="AA3092" t="str">
            <v>10532-1535</v>
          </cell>
          <cell r="AB3092" t="str">
            <v>PHYSICIAN</v>
          </cell>
          <cell r="AC3092" t="str">
            <v>M</v>
          </cell>
          <cell r="AD3092" t="str">
            <v>No</v>
          </cell>
          <cell r="AE3092" t="str">
            <v>MMIS</v>
          </cell>
          <cell r="AF3092" t="str">
            <v>nypeastcampus</v>
          </cell>
          <cell r="AG3092" t="str">
            <v>P</v>
          </cell>
        </row>
        <row r="3093">
          <cell r="A3093" t="str">
            <v>1750710471</v>
          </cell>
          <cell r="C3093" t="str">
            <v>ELIZABETH ROTH</v>
          </cell>
          <cell r="G3093" t="str">
            <v>Kathryn Spaziani</v>
          </cell>
          <cell r="H3093" t="str">
            <v>(212) 305-1190</v>
          </cell>
          <cell r="J3093" t="str">
            <v>kas9171@nyp.org</v>
          </cell>
          <cell r="K3093" t="str">
            <v>Unknown</v>
          </cell>
          <cell r="L3093" t="str">
            <v>Uncategorized</v>
          </cell>
          <cell r="M3093" t="str">
            <v>No</v>
          </cell>
          <cell r="R3093" t="str">
            <v>ROTH ELIZABETH</v>
          </cell>
          <cell r="S3093" t="str">
            <v>622 W 168TH ST</v>
          </cell>
          <cell r="T3093" t="str">
            <v>NEW YORK</v>
          </cell>
          <cell r="U3093" t="str">
            <v>NY</v>
          </cell>
          <cell r="V3093" t="str">
            <v>100323720</v>
          </cell>
          <cell r="AC3093" t="str">
            <v>M</v>
          </cell>
          <cell r="AD3093" t="str">
            <v>No</v>
          </cell>
          <cell r="AE3093" t="str">
            <v>NPI only</v>
          </cell>
          <cell r="AF3093" t="str">
            <v>nypother</v>
          </cell>
          <cell r="AG3093" t="str">
            <v>P</v>
          </cell>
        </row>
        <row r="3094">
          <cell r="A3094" t="str">
            <v>1114165131</v>
          </cell>
          <cell r="B3094" t="str">
            <v>02454020</v>
          </cell>
          <cell r="C3094" t="str">
            <v>STEPHANIE SACKS</v>
          </cell>
          <cell r="D3094" t="str">
            <v>E0054731</v>
          </cell>
          <cell r="E3094" t="str">
            <v>SACKS STEPHANIE</v>
          </cell>
          <cell r="G3094" t="str">
            <v>Kathryn Spaziani</v>
          </cell>
          <cell r="H3094" t="str">
            <v>(212) 305-1190</v>
          </cell>
          <cell r="J3094" t="str">
            <v>kas9171@nyp.org</v>
          </cell>
          <cell r="L3094" t="str">
            <v>Uncategorized</v>
          </cell>
          <cell r="M3094" t="str">
            <v>No</v>
          </cell>
          <cell r="R3094" t="str">
            <v>SACKS STEPHANIE MS.</v>
          </cell>
          <cell r="W3094" t="str">
            <v>SACKS STEPHANIE R.</v>
          </cell>
          <cell r="X3094" t="str">
            <v>BAKER 525 EAST 68TH STREET F-24</v>
          </cell>
          <cell r="Y3094" t="str">
            <v>NEW YORK</v>
          </cell>
          <cell r="Z3094" t="str">
            <v>NY</v>
          </cell>
          <cell r="AA3094" t="str">
            <v>10021-0000</v>
          </cell>
          <cell r="AB3094" t="str">
            <v>CLINICAL SOCIAL WORKER (CSW)</v>
          </cell>
          <cell r="AC3094" t="str">
            <v>M</v>
          </cell>
          <cell r="AD3094" t="str">
            <v>No</v>
          </cell>
          <cell r="AE3094" t="str">
            <v>MMIS</v>
          </cell>
          <cell r="AF3094" t="str">
            <v>nypother</v>
          </cell>
          <cell r="AG3094" t="str">
            <v>P</v>
          </cell>
        </row>
        <row r="3095">
          <cell r="A3095" t="str">
            <v>1346497609</v>
          </cell>
          <cell r="B3095" t="str">
            <v>03174807</v>
          </cell>
          <cell r="C3095" t="str">
            <v>JASMIN SALCEDO</v>
          </cell>
          <cell r="D3095" t="str">
            <v>E0301580</v>
          </cell>
          <cell r="E3095" t="str">
            <v>SALCEDO JASMIN</v>
          </cell>
          <cell r="G3095" t="str">
            <v>Kathryn Spaziani</v>
          </cell>
          <cell r="H3095" t="str">
            <v>(212) 305-1190</v>
          </cell>
          <cell r="J3095" t="str">
            <v>kas9171@nyp.org</v>
          </cell>
          <cell r="L3095" t="str">
            <v>Practitioner - Non-Primary Care Provider (PCP)</v>
          </cell>
          <cell r="M3095" t="str">
            <v>No</v>
          </cell>
          <cell r="R3095" t="str">
            <v>SALCEDO JASMIN</v>
          </cell>
          <cell r="W3095" t="str">
            <v>SALCEDO JASMIN</v>
          </cell>
          <cell r="X3095" t="str">
            <v>180 FORT WASHINGTON AVE FL 6</v>
          </cell>
          <cell r="Y3095" t="str">
            <v>NEW YORK</v>
          </cell>
          <cell r="Z3095" t="str">
            <v>NY</v>
          </cell>
          <cell r="AA3095" t="str">
            <v>10032-3722</v>
          </cell>
          <cell r="AB3095" t="str">
            <v>CLINICAL SOCIAL WORKER (CSW)</v>
          </cell>
          <cell r="AC3095" t="str">
            <v>M</v>
          </cell>
          <cell r="AD3095" t="str">
            <v>No</v>
          </cell>
          <cell r="AE3095" t="str">
            <v>MMIS</v>
          </cell>
          <cell r="AF3095" t="str">
            <v>nypother</v>
          </cell>
          <cell r="AG3095" t="str">
            <v>P</v>
          </cell>
        </row>
        <row r="3096">
          <cell r="A3096" t="str">
            <v>1750716254</v>
          </cell>
          <cell r="B3096" t="str">
            <v>03924403</v>
          </cell>
          <cell r="C3096" t="str">
            <v>LUIS SANTIAGO</v>
          </cell>
          <cell r="D3096" t="str">
            <v>E0383608</v>
          </cell>
          <cell r="E3096" t="str">
            <v>SANTIAGO LUIS</v>
          </cell>
          <cell r="G3096" t="str">
            <v>Kathryn Spaziani</v>
          </cell>
          <cell r="H3096" t="str">
            <v>(212) 305-1190</v>
          </cell>
          <cell r="J3096" t="str">
            <v>kas9171@nyp.org</v>
          </cell>
          <cell r="L3096" t="str">
            <v>Uncategorized</v>
          </cell>
          <cell r="M3096" t="str">
            <v>No</v>
          </cell>
          <cell r="R3096" t="str">
            <v>SANTIAGO LUIS</v>
          </cell>
          <cell r="W3096" t="str">
            <v>SANTIAGO LUIS</v>
          </cell>
          <cell r="X3096" t="str">
            <v>BAKER 565 E 68TH ST</v>
          </cell>
          <cell r="Y3096" t="str">
            <v>NEW YORK</v>
          </cell>
          <cell r="Z3096" t="str">
            <v>NY</v>
          </cell>
          <cell r="AA3096" t="str">
            <v>10021</v>
          </cell>
          <cell r="AB3096" t="str">
            <v>CLINICAL SOCIAL WORKER (CSW)</v>
          </cell>
          <cell r="AC3096" t="str">
            <v>M</v>
          </cell>
          <cell r="AD3096" t="str">
            <v>No</v>
          </cell>
          <cell r="AE3096" t="str">
            <v>MMIS</v>
          </cell>
          <cell r="AF3096" t="str">
            <v>nypother</v>
          </cell>
          <cell r="AG3096" t="str">
            <v>P</v>
          </cell>
        </row>
        <row r="3097">
          <cell r="A3097" t="str">
            <v>1942690664</v>
          </cell>
          <cell r="C3097" t="str">
            <v>GEORGIA SAVVA</v>
          </cell>
          <cell r="G3097" t="str">
            <v>Kathryn Spaziani</v>
          </cell>
          <cell r="H3097" t="str">
            <v>(212) 305-1190</v>
          </cell>
          <cell r="J3097" t="str">
            <v>kas9171@nyp.org</v>
          </cell>
          <cell r="K3097" t="str">
            <v>Unknown</v>
          </cell>
          <cell r="L3097" t="str">
            <v>Uncategorized</v>
          </cell>
          <cell r="M3097" t="str">
            <v>No</v>
          </cell>
          <cell r="R3097" t="str">
            <v>BURLISON GEORGIA</v>
          </cell>
          <cell r="S3097" t="str">
            <v>525 E 68TH ST</v>
          </cell>
          <cell r="T3097" t="str">
            <v>NEW YORK</v>
          </cell>
          <cell r="U3097" t="str">
            <v>NY</v>
          </cell>
          <cell r="V3097" t="str">
            <v>100654870</v>
          </cell>
          <cell r="AC3097" t="str">
            <v>M</v>
          </cell>
          <cell r="AD3097" t="str">
            <v>No</v>
          </cell>
          <cell r="AE3097" t="str">
            <v>NPI only</v>
          </cell>
          <cell r="AF3097" t="str">
            <v>nypother</v>
          </cell>
          <cell r="AG3097" t="str">
            <v>P</v>
          </cell>
        </row>
        <row r="3098">
          <cell r="A3098" t="str">
            <v>1346552882</v>
          </cell>
          <cell r="B3098" t="str">
            <v>03285572</v>
          </cell>
          <cell r="C3098" t="str">
            <v>JOY SCHROEDER</v>
          </cell>
          <cell r="D3098" t="str">
            <v>E0314092</v>
          </cell>
          <cell r="E3098" t="str">
            <v>SCHROEDER JOY</v>
          </cell>
          <cell r="G3098" t="str">
            <v>Kathryn Spaziani</v>
          </cell>
          <cell r="H3098" t="str">
            <v>(212) 305-1190</v>
          </cell>
          <cell r="J3098" t="str">
            <v>kas9171@nyp.org</v>
          </cell>
          <cell r="L3098" t="str">
            <v>Uncategorized</v>
          </cell>
          <cell r="M3098" t="str">
            <v>No</v>
          </cell>
          <cell r="R3098" t="str">
            <v>SCHROEDER JOY</v>
          </cell>
          <cell r="W3098" t="str">
            <v>SCHROEDER JOY L</v>
          </cell>
          <cell r="X3098" t="str">
            <v>53 W 23RD ST FL 6</v>
          </cell>
          <cell r="Y3098" t="str">
            <v>NEW YORK</v>
          </cell>
          <cell r="Z3098" t="str">
            <v>NY</v>
          </cell>
          <cell r="AA3098" t="str">
            <v>10010-4237</v>
          </cell>
          <cell r="AB3098" t="str">
            <v>CLINICAL SOCIAL WORKER (CSW)</v>
          </cell>
          <cell r="AC3098" t="str">
            <v>M</v>
          </cell>
          <cell r="AD3098" t="str">
            <v>No</v>
          </cell>
          <cell r="AE3098" t="str">
            <v>MMIS</v>
          </cell>
          <cell r="AF3098" t="str">
            <v>nypother</v>
          </cell>
          <cell r="AG3098" t="str">
            <v>P</v>
          </cell>
        </row>
        <row r="3099">
          <cell r="A3099" t="str">
            <v>1326128596</v>
          </cell>
          <cell r="B3099" t="str">
            <v>00746387</v>
          </cell>
          <cell r="C3099" t="str">
            <v>LORENZO SCOTTI</v>
          </cell>
          <cell r="D3099" t="str">
            <v>E0225075</v>
          </cell>
          <cell r="E3099" t="str">
            <v>SCOTTI LORENZO LOUIS DPM</v>
          </cell>
          <cell r="G3099" t="str">
            <v>Kathryn Spaziani</v>
          </cell>
          <cell r="H3099" t="str">
            <v>(212) 305-1190</v>
          </cell>
          <cell r="J3099" t="str">
            <v>kas9171@nyp.org</v>
          </cell>
          <cell r="L3099" t="str">
            <v>All Other:: Practitioner - Non-Primary Care Provider (PCP)</v>
          </cell>
          <cell r="M3099" t="str">
            <v>No</v>
          </cell>
          <cell r="R3099" t="str">
            <v>SCOTTI LORENZO DR.</v>
          </cell>
          <cell r="W3099" t="str">
            <v>SCOTTI LORENZO LOUIS</v>
          </cell>
          <cell r="X3099" t="str">
            <v>1826 FOWLER AVE</v>
          </cell>
          <cell r="Y3099" t="str">
            <v>BRONX</v>
          </cell>
          <cell r="Z3099" t="str">
            <v>NY</v>
          </cell>
          <cell r="AA3099" t="str">
            <v>10462-3709</v>
          </cell>
          <cell r="AB3099" t="str">
            <v>PODIATRIST</v>
          </cell>
          <cell r="AC3099" t="str">
            <v>M</v>
          </cell>
          <cell r="AD3099" t="str">
            <v>No</v>
          </cell>
          <cell r="AE3099" t="str">
            <v>MMIS</v>
          </cell>
          <cell r="AF3099" t="str">
            <v>nypwestcampus</v>
          </cell>
          <cell r="AG3099" t="str">
            <v>P</v>
          </cell>
        </row>
        <row r="3100">
          <cell r="A3100" t="str">
            <v>1144645847</v>
          </cell>
          <cell r="C3100" t="str">
            <v>LAUREN SERKES</v>
          </cell>
          <cell r="G3100" t="str">
            <v>Kathryn Spaziani</v>
          </cell>
          <cell r="H3100" t="str">
            <v>(212) 305-1190</v>
          </cell>
          <cell r="J3100" t="str">
            <v>kas9171@nyp.org</v>
          </cell>
          <cell r="K3100" t="str">
            <v>Unknown</v>
          </cell>
          <cell r="L3100" t="str">
            <v>Practitioner - Non-Primary Care Provider (PCP)</v>
          </cell>
          <cell r="M3100" t="str">
            <v>No</v>
          </cell>
          <cell r="R3100" t="str">
            <v>SERKES LAUREN</v>
          </cell>
          <cell r="S3100" t="str">
            <v>622 W 168TH ST</v>
          </cell>
          <cell r="T3100" t="str">
            <v>NEW YORK</v>
          </cell>
          <cell r="U3100" t="str">
            <v>NY</v>
          </cell>
          <cell r="V3100" t="str">
            <v>100323720</v>
          </cell>
          <cell r="AC3100" t="str">
            <v>M</v>
          </cell>
          <cell r="AD3100" t="str">
            <v>No</v>
          </cell>
          <cell r="AE3100" t="str">
            <v>NPI only</v>
          </cell>
          <cell r="AF3100" t="str">
            <v>nypother</v>
          </cell>
          <cell r="AG3100" t="str">
            <v>P</v>
          </cell>
        </row>
        <row r="3101">
          <cell r="A3101" t="str">
            <v>1780882274</v>
          </cell>
          <cell r="B3101" t="str">
            <v>03313155</v>
          </cell>
          <cell r="C3101" t="str">
            <v>ANNE SHACKELFORD</v>
          </cell>
          <cell r="D3101" t="str">
            <v>E0317171</v>
          </cell>
          <cell r="E3101" t="str">
            <v>SHACKELFORD ANNIE</v>
          </cell>
          <cell r="G3101" t="str">
            <v>Kathryn Spaziani</v>
          </cell>
          <cell r="H3101" t="str">
            <v>(212) 305-1190</v>
          </cell>
          <cell r="J3101" t="str">
            <v>kas9171@nyp.org</v>
          </cell>
          <cell r="L3101" t="str">
            <v>Practitioner - Non-Primary Care Provider (PCP)</v>
          </cell>
          <cell r="M3101" t="str">
            <v>No</v>
          </cell>
          <cell r="R3101" t="str">
            <v>SHACKELFORD ANNIE MS.</v>
          </cell>
          <cell r="W3101" t="str">
            <v>SHACKELFORD ANNIE</v>
          </cell>
          <cell r="X3101" t="str">
            <v>180 FORT WASHINGTON AVE</v>
          </cell>
          <cell r="Y3101" t="str">
            <v>NEW YORK</v>
          </cell>
          <cell r="Z3101" t="str">
            <v>NY</v>
          </cell>
          <cell r="AA3101" t="str">
            <v>10032-3722</v>
          </cell>
          <cell r="AB3101" t="str">
            <v>CLINICAL SOCIAL WORKER (CSW)</v>
          </cell>
          <cell r="AC3101" t="str">
            <v>M</v>
          </cell>
          <cell r="AD3101" t="str">
            <v>No</v>
          </cell>
          <cell r="AE3101" t="str">
            <v>MMIS</v>
          </cell>
          <cell r="AF3101" t="str">
            <v>nypother</v>
          </cell>
          <cell r="AG3101" t="str">
            <v>P</v>
          </cell>
        </row>
        <row r="3102">
          <cell r="C3102" t="str">
            <v>MARIA SOLOMON</v>
          </cell>
          <cell r="K3102" t="str">
            <v>Unknown</v>
          </cell>
          <cell r="L3102" t="str">
            <v>CBO</v>
          </cell>
          <cell r="M3102" t="str">
            <v>No</v>
          </cell>
          <cell r="AC3102" t="str">
            <v>M</v>
          </cell>
          <cell r="AD3102" t="str">
            <v>No</v>
          </cell>
          <cell r="AE3102" t="str">
            <v>No NPI or MMIS</v>
          </cell>
          <cell r="AG3102" t="str">
            <v>P</v>
          </cell>
        </row>
        <row r="3103">
          <cell r="A3103" t="str">
            <v>1063633956</v>
          </cell>
          <cell r="B3103" t="str">
            <v>03090099</v>
          </cell>
          <cell r="C3103" t="str">
            <v>CAROL SPERO</v>
          </cell>
          <cell r="D3103" t="str">
            <v>E0291868</v>
          </cell>
          <cell r="E3103" t="str">
            <v>SPERO CAROL</v>
          </cell>
          <cell r="G3103" t="str">
            <v>Kathryn Spaziani</v>
          </cell>
          <cell r="H3103" t="str">
            <v>(212) 305-1190</v>
          </cell>
          <cell r="J3103" t="str">
            <v>kas9171@nyp.org</v>
          </cell>
          <cell r="L3103" t="str">
            <v>Uncategorized</v>
          </cell>
          <cell r="M3103" t="str">
            <v>No</v>
          </cell>
          <cell r="R3103" t="str">
            <v>SPERO CAROL MS.</v>
          </cell>
          <cell r="W3103" t="str">
            <v>SPERO CAROL</v>
          </cell>
          <cell r="X3103" t="str">
            <v>BAKER 525 E. 68TH ST</v>
          </cell>
          <cell r="Y3103" t="str">
            <v>NEW YORK</v>
          </cell>
          <cell r="Z3103" t="str">
            <v>NY</v>
          </cell>
          <cell r="AA3103" t="str">
            <v>10021</v>
          </cell>
          <cell r="AB3103" t="str">
            <v>CLINICAL SOCIAL WORKER (CSW)</v>
          </cell>
          <cell r="AC3103" t="str">
            <v>M</v>
          </cell>
          <cell r="AD3103" t="str">
            <v>No</v>
          </cell>
          <cell r="AE3103" t="str">
            <v>MMIS</v>
          </cell>
          <cell r="AF3103" t="str">
            <v>nypother</v>
          </cell>
          <cell r="AG3103" t="str">
            <v>P</v>
          </cell>
        </row>
        <row r="3104">
          <cell r="A3104" t="str">
            <v>1154597854</v>
          </cell>
          <cell r="B3104" t="str">
            <v>03367071</v>
          </cell>
          <cell r="C3104" t="str">
            <v xml:space="preserve">YUN, ERIC </v>
          </cell>
          <cell r="D3104" t="str">
            <v>E0323394</v>
          </cell>
          <cell r="E3104" t="str">
            <v>YUN ERIC</v>
          </cell>
          <cell r="G3104" t="str">
            <v>Kathryn Spaziani</v>
          </cell>
          <cell r="H3104" t="str">
            <v>(212) 305-1190</v>
          </cell>
          <cell r="J3104" t="str">
            <v>kas9171@nyp.org</v>
          </cell>
          <cell r="L3104" t="str">
            <v>Practitioner - Non-Primary Care Provider (PCP)</v>
          </cell>
          <cell r="M3104" t="str">
            <v>No</v>
          </cell>
          <cell r="R3104" t="str">
            <v>YUN ERIC DR.</v>
          </cell>
          <cell r="W3104" t="str">
            <v>YUN ERIC</v>
          </cell>
          <cell r="X3104" t="str">
            <v>5645 MAIN ST</v>
          </cell>
          <cell r="Y3104" t="str">
            <v>FLUSHING</v>
          </cell>
          <cell r="Z3104" t="str">
            <v>NY</v>
          </cell>
          <cell r="AA3104" t="str">
            <v>11355-5045</v>
          </cell>
          <cell r="AB3104" t="str">
            <v>PHYSICIAN</v>
          </cell>
          <cell r="AC3104" t="str">
            <v>M</v>
          </cell>
          <cell r="AD3104" t="str">
            <v>No</v>
          </cell>
          <cell r="AE3104" t="str">
            <v>MMIS</v>
          </cell>
          <cell r="AF3104" t="str">
            <v>nypwestcampus</v>
          </cell>
          <cell r="AG3104" t="str">
            <v>P</v>
          </cell>
        </row>
        <row r="3105">
          <cell r="A3105" t="str">
            <v>1972757805</v>
          </cell>
          <cell r="B3105" t="str">
            <v>03090324</v>
          </cell>
          <cell r="C3105" t="str">
            <v>CREARY, JUDITH A</v>
          </cell>
          <cell r="D3105" t="str">
            <v>E0291891</v>
          </cell>
          <cell r="E3105" t="str">
            <v>CREARY JUDITH</v>
          </cell>
          <cell r="G3105" t="str">
            <v>Kathryn Spaziani</v>
          </cell>
          <cell r="H3105" t="str">
            <v>(212) 305-1190</v>
          </cell>
          <cell r="J3105" t="str">
            <v>kas9171@nyp.org</v>
          </cell>
          <cell r="L3105" t="str">
            <v>Practitioner - Non-Primary Care Provider (PCP)</v>
          </cell>
          <cell r="M3105" t="str">
            <v>No</v>
          </cell>
          <cell r="R3105" t="str">
            <v>CREARY JUDITH MS.</v>
          </cell>
          <cell r="W3105" t="str">
            <v>CREARY JUDITH</v>
          </cell>
          <cell r="X3105" t="str">
            <v>21 AUDUBON AVE</v>
          </cell>
          <cell r="Y3105" t="str">
            <v>NEW YORK</v>
          </cell>
          <cell r="Z3105" t="str">
            <v>NY</v>
          </cell>
          <cell r="AA3105" t="str">
            <v>10032-4220</v>
          </cell>
          <cell r="AB3105" t="str">
            <v>CLINICAL SOCIAL WORKER (CSW)</v>
          </cell>
          <cell r="AC3105" t="str">
            <v>M</v>
          </cell>
          <cell r="AD3105" t="str">
            <v>No</v>
          </cell>
          <cell r="AE3105" t="str">
            <v>MMIS</v>
          </cell>
          <cell r="AF3105" t="str">
            <v>nypother</v>
          </cell>
          <cell r="AG3105" t="str">
            <v>P</v>
          </cell>
        </row>
        <row r="3106">
          <cell r="A3106" t="str">
            <v>1770725699</v>
          </cell>
          <cell r="C3106" t="str">
            <v>BERG, ROBERT W</v>
          </cell>
          <cell r="G3106" t="str">
            <v>Kathryn Spaziani</v>
          </cell>
          <cell r="H3106" t="str">
            <v>(212) 305-1190</v>
          </cell>
          <cell r="J3106" t="str">
            <v>kas9171@nyp.org</v>
          </cell>
          <cell r="K3106" t="str">
            <v>Physician</v>
          </cell>
          <cell r="L3106" t="str">
            <v>Uncategorized</v>
          </cell>
          <cell r="M3106" t="str">
            <v>No</v>
          </cell>
          <cell r="R3106" t="str">
            <v>BERG ROBERT DR.</v>
          </cell>
          <cell r="S3106" t="str">
            <v>901 LEXINGTON AVE</v>
          </cell>
          <cell r="T3106" t="str">
            <v>NEW YORK</v>
          </cell>
          <cell r="U3106" t="str">
            <v>NY</v>
          </cell>
          <cell r="V3106" t="str">
            <v>100655924</v>
          </cell>
          <cell r="AC3106" t="str">
            <v>M</v>
          </cell>
          <cell r="AD3106" t="str">
            <v>No</v>
          </cell>
          <cell r="AE3106" t="str">
            <v>NPI only</v>
          </cell>
          <cell r="AF3106" t="str">
            <v>nypeastcampus</v>
          </cell>
          <cell r="AG3106" t="str">
            <v>P</v>
          </cell>
        </row>
        <row r="3107">
          <cell r="A3107" t="str">
            <v>1689819856</v>
          </cell>
          <cell r="B3107" t="str">
            <v>03084360</v>
          </cell>
          <cell r="C3107" t="str">
            <v xml:space="preserve">URTASUN SOFIL, EVA </v>
          </cell>
          <cell r="D3107" t="str">
            <v>E0291253</v>
          </cell>
          <cell r="E3107" t="str">
            <v>URTASUN SOTIL EVA MD</v>
          </cell>
          <cell r="G3107" t="str">
            <v>Kathryn Spaziani</v>
          </cell>
          <cell r="H3107" t="str">
            <v>(212) 305-1190</v>
          </cell>
          <cell r="J3107" t="str">
            <v>kas9171@nyp.org</v>
          </cell>
          <cell r="L3107" t="str">
            <v>All Other:: Practitioner - Non-Primary Care Provider (PCP)</v>
          </cell>
          <cell r="M3107" t="str">
            <v>No</v>
          </cell>
          <cell r="R3107" t="str">
            <v>URTASUN SOTIL EVA DR.</v>
          </cell>
          <cell r="W3107" t="str">
            <v>URTASUN SOTIL EVA MD</v>
          </cell>
          <cell r="X3107" t="str">
            <v>622 W 168TH ST PH 14-C RM 105</v>
          </cell>
          <cell r="Y3107" t="str">
            <v>NEW YORK</v>
          </cell>
          <cell r="Z3107" t="str">
            <v>NY</v>
          </cell>
          <cell r="AA3107" t="str">
            <v>10032-3720</v>
          </cell>
          <cell r="AB3107" t="str">
            <v>PHYSICIAN</v>
          </cell>
          <cell r="AC3107" t="str">
            <v>M</v>
          </cell>
          <cell r="AD3107" t="str">
            <v>No</v>
          </cell>
          <cell r="AE3107" t="str">
            <v>MMIS</v>
          </cell>
          <cell r="AF3107" t="str">
            <v>nypother</v>
          </cell>
          <cell r="AG3107" t="str">
            <v>P</v>
          </cell>
        </row>
        <row r="3108">
          <cell r="A3108" t="str">
            <v>1629131958</v>
          </cell>
          <cell r="B3108" t="str">
            <v>02236060</v>
          </cell>
          <cell r="C3108" t="str">
            <v>SCHWARTZ, BRIAN D</v>
          </cell>
          <cell r="D3108" t="str">
            <v>E0076483</v>
          </cell>
          <cell r="E3108" t="str">
            <v>SCHWARTZ BRIAN D</v>
          </cell>
          <cell r="G3108" t="str">
            <v>Kathryn Spaziani</v>
          </cell>
          <cell r="H3108" t="str">
            <v>(212) 305-1190</v>
          </cell>
          <cell r="J3108" t="str">
            <v>kas9171@nyp.org</v>
          </cell>
          <cell r="L3108" t="str">
            <v>All Other:: Practitioner - Non-Primary Care Provider (PCP)</v>
          </cell>
          <cell r="M3108" t="str">
            <v>No</v>
          </cell>
          <cell r="R3108" t="str">
            <v>SCHWARTZ BRIAN DR.</v>
          </cell>
          <cell r="W3108" t="str">
            <v>SCHWARTZ BRIAN D</v>
          </cell>
          <cell r="X3108" t="str">
            <v>SCHWARTZ BRIAN D</v>
          </cell>
          <cell r="Y3108" t="str">
            <v>GREAT NECK</v>
          </cell>
          <cell r="Z3108" t="str">
            <v>NY</v>
          </cell>
          <cell r="AA3108" t="str">
            <v>11021-2209</v>
          </cell>
          <cell r="AB3108" t="str">
            <v>PHYSICIAN</v>
          </cell>
          <cell r="AC3108" t="str">
            <v>M</v>
          </cell>
          <cell r="AD3108" t="str">
            <v>No</v>
          </cell>
          <cell r="AE3108" t="str">
            <v>MMIS</v>
          </cell>
          <cell r="AF3108" t="str">
            <v>nypeastcampus</v>
          </cell>
          <cell r="AG3108" t="str">
            <v>P</v>
          </cell>
        </row>
        <row r="3109">
          <cell r="A3109" t="str">
            <v>1417970872</v>
          </cell>
          <cell r="B3109" t="str">
            <v>00370356</v>
          </cell>
          <cell r="C3109" t="str">
            <v>LEIB, MARTIN L</v>
          </cell>
          <cell r="D3109" t="str">
            <v>E0262198</v>
          </cell>
          <cell r="E3109" t="str">
            <v>LEIB MARTIN L              MD</v>
          </cell>
          <cell r="G3109" t="str">
            <v>Kathryn Spaziani</v>
          </cell>
          <cell r="H3109" t="str">
            <v>(212) 305-1190</v>
          </cell>
          <cell r="J3109" t="str">
            <v>kas9171@nyp.org</v>
          </cell>
          <cell r="L3109" t="str">
            <v>All Other:: Practitioner - Non-Primary Care Provider (PCP)</v>
          </cell>
          <cell r="M3109" t="str">
            <v>No</v>
          </cell>
          <cell r="R3109" t="str">
            <v>LEIB MARTIN</v>
          </cell>
          <cell r="W3109" t="str">
            <v>LEIB MARTIN L</v>
          </cell>
          <cell r="X3109" t="str">
            <v>THE E HARKNESS EYE</v>
          </cell>
          <cell r="Y3109" t="str">
            <v>NEW YORK</v>
          </cell>
          <cell r="Z3109" t="str">
            <v>NY</v>
          </cell>
          <cell r="AA3109" t="str">
            <v>10032-3724</v>
          </cell>
          <cell r="AB3109" t="str">
            <v>PHYSICIAN</v>
          </cell>
          <cell r="AC3109" t="str">
            <v>M</v>
          </cell>
          <cell r="AD3109" t="str">
            <v>No</v>
          </cell>
          <cell r="AE3109" t="str">
            <v>MMIS</v>
          </cell>
          <cell r="AF3109" t="str">
            <v>nypwestcampus</v>
          </cell>
          <cell r="AG3109" t="str">
            <v>P</v>
          </cell>
        </row>
        <row r="3110">
          <cell r="A3110" t="str">
            <v>1417998436</v>
          </cell>
          <cell r="B3110" t="str">
            <v>03100272</v>
          </cell>
          <cell r="C3110" t="str">
            <v>CAREY, BRIDGET T</v>
          </cell>
          <cell r="D3110" t="str">
            <v>E0293061</v>
          </cell>
          <cell r="E3110" t="str">
            <v>CAREY BRIDGET</v>
          </cell>
          <cell r="G3110" t="str">
            <v>Kathryn Spaziani</v>
          </cell>
          <cell r="H3110" t="str">
            <v>(212) 305-1190</v>
          </cell>
          <cell r="J3110" t="str">
            <v>kas9171@nyp.org</v>
          </cell>
          <cell r="L3110" t="str">
            <v>All Other:: Practitioner - Non-Primary Care Provider (PCP)</v>
          </cell>
          <cell r="M3110" t="str">
            <v>No</v>
          </cell>
          <cell r="R3110" t="str">
            <v>CAREY BRIDGET</v>
          </cell>
          <cell r="W3110" t="str">
            <v>CAREY BRIDGET T</v>
          </cell>
          <cell r="X3110" t="str">
            <v>1305 YORK AVE 2FL RM</v>
          </cell>
          <cell r="Y3110" t="str">
            <v>NEW YORK</v>
          </cell>
          <cell r="Z3110" t="str">
            <v>NY</v>
          </cell>
          <cell r="AA3110" t="str">
            <v>10021-0000</v>
          </cell>
          <cell r="AB3110" t="str">
            <v>PHYSICIAN</v>
          </cell>
          <cell r="AC3110" t="str">
            <v>M</v>
          </cell>
          <cell r="AD3110" t="str">
            <v>No</v>
          </cell>
          <cell r="AE3110" t="str">
            <v>MMIS</v>
          </cell>
          <cell r="AF3110" t="str">
            <v>nypeastacn</v>
          </cell>
          <cell r="AG3110" t="str">
            <v>P</v>
          </cell>
        </row>
        <row r="3111">
          <cell r="A3111" t="str">
            <v>1801993753</v>
          </cell>
          <cell r="B3111" t="str">
            <v>02997395</v>
          </cell>
          <cell r="C3111" t="str">
            <v>EMPIRE STATE HOME CARE SERVICES (CHHA)</v>
          </cell>
          <cell r="D3111" t="str">
            <v>E0068352</v>
          </cell>
          <cell r="E3111" t="str">
            <v>EMPIRE ST HM CARE SER LTHHCP</v>
          </cell>
          <cell r="G3111" t="str">
            <v>Eva Eng</v>
          </cell>
          <cell r="H3111" t="str">
            <v>(212) 752-4973</v>
          </cell>
          <cell r="J3111" t="str">
            <v xml:space="preserve">eeng@archcare.org </v>
          </cell>
          <cell r="L3111" t="str">
            <v>All Other</v>
          </cell>
          <cell r="M3111" t="str">
            <v>Yes</v>
          </cell>
          <cell r="R3111" t="str">
            <v>EMPIRE STATE HOME CARE SERVICES INC</v>
          </cell>
          <cell r="W3111" t="str">
            <v>EMPIRE STATE HM CARE SER</v>
          </cell>
          <cell r="X3111" t="str">
            <v>15 METROTECH CTR FL 10</v>
          </cell>
          <cell r="Y3111" t="str">
            <v>BROOKLYN</v>
          </cell>
          <cell r="Z3111" t="str">
            <v>NY</v>
          </cell>
          <cell r="AA3111" t="str">
            <v>11201-3818</v>
          </cell>
          <cell r="AB3111" t="str">
            <v>HOME HEALTH AGENCY</v>
          </cell>
          <cell r="AC3111" t="str">
            <v>M</v>
          </cell>
          <cell r="AD3111" t="str">
            <v>No</v>
          </cell>
          <cell r="AE3111" t="str">
            <v>MMIS</v>
          </cell>
          <cell r="AG3111" t="str">
            <v>P</v>
          </cell>
        </row>
        <row r="3112">
          <cell r="A3112" t="str">
            <v>1285981118</v>
          </cell>
          <cell r="C3112" t="str">
            <v>Rotman Jessica</v>
          </cell>
          <cell r="G3112" t="str">
            <v>Kathryn Spaziani</v>
          </cell>
          <cell r="H3112" t="str">
            <v>(212) 305-1255</v>
          </cell>
          <cell r="J3112" t="str">
            <v>kas9171@nyp.org</v>
          </cell>
          <cell r="K3112" t="str">
            <v>Physician</v>
          </cell>
          <cell r="L3112" t="str">
            <v>Uncategorized</v>
          </cell>
          <cell r="M3112" t="str">
            <v>No</v>
          </cell>
          <cell r="R3112" t="str">
            <v>ROTMAN JESSICA</v>
          </cell>
          <cell r="S3112" t="str">
            <v>1400 PELHAM PKWY S, JACOBI MEDICAL CENTER</v>
          </cell>
          <cell r="T3112" t="str">
            <v>BRONX</v>
          </cell>
          <cell r="U3112" t="str">
            <v>NY</v>
          </cell>
          <cell r="V3112" t="str">
            <v>104611138</v>
          </cell>
          <cell r="AC3112" t="str">
            <v>M</v>
          </cell>
          <cell r="AD3112" t="str">
            <v>No</v>
          </cell>
          <cell r="AE3112" t="str">
            <v>NPI only</v>
          </cell>
          <cell r="AF3112" t="str">
            <v>nypeastcampus</v>
          </cell>
          <cell r="AG3112" t="str">
            <v>P</v>
          </cell>
        </row>
        <row r="3113">
          <cell r="A3113" t="str">
            <v>1386907343</v>
          </cell>
          <cell r="C3113" t="str">
            <v>Salama Gayle</v>
          </cell>
          <cell r="G3113" t="str">
            <v>Kathryn Spaziani</v>
          </cell>
          <cell r="H3113" t="str">
            <v>(212) 305-1255</v>
          </cell>
          <cell r="J3113" t="str">
            <v>kas9171@nyp.org</v>
          </cell>
          <cell r="K3113" t="str">
            <v>Physician</v>
          </cell>
          <cell r="L3113" t="str">
            <v>Uncategorized</v>
          </cell>
          <cell r="M3113" t="str">
            <v>No</v>
          </cell>
          <cell r="R3113" t="str">
            <v>SALAMA GAYLE DR.</v>
          </cell>
          <cell r="S3113" t="str">
            <v>525 E 68TH ST</v>
          </cell>
          <cell r="T3113" t="str">
            <v>NEW YORK</v>
          </cell>
          <cell r="U3113" t="str">
            <v>NY</v>
          </cell>
          <cell r="V3113" t="str">
            <v>100654870</v>
          </cell>
          <cell r="AC3113" t="str">
            <v>M</v>
          </cell>
          <cell r="AD3113" t="str">
            <v>No</v>
          </cell>
          <cell r="AE3113" t="str">
            <v>NPI only</v>
          </cell>
          <cell r="AF3113" t="str">
            <v>nypeastcampus</v>
          </cell>
          <cell r="AG3113" t="str">
            <v>P</v>
          </cell>
        </row>
        <row r="3114">
          <cell r="A3114" t="str">
            <v>1285662908</v>
          </cell>
          <cell r="B3114" t="str">
            <v>01813198</v>
          </cell>
          <cell r="C3114" t="str">
            <v>GOLDSTEIN, AMY E</v>
          </cell>
          <cell r="D3114" t="str">
            <v>E0118718</v>
          </cell>
          <cell r="E3114" t="str">
            <v>GOLDSTEIN AMY E DO</v>
          </cell>
          <cell r="G3114" t="str">
            <v>Kathryn Spaziani</v>
          </cell>
          <cell r="H3114" t="str">
            <v>(212) 305-1190</v>
          </cell>
          <cell r="J3114" t="str">
            <v>kas9171@nyp.org</v>
          </cell>
          <cell r="L3114" t="str">
            <v>All Other:: Practitioner - Non-Primary Care Provider (PCP)</v>
          </cell>
          <cell r="M3114" t="str">
            <v>No</v>
          </cell>
          <cell r="R3114" t="str">
            <v>GOLDSTEIN AMY MRS.</v>
          </cell>
          <cell r="W3114" t="str">
            <v>GOLDSTEIN AMY E DO</v>
          </cell>
          <cell r="X3114" t="str">
            <v>PARK AVE MED CARE</v>
          </cell>
          <cell r="Y3114" t="str">
            <v>WHITE PLAINS</v>
          </cell>
          <cell r="Z3114" t="str">
            <v>NY</v>
          </cell>
          <cell r="AA3114" t="str">
            <v>10601-1712</v>
          </cell>
          <cell r="AB3114" t="str">
            <v>PHYSICIAN</v>
          </cell>
          <cell r="AC3114" t="str">
            <v>M</v>
          </cell>
          <cell r="AD3114" t="str">
            <v>No</v>
          </cell>
          <cell r="AE3114" t="str">
            <v>MMIS</v>
          </cell>
          <cell r="AF3114" t="str">
            <v>nypwestacn</v>
          </cell>
          <cell r="AG3114" t="str">
            <v>P</v>
          </cell>
        </row>
        <row r="3115">
          <cell r="A3115" t="str">
            <v>1285666974</v>
          </cell>
          <cell r="B3115" t="str">
            <v>00832682</v>
          </cell>
          <cell r="C3115" t="str">
            <v>LASALA, ANITA P</v>
          </cell>
          <cell r="D3115" t="str">
            <v>E0216469</v>
          </cell>
          <cell r="E3115" t="str">
            <v>LASALA ANITA PARNES</v>
          </cell>
          <cell r="G3115" t="str">
            <v>Kathryn Spaziani</v>
          </cell>
          <cell r="H3115" t="str">
            <v>(212) 305-1190</v>
          </cell>
          <cell r="J3115" t="str">
            <v>kas9171@nyp.org</v>
          </cell>
          <cell r="L3115" t="str">
            <v>All Other:: Practitioner - Non-Primary Care Provider (PCP)</v>
          </cell>
          <cell r="M3115" t="str">
            <v>No</v>
          </cell>
          <cell r="R3115" t="str">
            <v>LASALA ANITA</v>
          </cell>
          <cell r="W3115" t="str">
            <v>LASALA ANITA PARNES</v>
          </cell>
          <cell r="X3115" t="str">
            <v>622 W 168TH ST</v>
          </cell>
          <cell r="Y3115" t="str">
            <v>NEW YORK</v>
          </cell>
          <cell r="Z3115" t="str">
            <v>NY</v>
          </cell>
          <cell r="AA3115" t="str">
            <v>10032-3720</v>
          </cell>
          <cell r="AB3115" t="str">
            <v>PHYSICIAN</v>
          </cell>
          <cell r="AC3115" t="str">
            <v>M</v>
          </cell>
          <cell r="AD3115" t="str">
            <v>No</v>
          </cell>
          <cell r="AE3115" t="str">
            <v>MMIS</v>
          </cell>
          <cell r="AF3115" t="str">
            <v>nypwestcampus</v>
          </cell>
          <cell r="AG3115" t="str">
            <v>P</v>
          </cell>
        </row>
        <row r="3116">
          <cell r="A3116" t="str">
            <v>1326135492</v>
          </cell>
          <cell r="B3116" t="str">
            <v>01591253</v>
          </cell>
          <cell r="C3116" t="str">
            <v>STUEBGEN, JOERG P</v>
          </cell>
          <cell r="D3116" t="str">
            <v>E0140881</v>
          </cell>
          <cell r="E3116" t="str">
            <v>STUEBGEN JOERG PATRICK MD</v>
          </cell>
          <cell r="G3116" t="str">
            <v>Kathryn Spaziani</v>
          </cell>
          <cell r="H3116" t="str">
            <v>(212) 305-1190</v>
          </cell>
          <cell r="J3116" t="str">
            <v>kas9171@nyp.org</v>
          </cell>
          <cell r="L3116" t="str">
            <v>All Other:: Practitioner - Non-Primary Care Provider (PCP)</v>
          </cell>
          <cell r="M3116" t="str">
            <v>No</v>
          </cell>
          <cell r="R3116" t="str">
            <v>STUEBGEN J. PATRICK</v>
          </cell>
          <cell r="W3116" t="str">
            <v>STUEBGEN JOERG PATRICK MD</v>
          </cell>
          <cell r="X3116" t="str">
            <v>525 E 68TH ST STE 607</v>
          </cell>
          <cell r="Y3116" t="str">
            <v>NEW YORK</v>
          </cell>
          <cell r="Z3116" t="str">
            <v>NY</v>
          </cell>
          <cell r="AA3116" t="str">
            <v>10065-4870</v>
          </cell>
          <cell r="AB3116" t="str">
            <v>PHYSICIAN</v>
          </cell>
          <cell r="AC3116" t="str">
            <v>M</v>
          </cell>
          <cell r="AD3116" t="str">
            <v>No</v>
          </cell>
          <cell r="AE3116" t="str">
            <v>MMIS</v>
          </cell>
          <cell r="AF3116" t="str">
            <v>nypeastcampus</v>
          </cell>
          <cell r="AG3116" t="str">
            <v>P</v>
          </cell>
        </row>
        <row r="3117">
          <cell r="A3117" t="str">
            <v>1528293875</v>
          </cell>
          <cell r="B3117" t="str">
            <v>03376721</v>
          </cell>
          <cell r="C3117" t="str">
            <v>Lei Susan</v>
          </cell>
          <cell r="D3117" t="str">
            <v>E0324658</v>
          </cell>
          <cell r="E3117" t="str">
            <v>LEI SUSAN YI</v>
          </cell>
          <cell r="L3117" t="str">
            <v>All Other:: Practitioner - Non-Primary Care Provider (PCP)</v>
          </cell>
          <cell r="M3117" t="str">
            <v>No</v>
          </cell>
          <cell r="R3117" t="str">
            <v>LEI SUSAN</v>
          </cell>
          <cell r="W3117" t="str">
            <v>LEI SUSAN YI</v>
          </cell>
          <cell r="X3117" t="str">
            <v>622 W 168TH ST</v>
          </cell>
          <cell r="Y3117" t="str">
            <v>NEW YORK</v>
          </cell>
          <cell r="Z3117" t="str">
            <v>NY</v>
          </cell>
          <cell r="AA3117" t="str">
            <v>10032-3720</v>
          </cell>
          <cell r="AB3117" t="str">
            <v>PHYSICIAN</v>
          </cell>
          <cell r="AC3117" t="str">
            <v>M</v>
          </cell>
          <cell r="AD3117" t="str">
            <v>No</v>
          </cell>
          <cell r="AE3117" t="str">
            <v>MMIS</v>
          </cell>
          <cell r="AF3117" t="str">
            <v>nypwestcampus</v>
          </cell>
          <cell r="AG3117" t="str">
            <v>P</v>
          </cell>
        </row>
        <row r="3118">
          <cell r="A3118" t="str">
            <v>1861550725</v>
          </cell>
          <cell r="B3118" t="str">
            <v>02270120</v>
          </cell>
          <cell r="C3118" t="str">
            <v>Levy Richard</v>
          </cell>
          <cell r="D3118" t="str">
            <v>E0073087</v>
          </cell>
          <cell r="E3118" t="str">
            <v>LEVY RICHARD JONATHAN MD</v>
          </cell>
          <cell r="L3118" t="str">
            <v>Practitioner - Non-Primary Care Provider (PCP)</v>
          </cell>
          <cell r="M3118" t="str">
            <v>No</v>
          </cell>
          <cell r="R3118" t="str">
            <v>LEVY RICHARD</v>
          </cell>
          <cell r="W3118" t="str">
            <v>LEVY RICHARD JONATHAN</v>
          </cell>
          <cell r="X3118" t="str">
            <v>622 W 168TH ST</v>
          </cell>
          <cell r="Y3118" t="str">
            <v>NEW YORK</v>
          </cell>
          <cell r="Z3118" t="str">
            <v>NY</v>
          </cell>
          <cell r="AA3118" t="str">
            <v>10032-3720</v>
          </cell>
          <cell r="AB3118" t="str">
            <v>PHYSICIAN</v>
          </cell>
          <cell r="AC3118" t="str">
            <v>M</v>
          </cell>
          <cell r="AD3118" t="str">
            <v>No</v>
          </cell>
          <cell r="AE3118" t="str">
            <v>MMIS</v>
          </cell>
          <cell r="AF3118" t="str">
            <v>nypwestcampus</v>
          </cell>
          <cell r="AG3118" t="str">
            <v>P</v>
          </cell>
        </row>
        <row r="3119">
          <cell r="A3119" t="str">
            <v>1649403791</v>
          </cell>
          <cell r="B3119" t="str">
            <v>03944896</v>
          </cell>
          <cell r="C3119" t="str">
            <v>Lin Albert</v>
          </cell>
          <cell r="D3119" t="str">
            <v>E0385686</v>
          </cell>
          <cell r="E3119" t="str">
            <v>LIN ALBERT YEN</v>
          </cell>
          <cell r="G3119" t="str">
            <v>Kathryn Spaziani</v>
          </cell>
          <cell r="H3119" t="str">
            <v>(212) 305-1255</v>
          </cell>
          <cell r="J3119" t="str">
            <v>kas9171@nyp.org</v>
          </cell>
          <cell r="L3119" t="str">
            <v>All Other:: Practitioner - Non-Primary Care Provider (PCP)</v>
          </cell>
          <cell r="M3119" t="str">
            <v>No</v>
          </cell>
          <cell r="R3119" t="str">
            <v>LIN ALBERT</v>
          </cell>
          <cell r="W3119" t="str">
            <v>LIN ALBERT YEN</v>
          </cell>
          <cell r="X3119" t="str">
            <v>622 W 168TH ST</v>
          </cell>
          <cell r="Y3119" t="str">
            <v>NEW YORK</v>
          </cell>
          <cell r="Z3119" t="str">
            <v>NY</v>
          </cell>
          <cell r="AA3119" t="str">
            <v>10032-3720</v>
          </cell>
          <cell r="AB3119" t="str">
            <v>PHYSICIAN</v>
          </cell>
          <cell r="AC3119" t="str">
            <v>M</v>
          </cell>
          <cell r="AD3119" t="str">
            <v>No</v>
          </cell>
          <cell r="AE3119" t="str">
            <v>MMIS</v>
          </cell>
          <cell r="AF3119" t="str">
            <v>nypwestcampus</v>
          </cell>
          <cell r="AG3119" t="str">
            <v>P</v>
          </cell>
        </row>
        <row r="3120">
          <cell r="A3120" t="str">
            <v>1508877879</v>
          </cell>
          <cell r="B3120" t="str">
            <v>02716801</v>
          </cell>
          <cell r="C3120" t="str">
            <v>Han Jung Hee</v>
          </cell>
          <cell r="D3120" t="str">
            <v>E0028505</v>
          </cell>
          <cell r="E3120" t="str">
            <v>HAN JUNG HEE JUNE MD</v>
          </cell>
          <cell r="L3120" t="str">
            <v>All Other:: Practitioner - Non-Primary Care Provider (PCP)</v>
          </cell>
          <cell r="M3120" t="str">
            <v>No</v>
          </cell>
          <cell r="R3120" t="str">
            <v>HAN JUNG DR.</v>
          </cell>
          <cell r="W3120" t="str">
            <v>HAN JUNG HEE JUNE MD</v>
          </cell>
          <cell r="X3120" t="str">
            <v>525 E 68TH ST</v>
          </cell>
          <cell r="Y3120" t="str">
            <v>NEW YORK</v>
          </cell>
          <cell r="Z3120" t="str">
            <v>NY</v>
          </cell>
          <cell r="AA3120" t="str">
            <v>10065-4870</v>
          </cell>
          <cell r="AB3120" t="str">
            <v>PHYSICIAN</v>
          </cell>
          <cell r="AC3120" t="str">
            <v>M</v>
          </cell>
          <cell r="AD3120" t="str">
            <v>No</v>
          </cell>
          <cell r="AE3120" t="str">
            <v>MMIS</v>
          </cell>
          <cell r="AF3120" t="str">
            <v>nypeastcampus</v>
          </cell>
          <cell r="AG3120" t="str">
            <v>P</v>
          </cell>
        </row>
        <row r="3121">
          <cell r="A3121" t="str">
            <v>1447567102</v>
          </cell>
          <cell r="C3121" t="str">
            <v>Harper Shannon</v>
          </cell>
          <cell r="G3121" t="str">
            <v>Kathryn Spaziani</v>
          </cell>
          <cell r="H3121" t="str">
            <v>(212) 305-1255</v>
          </cell>
          <cell r="J3121" t="str">
            <v>kas9171@nyp.org</v>
          </cell>
          <cell r="K3121" t="str">
            <v>Physician</v>
          </cell>
          <cell r="L3121" t="str">
            <v>Uncategorized</v>
          </cell>
          <cell r="M3121" t="str">
            <v>No</v>
          </cell>
          <cell r="R3121" t="str">
            <v>HARPER SHANNON MR.</v>
          </cell>
          <cell r="S3121" t="str">
            <v>255 W 75TH ST, APT 3J</v>
          </cell>
          <cell r="T3121" t="str">
            <v>NEW YORK</v>
          </cell>
          <cell r="U3121" t="str">
            <v>NY</v>
          </cell>
          <cell r="V3121" t="str">
            <v>100231735</v>
          </cell>
          <cell r="AC3121" t="str">
            <v>M</v>
          </cell>
          <cell r="AD3121" t="str">
            <v>No</v>
          </cell>
          <cell r="AE3121" t="str">
            <v>NPI only</v>
          </cell>
          <cell r="AF3121" t="str">
            <v>nypeastcampus</v>
          </cell>
          <cell r="AG3121" t="str">
            <v>P</v>
          </cell>
        </row>
        <row r="3122">
          <cell r="A3122" t="str">
            <v>1619298197</v>
          </cell>
          <cell r="B3122" t="str">
            <v>04320536</v>
          </cell>
          <cell r="C3122" t="str">
            <v>Kaur Gunisha</v>
          </cell>
          <cell r="D3122" t="str">
            <v>E0424310</v>
          </cell>
          <cell r="E3122" t="str">
            <v>KAUR GUNISHA</v>
          </cell>
          <cell r="G3122" t="str">
            <v>Kathryn Spaziani</v>
          </cell>
          <cell r="H3122" t="str">
            <v>(212) 305-1255</v>
          </cell>
          <cell r="J3122" t="str">
            <v>kas9171@nyp.org</v>
          </cell>
          <cell r="L3122" t="str">
            <v>All Other:: Practitioner - Non-Primary Care Provider (PCP)</v>
          </cell>
          <cell r="M3122" t="str">
            <v>No</v>
          </cell>
          <cell r="R3122" t="str">
            <v>KAUR GUNISHA</v>
          </cell>
          <cell r="W3122" t="str">
            <v>KAUR GUNISHA</v>
          </cell>
          <cell r="X3122" t="str">
            <v>525 E 68TH ST</v>
          </cell>
          <cell r="Y3122" t="str">
            <v>NEW YORK</v>
          </cell>
          <cell r="Z3122" t="str">
            <v>NY</v>
          </cell>
          <cell r="AA3122" t="str">
            <v>10065-4870</v>
          </cell>
          <cell r="AB3122" t="str">
            <v>PHYSICIAN</v>
          </cell>
          <cell r="AC3122" t="str">
            <v>M</v>
          </cell>
          <cell r="AD3122" t="str">
            <v>No</v>
          </cell>
          <cell r="AE3122" t="str">
            <v>MMIS</v>
          </cell>
          <cell r="AF3122" t="str">
            <v>nypeastcampus</v>
          </cell>
          <cell r="AG3122" t="str">
            <v>P</v>
          </cell>
        </row>
        <row r="3123">
          <cell r="A3123" t="str">
            <v>1548574312</v>
          </cell>
          <cell r="C3123" t="str">
            <v>Keene Jillian</v>
          </cell>
          <cell r="G3123" t="str">
            <v>Kathryn Spaziani</v>
          </cell>
          <cell r="H3123" t="str">
            <v>(212) 305-1255</v>
          </cell>
          <cell r="J3123" t="str">
            <v>kas9171@nyp.org</v>
          </cell>
          <cell r="K3123" t="str">
            <v>Physician</v>
          </cell>
          <cell r="L3123" t="str">
            <v>Uncategorized</v>
          </cell>
          <cell r="M3123" t="str">
            <v>No</v>
          </cell>
          <cell r="R3123" t="str">
            <v>DAVIS JILLIAN</v>
          </cell>
          <cell r="S3123" t="str">
            <v>525 E 68TH ST</v>
          </cell>
          <cell r="T3123" t="str">
            <v>NEW YORK</v>
          </cell>
          <cell r="U3123" t="str">
            <v>NY</v>
          </cell>
          <cell r="V3123" t="str">
            <v>100654870</v>
          </cell>
          <cell r="AC3123" t="str">
            <v>M</v>
          </cell>
          <cell r="AD3123" t="str">
            <v>No</v>
          </cell>
          <cell r="AE3123" t="str">
            <v>NPI only</v>
          </cell>
          <cell r="AF3123" t="str">
            <v>nypeastcampus</v>
          </cell>
          <cell r="AG3123" t="str">
            <v>P</v>
          </cell>
        </row>
        <row r="3124">
          <cell r="A3124" t="str">
            <v>1336150317</v>
          </cell>
          <cell r="B3124" t="str">
            <v>00916472</v>
          </cell>
          <cell r="C3124" t="str">
            <v>Kelly Robert</v>
          </cell>
          <cell r="D3124" t="str">
            <v>E0208106</v>
          </cell>
          <cell r="E3124" t="str">
            <v>KELLY ROBERT EDWARD        MD</v>
          </cell>
          <cell r="L3124" t="str">
            <v>Uncategorized</v>
          </cell>
          <cell r="M3124" t="str">
            <v>No</v>
          </cell>
          <cell r="R3124" t="str">
            <v>KELLY ROBERT DR.</v>
          </cell>
          <cell r="W3124" t="str">
            <v>KELLY ROBERT EDWARD        MD</v>
          </cell>
          <cell r="X3124" t="str">
            <v>525 E 68TH ST</v>
          </cell>
          <cell r="Y3124" t="str">
            <v>NEW YORK</v>
          </cell>
          <cell r="Z3124" t="str">
            <v>NY</v>
          </cell>
          <cell r="AA3124" t="str">
            <v>10065-4870</v>
          </cell>
          <cell r="AB3124" t="str">
            <v>PHYSICIAN</v>
          </cell>
          <cell r="AC3124" t="str">
            <v>M</v>
          </cell>
          <cell r="AD3124" t="str">
            <v>No</v>
          </cell>
          <cell r="AE3124" t="str">
            <v>MMIS</v>
          </cell>
          <cell r="AG3124" t="str">
            <v>P</v>
          </cell>
        </row>
        <row r="3125">
          <cell r="A3125" t="str">
            <v>1790781490</v>
          </cell>
          <cell r="B3125" t="str">
            <v>01277816</v>
          </cell>
          <cell r="C3125" t="str">
            <v>Winter Lee</v>
          </cell>
          <cell r="D3125" t="str">
            <v>E0172128</v>
          </cell>
          <cell r="E3125" t="str">
            <v>WINTER LEE HOWARD MD</v>
          </cell>
          <cell r="L3125" t="str">
            <v>All Other:: Practitioner - Non-Primary Care Provider (PCP)</v>
          </cell>
          <cell r="M3125" t="str">
            <v>No</v>
          </cell>
          <cell r="R3125" t="str">
            <v>WINTER LEE</v>
          </cell>
          <cell r="W3125" t="str">
            <v>WINTER LEE HOWARD</v>
          </cell>
          <cell r="X3125" t="str">
            <v>300 COMMUNITY DR</v>
          </cell>
          <cell r="Y3125" t="str">
            <v>MANHASSET</v>
          </cell>
          <cell r="Z3125" t="str">
            <v>NY</v>
          </cell>
          <cell r="AA3125" t="str">
            <v>11030-3816</v>
          </cell>
          <cell r="AB3125" t="str">
            <v>PHYSICIAN</v>
          </cell>
          <cell r="AC3125" t="str">
            <v>M</v>
          </cell>
          <cell r="AD3125" t="str">
            <v>No</v>
          </cell>
          <cell r="AE3125" t="str">
            <v>MMIS</v>
          </cell>
          <cell r="AG3125" t="str">
            <v>P</v>
          </cell>
        </row>
        <row r="3126">
          <cell r="A3126" t="str">
            <v>1770808784</v>
          </cell>
          <cell r="B3126" t="str">
            <v>03389104</v>
          </cell>
          <cell r="C3126" t="str">
            <v>Wong Winston</v>
          </cell>
          <cell r="D3126" t="str">
            <v>E0326278</v>
          </cell>
          <cell r="E3126" t="str">
            <v>WONG WINSTON S MD</v>
          </cell>
          <cell r="L3126" t="str">
            <v>All Other:: Practitioner - Non-Primary Care Provider (PCP)</v>
          </cell>
          <cell r="M3126" t="str">
            <v>No</v>
          </cell>
          <cell r="R3126" t="str">
            <v>WONG WINSTON DR.</v>
          </cell>
          <cell r="W3126" t="str">
            <v>WONG WINSTON S MD</v>
          </cell>
          <cell r="X3126" t="str">
            <v>170 WILLIAM ST</v>
          </cell>
          <cell r="Y3126" t="str">
            <v>NEW YORK</v>
          </cell>
          <cell r="Z3126" t="str">
            <v>NY</v>
          </cell>
          <cell r="AA3126" t="str">
            <v>10038-2612</v>
          </cell>
          <cell r="AB3126" t="str">
            <v>PHYSICIAN</v>
          </cell>
          <cell r="AC3126" t="str">
            <v>M</v>
          </cell>
          <cell r="AD3126" t="str">
            <v>No</v>
          </cell>
          <cell r="AE3126" t="str">
            <v>MMIS</v>
          </cell>
          <cell r="AG3126" t="str">
            <v>P</v>
          </cell>
        </row>
        <row r="3127">
          <cell r="A3127" t="str">
            <v>1215012422</v>
          </cell>
          <cell r="B3127" t="str">
            <v>02863032</v>
          </cell>
          <cell r="C3127" t="str">
            <v>Bhagat Govind</v>
          </cell>
          <cell r="D3127" t="str">
            <v>E0013895</v>
          </cell>
          <cell r="E3127" t="str">
            <v>BHAGAT GOVIND</v>
          </cell>
          <cell r="L3127" t="str">
            <v>All Other:: Practitioner - Non-Primary Care Provider (PCP)</v>
          </cell>
          <cell r="M3127" t="str">
            <v>No</v>
          </cell>
          <cell r="R3127" t="str">
            <v>BHAGAT GOVIND DR.</v>
          </cell>
          <cell r="W3127" t="str">
            <v>BHAGAT GOVIND</v>
          </cell>
          <cell r="X3127" t="str">
            <v>630 W 168TH ST STE P</v>
          </cell>
          <cell r="Y3127" t="str">
            <v>NEW YORK</v>
          </cell>
          <cell r="Z3127" t="str">
            <v>NY</v>
          </cell>
          <cell r="AA3127" t="str">
            <v>10032-3725</v>
          </cell>
          <cell r="AB3127" t="str">
            <v>PHYSICIAN</v>
          </cell>
          <cell r="AC3127" t="str">
            <v>M</v>
          </cell>
          <cell r="AD3127" t="str">
            <v>No</v>
          </cell>
          <cell r="AE3127" t="str">
            <v>MMIS</v>
          </cell>
          <cell r="AF3127" t="str">
            <v>nypwestcampus</v>
          </cell>
          <cell r="AG3127" t="str">
            <v>P</v>
          </cell>
        </row>
        <row r="3128">
          <cell r="A3128" t="str">
            <v>1578852240</v>
          </cell>
          <cell r="B3128" t="str">
            <v>03916158</v>
          </cell>
          <cell r="C3128" t="str">
            <v>Zoya Treyster</v>
          </cell>
          <cell r="D3128" t="str">
            <v>E0382783</v>
          </cell>
          <cell r="E3128" t="str">
            <v>TREYSTER ZOYA</v>
          </cell>
          <cell r="G3128" t="str">
            <v>Corina Sharp</v>
          </cell>
          <cell r="H3128" t="str">
            <v>(212) 545-2441</v>
          </cell>
          <cell r="J3128" t="str">
            <v>csharp@chnnyc.org</v>
          </cell>
          <cell r="L3128" t="str">
            <v>All Other:: Practitioner - Primary Care Provider (PCP)</v>
          </cell>
          <cell r="M3128" t="str">
            <v>No</v>
          </cell>
          <cell r="R3128" t="str">
            <v>TREYSTER ZOYA DR.</v>
          </cell>
          <cell r="W3128" t="str">
            <v>TREYSTER ZOYA</v>
          </cell>
          <cell r="X3128" t="str">
            <v>511 W 157TH ST</v>
          </cell>
          <cell r="Y3128" t="str">
            <v>NEW YORK</v>
          </cell>
          <cell r="Z3128" t="str">
            <v>NY</v>
          </cell>
          <cell r="AA3128" t="str">
            <v>10032-7601</v>
          </cell>
          <cell r="AB3128" t="str">
            <v>PHYSICIAN</v>
          </cell>
          <cell r="AC3128" t="str">
            <v>M</v>
          </cell>
          <cell r="AD3128" t="str">
            <v>No</v>
          </cell>
          <cell r="AE3128" t="str">
            <v>MMIS</v>
          </cell>
          <cell r="AF3128" t="str">
            <v>chn</v>
          </cell>
          <cell r="AG3128" t="str">
            <v>P</v>
          </cell>
        </row>
        <row r="3129">
          <cell r="A3129" t="str">
            <v>1962599035</v>
          </cell>
          <cell r="B3129" t="str">
            <v>02151866</v>
          </cell>
          <cell r="C3129" t="str">
            <v>Judy Tung</v>
          </cell>
          <cell r="D3129" t="str">
            <v>E0084889</v>
          </cell>
          <cell r="E3129" t="str">
            <v>TUNG JUDY MD</v>
          </cell>
          <cell r="G3129" t="str">
            <v>Corina Sharp</v>
          </cell>
          <cell r="H3129" t="str">
            <v>(212) 545-2441</v>
          </cell>
          <cell r="J3129" t="str">
            <v>csharp@chnnyc.org</v>
          </cell>
          <cell r="L3129" t="str">
            <v>All Other:: Practitioner - Primary Care Provider (PCP)</v>
          </cell>
          <cell r="M3129" t="str">
            <v>No</v>
          </cell>
          <cell r="R3129" t="str">
            <v>TUNG JUDY</v>
          </cell>
          <cell r="W3129" t="str">
            <v>TUNG JUDY MD</v>
          </cell>
          <cell r="X3129" t="str">
            <v># HT-4</v>
          </cell>
          <cell r="Y3129" t="str">
            <v>NEW YORK</v>
          </cell>
          <cell r="Z3129" t="str">
            <v>NY</v>
          </cell>
          <cell r="AA3129" t="str">
            <v>10021-4872</v>
          </cell>
          <cell r="AB3129" t="str">
            <v>PHYSICIAN</v>
          </cell>
          <cell r="AC3129" t="str">
            <v>M</v>
          </cell>
          <cell r="AD3129" t="str">
            <v>No</v>
          </cell>
          <cell r="AE3129" t="str">
            <v>MMIS</v>
          </cell>
          <cell r="AF3129" t="str">
            <v>chn</v>
          </cell>
          <cell r="AG3129" t="str">
            <v>P</v>
          </cell>
        </row>
        <row r="3130">
          <cell r="A3130" t="str">
            <v>1083735500</v>
          </cell>
          <cell r="B3130" t="str">
            <v>02351568</v>
          </cell>
          <cell r="C3130" t="str">
            <v>Holly Rainey Weiner</v>
          </cell>
          <cell r="D3130" t="str">
            <v>E0064949</v>
          </cell>
          <cell r="E3130" t="str">
            <v>WEINER HOLLY H</v>
          </cell>
          <cell r="G3130" t="str">
            <v>Corina Sharp</v>
          </cell>
          <cell r="H3130" t="str">
            <v>(212) 545-2441</v>
          </cell>
          <cell r="J3130" t="str">
            <v>csharp@chnnyc.org</v>
          </cell>
          <cell r="L3130" t="str">
            <v>All Other:: Practitioner - Non-Primary Care Provider (PCP)</v>
          </cell>
          <cell r="M3130" t="str">
            <v>Yes</v>
          </cell>
          <cell r="R3130" t="str">
            <v>WEINER HOLLY MS.</v>
          </cell>
          <cell r="W3130" t="str">
            <v>WEINER HOLLY H</v>
          </cell>
          <cell r="X3130" t="str">
            <v>WEINER HOLLY</v>
          </cell>
          <cell r="Y3130" t="str">
            <v>NEW YORK</v>
          </cell>
          <cell r="Z3130" t="str">
            <v>NY</v>
          </cell>
          <cell r="AA3130" t="str">
            <v>10034-6001</v>
          </cell>
          <cell r="AB3130" t="str">
            <v>NURSE</v>
          </cell>
          <cell r="AC3130" t="str">
            <v>M</v>
          </cell>
          <cell r="AD3130" t="str">
            <v>No</v>
          </cell>
          <cell r="AE3130" t="str">
            <v>MMIS</v>
          </cell>
          <cell r="AF3130" t="str">
            <v>chn</v>
          </cell>
          <cell r="AG3130" t="str">
            <v>P</v>
          </cell>
        </row>
        <row r="3131">
          <cell r="A3131" t="str">
            <v>1053350579</v>
          </cell>
          <cell r="B3131" t="str">
            <v>02682084</v>
          </cell>
          <cell r="C3131" t="str">
            <v>Matthew Weissman</v>
          </cell>
          <cell r="D3131" t="str">
            <v>E0031969</v>
          </cell>
          <cell r="E3131" t="str">
            <v>WEISSMAN MATTHEW ARON MD</v>
          </cell>
          <cell r="G3131" t="str">
            <v>Corina Sharp</v>
          </cell>
          <cell r="H3131" t="str">
            <v>(212) 545-2441</v>
          </cell>
          <cell r="J3131" t="str">
            <v>csharp@chnnyc.org</v>
          </cell>
          <cell r="L3131" t="str">
            <v>All Other:: Practitioner - Primary Care Provider (PCP)</v>
          </cell>
          <cell r="M3131" t="str">
            <v>Yes</v>
          </cell>
          <cell r="R3131" t="str">
            <v>WEISSMAN MATTHEW</v>
          </cell>
          <cell r="W3131" t="str">
            <v>WEISSMAN MATTHEW ARON MD</v>
          </cell>
          <cell r="X3131" t="str">
            <v>967 N BROADWAY</v>
          </cell>
          <cell r="Y3131" t="str">
            <v>YONKERS</v>
          </cell>
          <cell r="Z3131" t="str">
            <v>NY</v>
          </cell>
          <cell r="AA3131" t="str">
            <v>10701-1301</v>
          </cell>
          <cell r="AB3131" t="str">
            <v>PHYSICIAN</v>
          </cell>
          <cell r="AC3131" t="str">
            <v>M</v>
          </cell>
          <cell r="AD3131" t="str">
            <v>No</v>
          </cell>
          <cell r="AE3131" t="str">
            <v>MMIS</v>
          </cell>
          <cell r="AF3131" t="str">
            <v>chn</v>
          </cell>
          <cell r="AG3131" t="str">
            <v>P</v>
          </cell>
        </row>
        <row r="3132">
          <cell r="A3132" t="str">
            <v>1104046002</v>
          </cell>
          <cell r="B3132" t="str">
            <v>02420060</v>
          </cell>
          <cell r="C3132" t="str">
            <v>SAWO, DOROTHY J</v>
          </cell>
          <cell r="D3132" t="str">
            <v>E0058122</v>
          </cell>
          <cell r="E3132" t="str">
            <v>SAWO DOROTHY JARTU</v>
          </cell>
          <cell r="G3132" t="str">
            <v>Kathryn Spaziani</v>
          </cell>
          <cell r="H3132" t="str">
            <v>(212) 305-1190</v>
          </cell>
          <cell r="J3132" t="str">
            <v>kas9171@nyp.org</v>
          </cell>
          <cell r="L3132" t="str">
            <v>All Other:: Practitioner - Primary Care Provider (PCP)</v>
          </cell>
          <cell r="M3132" t="str">
            <v>Yes</v>
          </cell>
          <cell r="R3132" t="str">
            <v>SAWO DOROTHY MISS</v>
          </cell>
          <cell r="W3132" t="str">
            <v>SAWO DOROTHY JARTU</v>
          </cell>
          <cell r="X3132" t="str">
            <v>180 FORT WASHINGTON AVE FL 6</v>
          </cell>
          <cell r="Y3132" t="str">
            <v>NEW YORK</v>
          </cell>
          <cell r="Z3132" t="str">
            <v>NY</v>
          </cell>
          <cell r="AA3132" t="str">
            <v>10032-3722</v>
          </cell>
          <cell r="AB3132" t="str">
            <v>PHYSICIAN</v>
          </cell>
          <cell r="AC3132" t="str">
            <v>M</v>
          </cell>
          <cell r="AD3132" t="str">
            <v>No</v>
          </cell>
          <cell r="AE3132" t="str">
            <v>MMIS</v>
          </cell>
          <cell r="AF3132" t="str">
            <v>nypwestcampus</v>
          </cell>
          <cell r="AG3132" t="str">
            <v>P</v>
          </cell>
        </row>
        <row r="3133">
          <cell r="A3133" t="str">
            <v>1063432656</v>
          </cell>
          <cell r="B3133" t="str">
            <v>02393488</v>
          </cell>
          <cell r="C3133" t="str">
            <v>Veler, Haviva</v>
          </cell>
          <cell r="D3133" t="str">
            <v>E0060779</v>
          </cell>
          <cell r="E3133" t="str">
            <v>VELER HAVIVA MD</v>
          </cell>
          <cell r="G3133" t="str">
            <v>Kathryn Spaziani</v>
          </cell>
          <cell r="H3133" t="str">
            <v>(212) 305-1190</v>
          </cell>
          <cell r="J3133" t="str">
            <v>kas9171@nyp.org</v>
          </cell>
          <cell r="L3133" t="str">
            <v>All Other:: Practitioner - Non-Primary Care Provider (PCP)</v>
          </cell>
          <cell r="M3133" t="str">
            <v>No</v>
          </cell>
          <cell r="R3133" t="str">
            <v>VELER HAVIVA DR.</v>
          </cell>
          <cell r="W3133" t="str">
            <v>VELER HAVIVA MD</v>
          </cell>
          <cell r="X3133" t="str">
            <v>3415 BAINBRIDGE AVE</v>
          </cell>
          <cell r="Y3133" t="str">
            <v>BRONX</v>
          </cell>
          <cell r="Z3133" t="str">
            <v>NY</v>
          </cell>
          <cell r="AA3133" t="str">
            <v>10467-2403</v>
          </cell>
          <cell r="AB3133" t="str">
            <v>PHYSICIAN</v>
          </cell>
          <cell r="AC3133" t="str">
            <v>M</v>
          </cell>
          <cell r="AD3133" t="str">
            <v>No</v>
          </cell>
          <cell r="AE3133" t="str">
            <v>MMIS</v>
          </cell>
          <cell r="AF3133" t="str">
            <v>nypeastcampus</v>
          </cell>
          <cell r="AG3133" t="str">
            <v>P</v>
          </cell>
        </row>
        <row r="3134">
          <cell r="A3134" t="str">
            <v>1760538664</v>
          </cell>
          <cell r="B3134" t="str">
            <v>01844935</v>
          </cell>
          <cell r="C3134" t="str">
            <v>VOGLER, MARY A</v>
          </cell>
          <cell r="D3134" t="str">
            <v>E0115547</v>
          </cell>
          <cell r="E3134" t="str">
            <v>VOGLER MARY A MD</v>
          </cell>
          <cell r="G3134" t="str">
            <v>Kathryn Spaziani</v>
          </cell>
          <cell r="H3134" t="str">
            <v>(212) 305-1190</v>
          </cell>
          <cell r="J3134" t="str">
            <v>kas9171@nyp.org</v>
          </cell>
          <cell r="L3134" t="str">
            <v>All Other:: Practitioner - Primary Care Provider (PCP)</v>
          </cell>
          <cell r="M3134" t="str">
            <v>No</v>
          </cell>
          <cell r="R3134" t="str">
            <v>VOGLER MARY DR.</v>
          </cell>
          <cell r="W3134" t="str">
            <v>VOGLER MARY A MD</v>
          </cell>
          <cell r="X3134" t="str">
            <v>525 E 68TH ST</v>
          </cell>
          <cell r="Y3134" t="str">
            <v>NEW YORK</v>
          </cell>
          <cell r="Z3134" t="str">
            <v>NY</v>
          </cell>
          <cell r="AA3134" t="str">
            <v>10065-4870</v>
          </cell>
          <cell r="AB3134" t="str">
            <v>PHYSICIAN</v>
          </cell>
          <cell r="AC3134" t="str">
            <v>M</v>
          </cell>
          <cell r="AD3134" t="str">
            <v>No</v>
          </cell>
          <cell r="AE3134" t="str">
            <v>MMIS</v>
          </cell>
          <cell r="AF3134" t="str">
            <v>nypeastcampus</v>
          </cell>
          <cell r="AG3134" t="str">
            <v>P</v>
          </cell>
        </row>
        <row r="3135">
          <cell r="A3135" t="str">
            <v>1720161904</v>
          </cell>
          <cell r="B3135" t="str">
            <v>01712367</v>
          </cell>
          <cell r="C3135" t="str">
            <v>CHONG, DAVID</v>
          </cell>
          <cell r="D3135" t="str">
            <v>E0128786</v>
          </cell>
          <cell r="E3135" t="str">
            <v>CHONG DAVID HAE KYO MD</v>
          </cell>
          <cell r="G3135" t="str">
            <v>Kathryn Spaziani</v>
          </cell>
          <cell r="H3135" t="str">
            <v>(212) 305-1213</v>
          </cell>
          <cell r="J3135" t="str">
            <v>kas9171@nyp.org</v>
          </cell>
          <cell r="L3135" t="str">
            <v>Practitioner - Non-Primary Care Provider (PCP)</v>
          </cell>
          <cell r="M3135" t="str">
            <v>No</v>
          </cell>
          <cell r="R3135" t="str">
            <v>CHONG DAVID DR.</v>
          </cell>
          <cell r="W3135" t="str">
            <v>CHONG DAVID HAE KYO MD</v>
          </cell>
          <cell r="X3135" t="str">
            <v>622 W 168TH ST</v>
          </cell>
          <cell r="Y3135" t="str">
            <v>NEW YORK</v>
          </cell>
          <cell r="Z3135" t="str">
            <v>NY</v>
          </cell>
          <cell r="AA3135" t="str">
            <v>10032-3720</v>
          </cell>
          <cell r="AB3135" t="str">
            <v>PHYSICIAN</v>
          </cell>
          <cell r="AC3135" t="str">
            <v>M</v>
          </cell>
          <cell r="AD3135" t="str">
            <v>No</v>
          </cell>
          <cell r="AE3135" t="str">
            <v>MMIS</v>
          </cell>
          <cell r="AF3135" t="str">
            <v>nypwestcampus</v>
          </cell>
          <cell r="AG3135" t="str">
            <v>P</v>
          </cell>
        </row>
        <row r="3136">
          <cell r="A3136" t="str">
            <v>1922004860</v>
          </cell>
          <cell r="B3136" t="str">
            <v>00708181</v>
          </cell>
          <cell r="C3136" t="str">
            <v>Menorah Home &amp; Hospital for the Aged &amp; Infirm d/b/a Menorah Center for Rehabilitation and Nursing Care</v>
          </cell>
          <cell r="D3136" t="str">
            <v>E0228886</v>
          </cell>
          <cell r="E3136" t="str">
            <v>MENORAH HOME &amp; HOSP AGED INF</v>
          </cell>
          <cell r="G3136" t="str">
            <v>Jay Gormley, VP of Planning, Research, and Innovation</v>
          </cell>
          <cell r="H3136" t="str">
            <v>(212) 356-5419</v>
          </cell>
          <cell r="J3136" t="str">
            <v>jgormley@mjhs.org</v>
          </cell>
          <cell r="L3136" t="str">
            <v>All Other:: Nursing Home</v>
          </cell>
          <cell r="M3136" t="str">
            <v>Yes</v>
          </cell>
          <cell r="R3136" t="str">
            <v>MENORAH HOME AND HOSPITAL FOR THE AGED AND INFIRM</v>
          </cell>
          <cell r="W3136" t="str">
            <v>MENORAH HOME &amp; HOSP AGED INF</v>
          </cell>
          <cell r="X3136" t="str">
            <v>1516 ORIENTAL BLVD</v>
          </cell>
          <cell r="Y3136" t="str">
            <v>BROOKLYN</v>
          </cell>
          <cell r="Z3136" t="str">
            <v>NY</v>
          </cell>
          <cell r="AA3136" t="str">
            <v>11235-2328</v>
          </cell>
          <cell r="AB3136" t="str">
            <v>LONG TERM CARE FACILITY</v>
          </cell>
          <cell r="AC3136" t="str">
            <v>M</v>
          </cell>
          <cell r="AD3136" t="str">
            <v>No</v>
          </cell>
          <cell r="AE3136" t="str">
            <v>MMIS</v>
          </cell>
          <cell r="AG3136" t="str">
            <v>P</v>
          </cell>
        </row>
        <row r="3137">
          <cell r="A3137" t="str">
            <v>1396756524</v>
          </cell>
          <cell r="B3137" t="str">
            <v>02023403</v>
          </cell>
          <cell r="C3137" t="str">
            <v>Calvary Hospital (Hospice)</v>
          </cell>
          <cell r="D3137" t="str">
            <v>E0097722</v>
          </cell>
          <cell r="E3137" t="str">
            <v>CALVARY HHA &amp; HOSPICE CARE</v>
          </cell>
          <cell r="G3137" t="str">
            <v>David Grayson</v>
          </cell>
          <cell r="H3137" t="str">
            <v>(718) 518-2245</v>
          </cell>
          <cell r="J3137" t="str">
            <v>David@graysonco.com</v>
          </cell>
          <cell r="L3137" t="str">
            <v>All Other:: Hospice</v>
          </cell>
          <cell r="M3137" t="str">
            <v>No</v>
          </cell>
          <cell r="R3137" t="str">
            <v>CALVARY HOSPITAL INC.</v>
          </cell>
          <cell r="W3137" t="str">
            <v>CALVARY HHA &amp; HOSPICE CARE</v>
          </cell>
          <cell r="X3137" t="str">
            <v>1740 EASTCHESTER RD</v>
          </cell>
          <cell r="Y3137" t="str">
            <v>BRONX</v>
          </cell>
          <cell r="Z3137" t="str">
            <v>NY</v>
          </cell>
          <cell r="AA3137" t="str">
            <v>10461-2300</v>
          </cell>
          <cell r="AB3137" t="str">
            <v>DIAGNOSTIC AND TREATMENT CENTER</v>
          </cell>
          <cell r="AC3137" t="str">
            <v>M</v>
          </cell>
          <cell r="AD3137" t="str">
            <v>No</v>
          </cell>
          <cell r="AE3137" t="str">
            <v>MMIS</v>
          </cell>
          <cell r="AG3137" t="str">
            <v>P</v>
          </cell>
        </row>
        <row r="3138">
          <cell r="A3138" t="str">
            <v>1891716262</v>
          </cell>
          <cell r="B3138" t="str">
            <v>01768309</v>
          </cell>
          <cell r="C3138" t="str">
            <v>BRAUNSTEIN, ROBERT A</v>
          </cell>
          <cell r="D3138" t="str">
            <v>E0123198</v>
          </cell>
          <cell r="E3138" t="str">
            <v>BRAUNSTEIN ROBERT A MD</v>
          </cell>
          <cell r="G3138" t="str">
            <v>Kathryn Spaziani</v>
          </cell>
          <cell r="H3138" t="str">
            <v>(212) 305-1190</v>
          </cell>
          <cell r="J3138" t="str">
            <v>kas9171@nyp.org</v>
          </cell>
          <cell r="L3138" t="str">
            <v>Practitioner - Non-Primary Care Provider (PCP)</v>
          </cell>
          <cell r="M3138" t="str">
            <v>No</v>
          </cell>
          <cell r="R3138" t="str">
            <v>BRAUNSTEIN ROBERT</v>
          </cell>
          <cell r="W3138" t="str">
            <v>BRAUNSTEIN ROBERT A MD</v>
          </cell>
          <cell r="X3138" t="str">
            <v>COLUMBIA-PRESBY MC</v>
          </cell>
          <cell r="Y3138" t="str">
            <v>NEW YORK</v>
          </cell>
          <cell r="Z3138" t="str">
            <v>NY</v>
          </cell>
          <cell r="AA3138" t="str">
            <v>10032-3724</v>
          </cell>
          <cell r="AB3138" t="str">
            <v>PHYSICIAN</v>
          </cell>
          <cell r="AC3138" t="str">
            <v>M</v>
          </cell>
          <cell r="AD3138" t="str">
            <v>No</v>
          </cell>
          <cell r="AE3138" t="str">
            <v>MMIS</v>
          </cell>
          <cell r="AF3138" t="str">
            <v>nypwestacn</v>
          </cell>
          <cell r="AG3138" t="str">
            <v>P</v>
          </cell>
        </row>
        <row r="3139">
          <cell r="C3139" t="str">
            <v>Catholic Resources, Inc.</v>
          </cell>
          <cell r="G3139" t="str">
            <v>Aubrey Balcom</v>
          </cell>
          <cell r="H3139" t="str">
            <v>(646) 633-4738</v>
          </cell>
          <cell r="J3139" t="str">
            <v>abalcom@archcare.org</v>
          </cell>
          <cell r="K3139" t="str">
            <v>Community Advocacy and Support</v>
          </cell>
          <cell r="L3139" t="str">
            <v>CBO</v>
          </cell>
          <cell r="M3139" t="str">
            <v>No</v>
          </cell>
          <cell r="N3139" t="str">
            <v>33 Irving Place, 11th Floor</v>
          </cell>
          <cell r="O3139" t="str">
            <v>New York</v>
          </cell>
          <cell r="P3139" t="str">
            <v>NY</v>
          </cell>
          <cell r="Q3139" t="str">
            <v>10003</v>
          </cell>
          <cell r="AC3139" t="str">
            <v>M</v>
          </cell>
          <cell r="AD3139" t="str">
            <v>No</v>
          </cell>
          <cell r="AE3139" t="str">
            <v>No NPI or MMIS</v>
          </cell>
          <cell r="AG3139" t="str">
            <v>P</v>
          </cell>
        </row>
        <row r="3140">
          <cell r="A3140" t="str">
            <v>1083836894</v>
          </cell>
          <cell r="B3140" t="str">
            <v>03266502</v>
          </cell>
          <cell r="C3140" t="str">
            <v>DLADLA NONKULIE</v>
          </cell>
          <cell r="D3140" t="str">
            <v>E0311930</v>
          </cell>
          <cell r="E3140" t="str">
            <v>DLADLA NONKULIE</v>
          </cell>
          <cell r="L3140" t="str">
            <v>All Other:: Practitioner - Primary Care Provider (PCP)</v>
          </cell>
          <cell r="M3140" t="str">
            <v>Yes</v>
          </cell>
          <cell r="R3140" t="str">
            <v>DLADLA NONKULIE</v>
          </cell>
          <cell r="W3140" t="str">
            <v>DLADLA NONKULIE</v>
          </cell>
          <cell r="X3140" t="str">
            <v>220 13TH ST</v>
          </cell>
          <cell r="Y3140" t="str">
            <v>BROOKLYN</v>
          </cell>
          <cell r="Z3140" t="str">
            <v>NY</v>
          </cell>
          <cell r="AA3140" t="str">
            <v>11215-4802</v>
          </cell>
          <cell r="AB3140" t="str">
            <v>PHYSICIAN</v>
          </cell>
          <cell r="AC3140" t="str">
            <v>M</v>
          </cell>
          <cell r="AD3140" t="str">
            <v>No</v>
          </cell>
          <cell r="AE3140" t="str">
            <v>MMIS</v>
          </cell>
          <cell r="AF3140" t="str">
            <v>accesschc</v>
          </cell>
          <cell r="AG3140" t="str">
            <v>P</v>
          </cell>
        </row>
        <row r="3141">
          <cell r="A3141" t="str">
            <v>1225230154</v>
          </cell>
          <cell r="B3141" t="str">
            <v>03427745</v>
          </cell>
          <cell r="C3141" t="str">
            <v>LIN SHEN-HAN DR.</v>
          </cell>
          <cell r="D3141" t="str">
            <v>E0331203</v>
          </cell>
          <cell r="E3141" t="str">
            <v>LIN SHEN-HAN</v>
          </cell>
          <cell r="L3141" t="str">
            <v>All Other:: Practitioner - Non-Primary Care Provider (PCP)</v>
          </cell>
          <cell r="M3141" t="str">
            <v>Yes</v>
          </cell>
          <cell r="R3141" t="str">
            <v>LIN SHEN-HAN DR.</v>
          </cell>
          <cell r="W3141" t="str">
            <v>LIN SHEN-HAN</v>
          </cell>
          <cell r="X3141" t="str">
            <v>763 56TH ST STE 1</v>
          </cell>
          <cell r="Y3141" t="str">
            <v>BROOKLYN</v>
          </cell>
          <cell r="Z3141" t="str">
            <v>NY</v>
          </cell>
          <cell r="AA3141" t="str">
            <v>11220-3529</v>
          </cell>
          <cell r="AB3141" t="str">
            <v>PHYSICIAN</v>
          </cell>
          <cell r="AC3141" t="str">
            <v>M</v>
          </cell>
          <cell r="AD3141" t="str">
            <v>No</v>
          </cell>
          <cell r="AE3141" t="str">
            <v>MMIS</v>
          </cell>
          <cell r="AF3141" t="str">
            <v>accesschc</v>
          </cell>
          <cell r="AG3141" t="str">
            <v>P</v>
          </cell>
        </row>
        <row r="3142">
          <cell r="A3142" t="str">
            <v>1942520424</v>
          </cell>
          <cell r="B3142" t="str">
            <v>03662508</v>
          </cell>
          <cell r="C3142" t="str">
            <v>COX KATHERINE DR.</v>
          </cell>
          <cell r="D3142" t="str">
            <v>E0356838</v>
          </cell>
          <cell r="E3142" t="str">
            <v>COX KATHERINE ANNE</v>
          </cell>
          <cell r="L3142" t="str">
            <v>All Other:: Practitioner - Primary Care Provider (PCP)</v>
          </cell>
          <cell r="M3142" t="str">
            <v>No</v>
          </cell>
          <cell r="R3142" t="str">
            <v>COX KATHERINE DR.</v>
          </cell>
          <cell r="W3142" t="str">
            <v>COX KATHERINE ANNE</v>
          </cell>
          <cell r="X3142" t="str">
            <v>83 MAIDEN LN FL 6</v>
          </cell>
          <cell r="Y3142" t="str">
            <v>NEW YORK</v>
          </cell>
          <cell r="Z3142" t="str">
            <v>NY</v>
          </cell>
          <cell r="AA3142" t="str">
            <v>10038-4737</v>
          </cell>
          <cell r="AB3142" t="str">
            <v>PHYSICIAN</v>
          </cell>
          <cell r="AC3142" t="str">
            <v>M</v>
          </cell>
          <cell r="AD3142" t="str">
            <v>No</v>
          </cell>
          <cell r="AE3142" t="str">
            <v>MMIS</v>
          </cell>
          <cell r="AF3142" t="str">
            <v>accesschc</v>
          </cell>
          <cell r="AG3142" t="str">
            <v>P</v>
          </cell>
        </row>
        <row r="3143">
          <cell r="A3143" t="str">
            <v>1053746586</v>
          </cell>
          <cell r="B3143" t="str">
            <v>04048142</v>
          </cell>
          <cell r="C3143" t="str">
            <v>PEAL FEAFEA MRS.</v>
          </cell>
          <cell r="D3143" t="str">
            <v>E0396322</v>
          </cell>
          <cell r="E3143" t="str">
            <v>PEAL FEAFEA MOORE</v>
          </cell>
          <cell r="L3143" t="str">
            <v>All Other:: Practitioner - Non-Primary Care Provider (PCP)</v>
          </cell>
          <cell r="M3143" t="str">
            <v>No</v>
          </cell>
          <cell r="R3143" t="str">
            <v>PEAL FEAFEA MRS.</v>
          </cell>
          <cell r="W3143" t="str">
            <v>PEAL FEAFEA MOORE</v>
          </cell>
          <cell r="X3143" t="str">
            <v>83 MAIDEN LN FL 6</v>
          </cell>
          <cell r="Y3143" t="str">
            <v>NEW YORK</v>
          </cell>
          <cell r="Z3143" t="str">
            <v>NY</v>
          </cell>
          <cell r="AA3143" t="str">
            <v>10038-4737</v>
          </cell>
          <cell r="AB3143" t="str">
            <v>PHYSICIAN</v>
          </cell>
          <cell r="AC3143" t="str">
            <v>M</v>
          </cell>
          <cell r="AD3143" t="str">
            <v>No</v>
          </cell>
          <cell r="AE3143" t="str">
            <v>MMIS</v>
          </cell>
          <cell r="AF3143" t="str">
            <v>accesschc</v>
          </cell>
          <cell r="AG3143" t="str">
            <v>P</v>
          </cell>
        </row>
        <row r="3144">
          <cell r="A3144" t="str">
            <v>1407014640</v>
          </cell>
          <cell r="B3144" t="str">
            <v>03260666</v>
          </cell>
          <cell r="C3144" t="str">
            <v>KOBEISSI JAMAL DR.</v>
          </cell>
          <cell r="D3144" t="str">
            <v>E0311285</v>
          </cell>
          <cell r="E3144" t="str">
            <v>KOBEISSI JAMAL HASSAN</v>
          </cell>
          <cell r="L3144" t="str">
            <v>All Other:: Mental Health:: Practitioner - Non-Primary Care Provider (PCP)</v>
          </cell>
          <cell r="M3144" t="str">
            <v>Yes</v>
          </cell>
          <cell r="R3144" t="str">
            <v>KOBEISSI JAMAL DR.</v>
          </cell>
          <cell r="W3144" t="str">
            <v>KOBEISSI JAMAL HASSAN</v>
          </cell>
          <cell r="X3144" t="str">
            <v>83 MAIDEN LN FL 6</v>
          </cell>
          <cell r="Y3144" t="str">
            <v>NEW YORK</v>
          </cell>
          <cell r="Z3144" t="str">
            <v>NY</v>
          </cell>
          <cell r="AA3144" t="str">
            <v>10038-4812</v>
          </cell>
          <cell r="AB3144" t="str">
            <v>PHYSICIAN</v>
          </cell>
          <cell r="AC3144" t="str">
            <v>M</v>
          </cell>
          <cell r="AD3144" t="str">
            <v>No</v>
          </cell>
          <cell r="AE3144" t="str">
            <v>MMIS</v>
          </cell>
          <cell r="AF3144" t="str">
            <v>accesschc</v>
          </cell>
          <cell r="AG3144" t="str">
            <v>P</v>
          </cell>
        </row>
        <row r="3145">
          <cell r="A3145" t="str">
            <v>1548453152</v>
          </cell>
          <cell r="B3145" t="str">
            <v>03735059</v>
          </cell>
          <cell r="C3145" t="str">
            <v>NOVAKOVIC VLADAN DR.</v>
          </cell>
          <cell r="D3145" t="str">
            <v>E0364126</v>
          </cell>
          <cell r="E3145" t="str">
            <v>NOVAKOVIC VLADAN</v>
          </cell>
          <cell r="L3145" t="str">
            <v>All Other:: Mental Health:: Practitioner - Non-Primary Care Provider (PCP)</v>
          </cell>
          <cell r="M3145" t="str">
            <v>No</v>
          </cell>
          <cell r="R3145" t="str">
            <v>NOVAKOVIC VLADAN DR.</v>
          </cell>
          <cell r="W3145" t="str">
            <v>NOVAKOVIC VLADAN</v>
          </cell>
          <cell r="X3145" t="str">
            <v>83 MAIDEN LN FL 6</v>
          </cell>
          <cell r="Y3145" t="str">
            <v>NEW YORK</v>
          </cell>
          <cell r="Z3145" t="str">
            <v>NY</v>
          </cell>
          <cell r="AA3145" t="str">
            <v>10038-4737</v>
          </cell>
          <cell r="AB3145" t="str">
            <v>PHYSICIAN</v>
          </cell>
          <cell r="AC3145" t="str">
            <v>M</v>
          </cell>
          <cell r="AD3145" t="str">
            <v>No</v>
          </cell>
          <cell r="AE3145" t="str">
            <v>MMIS</v>
          </cell>
          <cell r="AF3145" t="str">
            <v>accesschc</v>
          </cell>
          <cell r="AG3145" t="str">
            <v>P</v>
          </cell>
        </row>
        <row r="3146">
          <cell r="A3146" t="str">
            <v>1629431648</v>
          </cell>
          <cell r="C3146" t="str">
            <v>DIANE ZISA</v>
          </cell>
          <cell r="G3146" t="str">
            <v>Kathryn Spaziani</v>
          </cell>
          <cell r="H3146" t="str">
            <v>(212) 305-1190</v>
          </cell>
          <cell r="J3146" t="str">
            <v>kas9171@nyp.org</v>
          </cell>
          <cell r="K3146" t="str">
            <v>Unknown</v>
          </cell>
          <cell r="L3146" t="str">
            <v>Uncategorized</v>
          </cell>
          <cell r="M3146" t="str">
            <v>No</v>
          </cell>
          <cell r="R3146" t="str">
            <v>ZISA DIANE</v>
          </cell>
          <cell r="S3146" t="str">
            <v>505 E 70TH ST, WEILL CORNELL INTERNAL MEDICINE ASSOCIATES</v>
          </cell>
          <cell r="T3146" t="str">
            <v>NEW YORK</v>
          </cell>
          <cell r="U3146" t="str">
            <v>NY</v>
          </cell>
          <cell r="V3146" t="str">
            <v>100214872</v>
          </cell>
          <cell r="AC3146" t="str">
            <v>M</v>
          </cell>
          <cell r="AD3146" t="str">
            <v>No</v>
          </cell>
          <cell r="AE3146" t="str">
            <v>NPI only</v>
          </cell>
          <cell r="AF3146" t="str">
            <v>nypeastacn</v>
          </cell>
          <cell r="AG3146" t="str">
            <v>P</v>
          </cell>
        </row>
        <row r="3147">
          <cell r="A3147" t="str">
            <v>1528453818</v>
          </cell>
          <cell r="C3147" t="str">
            <v>SHARON ZHUO</v>
          </cell>
          <cell r="G3147" t="str">
            <v>Kathryn Spaziani</v>
          </cell>
          <cell r="H3147" t="str">
            <v>(212) 305-1190</v>
          </cell>
          <cell r="J3147" t="str">
            <v>kas9171@nyp.org</v>
          </cell>
          <cell r="K3147" t="str">
            <v>Unknown</v>
          </cell>
          <cell r="L3147" t="str">
            <v>Uncategorized</v>
          </cell>
          <cell r="M3147" t="str">
            <v>No</v>
          </cell>
          <cell r="R3147" t="str">
            <v>ZHUO SHARON</v>
          </cell>
          <cell r="S3147" t="str">
            <v>622 W 168TH ST, #205</v>
          </cell>
          <cell r="T3147" t="str">
            <v>NEW YORK</v>
          </cell>
          <cell r="U3147" t="str">
            <v>NY</v>
          </cell>
          <cell r="V3147" t="str">
            <v>100323720</v>
          </cell>
          <cell r="AC3147" t="str">
            <v>M</v>
          </cell>
          <cell r="AD3147" t="str">
            <v>No</v>
          </cell>
          <cell r="AE3147" t="str">
            <v>NPI only</v>
          </cell>
          <cell r="AF3147" t="str">
            <v>nypwestacn</v>
          </cell>
          <cell r="AG3147" t="str">
            <v>P</v>
          </cell>
        </row>
        <row r="3148">
          <cell r="A3148" t="str">
            <v>1609261999</v>
          </cell>
          <cell r="C3148" t="str">
            <v>ZHEN NI ZHOU</v>
          </cell>
          <cell r="G3148" t="str">
            <v>Kathryn Spaziani</v>
          </cell>
          <cell r="H3148" t="str">
            <v>(212) 305-1190</v>
          </cell>
          <cell r="J3148" t="str">
            <v>kas9171@nyp.org</v>
          </cell>
          <cell r="K3148" t="str">
            <v>Unknown</v>
          </cell>
          <cell r="L3148" t="str">
            <v>Uncategorized</v>
          </cell>
          <cell r="M3148" t="str">
            <v>No</v>
          </cell>
          <cell r="R3148" t="str">
            <v>ZHOU ZHEN NI</v>
          </cell>
          <cell r="S3148" t="str">
            <v>525 E 68TH ST, DEPARTMENT OF OBSTETRICS AND GYNECOLOGY, BOX 122</v>
          </cell>
          <cell r="T3148" t="str">
            <v>NEW YORK</v>
          </cell>
          <cell r="U3148" t="str">
            <v>NY</v>
          </cell>
          <cell r="V3148" t="str">
            <v>100654870</v>
          </cell>
          <cell r="AC3148" t="str">
            <v>M</v>
          </cell>
          <cell r="AD3148" t="str">
            <v>No</v>
          </cell>
          <cell r="AE3148" t="str">
            <v>NPI only</v>
          </cell>
          <cell r="AF3148" t="str">
            <v>nypeastacn</v>
          </cell>
          <cell r="AG3148" t="str">
            <v>P</v>
          </cell>
        </row>
        <row r="3149">
          <cell r="A3149" t="str">
            <v>1720496607</v>
          </cell>
          <cell r="C3149" t="str">
            <v>ANTHONY YUEN</v>
          </cell>
          <cell r="G3149" t="str">
            <v>Kathryn Spaziani</v>
          </cell>
          <cell r="H3149" t="str">
            <v>(212) 305-1190</v>
          </cell>
          <cell r="J3149" t="str">
            <v>kas9171@nyp.org</v>
          </cell>
          <cell r="K3149" t="str">
            <v>Unknown</v>
          </cell>
          <cell r="L3149" t="str">
            <v>Uncategorized</v>
          </cell>
          <cell r="M3149" t="str">
            <v>No</v>
          </cell>
          <cell r="R3149" t="str">
            <v>YUEN SHEUNG LAI DR.</v>
          </cell>
          <cell r="S3149" t="str">
            <v>BAYSTATE MEDICAL CTR, 759 CHESTNUT STREET</v>
          </cell>
          <cell r="T3149" t="str">
            <v>SPRINGFIELD</v>
          </cell>
          <cell r="U3149" t="str">
            <v>MA</v>
          </cell>
          <cell r="V3149" t="str">
            <v>011991001</v>
          </cell>
          <cell r="AC3149" t="str">
            <v>M</v>
          </cell>
          <cell r="AD3149" t="str">
            <v>No</v>
          </cell>
          <cell r="AE3149" t="str">
            <v>NPI only</v>
          </cell>
          <cell r="AF3149" t="str">
            <v>nypeastacn</v>
          </cell>
          <cell r="AG3149" t="str">
            <v>P</v>
          </cell>
        </row>
        <row r="3150">
          <cell r="A3150" t="str">
            <v>1174914543</v>
          </cell>
          <cell r="C3150" t="str">
            <v>SAMUEL YAMSHON</v>
          </cell>
          <cell r="G3150" t="str">
            <v>Kathryn Spaziani</v>
          </cell>
          <cell r="H3150" t="str">
            <v>(212) 305-1190</v>
          </cell>
          <cell r="J3150" t="str">
            <v>kas9171@nyp.org</v>
          </cell>
          <cell r="K3150" t="str">
            <v>Unknown</v>
          </cell>
          <cell r="L3150" t="str">
            <v>Uncategorized</v>
          </cell>
          <cell r="M3150" t="str">
            <v>No</v>
          </cell>
          <cell r="R3150" t="str">
            <v>YAMSHON SAMUEL DR.</v>
          </cell>
          <cell r="S3150" t="str">
            <v>505 E 70TH ST, WEILL CORNELL INTERNAL MEDICINE ASSOCIATES</v>
          </cell>
          <cell r="T3150" t="str">
            <v>NEW YORK</v>
          </cell>
          <cell r="U3150" t="str">
            <v>NY</v>
          </cell>
          <cell r="V3150" t="str">
            <v>100214872</v>
          </cell>
          <cell r="AC3150" t="str">
            <v>M</v>
          </cell>
          <cell r="AD3150" t="str">
            <v>No</v>
          </cell>
          <cell r="AE3150" t="str">
            <v>NPI only</v>
          </cell>
          <cell r="AF3150" t="str">
            <v>nypeastacn</v>
          </cell>
          <cell r="AG3150" t="str">
            <v>P</v>
          </cell>
        </row>
        <row r="3151">
          <cell r="A3151" t="str">
            <v>1134583560</v>
          </cell>
          <cell r="C3151" t="str">
            <v>ELIZABETH YAKABOSKI</v>
          </cell>
          <cell r="G3151" t="str">
            <v>Kathryn Spaziani</v>
          </cell>
          <cell r="H3151" t="str">
            <v>(212) 305-1190</v>
          </cell>
          <cell r="J3151" t="str">
            <v>kas9171@nyp.org</v>
          </cell>
          <cell r="K3151" t="str">
            <v>Unknown</v>
          </cell>
          <cell r="L3151" t="str">
            <v>Uncategorized</v>
          </cell>
          <cell r="M3151" t="str">
            <v>No</v>
          </cell>
          <cell r="R3151" t="str">
            <v>YAKABOSKI ELIZABETH</v>
          </cell>
          <cell r="S3151" t="str">
            <v>5141 BROADWAY</v>
          </cell>
          <cell r="T3151" t="str">
            <v>NEW YORK</v>
          </cell>
          <cell r="U3151" t="str">
            <v>NY</v>
          </cell>
          <cell r="V3151" t="str">
            <v>100341159</v>
          </cell>
          <cell r="AC3151" t="str">
            <v>M</v>
          </cell>
          <cell r="AD3151" t="str">
            <v>No</v>
          </cell>
          <cell r="AE3151" t="str">
            <v>NPI only</v>
          </cell>
          <cell r="AF3151" t="str">
            <v>nypeastacn</v>
          </cell>
          <cell r="AG3151" t="str">
            <v>P</v>
          </cell>
        </row>
        <row r="3152">
          <cell r="A3152" t="str">
            <v>1932562766</v>
          </cell>
          <cell r="C3152" t="str">
            <v>EMILY WOODBURY</v>
          </cell>
          <cell r="G3152" t="str">
            <v>Kathryn Spaziani</v>
          </cell>
          <cell r="H3152" t="str">
            <v>(212) 305-1190</v>
          </cell>
          <cell r="J3152" t="str">
            <v>kas9171@nyp.org</v>
          </cell>
          <cell r="K3152" t="str">
            <v>Unknown</v>
          </cell>
          <cell r="L3152" t="str">
            <v>Uncategorized</v>
          </cell>
          <cell r="M3152" t="str">
            <v>No</v>
          </cell>
          <cell r="R3152" t="str">
            <v>WOODBURY EMILY</v>
          </cell>
          <cell r="S3152" t="str">
            <v>525 E 68TH ST # 122, OB/GYN DEPARTMENT, RE: PATRISHA HARRIPERSAUD</v>
          </cell>
          <cell r="T3152" t="str">
            <v>NEW YORK</v>
          </cell>
          <cell r="U3152" t="str">
            <v>NY</v>
          </cell>
          <cell r="V3152" t="str">
            <v>100654870</v>
          </cell>
          <cell r="AC3152" t="str">
            <v>M</v>
          </cell>
          <cell r="AD3152" t="str">
            <v>No</v>
          </cell>
          <cell r="AE3152" t="str">
            <v>NPI only</v>
          </cell>
          <cell r="AF3152" t="str">
            <v>nypeastacn</v>
          </cell>
          <cell r="AG3152" t="str">
            <v>P</v>
          </cell>
        </row>
        <row r="3153">
          <cell r="A3153" t="str">
            <v>1679935019</v>
          </cell>
          <cell r="C3153" t="str">
            <v>MARIE WILL</v>
          </cell>
          <cell r="G3153" t="str">
            <v>Kathryn Spaziani</v>
          </cell>
          <cell r="H3153" t="str">
            <v>(212) 305-1190</v>
          </cell>
          <cell r="J3153" t="str">
            <v>kas9171@nyp.org</v>
          </cell>
          <cell r="K3153" t="str">
            <v>Unknown</v>
          </cell>
          <cell r="L3153" t="str">
            <v>Uncategorized</v>
          </cell>
          <cell r="M3153" t="str">
            <v>No</v>
          </cell>
          <cell r="R3153" t="str">
            <v>WILL MARIE DR.</v>
          </cell>
          <cell r="S3153" t="str">
            <v>505 E 70TH ST</v>
          </cell>
          <cell r="T3153" t="str">
            <v>NEW YORK</v>
          </cell>
          <cell r="U3153" t="str">
            <v>NY</v>
          </cell>
          <cell r="V3153" t="str">
            <v>100214872</v>
          </cell>
          <cell r="AC3153" t="str">
            <v>M</v>
          </cell>
          <cell r="AD3153" t="str">
            <v>No</v>
          </cell>
          <cell r="AE3153" t="str">
            <v>NPI only</v>
          </cell>
          <cell r="AF3153" t="str">
            <v>nypeastacn</v>
          </cell>
          <cell r="AG3153" t="str">
            <v>P</v>
          </cell>
        </row>
        <row r="3154">
          <cell r="A3154" t="str">
            <v>1235592080</v>
          </cell>
          <cell r="C3154" t="str">
            <v>JONATHAN WILEN</v>
          </cell>
          <cell r="G3154" t="str">
            <v>Kathryn Spaziani</v>
          </cell>
          <cell r="H3154" t="str">
            <v>(212) 305-1190</v>
          </cell>
          <cell r="J3154" t="str">
            <v>kas9171@nyp.org</v>
          </cell>
          <cell r="K3154" t="str">
            <v>Unknown</v>
          </cell>
          <cell r="L3154" t="str">
            <v>Uncategorized</v>
          </cell>
          <cell r="M3154" t="str">
            <v>No</v>
          </cell>
          <cell r="R3154" t="str">
            <v>WILEN JONATHAN DR.</v>
          </cell>
          <cell r="S3154" t="str">
            <v>622 W 168TH ST</v>
          </cell>
          <cell r="T3154" t="str">
            <v>NEW YORK</v>
          </cell>
          <cell r="U3154" t="str">
            <v>NY</v>
          </cell>
          <cell r="V3154" t="str">
            <v>100323720</v>
          </cell>
          <cell r="AC3154" t="str">
            <v>M</v>
          </cell>
          <cell r="AD3154" t="str">
            <v>No</v>
          </cell>
          <cell r="AE3154" t="str">
            <v>NPI only</v>
          </cell>
          <cell r="AF3154" t="str">
            <v>nypwestacn</v>
          </cell>
          <cell r="AG3154" t="str">
            <v>P</v>
          </cell>
        </row>
        <row r="3155">
          <cell r="A3155" t="str">
            <v>1811316714</v>
          </cell>
          <cell r="C3155" t="str">
            <v>ADAM WIDMAN</v>
          </cell>
          <cell r="G3155" t="str">
            <v>Kathryn Spaziani</v>
          </cell>
          <cell r="H3155" t="str">
            <v>(212) 305-1190</v>
          </cell>
          <cell r="J3155" t="str">
            <v>kas9171@nyp.org</v>
          </cell>
          <cell r="K3155" t="str">
            <v>Unknown</v>
          </cell>
          <cell r="L3155" t="str">
            <v>Uncategorized</v>
          </cell>
          <cell r="M3155" t="str">
            <v>No</v>
          </cell>
          <cell r="R3155" t="str">
            <v>WIDMAN ADAM</v>
          </cell>
          <cell r="S3155" t="str">
            <v>420 E 70TH ST APT 12M3</v>
          </cell>
          <cell r="T3155" t="str">
            <v>NEW YORK</v>
          </cell>
          <cell r="U3155" t="str">
            <v>NY</v>
          </cell>
          <cell r="V3155" t="str">
            <v>100215354</v>
          </cell>
          <cell r="AC3155" t="str">
            <v>M</v>
          </cell>
          <cell r="AD3155" t="str">
            <v>No</v>
          </cell>
          <cell r="AE3155" t="str">
            <v>NPI only</v>
          </cell>
          <cell r="AF3155" t="str">
            <v>nypwestacn</v>
          </cell>
          <cell r="AG3155" t="str">
            <v>P</v>
          </cell>
        </row>
        <row r="3156">
          <cell r="A3156" t="str">
            <v>1104272814</v>
          </cell>
          <cell r="C3156" t="str">
            <v>TIMOTHY WEN</v>
          </cell>
          <cell r="G3156" t="str">
            <v>Kathryn Spaziani</v>
          </cell>
          <cell r="H3156" t="str">
            <v>(212) 305-1190</v>
          </cell>
          <cell r="J3156" t="str">
            <v>kas9171@nyp.org</v>
          </cell>
          <cell r="K3156" t="str">
            <v>Unknown</v>
          </cell>
          <cell r="L3156" t="str">
            <v>Uncategorized</v>
          </cell>
          <cell r="M3156" t="str">
            <v>No</v>
          </cell>
          <cell r="R3156" t="str">
            <v>WEN TIMOTHY DR.</v>
          </cell>
          <cell r="S3156" t="str">
            <v>622 W 168TH ST, DEPARTMENT OF OBSTETRICS &amp; GYNECOLOGY</v>
          </cell>
          <cell r="T3156" t="str">
            <v>NEW YORK</v>
          </cell>
          <cell r="U3156" t="str">
            <v>NY</v>
          </cell>
          <cell r="V3156" t="str">
            <v>100323720</v>
          </cell>
          <cell r="AC3156" t="str">
            <v>M</v>
          </cell>
          <cell r="AD3156" t="str">
            <v>No</v>
          </cell>
          <cell r="AE3156" t="str">
            <v>NPI only</v>
          </cell>
          <cell r="AF3156" t="str">
            <v>nypwestacn</v>
          </cell>
          <cell r="AG3156" t="str">
            <v>P</v>
          </cell>
        </row>
        <row r="3157">
          <cell r="A3157" t="str">
            <v>1760802821</v>
          </cell>
          <cell r="C3157" t="str">
            <v>CHRISTINA WELSH</v>
          </cell>
          <cell r="G3157" t="str">
            <v>Kathryn Spaziani</v>
          </cell>
          <cell r="H3157" t="str">
            <v>(212) 305-1190</v>
          </cell>
          <cell r="J3157" t="str">
            <v>kas9171@nyp.org</v>
          </cell>
          <cell r="K3157" t="str">
            <v>Unknown</v>
          </cell>
          <cell r="L3157" t="str">
            <v>Uncategorized</v>
          </cell>
          <cell r="M3157" t="str">
            <v>No</v>
          </cell>
          <cell r="R3157" t="str">
            <v>WELSH CHRISTINA</v>
          </cell>
          <cell r="S3157" t="str">
            <v>3959 BROADWAY</v>
          </cell>
          <cell r="T3157" t="str">
            <v>NEW YORK</v>
          </cell>
          <cell r="U3157" t="str">
            <v>NY</v>
          </cell>
          <cell r="V3157" t="str">
            <v>100321559</v>
          </cell>
          <cell r="AC3157" t="str">
            <v>M</v>
          </cell>
          <cell r="AD3157" t="str">
            <v>No</v>
          </cell>
          <cell r="AE3157" t="str">
            <v>NPI only</v>
          </cell>
          <cell r="AF3157" t="str">
            <v>nypwestacn</v>
          </cell>
          <cell r="AG3157" t="str">
            <v>P</v>
          </cell>
        </row>
        <row r="3158">
          <cell r="A3158" t="str">
            <v>1083009971</v>
          </cell>
          <cell r="C3158" t="str">
            <v>CARA WEINSTEIN</v>
          </cell>
          <cell r="G3158" t="str">
            <v>Kathryn Spaziani</v>
          </cell>
          <cell r="H3158" t="str">
            <v>(212) 305-1190</v>
          </cell>
          <cell r="J3158" t="str">
            <v>kas9171@nyp.org</v>
          </cell>
          <cell r="K3158" t="str">
            <v>Unknown</v>
          </cell>
          <cell r="L3158" t="str">
            <v>Uncategorized</v>
          </cell>
          <cell r="M3158" t="str">
            <v>No</v>
          </cell>
          <cell r="R3158" t="str">
            <v>WEINSTEIN CARA DR.</v>
          </cell>
          <cell r="S3158" t="str">
            <v>3959 BROADWAY</v>
          </cell>
          <cell r="T3158" t="str">
            <v>NEW YORK</v>
          </cell>
          <cell r="U3158" t="str">
            <v>NY</v>
          </cell>
          <cell r="V3158" t="str">
            <v>100321559</v>
          </cell>
          <cell r="AC3158" t="str">
            <v>M</v>
          </cell>
          <cell r="AD3158" t="str">
            <v>No</v>
          </cell>
          <cell r="AE3158" t="str">
            <v>NPI only</v>
          </cell>
          <cell r="AF3158" t="str">
            <v>nypwestacn</v>
          </cell>
          <cell r="AG3158" t="str">
            <v>P</v>
          </cell>
        </row>
        <row r="3159">
          <cell r="A3159" t="str">
            <v>1912326166</v>
          </cell>
          <cell r="C3159" t="str">
            <v>BRIAN WAYDA</v>
          </cell>
          <cell r="G3159" t="str">
            <v>Kathryn Spaziani</v>
          </cell>
          <cell r="H3159" t="str">
            <v>(212) 305-1190</v>
          </cell>
          <cell r="J3159" t="str">
            <v>kas9171@nyp.org</v>
          </cell>
          <cell r="K3159" t="str">
            <v>Unknown</v>
          </cell>
          <cell r="L3159" t="str">
            <v>Uncategorized</v>
          </cell>
          <cell r="M3159" t="str">
            <v>No</v>
          </cell>
          <cell r="R3159" t="str">
            <v>WAYDA BRIAN MR.</v>
          </cell>
          <cell r="S3159" t="str">
            <v>44 TULIP LN</v>
          </cell>
          <cell r="T3159" t="str">
            <v>LEVITTOWN</v>
          </cell>
          <cell r="U3159" t="str">
            <v>PA</v>
          </cell>
          <cell r="V3159" t="str">
            <v>190542220</v>
          </cell>
          <cell r="AC3159" t="str">
            <v>M</v>
          </cell>
          <cell r="AD3159" t="str">
            <v>No</v>
          </cell>
          <cell r="AE3159" t="str">
            <v>NPI only</v>
          </cell>
          <cell r="AF3159" t="str">
            <v>nypwestacn</v>
          </cell>
          <cell r="AG3159" t="str">
            <v>P</v>
          </cell>
        </row>
        <row r="3160">
          <cell r="A3160" t="str">
            <v>1073900940</v>
          </cell>
          <cell r="C3160" t="str">
            <v>NICOLINA WAWRIN</v>
          </cell>
          <cell r="G3160" t="str">
            <v>Kathryn Spaziani</v>
          </cell>
          <cell r="H3160" t="str">
            <v>(212) 305-1190</v>
          </cell>
          <cell r="J3160" t="str">
            <v>kas9171@nyp.org</v>
          </cell>
          <cell r="K3160" t="str">
            <v>Unknown</v>
          </cell>
          <cell r="L3160" t="str">
            <v>Uncategorized</v>
          </cell>
          <cell r="M3160" t="str">
            <v>No</v>
          </cell>
          <cell r="R3160" t="str">
            <v>WAWRIN NICOLINA</v>
          </cell>
          <cell r="S3160" t="str">
            <v>525 E 68TH ST</v>
          </cell>
          <cell r="T3160" t="str">
            <v>NEW YORK</v>
          </cell>
          <cell r="U3160" t="str">
            <v>NY</v>
          </cell>
          <cell r="V3160" t="str">
            <v>100654870</v>
          </cell>
          <cell r="AC3160" t="str">
            <v>M</v>
          </cell>
          <cell r="AD3160" t="str">
            <v>No</v>
          </cell>
          <cell r="AE3160" t="str">
            <v>NPI only</v>
          </cell>
          <cell r="AF3160" t="str">
            <v>nypeastacn</v>
          </cell>
          <cell r="AG3160" t="str">
            <v>P</v>
          </cell>
        </row>
        <row r="3161">
          <cell r="A3161" t="str">
            <v>1871942235</v>
          </cell>
          <cell r="C3161" t="str">
            <v>SALLY VITEZ</v>
          </cell>
          <cell r="G3161" t="str">
            <v>Kathryn Spaziani</v>
          </cell>
          <cell r="H3161" t="str">
            <v>(212) 305-1190</v>
          </cell>
          <cell r="J3161" t="str">
            <v>kas9171@nyp.org</v>
          </cell>
          <cell r="K3161" t="str">
            <v>Unknown</v>
          </cell>
          <cell r="L3161" t="str">
            <v>Uncategorized</v>
          </cell>
          <cell r="M3161" t="str">
            <v>No</v>
          </cell>
          <cell r="R3161" t="str">
            <v>VITEZ SALLY DR.</v>
          </cell>
          <cell r="S3161" t="str">
            <v>622 W 168TH ST, PH 16-29</v>
          </cell>
          <cell r="T3161" t="str">
            <v>NEW YORK</v>
          </cell>
          <cell r="U3161" t="str">
            <v>NY</v>
          </cell>
          <cell r="V3161" t="str">
            <v>100323720</v>
          </cell>
          <cell r="AC3161" t="str">
            <v>M</v>
          </cell>
          <cell r="AD3161" t="str">
            <v>No</v>
          </cell>
          <cell r="AE3161" t="str">
            <v>NPI only</v>
          </cell>
          <cell r="AF3161" t="str">
            <v>nypwestacn</v>
          </cell>
          <cell r="AG3161" t="str">
            <v>P</v>
          </cell>
        </row>
        <row r="3162">
          <cell r="A3162" t="str">
            <v>1275987257</v>
          </cell>
          <cell r="C3162" t="str">
            <v>NEHA VIJAYVARGIYA</v>
          </cell>
          <cell r="G3162" t="str">
            <v>Kathryn Spaziani</v>
          </cell>
          <cell r="H3162" t="str">
            <v>(212) 305-1190</v>
          </cell>
          <cell r="J3162" t="str">
            <v>kas9171@nyp.org</v>
          </cell>
          <cell r="K3162" t="str">
            <v>Unknown</v>
          </cell>
          <cell r="L3162" t="str">
            <v>Uncategorized</v>
          </cell>
          <cell r="M3162" t="str">
            <v>No</v>
          </cell>
          <cell r="R3162" t="str">
            <v>VIJAYVARGIYA NEHA DR.</v>
          </cell>
          <cell r="S3162" t="str">
            <v>525 E 68TH ST</v>
          </cell>
          <cell r="T3162" t="str">
            <v>NEW YORK</v>
          </cell>
          <cell r="U3162" t="str">
            <v>NY</v>
          </cell>
          <cell r="V3162" t="str">
            <v>100654870</v>
          </cell>
          <cell r="AC3162" t="str">
            <v>M</v>
          </cell>
          <cell r="AD3162" t="str">
            <v>No</v>
          </cell>
          <cell r="AE3162" t="str">
            <v>NPI only</v>
          </cell>
          <cell r="AF3162" t="str">
            <v>nypeastacn</v>
          </cell>
          <cell r="AG3162" t="str">
            <v>P</v>
          </cell>
        </row>
        <row r="3163">
          <cell r="A3163" t="str">
            <v>1124481486</v>
          </cell>
          <cell r="C3163" t="str">
            <v>SAMUEL VIDAL</v>
          </cell>
          <cell r="G3163" t="str">
            <v>Kathryn Spaziani</v>
          </cell>
          <cell r="H3163" t="str">
            <v>(212) 305-1190</v>
          </cell>
          <cell r="J3163" t="str">
            <v>kas9171@nyp.org</v>
          </cell>
          <cell r="K3163" t="str">
            <v>Unknown</v>
          </cell>
          <cell r="L3163" t="str">
            <v>Uncategorized</v>
          </cell>
          <cell r="M3163" t="str">
            <v>No</v>
          </cell>
          <cell r="R3163" t="str">
            <v>VIDAL SAMUEL</v>
          </cell>
          <cell r="S3163" t="str">
            <v>622 W 168TH ST</v>
          </cell>
          <cell r="T3163" t="str">
            <v>NEW YORK</v>
          </cell>
          <cell r="U3163" t="str">
            <v>NY</v>
          </cell>
          <cell r="V3163" t="str">
            <v>100323720</v>
          </cell>
          <cell r="AC3163" t="str">
            <v>M</v>
          </cell>
          <cell r="AD3163" t="str">
            <v>No</v>
          </cell>
          <cell r="AE3163" t="str">
            <v>NPI only</v>
          </cell>
          <cell r="AF3163" t="str">
            <v>nypwestacn</v>
          </cell>
          <cell r="AG3163" t="str">
            <v>P</v>
          </cell>
        </row>
        <row r="3164">
          <cell r="A3164" t="str">
            <v>1659766905</v>
          </cell>
          <cell r="C3164" t="str">
            <v>ERIC VENKER</v>
          </cell>
          <cell r="G3164" t="str">
            <v>Kathryn Spaziani</v>
          </cell>
          <cell r="H3164" t="str">
            <v>(212) 305-1190</v>
          </cell>
          <cell r="J3164" t="str">
            <v>kas9171@nyp.org</v>
          </cell>
          <cell r="K3164" t="str">
            <v>Unknown</v>
          </cell>
          <cell r="L3164" t="str">
            <v>Uncategorized</v>
          </cell>
          <cell r="M3164" t="str">
            <v>No</v>
          </cell>
          <cell r="R3164" t="str">
            <v>VENKER ERIC DR.</v>
          </cell>
          <cell r="S3164" t="str">
            <v>622 W 168TH ST, #205</v>
          </cell>
          <cell r="T3164" t="str">
            <v>NEW YORK</v>
          </cell>
          <cell r="U3164" t="str">
            <v>NY</v>
          </cell>
          <cell r="V3164" t="str">
            <v>100323720</v>
          </cell>
          <cell r="AC3164" t="str">
            <v>M</v>
          </cell>
          <cell r="AD3164" t="str">
            <v>No</v>
          </cell>
          <cell r="AE3164" t="str">
            <v>NPI only</v>
          </cell>
          <cell r="AF3164" t="str">
            <v>nypwestacn</v>
          </cell>
          <cell r="AG3164" t="str">
            <v>P</v>
          </cell>
        </row>
        <row r="3165">
          <cell r="A3165" t="str">
            <v>1376938001</v>
          </cell>
          <cell r="C3165" t="str">
            <v>ANGELICA VASQUEZ</v>
          </cell>
          <cell r="G3165" t="str">
            <v>Kathryn Spaziani</v>
          </cell>
          <cell r="H3165" t="str">
            <v>(212) 305-1190</v>
          </cell>
          <cell r="J3165" t="str">
            <v>kas9171@nyp.org</v>
          </cell>
          <cell r="K3165" t="str">
            <v>Unknown</v>
          </cell>
          <cell r="L3165" t="str">
            <v>Uncategorized</v>
          </cell>
          <cell r="M3165" t="str">
            <v>No</v>
          </cell>
          <cell r="R3165" t="str">
            <v>VASQUEZ ANGELICA</v>
          </cell>
          <cell r="S3165" t="str">
            <v>3959 BROADWAY</v>
          </cell>
          <cell r="T3165" t="str">
            <v>NEW YORK</v>
          </cell>
          <cell r="U3165" t="str">
            <v>NY</v>
          </cell>
          <cell r="V3165" t="str">
            <v>100321559</v>
          </cell>
          <cell r="AC3165" t="str">
            <v>M</v>
          </cell>
          <cell r="AD3165" t="str">
            <v>No</v>
          </cell>
          <cell r="AE3165" t="str">
            <v>NPI only</v>
          </cell>
          <cell r="AF3165" t="str">
            <v>nypwestacn</v>
          </cell>
          <cell r="AG3165" t="str">
            <v>P</v>
          </cell>
        </row>
        <row r="3166">
          <cell r="A3166" t="str">
            <v>1508285644</v>
          </cell>
          <cell r="C3166" t="str">
            <v>MAYA VANKINENI</v>
          </cell>
          <cell r="G3166" t="str">
            <v>Kathryn Spaziani</v>
          </cell>
          <cell r="H3166" t="str">
            <v>(212) 305-1190</v>
          </cell>
          <cell r="J3166" t="str">
            <v>kas9171@nyp.org</v>
          </cell>
          <cell r="K3166" t="str">
            <v>Unknown</v>
          </cell>
          <cell r="L3166" t="str">
            <v>Uncategorized</v>
          </cell>
          <cell r="M3166" t="str">
            <v>No</v>
          </cell>
          <cell r="R3166" t="str">
            <v>VANKINENI MAYA DR.</v>
          </cell>
          <cell r="S3166" t="str">
            <v>622 W 168TH ST</v>
          </cell>
          <cell r="T3166" t="str">
            <v>NEW YORK</v>
          </cell>
          <cell r="U3166" t="str">
            <v>NY</v>
          </cell>
          <cell r="V3166" t="str">
            <v>100323720</v>
          </cell>
          <cell r="AC3166" t="str">
            <v>M</v>
          </cell>
          <cell r="AD3166" t="str">
            <v>No</v>
          </cell>
          <cell r="AE3166" t="str">
            <v>NPI only</v>
          </cell>
          <cell r="AF3166" t="str">
            <v>nypwestacn</v>
          </cell>
          <cell r="AG3166" t="str">
            <v>P</v>
          </cell>
        </row>
        <row r="3167">
          <cell r="A3167" t="str">
            <v>1679992168</v>
          </cell>
          <cell r="C3167" t="str">
            <v>DENISE UMPIERREZ</v>
          </cell>
          <cell r="G3167" t="str">
            <v>Kathryn Spaziani</v>
          </cell>
          <cell r="H3167" t="str">
            <v>(212) 305-1190</v>
          </cell>
          <cell r="J3167" t="str">
            <v>kas9171@nyp.org</v>
          </cell>
          <cell r="K3167" t="str">
            <v>Unknown</v>
          </cell>
          <cell r="L3167" t="str">
            <v>Uncategorized</v>
          </cell>
          <cell r="M3167" t="str">
            <v>No</v>
          </cell>
          <cell r="R3167" t="str">
            <v>UMPIERREZ DENISE DR.</v>
          </cell>
          <cell r="S3167" t="str">
            <v>622 W 168TH ST PH 16-29</v>
          </cell>
          <cell r="T3167" t="str">
            <v>NEW YORK</v>
          </cell>
          <cell r="U3167" t="str">
            <v>NY</v>
          </cell>
          <cell r="V3167" t="str">
            <v>100323720</v>
          </cell>
          <cell r="AC3167" t="str">
            <v>M</v>
          </cell>
          <cell r="AD3167" t="str">
            <v>No</v>
          </cell>
          <cell r="AE3167" t="str">
            <v>NPI only</v>
          </cell>
          <cell r="AF3167" t="str">
            <v>nypwestacn</v>
          </cell>
          <cell r="AG3167" t="str">
            <v>P</v>
          </cell>
        </row>
        <row r="3168">
          <cell r="A3168" t="str">
            <v>1992190391</v>
          </cell>
          <cell r="C3168" t="str">
            <v>LAUREN TRUBY</v>
          </cell>
          <cell r="G3168" t="str">
            <v>Kathryn Spaziani</v>
          </cell>
          <cell r="H3168" t="str">
            <v>(212) 305-1190</v>
          </cell>
          <cell r="J3168" t="str">
            <v>kas9171@nyp.org</v>
          </cell>
          <cell r="K3168" t="str">
            <v>Unknown</v>
          </cell>
          <cell r="L3168" t="str">
            <v>Uncategorized</v>
          </cell>
          <cell r="M3168" t="str">
            <v>No</v>
          </cell>
          <cell r="R3168" t="str">
            <v>TRUBY LAUREN</v>
          </cell>
          <cell r="S3168" t="str">
            <v>622 W 168TH ST, SUITE # 205</v>
          </cell>
          <cell r="T3168" t="str">
            <v>NEW YORK</v>
          </cell>
          <cell r="U3168" t="str">
            <v>NY</v>
          </cell>
          <cell r="V3168" t="str">
            <v>100323720</v>
          </cell>
          <cell r="AC3168" t="str">
            <v>M</v>
          </cell>
          <cell r="AD3168" t="str">
            <v>No</v>
          </cell>
          <cell r="AE3168" t="str">
            <v>NPI only</v>
          </cell>
          <cell r="AF3168" t="str">
            <v>nypwestacn</v>
          </cell>
          <cell r="AG3168" t="str">
            <v>P</v>
          </cell>
        </row>
        <row r="3169">
          <cell r="A3169" t="str">
            <v>1174972517</v>
          </cell>
          <cell r="C3169" t="str">
            <v>CLAIRE TOBIAS</v>
          </cell>
          <cell r="G3169" t="str">
            <v>Kathryn Spaziani</v>
          </cell>
          <cell r="H3169" t="str">
            <v>(212) 305-1190</v>
          </cell>
          <cell r="J3169" t="str">
            <v>kas9171@nyp.org</v>
          </cell>
          <cell r="K3169" t="str">
            <v>Unknown</v>
          </cell>
          <cell r="L3169" t="str">
            <v>Uncategorized</v>
          </cell>
          <cell r="M3169" t="str">
            <v>No</v>
          </cell>
          <cell r="R3169" t="str">
            <v>TOBIAS CLAIRE DR.</v>
          </cell>
          <cell r="S3169" t="str">
            <v>60 HAVEN AVE, APT 3B</v>
          </cell>
          <cell r="T3169" t="str">
            <v>NEW YORK</v>
          </cell>
          <cell r="U3169" t="str">
            <v>NY</v>
          </cell>
          <cell r="V3169" t="str">
            <v>100322604</v>
          </cell>
          <cell r="AC3169" t="str">
            <v>M</v>
          </cell>
          <cell r="AD3169" t="str">
            <v>No</v>
          </cell>
          <cell r="AE3169" t="str">
            <v>NPI only</v>
          </cell>
          <cell r="AF3169" t="str">
            <v>nypwestacn</v>
          </cell>
          <cell r="AG3169" t="str">
            <v>P</v>
          </cell>
        </row>
        <row r="3170">
          <cell r="A3170" t="str">
            <v>1629432646</v>
          </cell>
          <cell r="C3170" t="str">
            <v>TIMOTHY TIUTAN</v>
          </cell>
          <cell r="G3170" t="str">
            <v>Kathryn Spaziani</v>
          </cell>
          <cell r="H3170" t="str">
            <v>(212) 305-1190</v>
          </cell>
          <cell r="J3170" t="str">
            <v>kas9171@nyp.org</v>
          </cell>
          <cell r="K3170" t="str">
            <v>Unknown</v>
          </cell>
          <cell r="L3170" t="str">
            <v>Uncategorized</v>
          </cell>
          <cell r="M3170" t="str">
            <v>No</v>
          </cell>
          <cell r="R3170" t="str">
            <v>TIUTAN TIMOTHY</v>
          </cell>
          <cell r="S3170" t="str">
            <v>505 EAST 70TH STREET, WEILL CORNELL INTERNAL MEDICINE ASSOCIATES</v>
          </cell>
          <cell r="T3170" t="str">
            <v>NEW YORK</v>
          </cell>
          <cell r="U3170" t="str">
            <v>NY</v>
          </cell>
          <cell r="V3170" t="str">
            <v>10021</v>
          </cell>
          <cell r="AC3170" t="str">
            <v>M</v>
          </cell>
          <cell r="AD3170" t="str">
            <v>No</v>
          </cell>
          <cell r="AE3170" t="str">
            <v>NPI only</v>
          </cell>
          <cell r="AF3170" t="str">
            <v>nypeastacn</v>
          </cell>
          <cell r="AG3170" t="str">
            <v>P</v>
          </cell>
        </row>
        <row r="3171">
          <cell r="A3171" t="str">
            <v>1700229937</v>
          </cell>
          <cell r="C3171" t="str">
            <v>CHRISTINA TIERNEY</v>
          </cell>
          <cell r="G3171" t="str">
            <v>Kathryn Spaziani</v>
          </cell>
          <cell r="H3171" t="str">
            <v>(212) 305-1190</v>
          </cell>
          <cell r="J3171" t="str">
            <v>kas9171@nyp.org</v>
          </cell>
          <cell r="K3171" t="str">
            <v>Unknown</v>
          </cell>
          <cell r="L3171" t="str">
            <v>Uncategorized</v>
          </cell>
          <cell r="M3171" t="str">
            <v>No</v>
          </cell>
          <cell r="R3171" t="str">
            <v>TIERNEY CHRISTINA</v>
          </cell>
          <cell r="S3171" t="str">
            <v>525 E 68TH ST # 122</v>
          </cell>
          <cell r="T3171" t="str">
            <v>NEW YORK</v>
          </cell>
          <cell r="U3171" t="str">
            <v>NY</v>
          </cell>
          <cell r="V3171" t="str">
            <v>100654870</v>
          </cell>
          <cell r="AC3171" t="str">
            <v>M</v>
          </cell>
          <cell r="AD3171" t="str">
            <v>No</v>
          </cell>
          <cell r="AE3171" t="str">
            <v>NPI only</v>
          </cell>
          <cell r="AF3171" t="str">
            <v>nypeastacn</v>
          </cell>
          <cell r="AG3171" t="str">
            <v>P</v>
          </cell>
        </row>
        <row r="3172">
          <cell r="A3172" t="str">
            <v>1073933552</v>
          </cell>
          <cell r="C3172" t="str">
            <v>DEBORAH THEODORE</v>
          </cell>
          <cell r="G3172" t="str">
            <v>Kathryn Spaziani</v>
          </cell>
          <cell r="H3172" t="str">
            <v>(212) 305-1190</v>
          </cell>
          <cell r="J3172" t="str">
            <v>kas9171@nyp.org</v>
          </cell>
          <cell r="K3172" t="str">
            <v>Unknown</v>
          </cell>
          <cell r="L3172" t="str">
            <v>Uncategorized</v>
          </cell>
          <cell r="M3172" t="str">
            <v>No</v>
          </cell>
          <cell r="R3172" t="str">
            <v>THEODORE DEBORAH</v>
          </cell>
          <cell r="S3172" t="str">
            <v>630 WEST 168TH STREET, PH 8 EAST ROOM 105</v>
          </cell>
          <cell r="T3172" t="str">
            <v>NEW YORK</v>
          </cell>
          <cell r="U3172" t="str">
            <v>NY</v>
          </cell>
          <cell r="V3172" t="str">
            <v>100323784</v>
          </cell>
          <cell r="AC3172" t="str">
            <v>M</v>
          </cell>
          <cell r="AD3172" t="str">
            <v>No</v>
          </cell>
          <cell r="AE3172" t="str">
            <v>NPI only</v>
          </cell>
          <cell r="AF3172" t="str">
            <v>nypwestacn</v>
          </cell>
          <cell r="AG3172" t="str">
            <v>P</v>
          </cell>
        </row>
        <row r="3173">
          <cell r="A3173" t="str">
            <v>1366804486</v>
          </cell>
          <cell r="C3173" t="str">
            <v>COLLEEN TENAN</v>
          </cell>
          <cell r="G3173" t="str">
            <v>Kathryn Spaziani</v>
          </cell>
          <cell r="H3173" t="str">
            <v>(212) 305-1190</v>
          </cell>
          <cell r="J3173" t="str">
            <v>kas9171@nyp.org</v>
          </cell>
          <cell r="K3173" t="str">
            <v>Unknown</v>
          </cell>
          <cell r="L3173" t="str">
            <v>Uncategorized</v>
          </cell>
          <cell r="M3173" t="str">
            <v>No</v>
          </cell>
          <cell r="R3173" t="str">
            <v>TENAN COLLEEN</v>
          </cell>
          <cell r="S3173" t="str">
            <v>505 E 70TH ST</v>
          </cell>
          <cell r="T3173" t="str">
            <v>NEW YORK</v>
          </cell>
          <cell r="U3173" t="str">
            <v>NY</v>
          </cell>
          <cell r="V3173" t="str">
            <v>100214872</v>
          </cell>
          <cell r="AC3173" t="str">
            <v>M</v>
          </cell>
          <cell r="AD3173" t="str">
            <v>No</v>
          </cell>
          <cell r="AE3173" t="str">
            <v>NPI only</v>
          </cell>
          <cell r="AF3173" t="str">
            <v>nypeastacn</v>
          </cell>
          <cell r="AG3173" t="str">
            <v>P</v>
          </cell>
        </row>
        <row r="3174">
          <cell r="A3174" t="str">
            <v>1811350291</v>
          </cell>
          <cell r="C3174" t="str">
            <v>ZACHARY TAXIN</v>
          </cell>
          <cell r="G3174" t="str">
            <v>Kathryn Spaziani</v>
          </cell>
          <cell r="H3174" t="str">
            <v>(212) 305-1190</v>
          </cell>
          <cell r="J3174" t="str">
            <v>kas9171@nyp.org</v>
          </cell>
          <cell r="K3174" t="str">
            <v>Unknown</v>
          </cell>
          <cell r="L3174" t="str">
            <v>Uncategorized</v>
          </cell>
          <cell r="M3174" t="str">
            <v>No</v>
          </cell>
          <cell r="R3174" t="str">
            <v>TAXIN ZACHARY DR.</v>
          </cell>
          <cell r="S3174" t="str">
            <v>622 W 168TH ST</v>
          </cell>
          <cell r="T3174" t="str">
            <v>NEW YORK</v>
          </cell>
          <cell r="U3174" t="str">
            <v>NY</v>
          </cell>
          <cell r="V3174" t="str">
            <v>100323720</v>
          </cell>
          <cell r="AC3174" t="str">
            <v>M</v>
          </cell>
          <cell r="AD3174" t="str">
            <v>No</v>
          </cell>
          <cell r="AE3174" t="str">
            <v>NPI only</v>
          </cell>
          <cell r="AF3174" t="str">
            <v>nypwestacn</v>
          </cell>
          <cell r="AG3174" t="str">
            <v>P</v>
          </cell>
        </row>
        <row r="3175">
          <cell r="A3175" t="str">
            <v>1710349063</v>
          </cell>
          <cell r="C3175" t="str">
            <v>LAUREN TANNENBAUM</v>
          </cell>
          <cell r="G3175" t="str">
            <v>Kathryn Spaziani</v>
          </cell>
          <cell r="H3175" t="str">
            <v>(212) 305-1190</v>
          </cell>
          <cell r="J3175" t="str">
            <v>kas9171@nyp.org</v>
          </cell>
          <cell r="K3175" t="str">
            <v>Unknown</v>
          </cell>
          <cell r="L3175" t="str">
            <v>Uncategorized</v>
          </cell>
          <cell r="M3175" t="str">
            <v>No</v>
          </cell>
          <cell r="R3175" t="str">
            <v>TANNENBAUM LAUREN</v>
          </cell>
          <cell r="S3175" t="str">
            <v>3959 BROADWAY</v>
          </cell>
          <cell r="T3175" t="str">
            <v>NEW YORK</v>
          </cell>
          <cell r="U3175" t="str">
            <v>NY</v>
          </cell>
          <cell r="V3175" t="str">
            <v>100321559</v>
          </cell>
          <cell r="AC3175" t="str">
            <v>M</v>
          </cell>
          <cell r="AD3175" t="str">
            <v>No</v>
          </cell>
          <cell r="AE3175" t="str">
            <v>NPI only</v>
          </cell>
          <cell r="AF3175" t="str">
            <v>nypwestacn</v>
          </cell>
          <cell r="AG3175" t="str">
            <v>P</v>
          </cell>
        </row>
        <row r="3176">
          <cell r="A3176" t="str">
            <v>1093150161</v>
          </cell>
          <cell r="C3176" t="str">
            <v>YUFEI TANG</v>
          </cell>
          <cell r="G3176" t="str">
            <v>Kathryn Spaziani</v>
          </cell>
          <cell r="H3176" t="str">
            <v>(212) 305-1190</v>
          </cell>
          <cell r="J3176" t="str">
            <v>kas9171@nyp.org</v>
          </cell>
          <cell r="K3176" t="str">
            <v>Unknown</v>
          </cell>
          <cell r="L3176" t="str">
            <v>Uncategorized</v>
          </cell>
          <cell r="M3176" t="str">
            <v>No</v>
          </cell>
          <cell r="R3176" t="str">
            <v>TANG YUFEI</v>
          </cell>
          <cell r="S3176" t="str">
            <v>1800 ORLEANS ST</v>
          </cell>
          <cell r="T3176" t="str">
            <v>BALTIMORE</v>
          </cell>
          <cell r="U3176" t="str">
            <v>MD</v>
          </cell>
          <cell r="V3176" t="str">
            <v>212870010</v>
          </cell>
          <cell r="AC3176" t="str">
            <v>M</v>
          </cell>
          <cell r="AD3176" t="str">
            <v>No</v>
          </cell>
          <cell r="AE3176" t="str">
            <v>NPI only</v>
          </cell>
          <cell r="AF3176" t="str">
            <v>nypwestacn</v>
          </cell>
          <cell r="AG3176" t="str">
            <v>P</v>
          </cell>
        </row>
        <row r="3177">
          <cell r="A3177" t="str">
            <v>1760878789</v>
          </cell>
          <cell r="C3177" t="str">
            <v>PRANAI TANDON</v>
          </cell>
          <cell r="G3177" t="str">
            <v>Kathryn Spaziani</v>
          </cell>
          <cell r="H3177" t="str">
            <v>(212) 305-1190</v>
          </cell>
          <cell r="J3177" t="str">
            <v>kas9171@nyp.org</v>
          </cell>
          <cell r="K3177" t="str">
            <v>Unknown</v>
          </cell>
          <cell r="L3177" t="str">
            <v>Uncategorized</v>
          </cell>
          <cell r="M3177" t="str">
            <v>No</v>
          </cell>
          <cell r="R3177" t="str">
            <v>TANDON PRANAI MR.</v>
          </cell>
          <cell r="S3177" t="str">
            <v>630 W 168TH ST</v>
          </cell>
          <cell r="T3177" t="str">
            <v>NEW YORK</v>
          </cell>
          <cell r="U3177" t="str">
            <v>NY</v>
          </cell>
          <cell r="V3177" t="str">
            <v>100323725</v>
          </cell>
          <cell r="AC3177" t="str">
            <v>M</v>
          </cell>
          <cell r="AD3177" t="str">
            <v>No</v>
          </cell>
          <cell r="AE3177" t="str">
            <v>NPI only</v>
          </cell>
          <cell r="AF3177" t="str">
            <v>nypwestacn</v>
          </cell>
          <cell r="AG3177" t="str">
            <v>P</v>
          </cell>
        </row>
        <row r="3178">
          <cell r="A3178" t="str">
            <v>1790171825</v>
          </cell>
          <cell r="C3178" t="str">
            <v>THELMA SUGRANES</v>
          </cell>
          <cell r="G3178" t="str">
            <v>Kathryn Spaziani</v>
          </cell>
          <cell r="H3178" t="str">
            <v>(212) 305-1190</v>
          </cell>
          <cell r="J3178" t="str">
            <v>kas9171@nyp.org</v>
          </cell>
          <cell r="K3178" t="str">
            <v>Unknown</v>
          </cell>
          <cell r="L3178" t="str">
            <v>Uncategorized</v>
          </cell>
          <cell r="M3178" t="str">
            <v>No</v>
          </cell>
          <cell r="R3178" t="str">
            <v>SUGRANES THELMA</v>
          </cell>
          <cell r="S3178" t="str">
            <v>525 E 68TH ST # 225</v>
          </cell>
          <cell r="T3178" t="str">
            <v>NEW YORK</v>
          </cell>
          <cell r="U3178" t="str">
            <v>NY</v>
          </cell>
          <cell r="V3178" t="str">
            <v>100654870</v>
          </cell>
          <cell r="AC3178" t="str">
            <v>M</v>
          </cell>
          <cell r="AD3178" t="str">
            <v>No</v>
          </cell>
          <cell r="AE3178" t="str">
            <v>NPI only</v>
          </cell>
          <cell r="AF3178" t="str">
            <v>nypeastacn</v>
          </cell>
          <cell r="AG3178" t="str">
            <v>P</v>
          </cell>
        </row>
        <row r="3179">
          <cell r="A3179" t="str">
            <v>1083077119</v>
          </cell>
          <cell r="C3179" t="str">
            <v>ZACHARY STRASSER</v>
          </cell>
          <cell r="G3179" t="str">
            <v>Kathryn Spaziani</v>
          </cell>
          <cell r="H3179" t="str">
            <v>(212) 305-1190</v>
          </cell>
          <cell r="J3179" t="str">
            <v>kas9171@nyp.org</v>
          </cell>
          <cell r="K3179" t="str">
            <v>Unknown</v>
          </cell>
          <cell r="L3179" t="str">
            <v>Uncategorized</v>
          </cell>
          <cell r="M3179" t="str">
            <v>No</v>
          </cell>
          <cell r="R3179" t="str">
            <v>STRASSER ZACHARY</v>
          </cell>
          <cell r="S3179" t="str">
            <v>505 EAST 70TH STREET, WEILL CORNELL INTERNAL MEDICINE ASSOCIATES</v>
          </cell>
          <cell r="T3179" t="str">
            <v>NEW YORK</v>
          </cell>
          <cell r="U3179" t="str">
            <v>NY</v>
          </cell>
          <cell r="V3179" t="str">
            <v>10021</v>
          </cell>
          <cell r="AC3179" t="str">
            <v>M</v>
          </cell>
          <cell r="AD3179" t="str">
            <v>No</v>
          </cell>
          <cell r="AE3179" t="str">
            <v>NPI only</v>
          </cell>
          <cell r="AF3179" t="str">
            <v>nypeastacn</v>
          </cell>
          <cell r="AG3179" t="str">
            <v>P</v>
          </cell>
        </row>
        <row r="3180">
          <cell r="A3180" t="str">
            <v>1447612817</v>
          </cell>
          <cell r="C3180" t="str">
            <v>NICOLE STANFORD</v>
          </cell>
          <cell r="G3180" t="str">
            <v>Kathryn Spaziani</v>
          </cell>
          <cell r="H3180" t="str">
            <v>(212) 305-1190</v>
          </cell>
          <cell r="J3180" t="str">
            <v>kas9171@nyp.org</v>
          </cell>
          <cell r="K3180" t="str">
            <v>Unknown</v>
          </cell>
          <cell r="L3180" t="str">
            <v>Uncategorized</v>
          </cell>
          <cell r="M3180" t="str">
            <v>No</v>
          </cell>
          <cell r="R3180" t="str">
            <v>STANFORD NICOLE</v>
          </cell>
          <cell r="S3180" t="str">
            <v>3959 BROADWAY</v>
          </cell>
          <cell r="T3180" t="str">
            <v>NEW YORK</v>
          </cell>
          <cell r="U3180" t="str">
            <v>NY</v>
          </cell>
          <cell r="V3180" t="str">
            <v>100321559</v>
          </cell>
          <cell r="AC3180" t="str">
            <v>M</v>
          </cell>
          <cell r="AD3180" t="str">
            <v>No</v>
          </cell>
          <cell r="AE3180" t="str">
            <v>NPI only</v>
          </cell>
          <cell r="AF3180" t="str">
            <v>nypwestacn</v>
          </cell>
          <cell r="AG3180" t="str">
            <v>P</v>
          </cell>
        </row>
        <row r="3181">
          <cell r="A3181" t="str">
            <v>1184087025</v>
          </cell>
          <cell r="C3181" t="str">
            <v>ALI SOROUSH</v>
          </cell>
          <cell r="G3181" t="str">
            <v>Kathryn Spaziani</v>
          </cell>
          <cell r="H3181" t="str">
            <v>(212) 305-1190</v>
          </cell>
          <cell r="J3181" t="str">
            <v>kas9171@nyp.org</v>
          </cell>
          <cell r="K3181" t="str">
            <v>Unknown</v>
          </cell>
          <cell r="L3181" t="str">
            <v>Uncategorized</v>
          </cell>
          <cell r="M3181" t="str">
            <v>No</v>
          </cell>
          <cell r="R3181" t="str">
            <v>SOROUSH ALI</v>
          </cell>
          <cell r="S3181" t="str">
            <v>622 W 168TH ST</v>
          </cell>
          <cell r="T3181" t="str">
            <v>NEW YORK</v>
          </cell>
          <cell r="U3181" t="str">
            <v>NY</v>
          </cell>
          <cell r="V3181" t="str">
            <v>100323720</v>
          </cell>
          <cell r="AC3181" t="str">
            <v>M</v>
          </cell>
          <cell r="AD3181" t="str">
            <v>No</v>
          </cell>
          <cell r="AE3181" t="str">
            <v>NPI only</v>
          </cell>
          <cell r="AF3181" t="str">
            <v>nypwestacn</v>
          </cell>
          <cell r="AG3181" t="str">
            <v>P</v>
          </cell>
        </row>
        <row r="3182">
          <cell r="A3182" t="str">
            <v>1912361643</v>
          </cell>
          <cell r="C3182" t="str">
            <v>AMIN SOLTANI</v>
          </cell>
          <cell r="G3182" t="str">
            <v>Kathryn Spaziani</v>
          </cell>
          <cell r="H3182" t="str">
            <v>(212) 305-1190</v>
          </cell>
          <cell r="J3182" t="str">
            <v>kas9171@nyp.org</v>
          </cell>
          <cell r="K3182" t="str">
            <v>Unknown</v>
          </cell>
          <cell r="L3182" t="str">
            <v>Uncategorized</v>
          </cell>
          <cell r="M3182" t="str">
            <v>No</v>
          </cell>
          <cell r="R3182" t="str">
            <v>KHALIFEH SOLTANI SAYYED M AMIN</v>
          </cell>
          <cell r="S3182" t="str">
            <v>505 EAST 70TH STREET, WEILL CORNELL INTERNAL MEDICINE ASSOCIATES</v>
          </cell>
          <cell r="T3182" t="str">
            <v>NEW YORK</v>
          </cell>
          <cell r="U3182" t="str">
            <v>NY</v>
          </cell>
          <cell r="V3182" t="str">
            <v>10021</v>
          </cell>
          <cell r="AC3182" t="str">
            <v>M</v>
          </cell>
          <cell r="AD3182" t="str">
            <v>No</v>
          </cell>
          <cell r="AE3182" t="str">
            <v>NPI only</v>
          </cell>
          <cell r="AF3182" t="str">
            <v>nypeastacn</v>
          </cell>
          <cell r="AG3182" t="str">
            <v>P</v>
          </cell>
        </row>
        <row r="3183">
          <cell r="A3183" t="str">
            <v>1174977367</v>
          </cell>
          <cell r="C3183" t="str">
            <v>MICHELE SMITH</v>
          </cell>
          <cell r="G3183" t="str">
            <v>Kathryn Spaziani</v>
          </cell>
          <cell r="H3183" t="str">
            <v>(212) 305-1190</v>
          </cell>
          <cell r="J3183" t="str">
            <v>kas9171@nyp.org</v>
          </cell>
          <cell r="K3183" t="str">
            <v>Unknown</v>
          </cell>
          <cell r="L3183" t="str">
            <v>Uncategorized</v>
          </cell>
          <cell r="M3183" t="str">
            <v>No</v>
          </cell>
          <cell r="R3183" t="str">
            <v>SMITH MICHELE</v>
          </cell>
          <cell r="S3183" t="str">
            <v>3959 BROADWAY</v>
          </cell>
          <cell r="T3183" t="str">
            <v>NEW YORK</v>
          </cell>
          <cell r="U3183" t="str">
            <v>NY</v>
          </cell>
          <cell r="V3183" t="str">
            <v>100321559</v>
          </cell>
          <cell r="AC3183" t="str">
            <v>M</v>
          </cell>
          <cell r="AD3183" t="str">
            <v>No</v>
          </cell>
          <cell r="AE3183" t="str">
            <v>NPI only</v>
          </cell>
          <cell r="AF3183" t="str">
            <v>nypwestacn</v>
          </cell>
          <cell r="AG3183" t="str">
            <v>P</v>
          </cell>
        </row>
        <row r="3184">
          <cell r="C3184" t="str">
            <v>DEVIN SMITH</v>
          </cell>
          <cell r="G3184" t="str">
            <v>Kathryn Spaziani</v>
          </cell>
          <cell r="H3184" t="str">
            <v>(212) 305-1190</v>
          </cell>
          <cell r="J3184" t="str">
            <v>kas9171@nyp.org</v>
          </cell>
          <cell r="K3184" t="str">
            <v>Unknown</v>
          </cell>
          <cell r="L3184" t="str">
            <v>CBO</v>
          </cell>
          <cell r="M3184" t="str">
            <v>No</v>
          </cell>
          <cell r="AC3184" t="str">
            <v>M</v>
          </cell>
          <cell r="AD3184" t="str">
            <v>No</v>
          </cell>
          <cell r="AE3184" t="str">
            <v>No NPI or MMIS</v>
          </cell>
          <cell r="AF3184" t="str">
            <v>nypwestacn</v>
          </cell>
          <cell r="AG3184" t="str">
            <v>P</v>
          </cell>
        </row>
        <row r="3185">
          <cell r="A3185" t="str">
            <v>1447612908</v>
          </cell>
          <cell r="C3185" t="str">
            <v>MELANIE SMITH</v>
          </cell>
          <cell r="G3185" t="str">
            <v>Kathryn Spaziani</v>
          </cell>
          <cell r="H3185" t="str">
            <v>(212) 305-1190</v>
          </cell>
          <cell r="J3185" t="str">
            <v>kas9171@nyp.org</v>
          </cell>
          <cell r="K3185" t="str">
            <v>Unknown</v>
          </cell>
          <cell r="L3185" t="str">
            <v>Uncategorized</v>
          </cell>
          <cell r="M3185" t="str">
            <v>No</v>
          </cell>
          <cell r="R3185" t="str">
            <v>SMITH MELANIE</v>
          </cell>
          <cell r="S3185" t="str">
            <v>505 E 70TH ST, WEILL CORNELL INTERNAL MEDICINE ASSOCIATES</v>
          </cell>
          <cell r="T3185" t="str">
            <v>NEW YORK</v>
          </cell>
          <cell r="U3185" t="str">
            <v>NY</v>
          </cell>
          <cell r="V3185" t="str">
            <v>100214872</v>
          </cell>
          <cell r="AC3185" t="str">
            <v>M</v>
          </cell>
          <cell r="AD3185" t="str">
            <v>No</v>
          </cell>
          <cell r="AE3185" t="str">
            <v>NPI only</v>
          </cell>
          <cell r="AF3185" t="str">
            <v>nypeastacn</v>
          </cell>
          <cell r="AG3185" t="str">
            <v>P</v>
          </cell>
        </row>
        <row r="3186">
          <cell r="A3186" t="str">
            <v>1770901332</v>
          </cell>
          <cell r="C3186" t="str">
            <v>JULIA SLOVIS</v>
          </cell>
          <cell r="G3186" t="str">
            <v>Kathryn Spaziani</v>
          </cell>
          <cell r="H3186" t="str">
            <v>(212) 305-1190</v>
          </cell>
          <cell r="J3186" t="str">
            <v>kas9171@nyp.org</v>
          </cell>
          <cell r="K3186" t="str">
            <v>Unknown</v>
          </cell>
          <cell r="L3186" t="str">
            <v>Uncategorized</v>
          </cell>
          <cell r="M3186" t="str">
            <v>No</v>
          </cell>
          <cell r="R3186" t="str">
            <v>SLOVIS JULIA DR.</v>
          </cell>
          <cell r="S3186" t="str">
            <v>3959 BROADWAY</v>
          </cell>
          <cell r="T3186" t="str">
            <v>NEW YORK</v>
          </cell>
          <cell r="U3186" t="str">
            <v>NY</v>
          </cell>
          <cell r="V3186" t="str">
            <v>100321559</v>
          </cell>
          <cell r="AC3186" t="str">
            <v>M</v>
          </cell>
          <cell r="AD3186" t="str">
            <v>No</v>
          </cell>
          <cell r="AE3186" t="str">
            <v>NPI only</v>
          </cell>
          <cell r="AF3186" t="str">
            <v>nypwestacn</v>
          </cell>
          <cell r="AG3186" t="str">
            <v>P</v>
          </cell>
        </row>
        <row r="3187">
          <cell r="A3187" t="str">
            <v>1720441132</v>
          </cell>
          <cell r="C3187" t="str">
            <v>JEREMY SLOSBERG</v>
          </cell>
          <cell r="G3187" t="str">
            <v>Kathryn Spaziani</v>
          </cell>
          <cell r="H3187" t="str">
            <v>(212) 305-1190</v>
          </cell>
          <cell r="J3187" t="str">
            <v>kas9171@nyp.org</v>
          </cell>
          <cell r="K3187" t="str">
            <v>Unknown</v>
          </cell>
          <cell r="L3187" t="str">
            <v>Uncategorized</v>
          </cell>
          <cell r="M3187" t="str">
            <v>No</v>
          </cell>
          <cell r="R3187" t="str">
            <v>SLOSBERG JEREMY</v>
          </cell>
          <cell r="S3187" t="str">
            <v>525 E 68TH ST</v>
          </cell>
          <cell r="T3187" t="str">
            <v>NEW YORK</v>
          </cell>
          <cell r="U3187" t="str">
            <v>NY</v>
          </cell>
          <cell r="V3187" t="str">
            <v>100654870</v>
          </cell>
          <cell r="AC3187" t="str">
            <v>M</v>
          </cell>
          <cell r="AD3187" t="str">
            <v>No</v>
          </cell>
          <cell r="AE3187" t="str">
            <v>NPI only</v>
          </cell>
          <cell r="AF3187" t="str">
            <v>nypeastacn</v>
          </cell>
          <cell r="AG3187" t="str">
            <v>P</v>
          </cell>
        </row>
        <row r="3188">
          <cell r="A3188" t="str">
            <v>1568849164</v>
          </cell>
          <cell r="C3188" t="str">
            <v>AMY SKARIA</v>
          </cell>
          <cell r="G3188" t="str">
            <v>Kathryn Spaziani</v>
          </cell>
          <cell r="H3188" t="str">
            <v>(212) 305-1190</v>
          </cell>
          <cell r="J3188" t="str">
            <v>kas9171@nyp.org</v>
          </cell>
          <cell r="K3188" t="str">
            <v>Unknown</v>
          </cell>
          <cell r="L3188" t="str">
            <v>Uncategorized</v>
          </cell>
          <cell r="M3188" t="str">
            <v>No</v>
          </cell>
          <cell r="R3188" t="str">
            <v>SKARIA AMY</v>
          </cell>
          <cell r="S3188" t="str">
            <v>525 E 68TH ST</v>
          </cell>
          <cell r="T3188" t="str">
            <v>NEW YORK</v>
          </cell>
          <cell r="U3188" t="str">
            <v>NY</v>
          </cell>
          <cell r="V3188" t="str">
            <v>100654870</v>
          </cell>
          <cell r="AC3188" t="str">
            <v>M</v>
          </cell>
          <cell r="AD3188" t="str">
            <v>No</v>
          </cell>
          <cell r="AE3188" t="str">
            <v>NPI only</v>
          </cell>
          <cell r="AF3188" t="str">
            <v>nypeastacn</v>
          </cell>
          <cell r="AG3188" t="str">
            <v>P</v>
          </cell>
        </row>
        <row r="3189">
          <cell r="A3189" t="str">
            <v>1376906768</v>
          </cell>
          <cell r="C3189" t="str">
            <v>RACHEL SIMON</v>
          </cell>
          <cell r="G3189" t="str">
            <v>Kathryn Spaziani</v>
          </cell>
          <cell r="H3189" t="str">
            <v>(212) 305-1190</v>
          </cell>
          <cell r="J3189" t="str">
            <v>kas9171@nyp.org</v>
          </cell>
          <cell r="K3189" t="str">
            <v>Unknown</v>
          </cell>
          <cell r="L3189" t="str">
            <v>Uncategorized</v>
          </cell>
          <cell r="M3189" t="str">
            <v>No</v>
          </cell>
          <cell r="R3189" t="str">
            <v>SIMON RACHEL</v>
          </cell>
          <cell r="S3189" t="str">
            <v>622 W 168TH ST</v>
          </cell>
          <cell r="T3189" t="str">
            <v>NEW YORK</v>
          </cell>
          <cell r="U3189" t="str">
            <v>NY</v>
          </cell>
          <cell r="V3189" t="str">
            <v>100323720</v>
          </cell>
          <cell r="AC3189" t="str">
            <v>M</v>
          </cell>
          <cell r="AD3189" t="str">
            <v>No</v>
          </cell>
          <cell r="AE3189" t="str">
            <v>NPI only</v>
          </cell>
          <cell r="AF3189" t="str">
            <v>nypwestacn</v>
          </cell>
          <cell r="AG3189" t="str">
            <v>P</v>
          </cell>
        </row>
        <row r="3190">
          <cell r="A3190" t="str">
            <v>1972923498</v>
          </cell>
          <cell r="C3190" t="str">
            <v>CHRISTINA SILICIANO</v>
          </cell>
          <cell r="G3190" t="str">
            <v>Kathryn Spaziani</v>
          </cell>
          <cell r="H3190" t="str">
            <v>(212) 305-1190</v>
          </cell>
          <cell r="J3190" t="str">
            <v>kas9171@nyp.org</v>
          </cell>
          <cell r="K3190" t="str">
            <v>Unknown</v>
          </cell>
          <cell r="L3190" t="str">
            <v>Uncategorized</v>
          </cell>
          <cell r="M3190" t="str">
            <v>No</v>
          </cell>
          <cell r="R3190" t="str">
            <v>SILICIANO CHRISTINA</v>
          </cell>
          <cell r="S3190" t="str">
            <v>3959 BROADWAY</v>
          </cell>
          <cell r="T3190" t="str">
            <v>NEW YORK</v>
          </cell>
          <cell r="U3190" t="str">
            <v>NY</v>
          </cell>
          <cell r="V3190" t="str">
            <v>100321559</v>
          </cell>
          <cell r="AC3190" t="str">
            <v>M</v>
          </cell>
          <cell r="AD3190" t="str">
            <v>No</v>
          </cell>
          <cell r="AE3190" t="str">
            <v>NPI only</v>
          </cell>
          <cell r="AF3190" t="str">
            <v>nypwestacn</v>
          </cell>
          <cell r="AG3190" t="str">
            <v>P</v>
          </cell>
        </row>
        <row r="3191">
          <cell r="A3191" t="str">
            <v>1316300551</v>
          </cell>
          <cell r="C3191" t="str">
            <v>ELIEZER SHINNAR</v>
          </cell>
          <cell r="G3191" t="str">
            <v>Kathryn Spaziani</v>
          </cell>
          <cell r="H3191" t="str">
            <v>(212) 305-1190</v>
          </cell>
          <cell r="J3191" t="str">
            <v>kas9171@nyp.org</v>
          </cell>
          <cell r="K3191" t="str">
            <v>Unknown</v>
          </cell>
          <cell r="L3191" t="str">
            <v>Uncategorized</v>
          </cell>
          <cell r="M3191" t="str">
            <v>No</v>
          </cell>
          <cell r="R3191" t="str">
            <v>SHINNAR ELIEZER</v>
          </cell>
          <cell r="S3191" t="str">
            <v>622 W 168TH ST</v>
          </cell>
          <cell r="T3191" t="str">
            <v>NEW YORK</v>
          </cell>
          <cell r="U3191" t="str">
            <v>NY</v>
          </cell>
          <cell r="V3191" t="str">
            <v>100323720</v>
          </cell>
          <cell r="AC3191" t="str">
            <v>M</v>
          </cell>
          <cell r="AD3191" t="str">
            <v>No</v>
          </cell>
          <cell r="AE3191" t="str">
            <v>NPI only</v>
          </cell>
          <cell r="AF3191" t="str">
            <v>nypwestacn</v>
          </cell>
          <cell r="AG3191" t="str">
            <v>P</v>
          </cell>
        </row>
        <row r="3192">
          <cell r="A3192" t="str">
            <v>1932593332</v>
          </cell>
          <cell r="C3192" t="str">
            <v>NILIMA SHET</v>
          </cell>
          <cell r="G3192" t="str">
            <v>Kathryn Spaziani</v>
          </cell>
          <cell r="H3192" t="str">
            <v>(212) 305-1190</v>
          </cell>
          <cell r="J3192" t="str">
            <v>kas9171@nyp.org</v>
          </cell>
          <cell r="K3192" t="str">
            <v>Unknown</v>
          </cell>
          <cell r="L3192" t="str">
            <v>Uncategorized</v>
          </cell>
          <cell r="M3192" t="str">
            <v>No</v>
          </cell>
          <cell r="R3192" t="str">
            <v>SHET NILIMA DR.</v>
          </cell>
          <cell r="S3192" t="str">
            <v>505 EAST 70TH STREET, WEILL CORNELL INTERNAL MEDICINE ASSOCIATES</v>
          </cell>
          <cell r="T3192" t="str">
            <v>NEW YORK</v>
          </cell>
          <cell r="U3192" t="str">
            <v>NY</v>
          </cell>
          <cell r="V3192" t="str">
            <v>10021</v>
          </cell>
          <cell r="AC3192" t="str">
            <v>M</v>
          </cell>
          <cell r="AD3192" t="str">
            <v>No</v>
          </cell>
          <cell r="AE3192" t="str">
            <v>NPI only</v>
          </cell>
          <cell r="AF3192" t="str">
            <v>nypeastacn</v>
          </cell>
          <cell r="AG3192" t="str">
            <v>P</v>
          </cell>
        </row>
        <row r="3193">
          <cell r="A3193" t="str">
            <v>1982067799</v>
          </cell>
          <cell r="C3193" t="str">
            <v>ZACHARY SHERMAN</v>
          </cell>
          <cell r="G3193" t="str">
            <v>Kathryn Spaziani</v>
          </cell>
          <cell r="H3193" t="str">
            <v>(212) 305-1190</v>
          </cell>
          <cell r="J3193" t="str">
            <v>kas9171@nyp.org</v>
          </cell>
          <cell r="K3193" t="str">
            <v>Unknown</v>
          </cell>
          <cell r="L3193" t="str">
            <v>Uncategorized</v>
          </cell>
          <cell r="M3193" t="str">
            <v>No</v>
          </cell>
          <cell r="R3193" t="str">
            <v>SHERMAN ZACHARY</v>
          </cell>
          <cell r="S3193" t="str">
            <v>505 E 70TH ST</v>
          </cell>
          <cell r="T3193" t="str">
            <v>NEW YORK</v>
          </cell>
          <cell r="U3193" t="str">
            <v>NY</v>
          </cell>
          <cell r="V3193" t="str">
            <v>100214872</v>
          </cell>
          <cell r="AC3193" t="str">
            <v>M</v>
          </cell>
          <cell r="AD3193" t="str">
            <v>No</v>
          </cell>
          <cell r="AE3193" t="str">
            <v>NPI only</v>
          </cell>
          <cell r="AF3193" t="str">
            <v>nypeastacn</v>
          </cell>
          <cell r="AG3193" t="str">
            <v>P</v>
          </cell>
        </row>
        <row r="3194">
          <cell r="A3194" t="str">
            <v>1942662127</v>
          </cell>
          <cell r="C3194" t="str">
            <v>SHERRY SHEN</v>
          </cell>
          <cell r="G3194" t="str">
            <v>Kathryn Spaziani</v>
          </cell>
          <cell r="H3194" t="str">
            <v>(212) 305-1190</v>
          </cell>
          <cell r="J3194" t="str">
            <v>kas9171@nyp.org</v>
          </cell>
          <cell r="K3194" t="str">
            <v>Unknown</v>
          </cell>
          <cell r="L3194" t="str">
            <v>Uncategorized</v>
          </cell>
          <cell r="M3194" t="str">
            <v>No</v>
          </cell>
          <cell r="R3194" t="str">
            <v>SHEN SHERRY</v>
          </cell>
          <cell r="S3194" t="str">
            <v>622 W 168TH ST</v>
          </cell>
          <cell r="T3194" t="str">
            <v>NEW YORK</v>
          </cell>
          <cell r="U3194" t="str">
            <v>NY</v>
          </cell>
          <cell r="V3194" t="str">
            <v>100323720</v>
          </cell>
          <cell r="AC3194" t="str">
            <v>M</v>
          </cell>
          <cell r="AD3194" t="str">
            <v>No</v>
          </cell>
          <cell r="AE3194" t="str">
            <v>NPI only</v>
          </cell>
          <cell r="AF3194" t="str">
            <v>nypwestacn</v>
          </cell>
          <cell r="AG3194" t="str">
            <v>P</v>
          </cell>
        </row>
        <row r="3195">
          <cell r="A3195" t="str">
            <v>1912341975</v>
          </cell>
          <cell r="C3195" t="str">
            <v>STEPHANIE SHEIKH</v>
          </cell>
          <cell r="G3195" t="str">
            <v>Kathryn Spaziani</v>
          </cell>
          <cell r="H3195" t="str">
            <v>(212) 305-1190</v>
          </cell>
          <cell r="J3195" t="str">
            <v>kas9171@nyp.org</v>
          </cell>
          <cell r="K3195" t="str">
            <v>Unknown</v>
          </cell>
          <cell r="L3195" t="str">
            <v>Uncategorized</v>
          </cell>
          <cell r="M3195" t="str">
            <v>No</v>
          </cell>
          <cell r="R3195" t="str">
            <v>SHEIKH STEPHANIE</v>
          </cell>
          <cell r="S3195" t="str">
            <v>1000 10TH AVE</v>
          </cell>
          <cell r="T3195" t="str">
            <v>NEW YORK</v>
          </cell>
          <cell r="U3195" t="str">
            <v>NY</v>
          </cell>
          <cell r="V3195" t="str">
            <v>100191147</v>
          </cell>
          <cell r="AC3195" t="str">
            <v>M</v>
          </cell>
          <cell r="AD3195" t="str">
            <v>No</v>
          </cell>
          <cell r="AE3195" t="str">
            <v>NPI only</v>
          </cell>
          <cell r="AF3195" t="str">
            <v>nypwestacn</v>
          </cell>
          <cell r="AG3195" t="str">
            <v>P</v>
          </cell>
        </row>
        <row r="3196">
          <cell r="A3196" t="str">
            <v>1497118731</v>
          </cell>
          <cell r="C3196" t="str">
            <v>MEGAN SHEA</v>
          </cell>
          <cell r="G3196" t="str">
            <v>Kathryn Spaziani</v>
          </cell>
          <cell r="H3196" t="str">
            <v>(212) 305-1190</v>
          </cell>
          <cell r="J3196" t="str">
            <v>kas9171@nyp.org</v>
          </cell>
          <cell r="K3196" t="str">
            <v>Unknown</v>
          </cell>
          <cell r="L3196" t="str">
            <v>Uncategorized</v>
          </cell>
          <cell r="M3196" t="str">
            <v>No</v>
          </cell>
          <cell r="R3196" t="str">
            <v>SHEA MEGAN</v>
          </cell>
          <cell r="S3196" t="str">
            <v>525 E 68TH ST</v>
          </cell>
          <cell r="T3196" t="str">
            <v>NEW YORK</v>
          </cell>
          <cell r="U3196" t="str">
            <v>NY</v>
          </cell>
          <cell r="V3196" t="str">
            <v>100654870</v>
          </cell>
          <cell r="AC3196" t="str">
            <v>M</v>
          </cell>
          <cell r="AD3196" t="str">
            <v>No</v>
          </cell>
          <cell r="AE3196" t="str">
            <v>NPI only</v>
          </cell>
          <cell r="AF3196" t="str">
            <v>nypeastacn</v>
          </cell>
          <cell r="AG3196" t="str">
            <v>P</v>
          </cell>
        </row>
        <row r="3197">
          <cell r="A3197" t="str">
            <v>1720442403</v>
          </cell>
          <cell r="C3197" t="str">
            <v>GABRIEL SHAYA</v>
          </cell>
          <cell r="G3197" t="str">
            <v>Kathryn Spaziani</v>
          </cell>
          <cell r="H3197" t="str">
            <v>(212) 305-1190</v>
          </cell>
          <cell r="J3197" t="str">
            <v>kas9171@nyp.org</v>
          </cell>
          <cell r="K3197" t="str">
            <v>Unknown</v>
          </cell>
          <cell r="L3197" t="str">
            <v>Uncategorized</v>
          </cell>
          <cell r="M3197" t="str">
            <v>No</v>
          </cell>
          <cell r="R3197" t="str">
            <v>SHAYA GABRIEL DR.</v>
          </cell>
          <cell r="S3197" t="str">
            <v>505 EAST 70TH STREET, WEILL CORNELL INTERNAL MEDICINE ASSOCIATES</v>
          </cell>
          <cell r="T3197" t="str">
            <v>NEW YORK</v>
          </cell>
          <cell r="U3197" t="str">
            <v>NY</v>
          </cell>
          <cell r="V3197" t="str">
            <v>10021</v>
          </cell>
          <cell r="AC3197" t="str">
            <v>M</v>
          </cell>
          <cell r="AD3197" t="str">
            <v>No</v>
          </cell>
          <cell r="AE3197" t="str">
            <v>NPI only</v>
          </cell>
          <cell r="AF3197" t="str">
            <v>nypeastacn</v>
          </cell>
          <cell r="AG3197" t="str">
            <v>P</v>
          </cell>
        </row>
        <row r="3198">
          <cell r="A3198" t="str">
            <v>1568709939</v>
          </cell>
          <cell r="C3198" t="str">
            <v>SEVINI SHAHBAZ</v>
          </cell>
          <cell r="G3198" t="str">
            <v>Kathryn Spaziani</v>
          </cell>
          <cell r="H3198" t="str">
            <v>(212) 305-1190</v>
          </cell>
          <cell r="J3198" t="str">
            <v>kas9171@nyp.org</v>
          </cell>
          <cell r="K3198" t="str">
            <v>Unknown</v>
          </cell>
          <cell r="L3198" t="str">
            <v>Uncategorized</v>
          </cell>
          <cell r="M3198" t="str">
            <v>No</v>
          </cell>
          <cell r="R3198" t="str">
            <v>SHAHBAZ SEVINI</v>
          </cell>
          <cell r="S3198" t="str">
            <v>4610 X ST</v>
          </cell>
          <cell r="T3198" t="str">
            <v>SACRAMENTO</v>
          </cell>
          <cell r="U3198" t="str">
            <v>CA</v>
          </cell>
          <cell r="V3198" t="str">
            <v>958172200</v>
          </cell>
          <cell r="AC3198" t="str">
            <v>M</v>
          </cell>
          <cell r="AD3198" t="str">
            <v>No</v>
          </cell>
          <cell r="AE3198" t="str">
            <v>NPI only</v>
          </cell>
          <cell r="AF3198" t="str">
            <v>nypeastacn</v>
          </cell>
          <cell r="AG3198" t="str">
            <v>P</v>
          </cell>
        </row>
        <row r="3199">
          <cell r="A3199" t="str">
            <v>1528301348</v>
          </cell>
          <cell r="C3199" t="str">
            <v>ROBERT SETTON</v>
          </cell>
          <cell r="G3199" t="str">
            <v>Kathryn Spaziani</v>
          </cell>
          <cell r="H3199" t="str">
            <v>(212) 305-1190</v>
          </cell>
          <cell r="J3199" t="str">
            <v>kas9171@nyp.org</v>
          </cell>
          <cell r="K3199" t="str">
            <v>Unknown</v>
          </cell>
          <cell r="L3199" t="str">
            <v>Uncategorized</v>
          </cell>
          <cell r="M3199" t="str">
            <v>No</v>
          </cell>
          <cell r="R3199" t="str">
            <v>SETTON ROBERT DR.</v>
          </cell>
          <cell r="S3199" t="str">
            <v>525 E 68TH ST</v>
          </cell>
          <cell r="T3199" t="str">
            <v>NEW YORK</v>
          </cell>
          <cell r="U3199" t="str">
            <v>NY</v>
          </cell>
          <cell r="V3199" t="str">
            <v>100654870</v>
          </cell>
          <cell r="AC3199" t="str">
            <v>M</v>
          </cell>
          <cell r="AD3199" t="str">
            <v>No</v>
          </cell>
          <cell r="AE3199" t="str">
            <v>NPI only</v>
          </cell>
          <cell r="AF3199" t="str">
            <v>nypeastacn</v>
          </cell>
          <cell r="AG3199" t="str">
            <v>P</v>
          </cell>
        </row>
        <row r="3200">
          <cell r="A3200" t="str">
            <v>1962866657</v>
          </cell>
          <cell r="C3200" t="str">
            <v>MADHAV SESHADRI</v>
          </cell>
          <cell r="G3200" t="str">
            <v>Kathryn Spaziani</v>
          </cell>
          <cell r="H3200" t="str">
            <v>(212) 305-1190</v>
          </cell>
          <cell r="J3200" t="str">
            <v>kas9171@nyp.org</v>
          </cell>
          <cell r="K3200" t="str">
            <v>Unknown</v>
          </cell>
          <cell r="L3200" t="str">
            <v>Uncategorized</v>
          </cell>
          <cell r="M3200" t="str">
            <v>No</v>
          </cell>
          <cell r="R3200" t="str">
            <v>SESHADRI MADHAV</v>
          </cell>
          <cell r="S3200" t="str">
            <v>505 EAST 70TH STREET, WEILL CORNELL INTERNAL MEDICINE ASSOCIATES</v>
          </cell>
          <cell r="T3200" t="str">
            <v>NEW YORK</v>
          </cell>
          <cell r="U3200" t="str">
            <v>NY</v>
          </cell>
          <cell r="V3200" t="str">
            <v>10021</v>
          </cell>
          <cell r="AC3200" t="str">
            <v>M</v>
          </cell>
          <cell r="AD3200" t="str">
            <v>No</v>
          </cell>
          <cell r="AE3200" t="str">
            <v>NPI only</v>
          </cell>
          <cell r="AF3200" t="str">
            <v>nypeastacn</v>
          </cell>
          <cell r="AG3200" t="str">
            <v>P</v>
          </cell>
        </row>
        <row r="3201">
          <cell r="A3201" t="str">
            <v>1639566284</v>
          </cell>
          <cell r="C3201" t="str">
            <v>LIANA SENALDI</v>
          </cell>
          <cell r="G3201" t="str">
            <v>Kathryn Spaziani</v>
          </cell>
          <cell r="H3201" t="str">
            <v>(212) 305-1190</v>
          </cell>
          <cell r="J3201" t="str">
            <v>kas9171@nyp.org</v>
          </cell>
          <cell r="K3201" t="str">
            <v>Unknown</v>
          </cell>
          <cell r="L3201" t="str">
            <v>Uncategorized</v>
          </cell>
          <cell r="M3201" t="str">
            <v>No</v>
          </cell>
          <cell r="R3201" t="str">
            <v>SENALDI LIANA</v>
          </cell>
          <cell r="S3201" t="str">
            <v>525 E 68TH ST</v>
          </cell>
          <cell r="T3201" t="str">
            <v>NEW YORK</v>
          </cell>
          <cell r="U3201" t="str">
            <v>NY</v>
          </cell>
          <cell r="V3201" t="str">
            <v>100654870</v>
          </cell>
          <cell r="AC3201" t="str">
            <v>M</v>
          </cell>
          <cell r="AD3201" t="str">
            <v>No</v>
          </cell>
          <cell r="AE3201" t="str">
            <v>NPI only</v>
          </cell>
          <cell r="AF3201" t="str">
            <v>nypeastacn</v>
          </cell>
          <cell r="AG3201" t="str">
            <v>P</v>
          </cell>
        </row>
        <row r="3202">
          <cell r="A3202" t="str">
            <v>1245654680</v>
          </cell>
          <cell r="C3202" t="str">
            <v>JESSICA SELTER</v>
          </cell>
          <cell r="G3202" t="str">
            <v>Kathryn Spaziani</v>
          </cell>
          <cell r="H3202" t="str">
            <v>(212) 305-1190</v>
          </cell>
          <cell r="J3202" t="str">
            <v>kas9171@nyp.org</v>
          </cell>
          <cell r="K3202" t="str">
            <v>Unknown</v>
          </cell>
          <cell r="L3202" t="str">
            <v>Uncategorized</v>
          </cell>
          <cell r="M3202" t="str">
            <v>No</v>
          </cell>
          <cell r="R3202" t="str">
            <v>SELTER JESSICA</v>
          </cell>
          <cell r="S3202" t="str">
            <v>600 N WOLFE ST</v>
          </cell>
          <cell r="T3202" t="str">
            <v>BALTIMORE</v>
          </cell>
          <cell r="U3202" t="str">
            <v>MD</v>
          </cell>
          <cell r="V3202" t="str">
            <v>212872109</v>
          </cell>
          <cell r="AC3202" t="str">
            <v>M</v>
          </cell>
          <cell r="AD3202" t="str">
            <v>No</v>
          </cell>
          <cell r="AE3202" t="str">
            <v>NPI only</v>
          </cell>
          <cell r="AF3202" t="str">
            <v>nypwestacn</v>
          </cell>
          <cell r="AG3202" t="str">
            <v>P</v>
          </cell>
        </row>
        <row r="3203">
          <cell r="A3203" t="str">
            <v>1669835880</v>
          </cell>
          <cell r="C3203" t="str">
            <v>SIERRA SEAMAN</v>
          </cell>
          <cell r="G3203" t="str">
            <v>Kathryn Spaziani</v>
          </cell>
          <cell r="H3203" t="str">
            <v>(212) 305-1190</v>
          </cell>
          <cell r="J3203" t="str">
            <v>kas9171@nyp.org</v>
          </cell>
          <cell r="K3203" t="str">
            <v>Unknown</v>
          </cell>
          <cell r="L3203" t="str">
            <v>Uncategorized</v>
          </cell>
          <cell r="M3203" t="str">
            <v>No</v>
          </cell>
          <cell r="R3203" t="str">
            <v>SEAMAN SIERRA</v>
          </cell>
          <cell r="S3203" t="str">
            <v>3959 BROADWAY</v>
          </cell>
          <cell r="T3203" t="str">
            <v>NEW YORK</v>
          </cell>
          <cell r="U3203" t="str">
            <v>NY</v>
          </cell>
          <cell r="V3203" t="str">
            <v>100321559</v>
          </cell>
          <cell r="AC3203" t="str">
            <v>M</v>
          </cell>
          <cell r="AD3203" t="str">
            <v>No</v>
          </cell>
          <cell r="AE3203" t="str">
            <v>NPI only</v>
          </cell>
          <cell r="AF3203" t="str">
            <v>nypwestacn</v>
          </cell>
          <cell r="AG3203" t="str">
            <v>P</v>
          </cell>
        </row>
        <row r="3204">
          <cell r="A3204" t="str">
            <v>1134461437</v>
          </cell>
          <cell r="C3204" t="str">
            <v>RACHEL SCHWARTZ</v>
          </cell>
          <cell r="G3204" t="str">
            <v>Kathryn Spaziani</v>
          </cell>
          <cell r="H3204" t="str">
            <v>(212) 305-1190</v>
          </cell>
          <cell r="J3204" t="str">
            <v>kas9171@nyp.org</v>
          </cell>
          <cell r="K3204" t="str">
            <v>Unknown</v>
          </cell>
          <cell r="L3204" t="str">
            <v>Uncategorized</v>
          </cell>
          <cell r="M3204" t="str">
            <v>No</v>
          </cell>
          <cell r="R3204" t="str">
            <v>SCHWARTZ RACHEL</v>
          </cell>
          <cell r="S3204" t="str">
            <v>525 E 68TH ST, BOX 122</v>
          </cell>
          <cell r="T3204" t="str">
            <v>NEW YORK</v>
          </cell>
          <cell r="U3204" t="str">
            <v>NY</v>
          </cell>
          <cell r="V3204" t="str">
            <v>100654870</v>
          </cell>
          <cell r="AC3204" t="str">
            <v>M</v>
          </cell>
          <cell r="AD3204" t="str">
            <v>No</v>
          </cell>
          <cell r="AE3204" t="str">
            <v>NPI only</v>
          </cell>
          <cell r="AF3204" t="str">
            <v>nypeastacn</v>
          </cell>
          <cell r="AG3204" t="str">
            <v>P</v>
          </cell>
        </row>
        <row r="3205">
          <cell r="A3205" t="str">
            <v>1699193722</v>
          </cell>
          <cell r="C3205" t="str">
            <v>HILARY SCHREIBER</v>
          </cell>
          <cell r="G3205" t="str">
            <v>Kathryn Spaziani</v>
          </cell>
          <cell r="H3205" t="str">
            <v>(212) 305-1190</v>
          </cell>
          <cell r="J3205" t="str">
            <v>kas9171@nyp.org</v>
          </cell>
          <cell r="K3205" t="str">
            <v>Unknown</v>
          </cell>
          <cell r="L3205" t="str">
            <v>Uncategorized</v>
          </cell>
          <cell r="M3205" t="str">
            <v>No</v>
          </cell>
          <cell r="R3205" t="str">
            <v>SCHREIBER HILARY</v>
          </cell>
          <cell r="S3205" t="str">
            <v>525 E 68TH ST, BOX 139</v>
          </cell>
          <cell r="T3205" t="str">
            <v>NEW YORK</v>
          </cell>
          <cell r="U3205" t="str">
            <v>NY</v>
          </cell>
          <cell r="V3205" t="str">
            <v>100654870</v>
          </cell>
          <cell r="AC3205" t="str">
            <v>M</v>
          </cell>
          <cell r="AD3205" t="str">
            <v>No</v>
          </cell>
          <cell r="AE3205" t="str">
            <v>NPI only</v>
          </cell>
          <cell r="AF3205" t="str">
            <v>nypeastacn</v>
          </cell>
          <cell r="AG3205" t="str">
            <v>P</v>
          </cell>
        </row>
        <row r="3206">
          <cell r="A3206" t="str">
            <v>1063832160</v>
          </cell>
          <cell r="C3206" t="str">
            <v>ALEXANDRA SATTY</v>
          </cell>
          <cell r="G3206" t="str">
            <v>Kathryn Spaziani</v>
          </cell>
          <cell r="H3206" t="str">
            <v>(212) 305-1190</v>
          </cell>
          <cell r="J3206" t="str">
            <v>kas9171@nyp.org</v>
          </cell>
          <cell r="K3206" t="str">
            <v>Unknown</v>
          </cell>
          <cell r="L3206" t="str">
            <v>Uncategorized</v>
          </cell>
          <cell r="M3206" t="str">
            <v>No</v>
          </cell>
          <cell r="R3206" t="str">
            <v>SATTY ALEXANDRA</v>
          </cell>
          <cell r="S3206" t="str">
            <v>525 E 68TH ST, ROOM M-610</v>
          </cell>
          <cell r="T3206" t="str">
            <v>NEW YORK</v>
          </cell>
          <cell r="U3206" t="str">
            <v>NY</v>
          </cell>
          <cell r="V3206" t="str">
            <v>100654870</v>
          </cell>
          <cell r="AC3206" t="str">
            <v>M</v>
          </cell>
          <cell r="AD3206" t="str">
            <v>No</v>
          </cell>
          <cell r="AE3206" t="str">
            <v>NPI only</v>
          </cell>
          <cell r="AF3206" t="str">
            <v>nypeastacn</v>
          </cell>
          <cell r="AG3206" t="str">
            <v>P</v>
          </cell>
        </row>
        <row r="3207">
          <cell r="A3207" t="str">
            <v>1770945107</v>
          </cell>
          <cell r="C3207" t="str">
            <v>CHRISTINA SANDERS</v>
          </cell>
          <cell r="G3207" t="str">
            <v>Kathryn Spaziani</v>
          </cell>
          <cell r="H3207" t="str">
            <v>(212) 305-1190</v>
          </cell>
          <cell r="J3207" t="str">
            <v>kas9171@nyp.org</v>
          </cell>
          <cell r="K3207" t="str">
            <v>Unknown</v>
          </cell>
          <cell r="L3207" t="str">
            <v>Uncategorized</v>
          </cell>
          <cell r="M3207" t="str">
            <v>No</v>
          </cell>
          <cell r="R3207" t="str">
            <v>SANDERS CHRISTINA DR.</v>
          </cell>
          <cell r="S3207" t="str">
            <v>3959 BROADWAY</v>
          </cell>
          <cell r="T3207" t="str">
            <v>NEW YORK</v>
          </cell>
          <cell r="U3207" t="str">
            <v>NY</v>
          </cell>
          <cell r="V3207" t="str">
            <v>100321559</v>
          </cell>
          <cell r="AC3207" t="str">
            <v>M</v>
          </cell>
          <cell r="AD3207" t="str">
            <v>No</v>
          </cell>
          <cell r="AE3207" t="str">
            <v>NPI only</v>
          </cell>
          <cell r="AF3207" t="str">
            <v>nypwestacn</v>
          </cell>
          <cell r="AG3207" t="str">
            <v>P</v>
          </cell>
        </row>
        <row r="3208">
          <cell r="A3208" t="str">
            <v>1669867685</v>
          </cell>
          <cell r="C3208" t="str">
            <v>MIRIAM SAMSTEIN</v>
          </cell>
          <cell r="G3208" t="str">
            <v>Kathryn Spaziani</v>
          </cell>
          <cell r="H3208" t="str">
            <v>(212) 305-1190</v>
          </cell>
          <cell r="J3208" t="str">
            <v>kas9171@nyp.org</v>
          </cell>
          <cell r="K3208" t="str">
            <v>Unknown</v>
          </cell>
          <cell r="L3208" t="str">
            <v>Uncategorized</v>
          </cell>
          <cell r="M3208" t="str">
            <v>No</v>
          </cell>
          <cell r="R3208" t="str">
            <v>EICHENBAUM MIRIAM</v>
          </cell>
          <cell r="S3208" t="str">
            <v>1230 YORK AVE, 242</v>
          </cell>
          <cell r="T3208" t="str">
            <v>NEW YORK</v>
          </cell>
          <cell r="U3208" t="str">
            <v>NY</v>
          </cell>
          <cell r="V3208" t="str">
            <v>100656307</v>
          </cell>
          <cell r="AC3208" t="str">
            <v>M</v>
          </cell>
          <cell r="AD3208" t="str">
            <v>No</v>
          </cell>
          <cell r="AE3208" t="str">
            <v>NPI only</v>
          </cell>
          <cell r="AF3208" t="str">
            <v>nypeastacn</v>
          </cell>
          <cell r="AG3208" t="str">
            <v>P</v>
          </cell>
        </row>
        <row r="3209">
          <cell r="A3209" t="str">
            <v>1861810822</v>
          </cell>
          <cell r="C3209" t="str">
            <v>ABIGAIL SAGE</v>
          </cell>
          <cell r="G3209" t="str">
            <v>Kathryn Spaziani</v>
          </cell>
          <cell r="H3209" t="str">
            <v>(212) 305-1190</v>
          </cell>
          <cell r="J3209" t="str">
            <v>kas9171@nyp.org</v>
          </cell>
          <cell r="K3209" t="str">
            <v>Unknown</v>
          </cell>
          <cell r="L3209" t="str">
            <v>Uncategorized</v>
          </cell>
          <cell r="M3209" t="str">
            <v>No</v>
          </cell>
          <cell r="R3209" t="str">
            <v>SAGE ABIGAIL</v>
          </cell>
          <cell r="S3209" t="str">
            <v>3959 BROADWAY</v>
          </cell>
          <cell r="T3209" t="str">
            <v>NEW YORK</v>
          </cell>
          <cell r="U3209" t="str">
            <v>NY</v>
          </cell>
          <cell r="V3209" t="str">
            <v>100321559</v>
          </cell>
          <cell r="AC3209" t="str">
            <v>M</v>
          </cell>
          <cell r="AD3209" t="str">
            <v>No</v>
          </cell>
          <cell r="AE3209" t="str">
            <v>NPI only</v>
          </cell>
          <cell r="AF3209" t="str">
            <v>nypwestacn</v>
          </cell>
          <cell r="AG3209" t="str">
            <v>P</v>
          </cell>
        </row>
        <row r="3210">
          <cell r="A3210" t="str">
            <v>1932527066</v>
          </cell>
          <cell r="C3210" t="str">
            <v>DEEPIKA SAGARAM</v>
          </cell>
          <cell r="G3210" t="str">
            <v>Kathryn Spaziani</v>
          </cell>
          <cell r="H3210" t="str">
            <v>(212) 305-1190</v>
          </cell>
          <cell r="J3210" t="str">
            <v>kas9171@nyp.org</v>
          </cell>
          <cell r="K3210" t="str">
            <v>Unknown</v>
          </cell>
          <cell r="L3210" t="str">
            <v>Uncategorized</v>
          </cell>
          <cell r="M3210" t="str">
            <v>No</v>
          </cell>
          <cell r="R3210" t="str">
            <v>SAGARAM DEEPIKA</v>
          </cell>
          <cell r="S3210" t="str">
            <v>525 E 68TH ST, NEW YORK PRESBYTERIAN HOSPITAL</v>
          </cell>
          <cell r="T3210" t="str">
            <v>NEW YORK</v>
          </cell>
          <cell r="U3210" t="str">
            <v>NY</v>
          </cell>
          <cell r="V3210" t="str">
            <v>100654870</v>
          </cell>
          <cell r="AC3210" t="str">
            <v>M</v>
          </cell>
          <cell r="AD3210" t="str">
            <v>No</v>
          </cell>
          <cell r="AE3210" t="str">
            <v>NPI only</v>
          </cell>
          <cell r="AF3210" t="str">
            <v>nypwestacn</v>
          </cell>
          <cell r="AG3210" t="str">
            <v>P</v>
          </cell>
        </row>
        <row r="3211">
          <cell r="A3211" t="str">
            <v>1568825768</v>
          </cell>
          <cell r="C3211" t="str">
            <v>ALEXA SADREAMELI</v>
          </cell>
          <cell r="G3211" t="str">
            <v>Kathryn Spaziani</v>
          </cell>
          <cell r="H3211" t="str">
            <v>(212) 305-1190</v>
          </cell>
          <cell r="J3211" t="str">
            <v>kas9171@nyp.org</v>
          </cell>
          <cell r="K3211" t="str">
            <v>Unknown</v>
          </cell>
          <cell r="L3211" t="str">
            <v>Uncategorized</v>
          </cell>
          <cell r="M3211" t="str">
            <v>No</v>
          </cell>
          <cell r="R3211" t="str">
            <v>SADREAMELI ALEXA</v>
          </cell>
          <cell r="S3211" t="str">
            <v>525 E 68TH ST</v>
          </cell>
          <cell r="T3211" t="str">
            <v>NEW YORK</v>
          </cell>
          <cell r="U3211" t="str">
            <v>NY</v>
          </cell>
          <cell r="V3211" t="str">
            <v>100654870</v>
          </cell>
          <cell r="AC3211" t="str">
            <v>M</v>
          </cell>
          <cell r="AD3211" t="str">
            <v>No</v>
          </cell>
          <cell r="AE3211" t="str">
            <v>NPI only</v>
          </cell>
          <cell r="AF3211" t="str">
            <v>nypeastacn</v>
          </cell>
          <cell r="AG3211" t="str">
            <v>P</v>
          </cell>
        </row>
        <row r="3212">
          <cell r="A3212" t="str">
            <v>1770900813</v>
          </cell>
          <cell r="C3212" t="str">
            <v>DEVON RUPLEY</v>
          </cell>
          <cell r="G3212" t="str">
            <v>Kathryn Spaziani</v>
          </cell>
          <cell r="H3212" t="str">
            <v>(212) 305-1190</v>
          </cell>
          <cell r="J3212" t="str">
            <v>kas9171@nyp.org</v>
          </cell>
          <cell r="K3212" t="str">
            <v>Unknown</v>
          </cell>
          <cell r="L3212" t="str">
            <v>Uncategorized</v>
          </cell>
          <cell r="M3212" t="str">
            <v>No</v>
          </cell>
          <cell r="R3212" t="str">
            <v>RUPLEY DEVON DR.</v>
          </cell>
          <cell r="S3212" t="str">
            <v>622 W 168TH ST</v>
          </cell>
          <cell r="T3212" t="str">
            <v>NEW YORK</v>
          </cell>
          <cell r="U3212" t="str">
            <v>NY</v>
          </cell>
          <cell r="V3212" t="str">
            <v>100323720</v>
          </cell>
          <cell r="AC3212" t="str">
            <v>M</v>
          </cell>
          <cell r="AD3212" t="str">
            <v>No</v>
          </cell>
          <cell r="AE3212" t="str">
            <v>NPI only</v>
          </cell>
          <cell r="AF3212" t="str">
            <v>nypwestacn</v>
          </cell>
          <cell r="AG3212" t="str">
            <v>P</v>
          </cell>
        </row>
        <row r="3213">
          <cell r="A3213" t="str">
            <v>1922460203</v>
          </cell>
          <cell r="C3213" t="str">
            <v>JENNY RUIZ</v>
          </cell>
          <cell r="G3213" t="str">
            <v>Kathryn Spaziani</v>
          </cell>
          <cell r="H3213" t="str">
            <v>(212) 305-1190</v>
          </cell>
          <cell r="J3213" t="str">
            <v>kas9171@nyp.org</v>
          </cell>
          <cell r="K3213" t="str">
            <v>Unknown</v>
          </cell>
          <cell r="L3213" t="str">
            <v>Uncategorized</v>
          </cell>
          <cell r="M3213" t="str">
            <v>No</v>
          </cell>
          <cell r="R3213" t="str">
            <v>RUIZ JENNY</v>
          </cell>
          <cell r="S3213" t="str">
            <v>3959 BROADWAY</v>
          </cell>
          <cell r="T3213" t="str">
            <v>NEW YORK</v>
          </cell>
          <cell r="U3213" t="str">
            <v>NY</v>
          </cell>
          <cell r="V3213" t="str">
            <v>100321559</v>
          </cell>
          <cell r="AC3213" t="str">
            <v>M</v>
          </cell>
          <cell r="AD3213" t="str">
            <v>No</v>
          </cell>
          <cell r="AE3213" t="str">
            <v>NPI only</v>
          </cell>
          <cell r="AF3213" t="str">
            <v>nypwestacn</v>
          </cell>
          <cell r="AG3213" t="str">
            <v>P</v>
          </cell>
        </row>
        <row r="3214">
          <cell r="A3214" t="str">
            <v>1922461672</v>
          </cell>
          <cell r="C3214" t="str">
            <v>JONAH RUBIN</v>
          </cell>
          <cell r="G3214" t="str">
            <v>Kathryn Spaziani</v>
          </cell>
          <cell r="H3214" t="str">
            <v>(212) 305-1190</v>
          </cell>
          <cell r="J3214" t="str">
            <v>kas9171@nyp.org</v>
          </cell>
          <cell r="K3214" t="str">
            <v>Unknown</v>
          </cell>
          <cell r="L3214" t="str">
            <v>Uncategorized</v>
          </cell>
          <cell r="M3214" t="str">
            <v>No</v>
          </cell>
          <cell r="R3214" t="str">
            <v>RUBIN JONAH</v>
          </cell>
          <cell r="S3214" t="str">
            <v>622 W 168TH ST</v>
          </cell>
          <cell r="T3214" t="str">
            <v>NEW YORK</v>
          </cell>
          <cell r="U3214" t="str">
            <v>NY</v>
          </cell>
          <cell r="V3214" t="str">
            <v>100323720</v>
          </cell>
          <cell r="AC3214" t="str">
            <v>M</v>
          </cell>
          <cell r="AD3214" t="str">
            <v>No</v>
          </cell>
          <cell r="AE3214" t="str">
            <v>NPI only</v>
          </cell>
          <cell r="AF3214" t="str">
            <v>nypwestacn</v>
          </cell>
          <cell r="AG3214" t="str">
            <v>P</v>
          </cell>
        </row>
        <row r="3215">
          <cell r="A3215" t="str">
            <v>1285097725</v>
          </cell>
          <cell r="C3215" t="str">
            <v>SAMUEL ROTTER</v>
          </cell>
          <cell r="G3215" t="str">
            <v>Kathryn Spaziani</v>
          </cell>
          <cell r="H3215" t="str">
            <v>(212) 305-1190</v>
          </cell>
          <cell r="J3215" t="str">
            <v>kas9171@nyp.org</v>
          </cell>
          <cell r="K3215" t="str">
            <v>Unknown</v>
          </cell>
          <cell r="L3215" t="str">
            <v>Uncategorized</v>
          </cell>
          <cell r="M3215" t="str">
            <v>No</v>
          </cell>
          <cell r="R3215" t="str">
            <v>ROTTER SAMUEL</v>
          </cell>
          <cell r="S3215" t="str">
            <v>505 EAST 70TH STREET, WEILL CORNELL INTERNAL MEDICINE ASSOCIATES</v>
          </cell>
          <cell r="T3215" t="str">
            <v>NEW YORK</v>
          </cell>
          <cell r="U3215" t="str">
            <v>NY</v>
          </cell>
          <cell r="V3215" t="str">
            <v>10021</v>
          </cell>
          <cell r="AC3215" t="str">
            <v>M</v>
          </cell>
          <cell r="AD3215" t="str">
            <v>No</v>
          </cell>
          <cell r="AE3215" t="str">
            <v>NPI only</v>
          </cell>
          <cell r="AF3215" t="str">
            <v>nypeastacn</v>
          </cell>
          <cell r="AG3215" t="str">
            <v>P</v>
          </cell>
        </row>
        <row r="3216">
          <cell r="A3216" t="str">
            <v>1760836449</v>
          </cell>
          <cell r="C3216" t="str">
            <v>JACLYN ROSENZWEIG</v>
          </cell>
          <cell r="G3216" t="str">
            <v>Kathryn Spaziani</v>
          </cell>
          <cell r="H3216" t="str">
            <v>(212) 305-1190</v>
          </cell>
          <cell r="J3216" t="str">
            <v>kas9171@nyp.org</v>
          </cell>
          <cell r="K3216" t="str">
            <v>Unknown</v>
          </cell>
          <cell r="L3216" t="str">
            <v>Uncategorized</v>
          </cell>
          <cell r="M3216" t="str">
            <v>No</v>
          </cell>
          <cell r="R3216" t="str">
            <v>ROSENZWEIG JACLYN</v>
          </cell>
          <cell r="S3216" t="str">
            <v>525 E 68TH ST, BOX 139</v>
          </cell>
          <cell r="T3216" t="str">
            <v>NEW YORK</v>
          </cell>
          <cell r="U3216" t="str">
            <v>NY</v>
          </cell>
          <cell r="V3216" t="str">
            <v>100654870</v>
          </cell>
          <cell r="AC3216" t="str">
            <v>M</v>
          </cell>
          <cell r="AD3216" t="str">
            <v>No</v>
          </cell>
          <cell r="AE3216" t="str">
            <v>NPI only</v>
          </cell>
          <cell r="AF3216" t="str">
            <v>nypeastacn</v>
          </cell>
          <cell r="AG3216" t="str">
            <v>P</v>
          </cell>
        </row>
        <row r="3217">
          <cell r="A3217" t="str">
            <v>1285029587</v>
          </cell>
          <cell r="C3217" t="str">
            <v>HANNAH ROSENBLUM</v>
          </cell>
          <cell r="G3217" t="str">
            <v>Kathryn Spaziani</v>
          </cell>
          <cell r="H3217" t="str">
            <v>(212) 305-1190</v>
          </cell>
          <cell r="J3217" t="str">
            <v>kas9171@nyp.org</v>
          </cell>
          <cell r="K3217" t="str">
            <v>Unknown</v>
          </cell>
          <cell r="L3217" t="str">
            <v>Uncategorized</v>
          </cell>
          <cell r="M3217" t="str">
            <v>No</v>
          </cell>
          <cell r="R3217" t="str">
            <v>ROSENBLUM HANNAH</v>
          </cell>
          <cell r="S3217" t="str">
            <v>630 W 168TH ST</v>
          </cell>
          <cell r="T3217" t="str">
            <v>NEW YORK</v>
          </cell>
          <cell r="U3217" t="str">
            <v>NY</v>
          </cell>
          <cell r="V3217" t="str">
            <v>100323725</v>
          </cell>
          <cell r="AC3217" t="str">
            <v>M</v>
          </cell>
          <cell r="AD3217" t="str">
            <v>No</v>
          </cell>
          <cell r="AE3217" t="str">
            <v>NPI only</v>
          </cell>
          <cell r="AF3217" t="str">
            <v>nypwestacn</v>
          </cell>
          <cell r="AG3217" t="str">
            <v>P</v>
          </cell>
        </row>
        <row r="3218">
          <cell r="A3218" t="str">
            <v>1104246032</v>
          </cell>
          <cell r="C3218" t="str">
            <v>EVAN ROSENBAUM</v>
          </cell>
          <cell r="G3218" t="str">
            <v>Kathryn Spaziani</v>
          </cell>
          <cell r="H3218" t="str">
            <v>(212) 305-1190</v>
          </cell>
          <cell r="J3218" t="str">
            <v>kas9171@nyp.org</v>
          </cell>
          <cell r="K3218" t="str">
            <v>Unknown</v>
          </cell>
          <cell r="L3218" t="str">
            <v>Uncategorized</v>
          </cell>
          <cell r="M3218" t="str">
            <v>No</v>
          </cell>
          <cell r="R3218" t="str">
            <v>ROSENBAUM EVAN</v>
          </cell>
          <cell r="S3218" t="str">
            <v>630 W 168TH ST</v>
          </cell>
          <cell r="T3218" t="str">
            <v>NEW YORK</v>
          </cell>
          <cell r="U3218" t="str">
            <v>NY</v>
          </cell>
          <cell r="V3218" t="str">
            <v>100323725</v>
          </cell>
          <cell r="AC3218" t="str">
            <v>M</v>
          </cell>
          <cell r="AD3218" t="str">
            <v>No</v>
          </cell>
          <cell r="AE3218" t="str">
            <v>NPI only</v>
          </cell>
          <cell r="AF3218" t="str">
            <v>nypwestacn</v>
          </cell>
          <cell r="AG3218" t="str">
            <v>P</v>
          </cell>
        </row>
        <row r="3219">
          <cell r="A3219" t="str">
            <v>1215390307</v>
          </cell>
          <cell r="C3219" t="str">
            <v>RAPHAEL ROSEN</v>
          </cell>
          <cell r="G3219" t="str">
            <v>Kathryn Spaziani</v>
          </cell>
          <cell r="H3219" t="str">
            <v>(212) 305-1190</v>
          </cell>
          <cell r="J3219" t="str">
            <v>kas9171@nyp.org</v>
          </cell>
          <cell r="K3219" t="str">
            <v>Unknown</v>
          </cell>
          <cell r="L3219" t="str">
            <v>Uncategorized</v>
          </cell>
          <cell r="M3219" t="str">
            <v>No</v>
          </cell>
          <cell r="R3219" t="str">
            <v>ROSEN RAPHAEL DR.</v>
          </cell>
          <cell r="S3219" t="str">
            <v>622 W 168TH ST</v>
          </cell>
          <cell r="T3219" t="str">
            <v>NEW YORK</v>
          </cell>
          <cell r="U3219" t="str">
            <v>NY</v>
          </cell>
          <cell r="V3219" t="str">
            <v>100323720</v>
          </cell>
          <cell r="AC3219" t="str">
            <v>M</v>
          </cell>
          <cell r="AD3219" t="str">
            <v>No</v>
          </cell>
          <cell r="AE3219" t="str">
            <v>NPI only</v>
          </cell>
          <cell r="AF3219" t="str">
            <v>nypwestacn</v>
          </cell>
          <cell r="AG3219" t="str">
            <v>P</v>
          </cell>
        </row>
        <row r="3220">
          <cell r="A3220" t="str">
            <v>1194169987</v>
          </cell>
          <cell r="C3220" t="str">
            <v>EZRA ROSEN</v>
          </cell>
          <cell r="G3220" t="str">
            <v>Kathryn Spaziani</v>
          </cell>
          <cell r="H3220" t="str">
            <v>(212) 305-1190</v>
          </cell>
          <cell r="J3220" t="str">
            <v>kas9171@nyp.org</v>
          </cell>
          <cell r="K3220" t="str">
            <v>Unknown</v>
          </cell>
          <cell r="L3220" t="str">
            <v>Uncategorized</v>
          </cell>
          <cell r="M3220" t="str">
            <v>No</v>
          </cell>
          <cell r="R3220" t="str">
            <v>ROSEN EZRA DR.</v>
          </cell>
          <cell r="S3220" t="str">
            <v>622 W 168TH ST</v>
          </cell>
          <cell r="T3220" t="str">
            <v>NEW YORK</v>
          </cell>
          <cell r="U3220" t="str">
            <v>NY</v>
          </cell>
          <cell r="V3220" t="str">
            <v>100323720</v>
          </cell>
          <cell r="AC3220" t="str">
            <v>M</v>
          </cell>
          <cell r="AD3220" t="str">
            <v>No</v>
          </cell>
          <cell r="AE3220" t="str">
            <v>NPI only</v>
          </cell>
          <cell r="AF3220" t="str">
            <v>nypwestacn</v>
          </cell>
          <cell r="AG3220" t="str">
            <v>P</v>
          </cell>
        </row>
        <row r="3221">
          <cell r="A3221" t="str">
            <v>1194144402</v>
          </cell>
          <cell r="C3221" t="str">
            <v>STEPHANIE ROSALES</v>
          </cell>
          <cell r="G3221" t="str">
            <v>Kathryn Spaziani</v>
          </cell>
          <cell r="H3221" t="str">
            <v>(212) 305-1190</v>
          </cell>
          <cell r="J3221" t="str">
            <v>kas9171@nyp.org</v>
          </cell>
          <cell r="K3221" t="str">
            <v>Unknown</v>
          </cell>
          <cell r="L3221" t="str">
            <v>Uncategorized</v>
          </cell>
          <cell r="M3221" t="str">
            <v>No</v>
          </cell>
          <cell r="R3221" t="str">
            <v>ROSALES STEPHANIE</v>
          </cell>
          <cell r="S3221" t="str">
            <v>630 W 168TH ST, PH 8 EAST ROOM 105</v>
          </cell>
          <cell r="T3221" t="str">
            <v>NEW YORK</v>
          </cell>
          <cell r="U3221" t="str">
            <v>NY</v>
          </cell>
          <cell r="V3221" t="str">
            <v>100323725</v>
          </cell>
          <cell r="AC3221" t="str">
            <v>M</v>
          </cell>
          <cell r="AD3221" t="str">
            <v>No</v>
          </cell>
          <cell r="AE3221" t="str">
            <v>NPI only</v>
          </cell>
          <cell r="AF3221" t="str">
            <v>nypwestacn</v>
          </cell>
          <cell r="AG3221" t="str">
            <v>P</v>
          </cell>
        </row>
        <row r="3222">
          <cell r="A3222" t="str">
            <v>1497117758</v>
          </cell>
          <cell r="C3222" t="str">
            <v>DWINDALLY ROSADO-RIVERA</v>
          </cell>
          <cell r="G3222" t="str">
            <v>Kathryn Spaziani</v>
          </cell>
          <cell r="H3222" t="str">
            <v>(212) 305-1190</v>
          </cell>
          <cell r="J3222" t="str">
            <v>kas9171@nyp.org</v>
          </cell>
          <cell r="K3222" t="str">
            <v>Unknown</v>
          </cell>
          <cell r="L3222" t="str">
            <v>Uncategorized</v>
          </cell>
          <cell r="M3222" t="str">
            <v>No</v>
          </cell>
          <cell r="R3222" t="str">
            <v>ROSADO-RIVERA DWINDALLY</v>
          </cell>
          <cell r="S3222" t="str">
            <v>505 E 70TH ST, WEILL CORNELL INTERNAL MEDICINE ASSOCIATES</v>
          </cell>
          <cell r="T3222" t="str">
            <v>NEW YORK</v>
          </cell>
          <cell r="U3222" t="str">
            <v>NY</v>
          </cell>
          <cell r="V3222" t="str">
            <v>100214872</v>
          </cell>
          <cell r="AC3222" t="str">
            <v>M</v>
          </cell>
          <cell r="AD3222" t="str">
            <v>No</v>
          </cell>
          <cell r="AE3222" t="str">
            <v>NPI only</v>
          </cell>
          <cell r="AF3222" t="str">
            <v>nypeastacn</v>
          </cell>
          <cell r="AG3222" t="str">
            <v>P</v>
          </cell>
        </row>
        <row r="3223">
          <cell r="A3223" t="str">
            <v>1881089688</v>
          </cell>
          <cell r="C3223" t="str">
            <v>KAILEEN ROHR</v>
          </cell>
          <cell r="G3223" t="str">
            <v>Kathryn Spaziani</v>
          </cell>
          <cell r="H3223" t="str">
            <v>(212) 305-1190</v>
          </cell>
          <cell r="J3223" t="str">
            <v>kas9171@nyp.org</v>
          </cell>
          <cell r="K3223" t="str">
            <v>Unknown</v>
          </cell>
          <cell r="L3223" t="str">
            <v>Uncategorized</v>
          </cell>
          <cell r="M3223" t="str">
            <v>No</v>
          </cell>
          <cell r="R3223" t="str">
            <v>ROHR KAILEEN</v>
          </cell>
          <cell r="S3223" t="str">
            <v>3959 BROADWAY</v>
          </cell>
          <cell r="T3223" t="str">
            <v>NEW YORK</v>
          </cell>
          <cell r="U3223" t="str">
            <v>NY</v>
          </cell>
          <cell r="V3223" t="str">
            <v>100321559</v>
          </cell>
          <cell r="AC3223" t="str">
            <v>M</v>
          </cell>
          <cell r="AD3223" t="str">
            <v>No</v>
          </cell>
          <cell r="AE3223" t="str">
            <v>NPI only</v>
          </cell>
          <cell r="AF3223" t="str">
            <v>nypwestacn</v>
          </cell>
          <cell r="AG3223" t="str">
            <v>P</v>
          </cell>
        </row>
        <row r="3224">
          <cell r="A3224" t="str">
            <v>1700267986</v>
          </cell>
          <cell r="C3224" t="str">
            <v>ANJALI ROHATGI</v>
          </cell>
          <cell r="G3224" t="str">
            <v>Kathryn Spaziani</v>
          </cell>
          <cell r="H3224" t="str">
            <v>(212) 305-1190</v>
          </cell>
          <cell r="J3224" t="str">
            <v>kas9171@nyp.org</v>
          </cell>
          <cell r="K3224" t="str">
            <v>Unknown</v>
          </cell>
          <cell r="L3224" t="str">
            <v>Uncategorized</v>
          </cell>
          <cell r="M3224" t="str">
            <v>No</v>
          </cell>
          <cell r="R3224" t="str">
            <v>ROHATGI ANJALI</v>
          </cell>
          <cell r="S3224" t="str">
            <v>1 BARNES JEWISH HOSPITAL PLZ</v>
          </cell>
          <cell r="T3224" t="str">
            <v>SAINT LOUIS</v>
          </cell>
          <cell r="U3224" t="str">
            <v>MO</v>
          </cell>
          <cell r="V3224" t="str">
            <v>631101003</v>
          </cell>
          <cell r="AC3224" t="str">
            <v>M</v>
          </cell>
          <cell r="AD3224" t="str">
            <v>No</v>
          </cell>
          <cell r="AE3224" t="str">
            <v>NPI only</v>
          </cell>
          <cell r="AF3224" t="str">
            <v>nypeastacn</v>
          </cell>
          <cell r="AG3224" t="str">
            <v>P</v>
          </cell>
        </row>
        <row r="3225">
          <cell r="A3225" t="str">
            <v>1942627955</v>
          </cell>
          <cell r="C3225" t="str">
            <v>ELLIS ROCHELSON</v>
          </cell>
          <cell r="G3225" t="str">
            <v>Kathryn Spaziani</v>
          </cell>
          <cell r="H3225" t="str">
            <v>(212) 305-1190</v>
          </cell>
          <cell r="J3225" t="str">
            <v>kas9171@nyp.org</v>
          </cell>
          <cell r="K3225" t="str">
            <v>Unknown</v>
          </cell>
          <cell r="L3225" t="str">
            <v>Uncategorized</v>
          </cell>
          <cell r="M3225" t="str">
            <v>No</v>
          </cell>
          <cell r="R3225" t="str">
            <v>ROCHELSON ELLIS</v>
          </cell>
          <cell r="S3225" t="str">
            <v>3959 BROADWAY</v>
          </cell>
          <cell r="T3225" t="str">
            <v>NEW YORK</v>
          </cell>
          <cell r="U3225" t="str">
            <v>NY</v>
          </cell>
          <cell r="V3225" t="str">
            <v>100321559</v>
          </cell>
          <cell r="AC3225" t="str">
            <v>M</v>
          </cell>
          <cell r="AD3225" t="str">
            <v>No</v>
          </cell>
          <cell r="AE3225" t="str">
            <v>NPI only</v>
          </cell>
          <cell r="AF3225" t="str">
            <v>nypwestacn</v>
          </cell>
          <cell r="AG3225" t="str">
            <v>P</v>
          </cell>
        </row>
        <row r="3226">
          <cell r="A3226" t="str">
            <v>1508251562</v>
          </cell>
          <cell r="C3226" t="str">
            <v>ALEX ROBLES</v>
          </cell>
          <cell r="G3226" t="str">
            <v>Kathryn Spaziani</v>
          </cell>
          <cell r="H3226" t="str">
            <v>(212) 305-1190</v>
          </cell>
          <cell r="J3226" t="str">
            <v>kas9171@nyp.org</v>
          </cell>
          <cell r="K3226" t="str">
            <v>Unknown</v>
          </cell>
          <cell r="L3226" t="str">
            <v>Uncategorized</v>
          </cell>
          <cell r="M3226" t="str">
            <v>No</v>
          </cell>
          <cell r="R3226" t="str">
            <v>ROBLES ALEX</v>
          </cell>
          <cell r="S3226" t="str">
            <v>525 E 68TH ST, BOX 122</v>
          </cell>
          <cell r="T3226" t="str">
            <v>NEW YORK</v>
          </cell>
          <cell r="U3226" t="str">
            <v>NY</v>
          </cell>
          <cell r="V3226" t="str">
            <v>100654870</v>
          </cell>
          <cell r="AC3226" t="str">
            <v>M</v>
          </cell>
          <cell r="AD3226" t="str">
            <v>No</v>
          </cell>
          <cell r="AE3226" t="str">
            <v>NPI only</v>
          </cell>
          <cell r="AF3226" t="str">
            <v>nypeastacn</v>
          </cell>
          <cell r="AG3226" t="str">
            <v>P</v>
          </cell>
        </row>
        <row r="3227">
          <cell r="A3227" t="str">
            <v>1578959821</v>
          </cell>
          <cell r="C3227" t="str">
            <v>REBECCA ROACH</v>
          </cell>
          <cell r="G3227" t="str">
            <v>Kathryn Spaziani</v>
          </cell>
          <cell r="H3227" t="str">
            <v>(212) 305-1190</v>
          </cell>
          <cell r="J3227" t="str">
            <v>kas9171@nyp.org</v>
          </cell>
          <cell r="K3227" t="str">
            <v>Unknown</v>
          </cell>
          <cell r="L3227" t="str">
            <v>Uncategorized</v>
          </cell>
          <cell r="M3227" t="str">
            <v>No</v>
          </cell>
          <cell r="R3227" t="str">
            <v>ROACH REBECCA</v>
          </cell>
          <cell r="S3227" t="str">
            <v>610 W 158TH ST</v>
          </cell>
          <cell r="T3227" t="str">
            <v>NEW YORK</v>
          </cell>
          <cell r="U3227" t="str">
            <v>NY</v>
          </cell>
          <cell r="V3227" t="str">
            <v>100327104</v>
          </cell>
          <cell r="AC3227" t="str">
            <v>M</v>
          </cell>
          <cell r="AD3227" t="str">
            <v>No</v>
          </cell>
          <cell r="AE3227" t="str">
            <v>NPI only</v>
          </cell>
          <cell r="AF3227" t="str">
            <v>nypwestacn</v>
          </cell>
          <cell r="AG3227" t="str">
            <v>P</v>
          </cell>
        </row>
        <row r="3228">
          <cell r="A3228" t="str">
            <v>1386039451</v>
          </cell>
          <cell r="C3228" t="str">
            <v>ALEXIS RICHARDS</v>
          </cell>
          <cell r="G3228" t="str">
            <v>Kathryn Spaziani</v>
          </cell>
          <cell r="H3228" t="str">
            <v>(212) 305-1190</v>
          </cell>
          <cell r="J3228" t="str">
            <v>kas9171@nyp.org</v>
          </cell>
          <cell r="K3228" t="str">
            <v>Unknown</v>
          </cell>
          <cell r="L3228" t="str">
            <v>Uncategorized</v>
          </cell>
          <cell r="M3228" t="str">
            <v>No</v>
          </cell>
          <cell r="R3228" t="str">
            <v>RICHARDS ALEXIS DR.</v>
          </cell>
          <cell r="S3228" t="str">
            <v>3959 BROADWAY</v>
          </cell>
          <cell r="T3228" t="str">
            <v>NEW YORK</v>
          </cell>
          <cell r="U3228" t="str">
            <v>NY</v>
          </cell>
          <cell r="V3228" t="str">
            <v>100321559</v>
          </cell>
          <cell r="AC3228" t="str">
            <v>M</v>
          </cell>
          <cell r="AD3228" t="str">
            <v>No</v>
          </cell>
          <cell r="AE3228" t="str">
            <v>NPI only</v>
          </cell>
          <cell r="AF3228" t="str">
            <v>nypwestacn</v>
          </cell>
          <cell r="AG3228" t="str">
            <v>P</v>
          </cell>
        </row>
        <row r="3229">
          <cell r="A3229" t="str">
            <v>1215322094</v>
          </cell>
          <cell r="C3229" t="str">
            <v>ZEMEN RETTA</v>
          </cell>
          <cell r="G3229" t="str">
            <v>Kathryn Spaziani</v>
          </cell>
          <cell r="H3229" t="str">
            <v>(212) 305-1190</v>
          </cell>
          <cell r="J3229" t="str">
            <v>kas9171@nyp.org</v>
          </cell>
          <cell r="K3229" t="str">
            <v>Unknown</v>
          </cell>
          <cell r="L3229" t="str">
            <v>Uncategorized</v>
          </cell>
          <cell r="M3229" t="str">
            <v>No</v>
          </cell>
          <cell r="R3229" t="str">
            <v>RETTA ZEMEN</v>
          </cell>
          <cell r="S3229" t="str">
            <v>3959 BROADWAY</v>
          </cell>
          <cell r="T3229" t="str">
            <v>NEW YORK</v>
          </cell>
          <cell r="U3229" t="str">
            <v>NY</v>
          </cell>
          <cell r="V3229" t="str">
            <v>100321559</v>
          </cell>
          <cell r="AC3229" t="str">
            <v>M</v>
          </cell>
          <cell r="AD3229" t="str">
            <v>No</v>
          </cell>
          <cell r="AE3229" t="str">
            <v>NPI only</v>
          </cell>
          <cell r="AF3229" t="str">
            <v>nypwestacn</v>
          </cell>
          <cell r="AG3229" t="str">
            <v>P</v>
          </cell>
        </row>
        <row r="3230">
          <cell r="A3230" t="str">
            <v>1770978066</v>
          </cell>
          <cell r="C3230" t="str">
            <v>BHARATH RATHAKRISHNAN</v>
          </cell>
          <cell r="G3230" t="str">
            <v>Kathryn Spaziani</v>
          </cell>
          <cell r="H3230" t="str">
            <v>(212) 305-1190</v>
          </cell>
          <cell r="J3230" t="str">
            <v>kas9171@nyp.org</v>
          </cell>
          <cell r="K3230" t="str">
            <v>Unknown</v>
          </cell>
          <cell r="L3230" t="str">
            <v>Uncategorized</v>
          </cell>
          <cell r="M3230" t="str">
            <v>No</v>
          </cell>
          <cell r="R3230" t="str">
            <v>RATHAKRISHNAN BHARATH</v>
          </cell>
          <cell r="S3230" t="str">
            <v>630 W 168TH ST, COLUMBIA DEPARTMENT OF MEDICINE</v>
          </cell>
          <cell r="T3230" t="str">
            <v>NEW YORK</v>
          </cell>
          <cell r="U3230" t="str">
            <v>NY</v>
          </cell>
          <cell r="V3230" t="str">
            <v>100323725</v>
          </cell>
          <cell r="AC3230" t="str">
            <v>M</v>
          </cell>
          <cell r="AD3230" t="str">
            <v>No</v>
          </cell>
          <cell r="AE3230" t="str">
            <v>NPI only</v>
          </cell>
          <cell r="AF3230" t="str">
            <v>nypwestacn</v>
          </cell>
          <cell r="AG3230" t="str">
            <v>P</v>
          </cell>
        </row>
        <row r="3231">
          <cell r="A3231" t="str">
            <v>1457771339</v>
          </cell>
          <cell r="C3231" t="str">
            <v>DARA RAJESHWAR</v>
          </cell>
          <cell r="G3231" t="str">
            <v>Kathryn Spaziani</v>
          </cell>
          <cell r="H3231" t="str">
            <v>(212) 305-1190</v>
          </cell>
          <cell r="J3231" t="str">
            <v>kas9171@nyp.org</v>
          </cell>
          <cell r="K3231" t="str">
            <v>Unknown</v>
          </cell>
          <cell r="L3231" t="str">
            <v>Uncategorized</v>
          </cell>
          <cell r="M3231" t="str">
            <v>No</v>
          </cell>
          <cell r="R3231" t="str">
            <v>RAJESHWAR DARA DR.</v>
          </cell>
          <cell r="S3231" t="str">
            <v>525 E 68TH ST RM M-610</v>
          </cell>
          <cell r="T3231" t="str">
            <v>NEW YORK</v>
          </cell>
          <cell r="U3231" t="str">
            <v>NY</v>
          </cell>
          <cell r="V3231" t="str">
            <v>100654870</v>
          </cell>
          <cell r="AC3231" t="str">
            <v>M</v>
          </cell>
          <cell r="AD3231" t="str">
            <v>No</v>
          </cell>
          <cell r="AE3231" t="str">
            <v>NPI only</v>
          </cell>
          <cell r="AF3231" t="str">
            <v>nypeastacn</v>
          </cell>
          <cell r="AG3231" t="str">
            <v>P</v>
          </cell>
        </row>
        <row r="3232">
          <cell r="A3232" t="str">
            <v>1215390968</v>
          </cell>
          <cell r="C3232" t="str">
            <v>KARTIK RAJAGOPALAN</v>
          </cell>
          <cell r="G3232" t="str">
            <v>Kathryn Spaziani</v>
          </cell>
          <cell r="H3232" t="str">
            <v>(212) 305-1190</v>
          </cell>
          <cell r="J3232" t="str">
            <v>kas9171@nyp.org</v>
          </cell>
          <cell r="K3232" t="str">
            <v>Unknown</v>
          </cell>
          <cell r="L3232" t="str">
            <v>Uncategorized</v>
          </cell>
          <cell r="M3232" t="str">
            <v>No</v>
          </cell>
          <cell r="R3232" t="str">
            <v>RAJAGOPALAN KARTIK</v>
          </cell>
          <cell r="S3232" t="str">
            <v>622 W 168TH ST</v>
          </cell>
          <cell r="T3232" t="str">
            <v>NEW YORK</v>
          </cell>
          <cell r="U3232" t="str">
            <v>NY</v>
          </cell>
          <cell r="V3232" t="str">
            <v>100323720</v>
          </cell>
          <cell r="AC3232" t="str">
            <v>M</v>
          </cell>
          <cell r="AD3232" t="str">
            <v>No</v>
          </cell>
          <cell r="AE3232" t="str">
            <v>NPI only</v>
          </cell>
          <cell r="AF3232" t="str">
            <v>nypwestacn</v>
          </cell>
          <cell r="AG3232" t="str">
            <v>P</v>
          </cell>
        </row>
        <row r="3233">
          <cell r="A3233" t="str">
            <v>1740643766</v>
          </cell>
          <cell r="C3233" t="str">
            <v>RUYAN RAHNAMA-HAZAVEH</v>
          </cell>
          <cell r="G3233" t="str">
            <v>Kathryn Spaziani</v>
          </cell>
          <cell r="H3233" t="str">
            <v>(212) 305-1190</v>
          </cell>
          <cell r="J3233" t="str">
            <v>kas9171@nyp.org</v>
          </cell>
          <cell r="K3233" t="str">
            <v>Unknown</v>
          </cell>
          <cell r="L3233" t="str">
            <v>Uncategorized</v>
          </cell>
          <cell r="M3233" t="str">
            <v>No</v>
          </cell>
          <cell r="R3233" t="str">
            <v>RAHNAMA RUYAN</v>
          </cell>
          <cell r="S3233" t="str">
            <v>3959 BROADWAY</v>
          </cell>
          <cell r="T3233" t="str">
            <v>NEW YORK</v>
          </cell>
          <cell r="U3233" t="str">
            <v>NY</v>
          </cell>
          <cell r="V3233" t="str">
            <v>100321559</v>
          </cell>
          <cell r="AC3233" t="str">
            <v>M</v>
          </cell>
          <cell r="AD3233" t="str">
            <v>No</v>
          </cell>
          <cell r="AE3233" t="str">
            <v>NPI only</v>
          </cell>
          <cell r="AF3233" t="str">
            <v>nypwestacn</v>
          </cell>
          <cell r="AG3233" t="str">
            <v>P</v>
          </cell>
        </row>
        <row r="3234">
          <cell r="A3234" t="str">
            <v>1659766152</v>
          </cell>
          <cell r="C3234" t="str">
            <v>LOREN RABINOWITZ</v>
          </cell>
          <cell r="G3234" t="str">
            <v>Kathryn Spaziani</v>
          </cell>
          <cell r="H3234" t="str">
            <v>(212) 305-1190</v>
          </cell>
          <cell r="J3234" t="str">
            <v>kas9171@nyp.org</v>
          </cell>
          <cell r="K3234" t="str">
            <v>Unknown</v>
          </cell>
          <cell r="L3234" t="str">
            <v>Uncategorized</v>
          </cell>
          <cell r="M3234" t="str">
            <v>No</v>
          </cell>
          <cell r="R3234" t="str">
            <v>RABINOWITZ LOREN DR.</v>
          </cell>
          <cell r="S3234" t="str">
            <v>177 FORT WASHINGTON AVE, FLOOR 6, CENTER ROOM 12</v>
          </cell>
          <cell r="T3234" t="str">
            <v>NEW YORK</v>
          </cell>
          <cell r="U3234" t="str">
            <v>NY</v>
          </cell>
          <cell r="V3234" t="str">
            <v>100323733</v>
          </cell>
          <cell r="AC3234" t="str">
            <v>M</v>
          </cell>
          <cell r="AD3234" t="str">
            <v>No</v>
          </cell>
          <cell r="AE3234" t="str">
            <v>NPI only</v>
          </cell>
          <cell r="AF3234" t="str">
            <v>nypwestacn</v>
          </cell>
          <cell r="AG3234" t="str">
            <v>P</v>
          </cell>
        </row>
        <row r="3235">
          <cell r="A3235" t="str">
            <v>1265894166</v>
          </cell>
          <cell r="C3235" t="str">
            <v>KATHERINE PRYOR</v>
          </cell>
          <cell r="G3235" t="str">
            <v>Kathryn Spaziani</v>
          </cell>
          <cell r="H3235" t="str">
            <v>(212) 305-1190</v>
          </cell>
          <cell r="J3235" t="str">
            <v>kas9171@nyp.org</v>
          </cell>
          <cell r="K3235" t="str">
            <v>Unknown</v>
          </cell>
          <cell r="L3235" t="str">
            <v>Uncategorized</v>
          </cell>
          <cell r="M3235" t="str">
            <v>No</v>
          </cell>
          <cell r="R3235" t="str">
            <v>PRYOR KATHERINE</v>
          </cell>
          <cell r="S3235" t="str">
            <v>525 E 68TH ST, BOX 122</v>
          </cell>
          <cell r="T3235" t="str">
            <v>NEW YORK</v>
          </cell>
          <cell r="U3235" t="str">
            <v>NY</v>
          </cell>
          <cell r="V3235" t="str">
            <v>100654870</v>
          </cell>
          <cell r="AC3235" t="str">
            <v>M</v>
          </cell>
          <cell r="AD3235" t="str">
            <v>No</v>
          </cell>
          <cell r="AE3235" t="str">
            <v>NPI only</v>
          </cell>
          <cell r="AF3235" t="str">
            <v>nypeastacn</v>
          </cell>
          <cell r="AG3235" t="str">
            <v>P</v>
          </cell>
        </row>
        <row r="3236">
          <cell r="A3236" t="str">
            <v>1205281326</v>
          </cell>
          <cell r="C3236" t="str">
            <v>ILANA PRIOR</v>
          </cell>
          <cell r="G3236" t="str">
            <v>Kathryn Spaziani</v>
          </cell>
          <cell r="H3236" t="str">
            <v>(212) 305-1190</v>
          </cell>
          <cell r="J3236" t="str">
            <v>kas9171@nyp.org</v>
          </cell>
          <cell r="K3236" t="str">
            <v>Unknown</v>
          </cell>
          <cell r="L3236" t="str">
            <v>Uncategorized</v>
          </cell>
          <cell r="M3236" t="str">
            <v>No</v>
          </cell>
          <cell r="R3236" t="str">
            <v>PRIOR ILANA</v>
          </cell>
          <cell r="S3236" t="str">
            <v>505 EAST 70TH STREET, WEILL CORNELL INTERNAL MEDICINE ASSOCIATES</v>
          </cell>
          <cell r="T3236" t="str">
            <v>NEW YORK</v>
          </cell>
          <cell r="U3236" t="str">
            <v>NY</v>
          </cell>
          <cell r="V3236" t="str">
            <v>10021</v>
          </cell>
          <cell r="AC3236" t="str">
            <v>M</v>
          </cell>
          <cell r="AD3236" t="str">
            <v>No</v>
          </cell>
          <cell r="AE3236" t="str">
            <v>NPI only</v>
          </cell>
          <cell r="AF3236" t="str">
            <v>nypeastacn</v>
          </cell>
          <cell r="AG3236" t="str">
            <v>P</v>
          </cell>
        </row>
        <row r="3237">
          <cell r="A3237" t="str">
            <v>1891119319</v>
          </cell>
          <cell r="C3237" t="str">
            <v>KATHARINE PRESS</v>
          </cell>
          <cell r="G3237" t="str">
            <v>Kathryn Spaziani</v>
          </cell>
          <cell r="H3237" t="str">
            <v>(212) 305-1190</v>
          </cell>
          <cell r="J3237" t="str">
            <v>kas9171@nyp.org</v>
          </cell>
          <cell r="K3237" t="str">
            <v>Unknown</v>
          </cell>
          <cell r="L3237" t="str">
            <v>Uncategorized</v>
          </cell>
          <cell r="M3237" t="str">
            <v>No</v>
          </cell>
          <cell r="R3237" t="str">
            <v>PRESS KATHARINE</v>
          </cell>
          <cell r="S3237" t="str">
            <v>600 N WOLFE ST, THE JOHNS HOPKINS HOSPITAL</v>
          </cell>
          <cell r="T3237" t="str">
            <v>BALTIMORE</v>
          </cell>
          <cell r="U3237" t="str">
            <v>MD</v>
          </cell>
          <cell r="V3237" t="str">
            <v>212872109</v>
          </cell>
          <cell r="AC3237" t="str">
            <v>M</v>
          </cell>
          <cell r="AD3237" t="str">
            <v>No</v>
          </cell>
          <cell r="AE3237" t="str">
            <v>NPI only</v>
          </cell>
          <cell r="AF3237" t="str">
            <v>nypwestacn</v>
          </cell>
          <cell r="AG3237" t="str">
            <v>P</v>
          </cell>
        </row>
        <row r="3238">
          <cell r="A3238" t="str">
            <v>1659629442</v>
          </cell>
          <cell r="C3238" t="str">
            <v>KRISTEN PORTO</v>
          </cell>
          <cell r="G3238" t="str">
            <v>Kathryn Spaziani</v>
          </cell>
          <cell r="H3238" t="str">
            <v>(212) 305-1190</v>
          </cell>
          <cell r="J3238" t="str">
            <v>kas9171@nyp.org</v>
          </cell>
          <cell r="K3238" t="str">
            <v>Unknown</v>
          </cell>
          <cell r="L3238" t="str">
            <v>Uncategorized</v>
          </cell>
          <cell r="M3238" t="str">
            <v>No</v>
          </cell>
          <cell r="R3238" t="str">
            <v>CROSBY KRISTIN DR.</v>
          </cell>
          <cell r="S3238" t="str">
            <v>525 E 68TH ST</v>
          </cell>
          <cell r="T3238" t="str">
            <v>NEW YORK</v>
          </cell>
          <cell r="U3238" t="str">
            <v>NY</v>
          </cell>
          <cell r="V3238" t="str">
            <v>100654870</v>
          </cell>
          <cell r="AC3238" t="str">
            <v>M</v>
          </cell>
          <cell r="AD3238" t="str">
            <v>No</v>
          </cell>
          <cell r="AE3238" t="str">
            <v>NPI only</v>
          </cell>
          <cell r="AF3238" t="str">
            <v>nypeastacn</v>
          </cell>
          <cell r="AG3238" t="str">
            <v>P</v>
          </cell>
        </row>
        <row r="3239">
          <cell r="A3239" t="str">
            <v>1215356530</v>
          </cell>
          <cell r="C3239" t="str">
            <v>ADAM PONT</v>
          </cell>
          <cell r="G3239" t="str">
            <v>Kathryn Spaziani</v>
          </cell>
          <cell r="H3239" t="str">
            <v>(212) 305-1190</v>
          </cell>
          <cell r="J3239" t="str">
            <v>kas9171@nyp.org</v>
          </cell>
          <cell r="K3239" t="str">
            <v>Unknown</v>
          </cell>
          <cell r="L3239" t="str">
            <v>Uncategorized</v>
          </cell>
          <cell r="M3239" t="str">
            <v>No</v>
          </cell>
          <cell r="R3239" t="str">
            <v>PONT ADAM</v>
          </cell>
          <cell r="S3239" t="str">
            <v>315 W 55TH ST APT 4G</v>
          </cell>
          <cell r="T3239" t="str">
            <v>NEW YORK</v>
          </cell>
          <cell r="U3239" t="str">
            <v>NY</v>
          </cell>
          <cell r="V3239" t="str">
            <v>100194584</v>
          </cell>
          <cell r="AC3239" t="str">
            <v>M</v>
          </cell>
          <cell r="AD3239" t="str">
            <v>No</v>
          </cell>
          <cell r="AE3239" t="str">
            <v>NPI only</v>
          </cell>
          <cell r="AF3239" t="str">
            <v>nypwestacn</v>
          </cell>
          <cell r="AG3239" t="str">
            <v>P</v>
          </cell>
        </row>
        <row r="3240">
          <cell r="A3240" t="str">
            <v>1245625078</v>
          </cell>
          <cell r="C3240" t="str">
            <v>ANNA PODOLSKY</v>
          </cell>
          <cell r="G3240" t="str">
            <v>Kathryn Spaziani</v>
          </cell>
          <cell r="H3240" t="str">
            <v>(212) 305-1190</v>
          </cell>
          <cell r="J3240" t="str">
            <v>kas9171@nyp.org</v>
          </cell>
          <cell r="K3240" t="str">
            <v>Unknown</v>
          </cell>
          <cell r="L3240" t="str">
            <v>Uncategorized</v>
          </cell>
          <cell r="M3240" t="str">
            <v>No</v>
          </cell>
          <cell r="R3240" t="str">
            <v>PODOLSKY ANNA</v>
          </cell>
          <cell r="S3240" t="str">
            <v>3959 BROADWAY</v>
          </cell>
          <cell r="T3240" t="str">
            <v>NEW YORK</v>
          </cell>
          <cell r="U3240" t="str">
            <v>NY</v>
          </cell>
          <cell r="V3240" t="str">
            <v>100321559</v>
          </cell>
          <cell r="AC3240" t="str">
            <v>M</v>
          </cell>
          <cell r="AD3240" t="str">
            <v>No</v>
          </cell>
          <cell r="AE3240" t="str">
            <v>NPI only</v>
          </cell>
          <cell r="AF3240" t="str">
            <v>nypwestacn</v>
          </cell>
          <cell r="AG3240" t="str">
            <v>P</v>
          </cell>
        </row>
        <row r="3241">
          <cell r="A3241" t="str">
            <v>1326466491</v>
          </cell>
          <cell r="C3241" t="str">
            <v>JENNA PICCININNI</v>
          </cell>
          <cell r="G3241" t="str">
            <v>Kathryn Spaziani</v>
          </cell>
          <cell r="H3241" t="str">
            <v>(212) 305-1190</v>
          </cell>
          <cell r="J3241" t="str">
            <v>kas9171@nyp.org</v>
          </cell>
          <cell r="K3241" t="str">
            <v>Unknown</v>
          </cell>
          <cell r="L3241" t="str">
            <v>Uncategorized</v>
          </cell>
          <cell r="M3241" t="str">
            <v>No</v>
          </cell>
          <cell r="R3241" t="str">
            <v>PICCININNI JENNA</v>
          </cell>
          <cell r="S3241" t="str">
            <v>525 E 68TH ST</v>
          </cell>
          <cell r="T3241" t="str">
            <v>NEW YORK</v>
          </cell>
          <cell r="U3241" t="str">
            <v>NY</v>
          </cell>
          <cell r="V3241" t="str">
            <v>100654870</v>
          </cell>
          <cell r="AC3241" t="str">
            <v>M</v>
          </cell>
          <cell r="AD3241" t="str">
            <v>No</v>
          </cell>
          <cell r="AE3241" t="str">
            <v>NPI only</v>
          </cell>
          <cell r="AF3241" t="str">
            <v>nypeastacn</v>
          </cell>
          <cell r="AG3241" t="str">
            <v>P</v>
          </cell>
        </row>
        <row r="3242">
          <cell r="A3242" t="str">
            <v>1861887184</v>
          </cell>
          <cell r="C3242" t="str">
            <v>MEAGHAN PHIPPS</v>
          </cell>
          <cell r="G3242" t="str">
            <v>Kathryn Spaziani</v>
          </cell>
          <cell r="H3242" t="str">
            <v>(212) 305-1190</v>
          </cell>
          <cell r="J3242" t="str">
            <v>kas9171@nyp.org</v>
          </cell>
          <cell r="K3242" t="str">
            <v>Unknown</v>
          </cell>
          <cell r="L3242" t="str">
            <v>Uncategorized</v>
          </cell>
          <cell r="M3242" t="str">
            <v>No</v>
          </cell>
          <cell r="R3242" t="str">
            <v>PHIPPS MEAGHAN</v>
          </cell>
          <cell r="S3242" t="str">
            <v>622 W 168TH ST, #205</v>
          </cell>
          <cell r="T3242" t="str">
            <v>NEW YORK</v>
          </cell>
          <cell r="U3242" t="str">
            <v>NY</v>
          </cell>
          <cell r="V3242" t="str">
            <v>100323720</v>
          </cell>
          <cell r="AC3242" t="str">
            <v>M</v>
          </cell>
          <cell r="AD3242" t="str">
            <v>No</v>
          </cell>
          <cell r="AE3242" t="str">
            <v>NPI only</v>
          </cell>
          <cell r="AF3242" t="str">
            <v>nypwestacn</v>
          </cell>
          <cell r="AG3242" t="str">
            <v>P</v>
          </cell>
        </row>
        <row r="3243">
          <cell r="A3243" t="str">
            <v>1942664230</v>
          </cell>
          <cell r="C3243" t="str">
            <v>KHANH PHAM</v>
          </cell>
          <cell r="G3243" t="str">
            <v>Kathryn Spaziani</v>
          </cell>
          <cell r="H3243" t="str">
            <v>(212) 305-1190</v>
          </cell>
          <cell r="J3243" t="str">
            <v>kas9171@nyp.org</v>
          </cell>
          <cell r="K3243" t="str">
            <v>Unknown</v>
          </cell>
          <cell r="L3243" t="str">
            <v>Uncategorized</v>
          </cell>
          <cell r="M3243" t="str">
            <v>No</v>
          </cell>
          <cell r="R3243" t="str">
            <v>PHAM KHANH</v>
          </cell>
          <cell r="S3243" t="str">
            <v>505 EAST 70TH STREET, WEILL CORNELL INTERNAL MEDICINE ASSOCIATES</v>
          </cell>
          <cell r="T3243" t="str">
            <v>NEW YORK</v>
          </cell>
          <cell r="U3243" t="str">
            <v>NY</v>
          </cell>
          <cell r="V3243" t="str">
            <v>10021</v>
          </cell>
          <cell r="AC3243" t="str">
            <v>M</v>
          </cell>
          <cell r="AD3243" t="str">
            <v>No</v>
          </cell>
          <cell r="AE3243" t="str">
            <v>NPI only</v>
          </cell>
          <cell r="AF3243" t="str">
            <v>nypeastacn</v>
          </cell>
          <cell r="AG3243" t="str">
            <v>P</v>
          </cell>
        </row>
        <row r="3244">
          <cell r="A3244" t="str">
            <v>1417376799</v>
          </cell>
          <cell r="C3244" t="str">
            <v>ALLISON PETRINI</v>
          </cell>
          <cell r="G3244" t="str">
            <v>Kathryn Spaziani</v>
          </cell>
          <cell r="H3244" t="str">
            <v>(212) 305-1190</v>
          </cell>
          <cell r="J3244" t="str">
            <v>kas9171@nyp.org</v>
          </cell>
          <cell r="K3244" t="str">
            <v>Unknown</v>
          </cell>
          <cell r="L3244" t="str">
            <v>Uncategorized</v>
          </cell>
          <cell r="M3244" t="str">
            <v>No</v>
          </cell>
          <cell r="R3244" t="str">
            <v>PETRINI ALLISON</v>
          </cell>
          <cell r="S3244" t="str">
            <v>525 E 68TH ST # 122</v>
          </cell>
          <cell r="T3244" t="str">
            <v>NEW YORK</v>
          </cell>
          <cell r="U3244" t="str">
            <v>NY</v>
          </cell>
          <cell r="V3244" t="str">
            <v>100654870</v>
          </cell>
          <cell r="AC3244" t="str">
            <v>M</v>
          </cell>
          <cell r="AD3244" t="str">
            <v>No</v>
          </cell>
          <cell r="AE3244" t="str">
            <v>NPI only</v>
          </cell>
          <cell r="AF3244" t="str">
            <v>nypeastacn</v>
          </cell>
          <cell r="AG3244" t="str">
            <v>P</v>
          </cell>
        </row>
        <row r="3245">
          <cell r="A3245" t="str">
            <v>1578973459</v>
          </cell>
          <cell r="C3245" t="str">
            <v>MEREDITH PESCE</v>
          </cell>
          <cell r="G3245" t="str">
            <v>Kathryn Spaziani</v>
          </cell>
          <cell r="H3245" t="str">
            <v>(212) 305-1190</v>
          </cell>
          <cell r="J3245" t="str">
            <v>kas9171@nyp.org</v>
          </cell>
          <cell r="K3245" t="str">
            <v>Unknown</v>
          </cell>
          <cell r="L3245" t="str">
            <v>Uncategorized</v>
          </cell>
          <cell r="M3245" t="str">
            <v>No</v>
          </cell>
          <cell r="R3245" t="str">
            <v>PESCE MEREDITH MS.</v>
          </cell>
          <cell r="S3245" t="str">
            <v>3959 BROADWAY</v>
          </cell>
          <cell r="T3245" t="str">
            <v>NEW YORK</v>
          </cell>
          <cell r="U3245" t="str">
            <v>NY</v>
          </cell>
          <cell r="V3245" t="str">
            <v>100321559</v>
          </cell>
          <cell r="AC3245" t="str">
            <v>M</v>
          </cell>
          <cell r="AD3245" t="str">
            <v>No</v>
          </cell>
          <cell r="AE3245" t="str">
            <v>NPI only</v>
          </cell>
          <cell r="AF3245" t="str">
            <v>nypwestacn</v>
          </cell>
          <cell r="AG3245" t="str">
            <v>P</v>
          </cell>
        </row>
        <row r="3246">
          <cell r="A3246" t="str">
            <v>1295120517</v>
          </cell>
          <cell r="C3246" t="str">
            <v>YONATAN PELEG</v>
          </cell>
          <cell r="G3246" t="str">
            <v>Kathryn Spaziani</v>
          </cell>
          <cell r="H3246" t="str">
            <v>(212) 305-1190</v>
          </cell>
          <cell r="J3246" t="str">
            <v>kas9171@nyp.org</v>
          </cell>
          <cell r="K3246" t="str">
            <v>Unknown</v>
          </cell>
          <cell r="L3246" t="str">
            <v>Uncategorized</v>
          </cell>
          <cell r="M3246" t="str">
            <v>No</v>
          </cell>
          <cell r="R3246" t="str">
            <v>PELEG YONATAN</v>
          </cell>
          <cell r="S3246" t="str">
            <v>622 W 168TH ST # 205</v>
          </cell>
          <cell r="T3246" t="str">
            <v>NEW YORK</v>
          </cell>
          <cell r="U3246" t="str">
            <v>NY</v>
          </cell>
          <cell r="V3246" t="str">
            <v>100323720</v>
          </cell>
          <cell r="AC3246" t="str">
            <v>M</v>
          </cell>
          <cell r="AD3246" t="str">
            <v>No</v>
          </cell>
          <cell r="AE3246" t="str">
            <v>NPI only</v>
          </cell>
          <cell r="AF3246" t="str">
            <v>nypwestacn</v>
          </cell>
          <cell r="AG3246" t="str">
            <v>P</v>
          </cell>
        </row>
        <row r="3247">
          <cell r="A3247" t="str">
            <v>1720428329</v>
          </cell>
          <cell r="C3247" t="str">
            <v>KUNAL PATEL</v>
          </cell>
          <cell r="G3247" t="str">
            <v>Kathryn Spaziani</v>
          </cell>
          <cell r="H3247" t="str">
            <v>(212) 305-1190</v>
          </cell>
          <cell r="J3247" t="str">
            <v>kas9171@nyp.org</v>
          </cell>
          <cell r="K3247" t="str">
            <v>Unknown</v>
          </cell>
          <cell r="L3247" t="str">
            <v>Uncategorized</v>
          </cell>
          <cell r="M3247" t="str">
            <v>No</v>
          </cell>
          <cell r="R3247" t="str">
            <v>PATEL KUNAL DR.</v>
          </cell>
          <cell r="S3247" t="str">
            <v>1825 MARTHA BERRY BLVD NW</v>
          </cell>
          <cell r="T3247" t="str">
            <v>ROME</v>
          </cell>
          <cell r="U3247" t="str">
            <v>GA</v>
          </cell>
          <cell r="V3247" t="str">
            <v>301651625</v>
          </cell>
          <cell r="AC3247" t="str">
            <v>M</v>
          </cell>
          <cell r="AD3247" t="str">
            <v>No</v>
          </cell>
          <cell r="AE3247" t="str">
            <v>NPI only</v>
          </cell>
          <cell r="AF3247" t="str">
            <v>nypwestacn</v>
          </cell>
          <cell r="AG3247" t="str">
            <v>P</v>
          </cell>
        </row>
        <row r="3248">
          <cell r="A3248" t="str">
            <v>1467815456</v>
          </cell>
          <cell r="C3248" t="str">
            <v>KINJAN PARIKH</v>
          </cell>
          <cell r="G3248" t="str">
            <v>Kathryn Spaziani</v>
          </cell>
          <cell r="H3248" t="str">
            <v>(212) 305-1190</v>
          </cell>
          <cell r="J3248" t="str">
            <v>kas9171@nyp.org</v>
          </cell>
          <cell r="K3248" t="str">
            <v>Unknown</v>
          </cell>
          <cell r="L3248" t="str">
            <v>Uncategorized</v>
          </cell>
          <cell r="M3248" t="str">
            <v>No</v>
          </cell>
          <cell r="R3248" t="str">
            <v>PARIKH KINJAN</v>
          </cell>
          <cell r="S3248" t="str">
            <v>622 W 168TH ST</v>
          </cell>
          <cell r="T3248" t="str">
            <v>NEW YORK</v>
          </cell>
          <cell r="U3248" t="str">
            <v>NY</v>
          </cell>
          <cell r="V3248" t="str">
            <v>100323720</v>
          </cell>
          <cell r="AC3248" t="str">
            <v>M</v>
          </cell>
          <cell r="AD3248" t="str">
            <v>No</v>
          </cell>
          <cell r="AE3248" t="str">
            <v>NPI only</v>
          </cell>
          <cell r="AF3248" t="str">
            <v>nypwestacn</v>
          </cell>
          <cell r="AG3248" t="str">
            <v>P</v>
          </cell>
        </row>
        <row r="3249">
          <cell r="A3249" t="str">
            <v>1518352632</v>
          </cell>
          <cell r="C3249" t="str">
            <v>NICHOLAS PALMERI</v>
          </cell>
          <cell r="G3249" t="str">
            <v>Kathryn Spaziani</v>
          </cell>
          <cell r="H3249" t="str">
            <v>(212) 305-1190</v>
          </cell>
          <cell r="J3249" t="str">
            <v>kas9171@nyp.org</v>
          </cell>
          <cell r="K3249" t="str">
            <v>Unknown</v>
          </cell>
          <cell r="L3249" t="str">
            <v>Uncategorized</v>
          </cell>
          <cell r="M3249" t="str">
            <v>No</v>
          </cell>
          <cell r="R3249" t="str">
            <v>PALMERI NICHOLAS DR.</v>
          </cell>
          <cell r="S3249" t="str">
            <v>622 W 168TH ST # 205</v>
          </cell>
          <cell r="T3249" t="str">
            <v>NEW YORK</v>
          </cell>
          <cell r="U3249" t="str">
            <v>NY</v>
          </cell>
          <cell r="V3249" t="str">
            <v>100323720</v>
          </cell>
          <cell r="AC3249" t="str">
            <v>M</v>
          </cell>
          <cell r="AD3249" t="str">
            <v>No</v>
          </cell>
          <cell r="AE3249" t="str">
            <v>NPI only</v>
          </cell>
          <cell r="AF3249" t="str">
            <v>nypwestacn</v>
          </cell>
          <cell r="AG3249" t="str">
            <v>P</v>
          </cell>
        </row>
        <row r="3250">
          <cell r="A3250" t="str">
            <v>1417310574</v>
          </cell>
          <cell r="C3250" t="str">
            <v>MARIA PABON</v>
          </cell>
          <cell r="G3250" t="str">
            <v>Kathryn Spaziani</v>
          </cell>
          <cell r="H3250" t="str">
            <v>(212) 305-1190</v>
          </cell>
          <cell r="J3250" t="str">
            <v>kas9171@nyp.org</v>
          </cell>
          <cell r="K3250" t="str">
            <v>Unknown</v>
          </cell>
          <cell r="L3250" t="str">
            <v>Uncategorized</v>
          </cell>
          <cell r="M3250" t="str">
            <v>No</v>
          </cell>
          <cell r="R3250" t="str">
            <v>PABON MARIA</v>
          </cell>
          <cell r="S3250" t="str">
            <v>505 EAST 70TH STREET, WEILL CORNELL INTERNAL MEDICINE ASSOCIATES</v>
          </cell>
          <cell r="T3250" t="str">
            <v>NEW YORK</v>
          </cell>
          <cell r="U3250" t="str">
            <v>NY</v>
          </cell>
          <cell r="V3250" t="str">
            <v>10021</v>
          </cell>
          <cell r="AC3250" t="str">
            <v>M</v>
          </cell>
          <cell r="AD3250" t="str">
            <v>No</v>
          </cell>
          <cell r="AE3250" t="str">
            <v>NPI only</v>
          </cell>
          <cell r="AF3250" t="str">
            <v>nypeastacn</v>
          </cell>
          <cell r="AG3250" t="str">
            <v>P</v>
          </cell>
        </row>
        <row r="3251">
          <cell r="A3251" t="str">
            <v>1730533621</v>
          </cell>
          <cell r="C3251" t="str">
            <v>EVE OVERTON</v>
          </cell>
          <cell r="G3251" t="str">
            <v>Kathryn Spaziani</v>
          </cell>
          <cell r="H3251" t="str">
            <v>(212) 305-1190</v>
          </cell>
          <cell r="J3251" t="str">
            <v>kas9171@nyp.org</v>
          </cell>
          <cell r="K3251" t="str">
            <v>Unknown</v>
          </cell>
          <cell r="L3251" t="str">
            <v>Uncategorized</v>
          </cell>
          <cell r="M3251" t="str">
            <v>No</v>
          </cell>
          <cell r="R3251" t="str">
            <v>OVERTON EVE</v>
          </cell>
          <cell r="S3251" t="str">
            <v>622 W 168TH ST</v>
          </cell>
          <cell r="T3251" t="str">
            <v>NEW YORK</v>
          </cell>
          <cell r="U3251" t="str">
            <v>NY</v>
          </cell>
          <cell r="V3251" t="str">
            <v>100323720</v>
          </cell>
          <cell r="AC3251" t="str">
            <v>M</v>
          </cell>
          <cell r="AD3251" t="str">
            <v>No</v>
          </cell>
          <cell r="AE3251" t="str">
            <v>NPI only</v>
          </cell>
          <cell r="AF3251" t="str">
            <v>nypwestacn</v>
          </cell>
          <cell r="AG3251" t="str">
            <v>P</v>
          </cell>
        </row>
        <row r="3252">
          <cell r="A3252" t="str">
            <v>1881058600</v>
          </cell>
          <cell r="C3252" t="str">
            <v>DANA O'TOOLE</v>
          </cell>
          <cell r="G3252" t="str">
            <v>Kathryn Spaziani</v>
          </cell>
          <cell r="H3252" t="str">
            <v>(212) 305-1190</v>
          </cell>
          <cell r="J3252" t="str">
            <v>kas9171@nyp.org</v>
          </cell>
          <cell r="K3252" t="str">
            <v>Unknown</v>
          </cell>
          <cell r="L3252" t="str">
            <v>Uncategorized</v>
          </cell>
          <cell r="M3252" t="str">
            <v>No</v>
          </cell>
          <cell r="R3252" t="str">
            <v>O'TOOLE DANA DR.</v>
          </cell>
          <cell r="S3252" t="str">
            <v>525 E 68TH ST</v>
          </cell>
          <cell r="T3252" t="str">
            <v>NEW YORK</v>
          </cell>
          <cell r="U3252" t="str">
            <v>NY</v>
          </cell>
          <cell r="V3252" t="str">
            <v>100654870</v>
          </cell>
          <cell r="AC3252" t="str">
            <v>M</v>
          </cell>
          <cell r="AD3252" t="str">
            <v>No</v>
          </cell>
          <cell r="AE3252" t="str">
            <v>NPI only</v>
          </cell>
          <cell r="AF3252" t="str">
            <v>nypeastacn</v>
          </cell>
          <cell r="AG3252" t="str">
            <v>P</v>
          </cell>
        </row>
        <row r="3253">
          <cell r="A3253" t="str">
            <v>1356579155</v>
          </cell>
          <cell r="C3253" t="str">
            <v>JOHN O'REILLY</v>
          </cell>
          <cell r="G3253" t="str">
            <v>Kathryn Spaziani</v>
          </cell>
          <cell r="H3253" t="str">
            <v>(212) 305-1190</v>
          </cell>
          <cell r="J3253" t="str">
            <v>kas9171@nyp.org</v>
          </cell>
          <cell r="K3253" t="str">
            <v>Unknown</v>
          </cell>
          <cell r="L3253" t="str">
            <v>Uncategorized</v>
          </cell>
          <cell r="M3253" t="str">
            <v>No</v>
          </cell>
          <cell r="R3253" t="str">
            <v>OREILLY JOHN</v>
          </cell>
          <cell r="S3253" t="str">
            <v>622 W 168TH ST</v>
          </cell>
          <cell r="T3253" t="str">
            <v>NEW YORK</v>
          </cell>
          <cell r="U3253" t="str">
            <v>NY</v>
          </cell>
          <cell r="V3253" t="str">
            <v>100323720</v>
          </cell>
          <cell r="AC3253" t="str">
            <v>M</v>
          </cell>
          <cell r="AD3253" t="str">
            <v>No</v>
          </cell>
          <cell r="AE3253" t="str">
            <v>NPI only</v>
          </cell>
          <cell r="AF3253" t="str">
            <v>nypwestacn</v>
          </cell>
          <cell r="AG3253" t="str">
            <v>P</v>
          </cell>
        </row>
        <row r="3254">
          <cell r="A3254" t="str">
            <v>1649634734</v>
          </cell>
          <cell r="C3254" t="str">
            <v>AMANDA NUSSDORF</v>
          </cell>
          <cell r="G3254" t="str">
            <v>Kathryn Spaziani</v>
          </cell>
          <cell r="H3254" t="str">
            <v>(212) 305-1190</v>
          </cell>
          <cell r="J3254" t="str">
            <v>kas9171@nyp.org</v>
          </cell>
          <cell r="K3254" t="str">
            <v>Unknown</v>
          </cell>
          <cell r="L3254" t="str">
            <v>Uncategorized</v>
          </cell>
          <cell r="M3254" t="str">
            <v>No</v>
          </cell>
          <cell r="R3254" t="str">
            <v>NUSSDORF AMANDA</v>
          </cell>
          <cell r="S3254" t="str">
            <v>622 W 168TH ST</v>
          </cell>
          <cell r="T3254" t="str">
            <v>NEW YORK</v>
          </cell>
          <cell r="U3254" t="str">
            <v>NY</v>
          </cell>
          <cell r="V3254" t="str">
            <v>100323720</v>
          </cell>
          <cell r="AC3254" t="str">
            <v>M</v>
          </cell>
          <cell r="AD3254" t="str">
            <v>No</v>
          </cell>
          <cell r="AE3254" t="str">
            <v>NPI only</v>
          </cell>
          <cell r="AF3254" t="str">
            <v>nypwestacn</v>
          </cell>
          <cell r="AG3254" t="str">
            <v>P</v>
          </cell>
        </row>
        <row r="3255">
          <cell r="A3255" t="str">
            <v>1477915833</v>
          </cell>
          <cell r="C3255" t="str">
            <v>MARIELLA NTAMATUNGIRO</v>
          </cell>
          <cell r="G3255" t="str">
            <v>Kathryn Spaziani</v>
          </cell>
          <cell r="H3255" t="str">
            <v>(212) 305-1190</v>
          </cell>
          <cell r="J3255" t="str">
            <v>kas9171@nyp.org</v>
          </cell>
          <cell r="K3255" t="str">
            <v>Unknown</v>
          </cell>
          <cell r="L3255" t="str">
            <v>Uncategorized</v>
          </cell>
          <cell r="M3255" t="str">
            <v>No</v>
          </cell>
          <cell r="R3255" t="str">
            <v>NTAMATUNGIRO MARIELLA</v>
          </cell>
          <cell r="S3255" t="str">
            <v>505 E 70TH ST, WEILL CORNELL INTERNAL MEDICINE ASSOCIATES</v>
          </cell>
          <cell r="T3255" t="str">
            <v>NEW YORK</v>
          </cell>
          <cell r="U3255" t="str">
            <v>NY</v>
          </cell>
          <cell r="V3255" t="str">
            <v>100214872</v>
          </cell>
          <cell r="AC3255" t="str">
            <v>M</v>
          </cell>
          <cell r="AD3255" t="str">
            <v>No</v>
          </cell>
          <cell r="AE3255" t="str">
            <v>NPI only</v>
          </cell>
          <cell r="AF3255" t="str">
            <v>nypeastacn</v>
          </cell>
          <cell r="AG3255" t="str">
            <v>P</v>
          </cell>
        </row>
        <row r="3256">
          <cell r="A3256" t="str">
            <v>1972997864</v>
          </cell>
          <cell r="C3256" t="str">
            <v>KERIANN NOBIL</v>
          </cell>
          <cell r="G3256" t="str">
            <v>Kathryn Spaziani</v>
          </cell>
          <cell r="H3256" t="str">
            <v>(212) 305-1190</v>
          </cell>
          <cell r="J3256" t="str">
            <v>kas9171@nyp.org</v>
          </cell>
          <cell r="K3256" t="str">
            <v>Unknown</v>
          </cell>
          <cell r="L3256" t="str">
            <v>Uncategorized</v>
          </cell>
          <cell r="M3256" t="str">
            <v>No</v>
          </cell>
          <cell r="R3256" t="str">
            <v>NOBIL KERIANN</v>
          </cell>
          <cell r="S3256" t="str">
            <v>3959 BROADWAY</v>
          </cell>
          <cell r="T3256" t="str">
            <v>NEW YORK</v>
          </cell>
          <cell r="U3256" t="str">
            <v>NY</v>
          </cell>
          <cell r="V3256" t="str">
            <v>100321559</v>
          </cell>
          <cell r="AC3256" t="str">
            <v>M</v>
          </cell>
          <cell r="AD3256" t="str">
            <v>No</v>
          </cell>
          <cell r="AE3256" t="str">
            <v>NPI only</v>
          </cell>
          <cell r="AF3256" t="str">
            <v>nypwestacn</v>
          </cell>
          <cell r="AG3256" t="str">
            <v>P</v>
          </cell>
        </row>
        <row r="3257">
          <cell r="A3257" t="str">
            <v>1326433749</v>
          </cell>
          <cell r="C3257" t="str">
            <v>YAEL NOBEL</v>
          </cell>
          <cell r="G3257" t="str">
            <v>Kathryn Spaziani</v>
          </cell>
          <cell r="H3257" t="str">
            <v>(212) 305-1190</v>
          </cell>
          <cell r="J3257" t="str">
            <v>kas9171@nyp.org</v>
          </cell>
          <cell r="K3257" t="str">
            <v>Unknown</v>
          </cell>
          <cell r="L3257" t="str">
            <v>Uncategorized</v>
          </cell>
          <cell r="M3257" t="str">
            <v>No</v>
          </cell>
          <cell r="R3257" t="str">
            <v>NOBEL YAEL</v>
          </cell>
          <cell r="S3257" t="str">
            <v>622 W 168TH ST, #205</v>
          </cell>
          <cell r="T3257" t="str">
            <v>NEW YORK</v>
          </cell>
          <cell r="U3257" t="str">
            <v>NY</v>
          </cell>
          <cell r="V3257" t="str">
            <v>100323720</v>
          </cell>
          <cell r="AC3257" t="str">
            <v>M</v>
          </cell>
          <cell r="AD3257" t="str">
            <v>No</v>
          </cell>
          <cell r="AE3257" t="str">
            <v>NPI only</v>
          </cell>
          <cell r="AF3257" t="str">
            <v>nypwestacn</v>
          </cell>
          <cell r="AG3257" t="str">
            <v>P</v>
          </cell>
        </row>
        <row r="3258">
          <cell r="A3258" t="str">
            <v>1124472071</v>
          </cell>
          <cell r="C3258" t="str">
            <v>KELLYANN NIOTIS</v>
          </cell>
          <cell r="G3258" t="str">
            <v>Kathryn Spaziani</v>
          </cell>
          <cell r="H3258" t="str">
            <v>(212) 305-1190</v>
          </cell>
          <cell r="J3258" t="str">
            <v>kas9171@nyp.org</v>
          </cell>
          <cell r="K3258" t="str">
            <v>Unknown</v>
          </cell>
          <cell r="L3258" t="str">
            <v>Uncategorized</v>
          </cell>
          <cell r="M3258" t="str">
            <v>No</v>
          </cell>
          <cell r="R3258" t="str">
            <v>NIOTIS KELLYANN</v>
          </cell>
          <cell r="S3258" t="str">
            <v>28 REGENCY WAY</v>
          </cell>
          <cell r="T3258" t="str">
            <v>MANALAPAN</v>
          </cell>
          <cell r="U3258" t="str">
            <v>NJ</v>
          </cell>
          <cell r="V3258" t="str">
            <v>077268674</v>
          </cell>
          <cell r="AC3258" t="str">
            <v>M</v>
          </cell>
          <cell r="AD3258" t="str">
            <v>No</v>
          </cell>
          <cell r="AE3258" t="str">
            <v>NPI only</v>
          </cell>
          <cell r="AF3258" t="str">
            <v>nypeastacn</v>
          </cell>
          <cell r="AG3258" t="str">
            <v>P</v>
          </cell>
        </row>
        <row r="3259">
          <cell r="A3259" t="str">
            <v>1144640152</v>
          </cell>
          <cell r="C3259" t="str">
            <v>ASHLEY NIEVES</v>
          </cell>
          <cell r="G3259" t="str">
            <v>Kathryn Spaziani</v>
          </cell>
          <cell r="H3259" t="str">
            <v>(212) 305-1190</v>
          </cell>
          <cell r="J3259" t="str">
            <v>kas9171@nyp.org</v>
          </cell>
          <cell r="K3259" t="str">
            <v>Unknown</v>
          </cell>
          <cell r="L3259" t="str">
            <v>Uncategorized</v>
          </cell>
          <cell r="M3259" t="str">
            <v>No</v>
          </cell>
          <cell r="R3259" t="str">
            <v>NIEVES ASHLEY</v>
          </cell>
          <cell r="S3259" t="str">
            <v>600 N WOLFE ST</v>
          </cell>
          <cell r="T3259" t="str">
            <v>BALTIMORE</v>
          </cell>
          <cell r="U3259" t="str">
            <v>MD</v>
          </cell>
          <cell r="V3259" t="str">
            <v>212870005</v>
          </cell>
          <cell r="AC3259" t="str">
            <v>M</v>
          </cell>
          <cell r="AD3259" t="str">
            <v>No</v>
          </cell>
          <cell r="AE3259" t="str">
            <v>NPI only</v>
          </cell>
          <cell r="AF3259" t="str">
            <v>nypeastacn</v>
          </cell>
          <cell r="AG3259" t="str">
            <v>P</v>
          </cell>
        </row>
        <row r="3260">
          <cell r="A3260" t="str">
            <v>1588081467</v>
          </cell>
          <cell r="C3260" t="str">
            <v>HONG-AN NGUYEN</v>
          </cell>
          <cell r="G3260" t="str">
            <v>Kathryn Spaziani</v>
          </cell>
          <cell r="H3260" t="str">
            <v>(212) 305-1190</v>
          </cell>
          <cell r="J3260" t="str">
            <v>kas9171@nyp.org</v>
          </cell>
          <cell r="K3260" t="str">
            <v>Unknown</v>
          </cell>
          <cell r="L3260" t="str">
            <v>Uncategorized</v>
          </cell>
          <cell r="M3260" t="str">
            <v>No</v>
          </cell>
          <cell r="R3260" t="str">
            <v>NGUYEN HONG-AN</v>
          </cell>
          <cell r="S3260" t="str">
            <v>3959 BROADWAY</v>
          </cell>
          <cell r="T3260" t="str">
            <v>NEW YORK</v>
          </cell>
          <cell r="U3260" t="str">
            <v>NY</v>
          </cell>
          <cell r="V3260" t="str">
            <v>100321559</v>
          </cell>
          <cell r="AC3260" t="str">
            <v>M</v>
          </cell>
          <cell r="AD3260" t="str">
            <v>No</v>
          </cell>
          <cell r="AE3260" t="str">
            <v>NPI only</v>
          </cell>
          <cell r="AF3260" t="str">
            <v>nypwestacn</v>
          </cell>
          <cell r="AG3260" t="str">
            <v>P</v>
          </cell>
        </row>
        <row r="3261">
          <cell r="A3261" t="str">
            <v>1073892907</v>
          </cell>
          <cell r="C3261" t="str">
            <v>NICOLE NG</v>
          </cell>
          <cell r="G3261" t="str">
            <v>Kathryn Spaziani</v>
          </cell>
          <cell r="H3261" t="str">
            <v>(212) 305-1190</v>
          </cell>
          <cell r="J3261" t="str">
            <v>kas9171@nyp.org</v>
          </cell>
          <cell r="K3261" t="str">
            <v>Unknown</v>
          </cell>
          <cell r="L3261" t="str">
            <v>Uncategorized</v>
          </cell>
          <cell r="M3261" t="str">
            <v>No</v>
          </cell>
          <cell r="R3261" t="str">
            <v>NG NICOLE</v>
          </cell>
          <cell r="S3261" t="str">
            <v>622 W 168TH ST</v>
          </cell>
          <cell r="T3261" t="str">
            <v>NEW YORK</v>
          </cell>
          <cell r="U3261" t="str">
            <v>NY</v>
          </cell>
          <cell r="V3261" t="str">
            <v>100323720</v>
          </cell>
          <cell r="AC3261" t="str">
            <v>M</v>
          </cell>
          <cell r="AD3261" t="str">
            <v>No</v>
          </cell>
          <cell r="AE3261" t="str">
            <v>NPI only</v>
          </cell>
          <cell r="AF3261" t="str">
            <v>nypwestacn</v>
          </cell>
          <cell r="AG3261" t="str">
            <v>P</v>
          </cell>
        </row>
        <row r="3262">
          <cell r="A3262" t="str">
            <v>1194187542</v>
          </cell>
          <cell r="C3262" t="str">
            <v>SHANNA NEVELEV</v>
          </cell>
          <cell r="G3262" t="str">
            <v>Kathryn Spaziani</v>
          </cell>
          <cell r="H3262" t="str">
            <v>(212) 305-1190</v>
          </cell>
          <cell r="J3262" t="str">
            <v>kas9171@nyp.org</v>
          </cell>
          <cell r="K3262" t="str">
            <v>Unknown</v>
          </cell>
          <cell r="L3262" t="str">
            <v>Uncategorized</v>
          </cell>
          <cell r="M3262" t="str">
            <v>No</v>
          </cell>
          <cell r="R3262" t="str">
            <v>NEVELEV SHANNA</v>
          </cell>
          <cell r="S3262" t="str">
            <v>3959 BROADWAY</v>
          </cell>
          <cell r="T3262" t="str">
            <v>NEW YORK</v>
          </cell>
          <cell r="U3262" t="str">
            <v>NY</v>
          </cell>
          <cell r="V3262" t="str">
            <v>100321559</v>
          </cell>
          <cell r="AC3262" t="str">
            <v>M</v>
          </cell>
          <cell r="AD3262" t="str">
            <v>No</v>
          </cell>
          <cell r="AE3262" t="str">
            <v>NPI only</v>
          </cell>
          <cell r="AF3262" t="str">
            <v>nypwestacn</v>
          </cell>
          <cell r="AG3262" t="str">
            <v>P</v>
          </cell>
        </row>
        <row r="3263">
          <cell r="A3263" t="str">
            <v>1427412600</v>
          </cell>
          <cell r="C3263" t="str">
            <v>JANE NESTLER</v>
          </cell>
          <cell r="G3263" t="str">
            <v>Kathryn Spaziani</v>
          </cell>
          <cell r="H3263" t="str">
            <v>(212) 305-1190</v>
          </cell>
          <cell r="J3263" t="str">
            <v>kas9171@nyp.org</v>
          </cell>
          <cell r="K3263" t="str">
            <v>Unknown</v>
          </cell>
          <cell r="L3263" t="str">
            <v>Uncategorized</v>
          </cell>
          <cell r="M3263" t="str">
            <v>No</v>
          </cell>
          <cell r="R3263" t="str">
            <v>NESTLER JANE DR.</v>
          </cell>
          <cell r="S3263" t="str">
            <v>1300 YORK AVE</v>
          </cell>
          <cell r="T3263" t="str">
            <v>NEW YORK</v>
          </cell>
          <cell r="U3263" t="str">
            <v>NY</v>
          </cell>
          <cell r="V3263" t="str">
            <v>100654805</v>
          </cell>
          <cell r="AC3263" t="str">
            <v>M</v>
          </cell>
          <cell r="AD3263" t="str">
            <v>No</v>
          </cell>
          <cell r="AE3263" t="str">
            <v>NPI only</v>
          </cell>
          <cell r="AF3263" t="str">
            <v>nypeastacn</v>
          </cell>
          <cell r="AG3263" t="str">
            <v>P</v>
          </cell>
        </row>
        <row r="3264">
          <cell r="A3264" t="str">
            <v>1265828925</v>
          </cell>
          <cell r="C3264" t="str">
            <v>SAMAN NEMATOLLAHI</v>
          </cell>
          <cell r="G3264" t="str">
            <v>Kathryn Spaziani</v>
          </cell>
          <cell r="H3264" t="str">
            <v>(212) 305-1190</v>
          </cell>
          <cell r="J3264" t="str">
            <v>kas9171@nyp.org</v>
          </cell>
          <cell r="K3264" t="str">
            <v>Unknown</v>
          </cell>
          <cell r="L3264" t="str">
            <v>Uncategorized</v>
          </cell>
          <cell r="M3264" t="str">
            <v>No</v>
          </cell>
          <cell r="R3264" t="str">
            <v>NEMATOLLAHI SAMAN</v>
          </cell>
          <cell r="S3264" t="str">
            <v>5435 E PLACITA HAYUCO</v>
          </cell>
          <cell r="T3264" t="str">
            <v>TUCSON</v>
          </cell>
          <cell r="U3264" t="str">
            <v>AZ</v>
          </cell>
          <cell r="V3264" t="str">
            <v>857184645</v>
          </cell>
          <cell r="AC3264" t="str">
            <v>M</v>
          </cell>
          <cell r="AD3264" t="str">
            <v>No</v>
          </cell>
          <cell r="AE3264" t="str">
            <v>NPI only</v>
          </cell>
          <cell r="AF3264" t="str">
            <v>nypwestacn</v>
          </cell>
          <cell r="AG3264" t="str">
            <v>P</v>
          </cell>
        </row>
        <row r="3265">
          <cell r="A3265" t="str">
            <v>1881012789</v>
          </cell>
          <cell r="C3265" t="str">
            <v>NEELIMA NAVULURI</v>
          </cell>
          <cell r="G3265" t="str">
            <v>Kathryn Spaziani</v>
          </cell>
          <cell r="H3265" t="str">
            <v>(212) 305-1190</v>
          </cell>
          <cell r="J3265" t="str">
            <v>kas9171@nyp.org</v>
          </cell>
          <cell r="K3265" t="str">
            <v>Unknown</v>
          </cell>
          <cell r="L3265" t="str">
            <v>Uncategorized</v>
          </cell>
          <cell r="M3265" t="str">
            <v>No</v>
          </cell>
          <cell r="R3265" t="str">
            <v>NAVULURI NEELIMA</v>
          </cell>
          <cell r="S3265" t="str">
            <v>622 W 168TH ST, DEPT OF INTERNAL MEDICINE</v>
          </cell>
          <cell r="T3265" t="str">
            <v>NEW YORK</v>
          </cell>
          <cell r="U3265" t="str">
            <v>NY</v>
          </cell>
          <cell r="V3265" t="str">
            <v>100323720</v>
          </cell>
          <cell r="AC3265" t="str">
            <v>M</v>
          </cell>
          <cell r="AD3265" t="str">
            <v>No</v>
          </cell>
          <cell r="AE3265" t="str">
            <v>NPI only</v>
          </cell>
          <cell r="AF3265" t="str">
            <v>nypwestacn</v>
          </cell>
          <cell r="AG3265" t="str">
            <v>P</v>
          </cell>
        </row>
        <row r="3266">
          <cell r="A3266" t="str">
            <v>1578981684</v>
          </cell>
          <cell r="C3266" t="str">
            <v>LAUREN NAVALLO</v>
          </cell>
          <cell r="G3266" t="str">
            <v>Kathryn Spaziani</v>
          </cell>
          <cell r="H3266" t="str">
            <v>(212) 305-1190</v>
          </cell>
          <cell r="J3266" t="str">
            <v>kas9171@nyp.org</v>
          </cell>
          <cell r="K3266" t="str">
            <v>Unknown</v>
          </cell>
          <cell r="L3266" t="str">
            <v>Uncategorized</v>
          </cell>
          <cell r="M3266" t="str">
            <v>No</v>
          </cell>
          <cell r="R3266" t="str">
            <v>NAVALLO LAUREN</v>
          </cell>
          <cell r="S3266" t="str">
            <v>525 E 68TH ST RM M-610</v>
          </cell>
          <cell r="T3266" t="str">
            <v>NEW YORK</v>
          </cell>
          <cell r="U3266" t="str">
            <v>NY</v>
          </cell>
          <cell r="V3266" t="str">
            <v>100654870</v>
          </cell>
          <cell r="AC3266" t="str">
            <v>M</v>
          </cell>
          <cell r="AD3266" t="str">
            <v>No</v>
          </cell>
          <cell r="AE3266" t="str">
            <v>NPI only</v>
          </cell>
          <cell r="AF3266" t="str">
            <v>nypeastacn</v>
          </cell>
          <cell r="AG3266" t="str">
            <v>P</v>
          </cell>
        </row>
        <row r="3267">
          <cell r="A3267" t="str">
            <v>1053774687</v>
          </cell>
          <cell r="C3267" t="str">
            <v>NAVIN NATARAJAN</v>
          </cell>
          <cell r="G3267" t="str">
            <v>Kathryn Spaziani</v>
          </cell>
          <cell r="H3267" t="str">
            <v>(212) 305-1190</v>
          </cell>
          <cell r="J3267" t="str">
            <v>kas9171@nyp.org</v>
          </cell>
          <cell r="K3267" t="str">
            <v>Unknown</v>
          </cell>
          <cell r="L3267" t="str">
            <v>Uncategorized</v>
          </cell>
          <cell r="M3267" t="str">
            <v>No</v>
          </cell>
          <cell r="R3267" t="str">
            <v>NATARAJAN NAVIN DR.</v>
          </cell>
          <cell r="S3267" t="str">
            <v>622 W 168TH ST</v>
          </cell>
          <cell r="T3267" t="str">
            <v>NEW YORK</v>
          </cell>
          <cell r="U3267" t="str">
            <v>NY</v>
          </cell>
          <cell r="V3267" t="str">
            <v>100323720</v>
          </cell>
          <cell r="AC3267" t="str">
            <v>M</v>
          </cell>
          <cell r="AD3267" t="str">
            <v>No</v>
          </cell>
          <cell r="AE3267" t="str">
            <v>NPI only</v>
          </cell>
          <cell r="AF3267" t="str">
            <v>nypwestacn</v>
          </cell>
          <cell r="AG3267" t="str">
            <v>P</v>
          </cell>
        </row>
        <row r="3268">
          <cell r="A3268" t="str">
            <v>1285097329</v>
          </cell>
          <cell r="C3268" t="str">
            <v>ANDREW NASTRO</v>
          </cell>
          <cell r="G3268" t="str">
            <v>Kathryn Spaziani</v>
          </cell>
          <cell r="H3268" t="str">
            <v>(212) 305-1190</v>
          </cell>
          <cell r="J3268" t="str">
            <v>kas9171@nyp.org</v>
          </cell>
          <cell r="K3268" t="str">
            <v>Unknown</v>
          </cell>
          <cell r="L3268" t="str">
            <v>Uncategorized</v>
          </cell>
          <cell r="M3268" t="str">
            <v>No</v>
          </cell>
          <cell r="R3268" t="str">
            <v>NASTRO ANDREW DR.</v>
          </cell>
          <cell r="S3268" t="str">
            <v>525 E 68TH ST, BOX 225</v>
          </cell>
          <cell r="T3268" t="str">
            <v>NEW YORK</v>
          </cell>
          <cell r="U3268" t="str">
            <v>NY</v>
          </cell>
          <cell r="V3268" t="str">
            <v>100654870</v>
          </cell>
          <cell r="AC3268" t="str">
            <v>M</v>
          </cell>
          <cell r="AD3268" t="str">
            <v>No</v>
          </cell>
          <cell r="AE3268" t="str">
            <v>NPI only</v>
          </cell>
          <cell r="AF3268" t="str">
            <v>nypeastacn</v>
          </cell>
          <cell r="AG3268" t="str">
            <v>P</v>
          </cell>
        </row>
        <row r="3269">
          <cell r="A3269" t="str">
            <v>1184087512</v>
          </cell>
          <cell r="C3269" t="str">
            <v>ANI NALBANDIAN</v>
          </cell>
          <cell r="G3269" t="str">
            <v>Kathryn Spaziani</v>
          </cell>
          <cell r="H3269" t="str">
            <v>(212) 305-1190</v>
          </cell>
          <cell r="J3269" t="str">
            <v>kas9171@nyp.org</v>
          </cell>
          <cell r="K3269" t="str">
            <v>Unknown</v>
          </cell>
          <cell r="L3269" t="str">
            <v>Uncategorized</v>
          </cell>
          <cell r="M3269" t="str">
            <v>No</v>
          </cell>
          <cell r="R3269" t="str">
            <v>NALBANDIAN ANI DR.</v>
          </cell>
          <cell r="S3269" t="str">
            <v>622 W 168TH ST</v>
          </cell>
          <cell r="T3269" t="str">
            <v>NEW YORK</v>
          </cell>
          <cell r="U3269" t="str">
            <v>NY</v>
          </cell>
          <cell r="V3269" t="str">
            <v>100323720</v>
          </cell>
          <cell r="AC3269" t="str">
            <v>M</v>
          </cell>
          <cell r="AD3269" t="str">
            <v>No</v>
          </cell>
          <cell r="AE3269" t="str">
            <v>NPI only</v>
          </cell>
          <cell r="AF3269" t="str">
            <v>nypwestacn</v>
          </cell>
          <cell r="AG3269" t="str">
            <v>P</v>
          </cell>
        </row>
        <row r="3270">
          <cell r="A3270" t="str">
            <v>1275928574</v>
          </cell>
          <cell r="C3270" t="str">
            <v>ABHINAV NAIR</v>
          </cell>
          <cell r="G3270" t="str">
            <v>Kathryn Spaziani</v>
          </cell>
          <cell r="H3270" t="str">
            <v>(212) 305-1190</v>
          </cell>
          <cell r="J3270" t="str">
            <v>kas9171@nyp.org</v>
          </cell>
          <cell r="K3270" t="str">
            <v>Unknown</v>
          </cell>
          <cell r="L3270" t="str">
            <v>Uncategorized</v>
          </cell>
          <cell r="M3270" t="str">
            <v>No</v>
          </cell>
          <cell r="R3270" t="str">
            <v>NAIR ABHINAV</v>
          </cell>
          <cell r="S3270" t="str">
            <v>622 W 168TH ST # 205</v>
          </cell>
          <cell r="T3270" t="str">
            <v>NEW YORK</v>
          </cell>
          <cell r="U3270" t="str">
            <v>NY</v>
          </cell>
          <cell r="V3270" t="str">
            <v>100323720</v>
          </cell>
          <cell r="AC3270" t="str">
            <v>M</v>
          </cell>
          <cell r="AD3270" t="str">
            <v>No</v>
          </cell>
          <cell r="AE3270" t="str">
            <v>NPI only</v>
          </cell>
          <cell r="AF3270" t="str">
            <v>nypwestacn</v>
          </cell>
          <cell r="AG3270" t="str">
            <v>P</v>
          </cell>
        </row>
        <row r="3271">
          <cell r="A3271" t="str">
            <v>1639565195</v>
          </cell>
          <cell r="C3271" t="str">
            <v>EUGENIA NACHBER</v>
          </cell>
          <cell r="G3271" t="str">
            <v>Kathryn Spaziani</v>
          </cell>
          <cell r="H3271" t="str">
            <v>(212) 305-1190</v>
          </cell>
          <cell r="J3271" t="str">
            <v>kas9171@nyp.org</v>
          </cell>
          <cell r="K3271" t="str">
            <v>Unknown</v>
          </cell>
          <cell r="L3271" t="str">
            <v>Uncategorized</v>
          </cell>
          <cell r="M3271" t="str">
            <v>No</v>
          </cell>
          <cell r="R3271" t="str">
            <v>VOLKIN EUGENIA MRS.</v>
          </cell>
          <cell r="S3271" t="str">
            <v>525 E 68TH ST</v>
          </cell>
          <cell r="T3271" t="str">
            <v>NEW YORK</v>
          </cell>
          <cell r="U3271" t="str">
            <v>NY</v>
          </cell>
          <cell r="V3271" t="str">
            <v>100654870</v>
          </cell>
          <cell r="AC3271" t="str">
            <v>M</v>
          </cell>
          <cell r="AD3271" t="str">
            <v>No</v>
          </cell>
          <cell r="AE3271" t="str">
            <v>NPI only</v>
          </cell>
          <cell r="AF3271" t="str">
            <v>nypeastacn</v>
          </cell>
          <cell r="AG3271" t="str">
            <v>P</v>
          </cell>
        </row>
        <row r="3272">
          <cell r="A3272" t="str">
            <v>1609294396</v>
          </cell>
          <cell r="C3272" t="str">
            <v>SHAYAN NABAVI NOURI</v>
          </cell>
          <cell r="G3272" t="str">
            <v>Kathryn Spaziani</v>
          </cell>
          <cell r="H3272" t="str">
            <v>(212) 305-1190</v>
          </cell>
          <cell r="J3272" t="str">
            <v>kas9171@nyp.org</v>
          </cell>
          <cell r="K3272" t="str">
            <v>Unknown</v>
          </cell>
          <cell r="L3272" t="str">
            <v>Uncategorized</v>
          </cell>
          <cell r="M3272" t="str">
            <v>No</v>
          </cell>
          <cell r="R3272" t="str">
            <v>NABAVI NOURI SHAYAN</v>
          </cell>
          <cell r="S3272" t="str">
            <v>622 W 168TH ST, VC2-205</v>
          </cell>
          <cell r="T3272" t="str">
            <v>NEW YORK</v>
          </cell>
          <cell r="U3272" t="str">
            <v>NY</v>
          </cell>
          <cell r="V3272" t="str">
            <v>100323720</v>
          </cell>
          <cell r="AC3272" t="str">
            <v>M</v>
          </cell>
          <cell r="AD3272" t="str">
            <v>No</v>
          </cell>
          <cell r="AE3272" t="str">
            <v>NPI only</v>
          </cell>
          <cell r="AF3272" t="str">
            <v>nypwestacn</v>
          </cell>
          <cell r="AG3272" t="str">
            <v>P</v>
          </cell>
        </row>
        <row r="3273">
          <cell r="A3273" t="str">
            <v>1982081873</v>
          </cell>
          <cell r="C3273" t="str">
            <v>OLIVIA MYRICK</v>
          </cell>
          <cell r="G3273" t="str">
            <v>Kathryn Spaziani</v>
          </cell>
          <cell r="H3273" t="str">
            <v>(212) 305-1190</v>
          </cell>
          <cell r="J3273" t="str">
            <v>kas9171@nyp.org</v>
          </cell>
          <cell r="K3273" t="str">
            <v>Unknown</v>
          </cell>
          <cell r="L3273" t="str">
            <v>Uncategorized</v>
          </cell>
          <cell r="M3273" t="str">
            <v>No</v>
          </cell>
          <cell r="R3273" t="str">
            <v>MYRICK OLIVIA</v>
          </cell>
          <cell r="S3273" t="str">
            <v>622 W 168TH ST, COLUMBIA UNIVERSITY MEDICAL CENTER - SUITE 16-29</v>
          </cell>
          <cell r="T3273" t="str">
            <v>NEW YORK</v>
          </cell>
          <cell r="U3273" t="str">
            <v>NY</v>
          </cell>
          <cell r="V3273" t="str">
            <v>100323720</v>
          </cell>
          <cell r="AC3273" t="str">
            <v>M</v>
          </cell>
          <cell r="AD3273" t="str">
            <v>No</v>
          </cell>
          <cell r="AE3273" t="str">
            <v>NPI only</v>
          </cell>
          <cell r="AF3273" t="str">
            <v>nypwestacn</v>
          </cell>
          <cell r="AG3273" t="str">
            <v>P</v>
          </cell>
        </row>
        <row r="3274">
          <cell r="A3274" t="str">
            <v>1790103364</v>
          </cell>
          <cell r="C3274" t="str">
            <v>JONATHAN MURPHY</v>
          </cell>
          <cell r="G3274" t="str">
            <v>Kathryn Spaziani</v>
          </cell>
          <cell r="H3274" t="str">
            <v>(212) 305-1190</v>
          </cell>
          <cell r="J3274" t="str">
            <v>kas9171@nyp.org</v>
          </cell>
          <cell r="K3274" t="str">
            <v>Unknown</v>
          </cell>
          <cell r="L3274" t="str">
            <v>Uncategorized</v>
          </cell>
          <cell r="M3274" t="str">
            <v>No</v>
          </cell>
          <cell r="R3274" t="str">
            <v>MURPHY JONATHAN</v>
          </cell>
          <cell r="S3274" t="str">
            <v>622 W 168TH ST, COLUMBIA PRESBYTERIAN GME OFFICE</v>
          </cell>
          <cell r="T3274" t="str">
            <v>NEW YORK</v>
          </cell>
          <cell r="U3274" t="str">
            <v>NY</v>
          </cell>
          <cell r="V3274" t="str">
            <v>100323720</v>
          </cell>
          <cell r="AC3274" t="str">
            <v>M</v>
          </cell>
          <cell r="AD3274" t="str">
            <v>No</v>
          </cell>
          <cell r="AE3274" t="str">
            <v>NPI only</v>
          </cell>
          <cell r="AF3274" t="str">
            <v>nypwestacn</v>
          </cell>
          <cell r="AG3274" t="str">
            <v>P</v>
          </cell>
        </row>
        <row r="3275">
          <cell r="A3275" t="str">
            <v>1851755284</v>
          </cell>
          <cell r="C3275" t="str">
            <v>JORGE MUNOZ PINEDA</v>
          </cell>
          <cell r="G3275" t="str">
            <v>Kathryn Spaziani</v>
          </cell>
          <cell r="H3275" t="str">
            <v>(212) 305-1190</v>
          </cell>
          <cell r="J3275" t="str">
            <v>kas9171@nyp.org</v>
          </cell>
          <cell r="K3275" t="str">
            <v>Unknown</v>
          </cell>
          <cell r="L3275" t="str">
            <v>Uncategorized</v>
          </cell>
          <cell r="M3275" t="str">
            <v>No</v>
          </cell>
          <cell r="R3275" t="str">
            <v>MUNOZ PINEDA JORGE</v>
          </cell>
          <cell r="S3275" t="str">
            <v>505 E 70TH ST</v>
          </cell>
          <cell r="T3275" t="str">
            <v>NEW YORK</v>
          </cell>
          <cell r="U3275" t="str">
            <v>NY</v>
          </cell>
          <cell r="V3275" t="str">
            <v>100214872</v>
          </cell>
          <cell r="AC3275" t="str">
            <v>M</v>
          </cell>
          <cell r="AD3275" t="str">
            <v>No</v>
          </cell>
          <cell r="AE3275" t="str">
            <v>NPI only</v>
          </cell>
          <cell r="AF3275" t="str">
            <v>nypeastacn</v>
          </cell>
          <cell r="AG3275" t="str">
            <v>P</v>
          </cell>
        </row>
        <row r="3276">
          <cell r="A3276" t="str">
            <v>1164884383</v>
          </cell>
          <cell r="C3276" t="str">
            <v>FILIPE MOURA</v>
          </cell>
          <cell r="G3276" t="str">
            <v>Kathryn Spaziani</v>
          </cell>
          <cell r="H3276" t="str">
            <v>(212) 305-1190</v>
          </cell>
          <cell r="J3276" t="str">
            <v>kas9171@nyp.org</v>
          </cell>
          <cell r="K3276" t="str">
            <v>Unknown</v>
          </cell>
          <cell r="L3276" t="str">
            <v>Uncategorized</v>
          </cell>
          <cell r="M3276" t="str">
            <v>No</v>
          </cell>
          <cell r="R3276" t="str">
            <v>MOURA FILIPE</v>
          </cell>
          <cell r="S3276" t="str">
            <v>505 E 70TH ST, WEILL CORNELL INTERNAL MEDICINE ASSOCIATES</v>
          </cell>
          <cell r="T3276" t="str">
            <v>NEW YORK</v>
          </cell>
          <cell r="U3276" t="str">
            <v>NY</v>
          </cell>
          <cell r="V3276" t="str">
            <v>100214872</v>
          </cell>
          <cell r="AC3276" t="str">
            <v>M</v>
          </cell>
          <cell r="AD3276" t="str">
            <v>No</v>
          </cell>
          <cell r="AE3276" t="str">
            <v>NPI only</v>
          </cell>
          <cell r="AF3276" t="str">
            <v>nypeastacn</v>
          </cell>
          <cell r="AG3276" t="str">
            <v>P</v>
          </cell>
        </row>
        <row r="3277">
          <cell r="A3277" t="str">
            <v>1235524752</v>
          </cell>
          <cell r="C3277" t="str">
            <v>TSUNG MOU</v>
          </cell>
          <cell r="G3277" t="str">
            <v>Kathryn Spaziani</v>
          </cell>
          <cell r="H3277" t="str">
            <v>(212) 305-1190</v>
          </cell>
          <cell r="J3277" t="str">
            <v>kas9171@nyp.org</v>
          </cell>
          <cell r="K3277" t="str">
            <v>Unknown</v>
          </cell>
          <cell r="L3277" t="str">
            <v>Uncategorized</v>
          </cell>
          <cell r="M3277" t="str">
            <v>No</v>
          </cell>
          <cell r="R3277" t="str">
            <v>MOU TSUNG</v>
          </cell>
          <cell r="S3277" t="str">
            <v>525 E 68TH ST # 122</v>
          </cell>
          <cell r="T3277" t="str">
            <v>NEW YORK</v>
          </cell>
          <cell r="U3277" t="str">
            <v>NY</v>
          </cell>
          <cell r="V3277" t="str">
            <v>100654870</v>
          </cell>
          <cell r="AC3277" t="str">
            <v>M</v>
          </cell>
          <cell r="AD3277" t="str">
            <v>No</v>
          </cell>
          <cell r="AE3277" t="str">
            <v>NPI only</v>
          </cell>
          <cell r="AF3277" t="str">
            <v>nypeastacn</v>
          </cell>
          <cell r="AG3277" t="str">
            <v>P</v>
          </cell>
        </row>
        <row r="3278">
          <cell r="A3278" t="str">
            <v>1851785760</v>
          </cell>
          <cell r="C3278" t="str">
            <v>JOSHUA MOTELOW</v>
          </cell>
          <cell r="G3278" t="str">
            <v>Kathryn Spaziani</v>
          </cell>
          <cell r="H3278" t="str">
            <v>(212) 305-1190</v>
          </cell>
          <cell r="J3278" t="str">
            <v>kas9171@nyp.org</v>
          </cell>
          <cell r="K3278" t="str">
            <v>Unknown</v>
          </cell>
          <cell r="L3278" t="str">
            <v>Uncategorized</v>
          </cell>
          <cell r="M3278" t="str">
            <v>No</v>
          </cell>
          <cell r="R3278" t="str">
            <v>MOTELOW JOSHUA DR.</v>
          </cell>
          <cell r="S3278" t="str">
            <v>3959 BROADWAY</v>
          </cell>
          <cell r="T3278" t="str">
            <v>NEW YORK</v>
          </cell>
          <cell r="U3278" t="str">
            <v>NY</v>
          </cell>
          <cell r="V3278" t="str">
            <v>100321559</v>
          </cell>
          <cell r="AC3278" t="str">
            <v>M</v>
          </cell>
          <cell r="AD3278" t="str">
            <v>No</v>
          </cell>
          <cell r="AE3278" t="str">
            <v>NPI only</v>
          </cell>
          <cell r="AF3278" t="str">
            <v>nypwestacn</v>
          </cell>
          <cell r="AG3278" t="str">
            <v>P</v>
          </cell>
        </row>
        <row r="3279">
          <cell r="A3279" t="str">
            <v>1407218696</v>
          </cell>
          <cell r="C3279" t="str">
            <v>CHERI MOSTISSER</v>
          </cell>
          <cell r="G3279" t="str">
            <v>Kathryn Spaziani</v>
          </cell>
          <cell r="H3279" t="str">
            <v>(212) 305-1190</v>
          </cell>
          <cell r="J3279" t="str">
            <v>kas9171@nyp.org</v>
          </cell>
          <cell r="K3279" t="str">
            <v>Unknown</v>
          </cell>
          <cell r="L3279" t="str">
            <v>Uncategorized</v>
          </cell>
          <cell r="M3279" t="str">
            <v>No</v>
          </cell>
          <cell r="R3279" t="str">
            <v>MOSTISSER CHERI</v>
          </cell>
          <cell r="S3279" t="str">
            <v>525 E 68TH ST, BOX 122</v>
          </cell>
          <cell r="T3279" t="str">
            <v>NEW YORK</v>
          </cell>
          <cell r="U3279" t="str">
            <v>NY</v>
          </cell>
          <cell r="V3279" t="str">
            <v>100654870</v>
          </cell>
          <cell r="AC3279" t="str">
            <v>M</v>
          </cell>
          <cell r="AD3279" t="str">
            <v>No</v>
          </cell>
          <cell r="AE3279" t="str">
            <v>NPI only</v>
          </cell>
          <cell r="AF3279" t="str">
            <v>nypeastacn</v>
          </cell>
          <cell r="AG3279" t="str">
            <v>P</v>
          </cell>
        </row>
        <row r="3280">
          <cell r="A3280" t="str">
            <v>1033572110</v>
          </cell>
          <cell r="C3280" t="str">
            <v>DEBORAH MOON</v>
          </cell>
          <cell r="G3280" t="str">
            <v>Kathryn Spaziani</v>
          </cell>
          <cell r="H3280" t="str">
            <v>(212) 305-1190</v>
          </cell>
          <cell r="J3280" t="str">
            <v>kas9171@nyp.org</v>
          </cell>
          <cell r="K3280" t="str">
            <v>Unknown</v>
          </cell>
          <cell r="L3280" t="str">
            <v>Uncategorized</v>
          </cell>
          <cell r="M3280" t="str">
            <v>No</v>
          </cell>
          <cell r="R3280" t="str">
            <v>MOON DEBORAH DR.</v>
          </cell>
          <cell r="S3280" t="str">
            <v>505 EAST 70TH STREET, WEILL CORNELL INTERNAL MEDICINE ASSOCIATES</v>
          </cell>
          <cell r="T3280" t="str">
            <v>NEW YORK</v>
          </cell>
          <cell r="U3280" t="str">
            <v>NY</v>
          </cell>
          <cell r="V3280" t="str">
            <v>10021</v>
          </cell>
          <cell r="AC3280" t="str">
            <v>M</v>
          </cell>
          <cell r="AD3280" t="str">
            <v>No</v>
          </cell>
          <cell r="AE3280" t="str">
            <v>NPI only</v>
          </cell>
          <cell r="AF3280" t="str">
            <v>nypeastacn</v>
          </cell>
          <cell r="AG3280" t="str">
            <v>P</v>
          </cell>
        </row>
        <row r="3281">
          <cell r="A3281" t="str">
            <v>1801213830</v>
          </cell>
          <cell r="C3281" t="str">
            <v>CHELSEY MITCHELL</v>
          </cell>
          <cell r="G3281" t="str">
            <v>Kathryn Spaziani</v>
          </cell>
          <cell r="H3281" t="str">
            <v>(212) 305-1190</v>
          </cell>
          <cell r="J3281" t="str">
            <v>kas9171@nyp.org</v>
          </cell>
          <cell r="K3281" t="str">
            <v>Unknown</v>
          </cell>
          <cell r="L3281" t="str">
            <v>Uncategorized</v>
          </cell>
          <cell r="M3281" t="str">
            <v>No</v>
          </cell>
          <cell r="R3281" t="str">
            <v>MITCHELL CHELSEY</v>
          </cell>
          <cell r="S3281" t="str">
            <v>3959 BROADWAY</v>
          </cell>
          <cell r="T3281" t="str">
            <v>NEW YORK</v>
          </cell>
          <cell r="U3281" t="str">
            <v>NY</v>
          </cell>
          <cell r="V3281" t="str">
            <v>100321559</v>
          </cell>
          <cell r="AC3281" t="str">
            <v>M</v>
          </cell>
          <cell r="AD3281" t="str">
            <v>No</v>
          </cell>
          <cell r="AE3281" t="str">
            <v>NPI only</v>
          </cell>
          <cell r="AF3281" t="str">
            <v>nypwestacn</v>
          </cell>
          <cell r="AG3281" t="str">
            <v>P</v>
          </cell>
        </row>
        <row r="3282">
          <cell r="A3282" t="str">
            <v>1487074423</v>
          </cell>
          <cell r="C3282" t="str">
            <v>EMILY MILLER</v>
          </cell>
          <cell r="G3282" t="str">
            <v>Kathryn Spaziani</v>
          </cell>
          <cell r="H3282" t="str">
            <v>(212) 305-1190</v>
          </cell>
          <cell r="J3282" t="str">
            <v>kas9171@nyp.org</v>
          </cell>
          <cell r="K3282" t="str">
            <v>Unknown</v>
          </cell>
          <cell r="L3282" t="str">
            <v>Uncategorized</v>
          </cell>
          <cell r="M3282" t="str">
            <v>No</v>
          </cell>
          <cell r="R3282" t="str">
            <v>MILLER EMILY DR.</v>
          </cell>
          <cell r="S3282" t="str">
            <v>177 FORT WASHINGTON AVE</v>
          </cell>
          <cell r="T3282" t="str">
            <v>NEW YORK</v>
          </cell>
          <cell r="U3282" t="str">
            <v>NY</v>
          </cell>
          <cell r="V3282" t="str">
            <v>100323733</v>
          </cell>
          <cell r="AC3282" t="str">
            <v>M</v>
          </cell>
          <cell r="AD3282" t="str">
            <v>No</v>
          </cell>
          <cell r="AE3282" t="str">
            <v>NPI only</v>
          </cell>
          <cell r="AF3282" t="str">
            <v>nypwestacn</v>
          </cell>
          <cell r="AG3282" t="str">
            <v>P</v>
          </cell>
        </row>
        <row r="3283">
          <cell r="A3283" t="str">
            <v>1093179848</v>
          </cell>
          <cell r="C3283" t="str">
            <v>NATASHA METHA</v>
          </cell>
          <cell r="G3283" t="str">
            <v>Kathryn Spaziani</v>
          </cell>
          <cell r="H3283" t="str">
            <v>(212) 305-1190</v>
          </cell>
          <cell r="J3283" t="str">
            <v>kas9171@nyp.org</v>
          </cell>
          <cell r="K3283" t="str">
            <v>Unknown</v>
          </cell>
          <cell r="L3283" t="str">
            <v>Uncategorized</v>
          </cell>
          <cell r="M3283" t="str">
            <v>No</v>
          </cell>
          <cell r="R3283" t="str">
            <v>MEHTA NATASHA</v>
          </cell>
          <cell r="S3283" t="str">
            <v>622 W 168TH ST</v>
          </cell>
          <cell r="T3283" t="str">
            <v>NEW YORK</v>
          </cell>
          <cell r="U3283" t="str">
            <v>NY</v>
          </cell>
          <cell r="V3283" t="str">
            <v>100323720</v>
          </cell>
          <cell r="AC3283" t="str">
            <v>M</v>
          </cell>
          <cell r="AD3283" t="str">
            <v>No</v>
          </cell>
          <cell r="AE3283" t="str">
            <v>NPI only</v>
          </cell>
          <cell r="AF3283" t="str">
            <v>nypwestacn</v>
          </cell>
          <cell r="AG3283" t="str">
            <v>P</v>
          </cell>
        </row>
        <row r="3284">
          <cell r="A3284" t="str">
            <v>1932527785</v>
          </cell>
          <cell r="C3284" t="str">
            <v>EILEEN MERCURIO</v>
          </cell>
          <cell r="G3284" t="str">
            <v>Kathryn Spaziani</v>
          </cell>
          <cell r="H3284" t="str">
            <v>(212) 305-1190</v>
          </cell>
          <cell r="J3284" t="str">
            <v>kas9171@nyp.org</v>
          </cell>
          <cell r="K3284" t="str">
            <v>Unknown</v>
          </cell>
          <cell r="L3284" t="str">
            <v>Uncategorized</v>
          </cell>
          <cell r="M3284" t="str">
            <v>No</v>
          </cell>
          <cell r="R3284" t="str">
            <v>MERCURIO EILEEN</v>
          </cell>
          <cell r="S3284" t="str">
            <v>3959 BROADWAY</v>
          </cell>
          <cell r="T3284" t="str">
            <v>NEW YORK</v>
          </cell>
          <cell r="U3284" t="str">
            <v>NY</v>
          </cell>
          <cell r="V3284" t="str">
            <v>100321559</v>
          </cell>
          <cell r="AC3284" t="str">
            <v>M</v>
          </cell>
          <cell r="AD3284" t="str">
            <v>No</v>
          </cell>
          <cell r="AE3284" t="str">
            <v>NPI only</v>
          </cell>
          <cell r="AF3284" t="str">
            <v>nypwestacn</v>
          </cell>
          <cell r="AG3284" t="str">
            <v>P</v>
          </cell>
        </row>
        <row r="3285">
          <cell r="A3285" t="str">
            <v>1285096651</v>
          </cell>
          <cell r="C3285" t="str">
            <v>NIKHIL MENON</v>
          </cell>
          <cell r="G3285" t="str">
            <v>Kathryn Spaziani</v>
          </cell>
          <cell r="H3285" t="str">
            <v>(212) 305-1190</v>
          </cell>
          <cell r="J3285" t="str">
            <v>kas9171@nyp.org</v>
          </cell>
          <cell r="K3285" t="str">
            <v>Unknown</v>
          </cell>
          <cell r="L3285" t="str">
            <v>Uncategorized</v>
          </cell>
          <cell r="M3285" t="str">
            <v>No</v>
          </cell>
          <cell r="R3285" t="str">
            <v>MENON NIKHIL</v>
          </cell>
          <cell r="S3285" t="str">
            <v>3959 BROADWAY</v>
          </cell>
          <cell r="T3285" t="str">
            <v>NEW YORK</v>
          </cell>
          <cell r="U3285" t="str">
            <v>NY</v>
          </cell>
          <cell r="V3285" t="str">
            <v>100321559</v>
          </cell>
          <cell r="AC3285" t="str">
            <v>M</v>
          </cell>
          <cell r="AD3285" t="str">
            <v>No</v>
          </cell>
          <cell r="AE3285" t="str">
            <v>NPI only</v>
          </cell>
          <cell r="AF3285" t="str">
            <v>nypwestacn</v>
          </cell>
          <cell r="AG3285" t="str">
            <v>P</v>
          </cell>
        </row>
        <row r="3286">
          <cell r="A3286" t="str">
            <v>1134514854</v>
          </cell>
          <cell r="C3286" t="str">
            <v>JENNILIZ MENDEZ</v>
          </cell>
          <cell r="G3286" t="str">
            <v>Kathryn Spaziani</v>
          </cell>
          <cell r="H3286" t="str">
            <v>(212) 305-1190</v>
          </cell>
          <cell r="J3286" t="str">
            <v>kas9171@nyp.org</v>
          </cell>
          <cell r="K3286" t="str">
            <v>Unknown</v>
          </cell>
          <cell r="L3286" t="str">
            <v>Uncategorized</v>
          </cell>
          <cell r="M3286" t="str">
            <v>No</v>
          </cell>
          <cell r="R3286" t="str">
            <v>MENDEZ JENNILIZ</v>
          </cell>
          <cell r="S3286" t="str">
            <v>3959 BROADWAY</v>
          </cell>
          <cell r="T3286" t="str">
            <v>NEW YORK</v>
          </cell>
          <cell r="U3286" t="str">
            <v>NY</v>
          </cell>
          <cell r="V3286" t="str">
            <v>100321559</v>
          </cell>
          <cell r="AC3286" t="str">
            <v>M</v>
          </cell>
          <cell r="AD3286" t="str">
            <v>No</v>
          </cell>
          <cell r="AE3286" t="str">
            <v>NPI only</v>
          </cell>
          <cell r="AF3286" t="str">
            <v>nypwestacn</v>
          </cell>
          <cell r="AG3286" t="str">
            <v>P</v>
          </cell>
        </row>
        <row r="3287">
          <cell r="A3287" t="str">
            <v>1457715567</v>
          </cell>
          <cell r="C3287" t="str">
            <v>PRIYANKA MEHROTRA</v>
          </cell>
          <cell r="G3287" t="str">
            <v>Kathryn Spaziani</v>
          </cell>
          <cell r="H3287" t="str">
            <v>(212) 305-1190</v>
          </cell>
          <cell r="J3287" t="str">
            <v>kas9171@nyp.org</v>
          </cell>
          <cell r="K3287" t="str">
            <v>Unknown</v>
          </cell>
          <cell r="L3287" t="str">
            <v>Uncategorized</v>
          </cell>
          <cell r="M3287" t="str">
            <v>No</v>
          </cell>
          <cell r="R3287" t="str">
            <v>MEHROTRA PRIYANKA</v>
          </cell>
          <cell r="S3287" t="str">
            <v>38 MEADOW BLUFF RD</v>
          </cell>
          <cell r="T3287" t="str">
            <v>MORRIS PLAINS</v>
          </cell>
          <cell r="U3287" t="str">
            <v>NJ</v>
          </cell>
          <cell r="V3287" t="str">
            <v>079501951</v>
          </cell>
          <cell r="AC3287" t="str">
            <v>M</v>
          </cell>
          <cell r="AD3287" t="str">
            <v>No</v>
          </cell>
          <cell r="AE3287" t="str">
            <v>NPI only</v>
          </cell>
          <cell r="AF3287" t="str">
            <v>nypeastacn</v>
          </cell>
          <cell r="AG3287" t="str">
            <v>P</v>
          </cell>
        </row>
        <row r="3288">
          <cell r="A3288" t="str">
            <v>1003201435</v>
          </cell>
          <cell r="C3288" t="str">
            <v>JULIA MCGUINNESS</v>
          </cell>
          <cell r="G3288" t="str">
            <v>Kathryn Spaziani</v>
          </cell>
          <cell r="H3288" t="str">
            <v>(212) 305-1190</v>
          </cell>
          <cell r="J3288" t="str">
            <v>kas9171@nyp.org</v>
          </cell>
          <cell r="K3288" t="str">
            <v>Unknown</v>
          </cell>
          <cell r="L3288" t="str">
            <v>Uncategorized</v>
          </cell>
          <cell r="M3288" t="str">
            <v>No</v>
          </cell>
          <cell r="R3288" t="str">
            <v>MCGUINNESS JULIA</v>
          </cell>
          <cell r="S3288" t="str">
            <v>622 W 168TH ST # 205</v>
          </cell>
          <cell r="T3288" t="str">
            <v>NEW YORK</v>
          </cell>
          <cell r="U3288" t="str">
            <v>NY</v>
          </cell>
          <cell r="V3288" t="str">
            <v>100323720</v>
          </cell>
          <cell r="AC3288" t="str">
            <v>M</v>
          </cell>
          <cell r="AD3288" t="str">
            <v>No</v>
          </cell>
          <cell r="AE3288" t="str">
            <v>NPI only</v>
          </cell>
          <cell r="AF3288" t="str">
            <v>nypwestacn</v>
          </cell>
          <cell r="AG3288" t="str">
            <v>P</v>
          </cell>
        </row>
        <row r="3289">
          <cell r="A3289" t="str">
            <v>1396130886</v>
          </cell>
          <cell r="C3289" t="str">
            <v>CLAIRE MCGRODER</v>
          </cell>
          <cell r="G3289" t="str">
            <v>Kathryn Spaziani</v>
          </cell>
          <cell r="H3289" t="str">
            <v>(212) 305-1190</v>
          </cell>
          <cell r="J3289" t="str">
            <v>kas9171@nyp.org</v>
          </cell>
          <cell r="K3289" t="str">
            <v>Unknown</v>
          </cell>
          <cell r="L3289" t="str">
            <v>Uncategorized</v>
          </cell>
          <cell r="M3289" t="str">
            <v>No</v>
          </cell>
          <cell r="R3289" t="str">
            <v>MCGRODER CLAIRE</v>
          </cell>
          <cell r="S3289" t="str">
            <v>622 W 168TH ST, VC 205</v>
          </cell>
          <cell r="T3289" t="str">
            <v>NEW YORK</v>
          </cell>
          <cell r="U3289" t="str">
            <v>NY</v>
          </cell>
          <cell r="V3289" t="str">
            <v>100323720</v>
          </cell>
          <cell r="AC3289" t="str">
            <v>M</v>
          </cell>
          <cell r="AD3289" t="str">
            <v>No</v>
          </cell>
          <cell r="AE3289" t="str">
            <v>NPI only</v>
          </cell>
          <cell r="AF3289" t="str">
            <v>nypwestacn</v>
          </cell>
          <cell r="AG3289" t="str">
            <v>P</v>
          </cell>
        </row>
        <row r="3290">
          <cell r="A3290" t="str">
            <v>1518321694</v>
          </cell>
          <cell r="C3290" t="str">
            <v>ANDREW MCFARLANE</v>
          </cell>
          <cell r="G3290" t="str">
            <v>Kathryn Spaziani</v>
          </cell>
          <cell r="H3290" t="str">
            <v>(212) 305-1190</v>
          </cell>
          <cell r="J3290" t="str">
            <v>kas9171@nyp.org</v>
          </cell>
          <cell r="K3290" t="str">
            <v>Unknown</v>
          </cell>
          <cell r="L3290" t="str">
            <v>Uncategorized</v>
          </cell>
          <cell r="M3290" t="str">
            <v>No</v>
          </cell>
          <cell r="R3290" t="str">
            <v>MCFARLANE ANDREW</v>
          </cell>
          <cell r="S3290" t="str">
            <v>622 W 168TH ST</v>
          </cell>
          <cell r="T3290" t="str">
            <v>NEW YORK</v>
          </cell>
          <cell r="U3290" t="str">
            <v>NY</v>
          </cell>
          <cell r="V3290" t="str">
            <v>100323720</v>
          </cell>
          <cell r="AC3290" t="str">
            <v>M</v>
          </cell>
          <cell r="AD3290" t="str">
            <v>No</v>
          </cell>
          <cell r="AE3290" t="str">
            <v>NPI only</v>
          </cell>
          <cell r="AF3290" t="str">
            <v>nypwestacn</v>
          </cell>
          <cell r="AG3290" t="str">
            <v>P</v>
          </cell>
        </row>
        <row r="3291">
          <cell r="A3291" t="str">
            <v>1982099297</v>
          </cell>
          <cell r="C3291" t="str">
            <v>STEPHEN MATTHEWS</v>
          </cell>
          <cell r="G3291" t="str">
            <v>Kathryn Spaziani</v>
          </cell>
          <cell r="H3291" t="str">
            <v>(212) 305-1190</v>
          </cell>
          <cell r="J3291" t="str">
            <v>kas9171@nyp.org</v>
          </cell>
          <cell r="K3291" t="str">
            <v>Unknown</v>
          </cell>
          <cell r="L3291" t="str">
            <v>Uncategorized</v>
          </cell>
          <cell r="M3291" t="str">
            <v>No</v>
          </cell>
          <cell r="R3291" t="str">
            <v>MATTHEWS STEPHEN</v>
          </cell>
          <cell r="S3291" t="str">
            <v>622 W 168TH ST # 205</v>
          </cell>
          <cell r="T3291" t="str">
            <v>NEW YORK</v>
          </cell>
          <cell r="U3291" t="str">
            <v>NY</v>
          </cell>
          <cell r="V3291" t="str">
            <v>100323720</v>
          </cell>
          <cell r="AC3291" t="str">
            <v>M</v>
          </cell>
          <cell r="AD3291" t="str">
            <v>No</v>
          </cell>
          <cell r="AE3291" t="str">
            <v>NPI only</v>
          </cell>
          <cell r="AF3291" t="str">
            <v>nypwestacn</v>
          </cell>
          <cell r="AG3291" t="str">
            <v>P</v>
          </cell>
        </row>
        <row r="3292">
          <cell r="A3292" t="str">
            <v>1043638489</v>
          </cell>
          <cell r="C3292" t="str">
            <v>BENJAMIN MARGOLIS</v>
          </cell>
          <cell r="G3292" t="str">
            <v>Kathryn Spaziani</v>
          </cell>
          <cell r="H3292" t="str">
            <v>(212) 305-1190</v>
          </cell>
          <cell r="J3292" t="str">
            <v>kas9171@nyp.org</v>
          </cell>
          <cell r="K3292" t="str">
            <v>Unknown</v>
          </cell>
          <cell r="L3292" t="str">
            <v>Uncategorized</v>
          </cell>
          <cell r="M3292" t="str">
            <v>No</v>
          </cell>
          <cell r="R3292" t="str">
            <v>MARGOLIS BENJAMIN</v>
          </cell>
          <cell r="S3292" t="str">
            <v>622 W 168TH ST, SUITE 16-29</v>
          </cell>
          <cell r="T3292" t="str">
            <v>NEW YORK</v>
          </cell>
          <cell r="U3292" t="str">
            <v>NY</v>
          </cell>
          <cell r="V3292" t="str">
            <v>100323720</v>
          </cell>
          <cell r="AC3292" t="str">
            <v>M</v>
          </cell>
          <cell r="AD3292" t="str">
            <v>No</v>
          </cell>
          <cell r="AE3292" t="str">
            <v>NPI only</v>
          </cell>
          <cell r="AF3292" t="str">
            <v>nypwestacn</v>
          </cell>
          <cell r="AG3292" t="str">
            <v>P</v>
          </cell>
        </row>
        <row r="3293">
          <cell r="A3293" t="str">
            <v>1871912741</v>
          </cell>
          <cell r="C3293" t="str">
            <v>CHRISTOPHER MARDY</v>
          </cell>
          <cell r="G3293" t="str">
            <v>Kathryn Spaziani</v>
          </cell>
          <cell r="H3293" t="str">
            <v>(212) 305-1190</v>
          </cell>
          <cell r="J3293" t="str">
            <v>kas9171@nyp.org</v>
          </cell>
          <cell r="K3293" t="str">
            <v>Unknown</v>
          </cell>
          <cell r="L3293" t="str">
            <v>Uncategorized</v>
          </cell>
          <cell r="M3293" t="str">
            <v>No</v>
          </cell>
          <cell r="R3293" t="str">
            <v>MARDY CHRISTOPHER</v>
          </cell>
          <cell r="S3293" t="str">
            <v>3959 BROADWAY</v>
          </cell>
          <cell r="T3293" t="str">
            <v>NEW YORK</v>
          </cell>
          <cell r="U3293" t="str">
            <v>NY</v>
          </cell>
          <cell r="V3293" t="str">
            <v>100321559</v>
          </cell>
          <cell r="AC3293" t="str">
            <v>M</v>
          </cell>
          <cell r="AD3293" t="str">
            <v>No</v>
          </cell>
          <cell r="AE3293" t="str">
            <v>NPI only</v>
          </cell>
          <cell r="AF3293" t="str">
            <v>nypwestacn</v>
          </cell>
          <cell r="AG3293" t="str">
            <v>P</v>
          </cell>
        </row>
        <row r="3294">
          <cell r="A3294" t="str">
            <v>1255751483</v>
          </cell>
          <cell r="C3294" t="str">
            <v>ALYSSA MARCHMAN</v>
          </cell>
          <cell r="G3294" t="str">
            <v>Kathryn Spaziani</v>
          </cell>
          <cell r="H3294" t="str">
            <v>(212) 305-1190</v>
          </cell>
          <cell r="J3294" t="str">
            <v>kas9171@nyp.org</v>
          </cell>
          <cell r="K3294" t="str">
            <v>Unknown</v>
          </cell>
          <cell r="L3294" t="str">
            <v>Uncategorized</v>
          </cell>
          <cell r="M3294" t="str">
            <v>No</v>
          </cell>
          <cell r="R3294" t="str">
            <v>MARCHMAN ALYSSA</v>
          </cell>
          <cell r="S3294" t="str">
            <v>3959 BROADWAY</v>
          </cell>
          <cell r="T3294" t="str">
            <v>NEW YORK</v>
          </cell>
          <cell r="U3294" t="str">
            <v>NY</v>
          </cell>
          <cell r="V3294" t="str">
            <v>100321559</v>
          </cell>
          <cell r="AC3294" t="str">
            <v>M</v>
          </cell>
          <cell r="AD3294" t="str">
            <v>No</v>
          </cell>
          <cell r="AE3294" t="str">
            <v>NPI only</v>
          </cell>
          <cell r="AF3294" t="str">
            <v>nypwestacn</v>
          </cell>
          <cell r="AG3294" t="str">
            <v>P</v>
          </cell>
        </row>
        <row r="3295">
          <cell r="A3295" t="str">
            <v>1770946006</v>
          </cell>
          <cell r="C3295" t="str">
            <v>DANIEL MANSON</v>
          </cell>
          <cell r="G3295" t="str">
            <v>Kathryn Spaziani</v>
          </cell>
          <cell r="H3295" t="str">
            <v>(212) 305-1190</v>
          </cell>
          <cell r="J3295" t="str">
            <v>kas9171@nyp.org</v>
          </cell>
          <cell r="K3295" t="str">
            <v>Unknown</v>
          </cell>
          <cell r="L3295" t="str">
            <v>Uncategorized</v>
          </cell>
          <cell r="M3295" t="str">
            <v>No</v>
          </cell>
          <cell r="R3295" t="str">
            <v>MANSON DANIEL</v>
          </cell>
          <cell r="S3295" t="str">
            <v>622 W 168TH ST</v>
          </cell>
          <cell r="T3295" t="str">
            <v>NEW YORK</v>
          </cell>
          <cell r="U3295" t="str">
            <v>NY</v>
          </cell>
          <cell r="V3295" t="str">
            <v>100323720</v>
          </cell>
          <cell r="AC3295" t="str">
            <v>M</v>
          </cell>
          <cell r="AD3295" t="str">
            <v>No</v>
          </cell>
          <cell r="AE3295" t="str">
            <v>NPI only</v>
          </cell>
          <cell r="AF3295" t="str">
            <v>nypwestacn</v>
          </cell>
          <cell r="AG3295" t="str">
            <v>P</v>
          </cell>
        </row>
        <row r="3296">
          <cell r="A3296" t="str">
            <v>1740642016</v>
          </cell>
          <cell r="C3296" t="str">
            <v>ROHAN MANIAR</v>
          </cell>
          <cell r="G3296" t="str">
            <v>Kathryn Spaziani</v>
          </cell>
          <cell r="H3296" t="str">
            <v>(212) 305-1190</v>
          </cell>
          <cell r="J3296" t="str">
            <v>kas9171@nyp.org</v>
          </cell>
          <cell r="K3296" t="str">
            <v>Unknown</v>
          </cell>
          <cell r="L3296" t="str">
            <v>Uncategorized</v>
          </cell>
          <cell r="M3296" t="str">
            <v>No</v>
          </cell>
          <cell r="R3296" t="str">
            <v>MANIAR ROHAN DR.</v>
          </cell>
          <cell r="S3296" t="str">
            <v>505 E 70TH ST</v>
          </cell>
          <cell r="T3296" t="str">
            <v>NEW YORK</v>
          </cell>
          <cell r="U3296" t="str">
            <v>NY</v>
          </cell>
          <cell r="V3296" t="str">
            <v>100214872</v>
          </cell>
          <cell r="AC3296" t="str">
            <v>M</v>
          </cell>
          <cell r="AD3296" t="str">
            <v>No</v>
          </cell>
          <cell r="AE3296" t="str">
            <v>NPI only</v>
          </cell>
          <cell r="AF3296" t="str">
            <v>nypeastacn</v>
          </cell>
          <cell r="AG3296" t="str">
            <v>P</v>
          </cell>
        </row>
        <row r="3297">
          <cell r="A3297" t="str">
            <v>1801259569</v>
          </cell>
          <cell r="C3297" t="str">
            <v>WAQAS MALICK</v>
          </cell>
          <cell r="G3297" t="str">
            <v>Kathryn Spaziani</v>
          </cell>
          <cell r="H3297" t="str">
            <v>(212) 305-1190</v>
          </cell>
          <cell r="J3297" t="str">
            <v>kas9171@nyp.org</v>
          </cell>
          <cell r="K3297" t="str">
            <v>Unknown</v>
          </cell>
          <cell r="L3297" t="str">
            <v>Uncategorized</v>
          </cell>
          <cell r="M3297" t="str">
            <v>No</v>
          </cell>
          <cell r="R3297" t="str">
            <v>MALICK WAQAS DR.</v>
          </cell>
          <cell r="S3297" t="str">
            <v>622 W 168TH ST</v>
          </cell>
          <cell r="T3297" t="str">
            <v>NEW YORK</v>
          </cell>
          <cell r="U3297" t="str">
            <v>NY</v>
          </cell>
          <cell r="V3297" t="str">
            <v>100323720</v>
          </cell>
          <cell r="AC3297" t="str">
            <v>M</v>
          </cell>
          <cell r="AD3297" t="str">
            <v>No</v>
          </cell>
          <cell r="AE3297" t="str">
            <v>NPI only</v>
          </cell>
          <cell r="AF3297" t="str">
            <v>nypwestacn</v>
          </cell>
          <cell r="AG3297" t="str">
            <v>P</v>
          </cell>
        </row>
        <row r="3298">
          <cell r="A3298" t="str">
            <v>1891157970</v>
          </cell>
          <cell r="C3298" t="str">
            <v>ANGEL MALDONADO-SOTO</v>
          </cell>
          <cell r="G3298" t="str">
            <v>Kathryn Spaziani</v>
          </cell>
          <cell r="H3298" t="str">
            <v>(212) 305-1190</v>
          </cell>
          <cell r="J3298" t="str">
            <v>kas9171@nyp.org</v>
          </cell>
          <cell r="K3298" t="str">
            <v>Unknown</v>
          </cell>
          <cell r="L3298" t="str">
            <v>Uncategorized</v>
          </cell>
          <cell r="M3298" t="str">
            <v>No</v>
          </cell>
          <cell r="R3298" t="str">
            <v>MALDONADO-SOTO ANGEL</v>
          </cell>
          <cell r="S3298" t="str">
            <v>3959 BROADWAY</v>
          </cell>
          <cell r="T3298" t="str">
            <v>NEW YORK</v>
          </cell>
          <cell r="U3298" t="str">
            <v>NY</v>
          </cell>
          <cell r="V3298" t="str">
            <v>100321559</v>
          </cell>
          <cell r="AC3298" t="str">
            <v>M</v>
          </cell>
          <cell r="AD3298" t="str">
            <v>No</v>
          </cell>
          <cell r="AE3298" t="str">
            <v>NPI only</v>
          </cell>
          <cell r="AF3298" t="str">
            <v>nypwestacn</v>
          </cell>
          <cell r="AG3298" t="str">
            <v>P</v>
          </cell>
        </row>
        <row r="3299">
          <cell r="A3299" t="str">
            <v>1467806000</v>
          </cell>
          <cell r="C3299" t="str">
            <v>ROSAMARIE MAIORELLA</v>
          </cell>
          <cell r="G3299" t="str">
            <v>Kathryn Spaziani</v>
          </cell>
          <cell r="H3299" t="str">
            <v>(212) 305-1190</v>
          </cell>
          <cell r="J3299" t="str">
            <v>kas9171@nyp.org</v>
          </cell>
          <cell r="K3299" t="str">
            <v>Unknown</v>
          </cell>
          <cell r="L3299" t="str">
            <v>Uncategorized</v>
          </cell>
          <cell r="M3299" t="str">
            <v>No</v>
          </cell>
          <cell r="R3299" t="str">
            <v>MAIORELLA ROSAMARIE</v>
          </cell>
          <cell r="S3299" t="str">
            <v>3959 BROADWAY</v>
          </cell>
          <cell r="T3299" t="str">
            <v>NEW YORK</v>
          </cell>
          <cell r="U3299" t="str">
            <v>NY</v>
          </cell>
          <cell r="V3299" t="str">
            <v>100321559</v>
          </cell>
          <cell r="AC3299" t="str">
            <v>M</v>
          </cell>
          <cell r="AD3299" t="str">
            <v>No</v>
          </cell>
          <cell r="AE3299" t="str">
            <v>NPI only</v>
          </cell>
          <cell r="AF3299" t="str">
            <v>nypwestacn</v>
          </cell>
          <cell r="AG3299" t="str">
            <v>P</v>
          </cell>
        </row>
        <row r="3300">
          <cell r="A3300" t="str">
            <v>1881013878</v>
          </cell>
          <cell r="C3300" t="str">
            <v>CANDICE MAIETTI</v>
          </cell>
          <cell r="G3300" t="str">
            <v>Kathryn Spaziani</v>
          </cell>
          <cell r="H3300" t="str">
            <v>(212) 305-1190</v>
          </cell>
          <cell r="J3300" t="str">
            <v>kas9171@nyp.org</v>
          </cell>
          <cell r="K3300" t="str">
            <v>Unknown</v>
          </cell>
          <cell r="L3300" t="str">
            <v>Uncategorized</v>
          </cell>
          <cell r="M3300" t="str">
            <v>No</v>
          </cell>
          <cell r="R3300" t="str">
            <v>MAIETTI CANDICE</v>
          </cell>
          <cell r="S3300" t="str">
            <v>3959 BROADWAY</v>
          </cell>
          <cell r="T3300" t="str">
            <v>NEW YORK</v>
          </cell>
          <cell r="U3300" t="str">
            <v>NY</v>
          </cell>
          <cell r="V3300" t="str">
            <v>100321559</v>
          </cell>
          <cell r="AC3300" t="str">
            <v>M</v>
          </cell>
          <cell r="AD3300" t="str">
            <v>No</v>
          </cell>
          <cell r="AE3300" t="str">
            <v>NPI only</v>
          </cell>
          <cell r="AF3300" t="str">
            <v>nypwestacn</v>
          </cell>
          <cell r="AG3300" t="str">
            <v>P</v>
          </cell>
        </row>
        <row r="3301">
          <cell r="A3301" t="str">
            <v>1033537642</v>
          </cell>
          <cell r="C3301" t="str">
            <v>XINGCHEN MAI</v>
          </cell>
          <cell r="G3301" t="str">
            <v>Kathryn Spaziani</v>
          </cell>
          <cell r="H3301" t="str">
            <v>(212) 305-1190</v>
          </cell>
          <cell r="J3301" t="str">
            <v>kas9171@nyp.org</v>
          </cell>
          <cell r="K3301" t="str">
            <v>Unknown</v>
          </cell>
          <cell r="L3301" t="str">
            <v>Uncategorized</v>
          </cell>
          <cell r="M3301" t="str">
            <v>No</v>
          </cell>
          <cell r="R3301" t="str">
            <v>MAI XINGCHEN</v>
          </cell>
          <cell r="S3301" t="str">
            <v>630 W 168TH ST, PH 8 EAST ROOM 105</v>
          </cell>
          <cell r="T3301" t="str">
            <v>NEW YORK</v>
          </cell>
          <cell r="U3301" t="str">
            <v>NY</v>
          </cell>
          <cell r="V3301" t="str">
            <v>100323725</v>
          </cell>
          <cell r="AC3301" t="str">
            <v>M</v>
          </cell>
          <cell r="AD3301" t="str">
            <v>No</v>
          </cell>
          <cell r="AE3301" t="str">
            <v>NPI only</v>
          </cell>
          <cell r="AF3301" t="str">
            <v>nypwestacn</v>
          </cell>
          <cell r="AG3301" t="str">
            <v>P</v>
          </cell>
        </row>
        <row r="3302">
          <cell r="A3302" t="str">
            <v>1104244102</v>
          </cell>
          <cell r="C3302" t="str">
            <v>MAHESH MADHAVAN</v>
          </cell>
          <cell r="G3302" t="str">
            <v>Kathryn Spaziani</v>
          </cell>
          <cell r="H3302" t="str">
            <v>(212) 305-1190</v>
          </cell>
          <cell r="J3302" t="str">
            <v>kas9171@nyp.org</v>
          </cell>
          <cell r="K3302" t="str">
            <v>Unknown</v>
          </cell>
          <cell r="L3302" t="str">
            <v>Uncategorized</v>
          </cell>
          <cell r="M3302" t="str">
            <v>No</v>
          </cell>
          <cell r="R3302" t="str">
            <v>MADHAVAN MAHESH</v>
          </cell>
          <cell r="S3302" t="str">
            <v>630 W 168TH ST</v>
          </cell>
          <cell r="T3302" t="str">
            <v>NEW YORK</v>
          </cell>
          <cell r="U3302" t="str">
            <v>NY</v>
          </cell>
          <cell r="V3302" t="str">
            <v>100323725</v>
          </cell>
          <cell r="AC3302" t="str">
            <v>M</v>
          </cell>
          <cell r="AD3302" t="str">
            <v>No</v>
          </cell>
          <cell r="AE3302" t="str">
            <v>NPI only</v>
          </cell>
          <cell r="AF3302" t="str">
            <v>nypwestacn</v>
          </cell>
          <cell r="AG3302" t="str">
            <v>P</v>
          </cell>
        </row>
        <row r="3303">
          <cell r="A3303" t="str">
            <v>1801206479</v>
          </cell>
          <cell r="C3303" t="str">
            <v>SHAZIA LUTFEALI</v>
          </cell>
          <cell r="G3303" t="str">
            <v>Kathryn Spaziani</v>
          </cell>
          <cell r="H3303" t="str">
            <v>(212) 305-1190</v>
          </cell>
          <cell r="J3303" t="str">
            <v>kas9171@nyp.org</v>
          </cell>
          <cell r="K3303" t="str">
            <v>Unknown</v>
          </cell>
          <cell r="L3303" t="str">
            <v>Uncategorized</v>
          </cell>
          <cell r="M3303" t="str">
            <v>No</v>
          </cell>
          <cell r="R3303" t="str">
            <v>LUTFEALI SHAZIA</v>
          </cell>
          <cell r="S3303" t="str">
            <v>180 FORT WASHINGTON AVE</v>
          </cell>
          <cell r="T3303" t="str">
            <v>NEW YORK</v>
          </cell>
          <cell r="U3303" t="str">
            <v>NY</v>
          </cell>
          <cell r="V3303" t="str">
            <v>100323722</v>
          </cell>
          <cell r="AC3303" t="str">
            <v>M</v>
          </cell>
          <cell r="AD3303" t="str">
            <v>No</v>
          </cell>
          <cell r="AE3303" t="str">
            <v>NPI only</v>
          </cell>
          <cell r="AF3303" t="str">
            <v>nypeastacn</v>
          </cell>
          <cell r="AG3303" t="str">
            <v>P</v>
          </cell>
        </row>
        <row r="3304">
          <cell r="A3304" t="str">
            <v>1730542671</v>
          </cell>
          <cell r="C3304" t="str">
            <v>HEIDI LUMISH</v>
          </cell>
          <cell r="G3304" t="str">
            <v>Kathryn Spaziani</v>
          </cell>
          <cell r="H3304" t="str">
            <v>(212) 305-1190</v>
          </cell>
          <cell r="J3304" t="str">
            <v>kas9171@nyp.org</v>
          </cell>
          <cell r="K3304" t="str">
            <v>Unknown</v>
          </cell>
          <cell r="L3304" t="str">
            <v>Uncategorized</v>
          </cell>
          <cell r="M3304" t="str">
            <v>No</v>
          </cell>
          <cell r="R3304" t="str">
            <v>LUMISH HEIDI</v>
          </cell>
          <cell r="S3304" t="str">
            <v>622 W 168TH ST</v>
          </cell>
          <cell r="T3304" t="str">
            <v>NEW YORK</v>
          </cell>
          <cell r="U3304" t="str">
            <v>NY</v>
          </cell>
          <cell r="V3304" t="str">
            <v>100323720</v>
          </cell>
          <cell r="AC3304" t="str">
            <v>M</v>
          </cell>
          <cell r="AD3304" t="str">
            <v>No</v>
          </cell>
          <cell r="AE3304" t="str">
            <v>NPI only</v>
          </cell>
          <cell r="AF3304" t="str">
            <v>nypwestacn</v>
          </cell>
          <cell r="AG3304" t="str">
            <v>P</v>
          </cell>
        </row>
        <row r="3305">
          <cell r="A3305" t="str">
            <v>1235592353</v>
          </cell>
          <cell r="C3305" t="str">
            <v>NADIA LIYANAGE-DON</v>
          </cell>
          <cell r="G3305" t="str">
            <v>Kathryn Spaziani</v>
          </cell>
          <cell r="H3305" t="str">
            <v>(212) 305-1190</v>
          </cell>
          <cell r="J3305" t="str">
            <v>kas9171@nyp.org</v>
          </cell>
          <cell r="K3305" t="str">
            <v>Unknown</v>
          </cell>
          <cell r="L3305" t="str">
            <v>Uncategorized</v>
          </cell>
          <cell r="M3305" t="str">
            <v>No</v>
          </cell>
          <cell r="R3305" t="str">
            <v>LIYANAGE-DON NADIA</v>
          </cell>
          <cell r="S3305" t="str">
            <v>622 W 168TH ST</v>
          </cell>
          <cell r="T3305" t="str">
            <v>NEW YORK</v>
          </cell>
          <cell r="U3305" t="str">
            <v>NY</v>
          </cell>
          <cell r="V3305" t="str">
            <v>100323720</v>
          </cell>
          <cell r="AC3305" t="str">
            <v>M</v>
          </cell>
          <cell r="AD3305" t="str">
            <v>No</v>
          </cell>
          <cell r="AE3305" t="str">
            <v>NPI only</v>
          </cell>
          <cell r="AF3305" t="str">
            <v>nypwestacn</v>
          </cell>
          <cell r="AG3305" t="str">
            <v>P</v>
          </cell>
        </row>
        <row r="3306">
          <cell r="A3306" t="str">
            <v>1184019424</v>
          </cell>
          <cell r="C3306" t="str">
            <v>ALEXANDRA LIVANOS</v>
          </cell>
          <cell r="G3306" t="str">
            <v>Kathryn Spaziani</v>
          </cell>
          <cell r="H3306" t="str">
            <v>(212) 305-1190</v>
          </cell>
          <cell r="J3306" t="str">
            <v>kas9171@nyp.org</v>
          </cell>
          <cell r="K3306" t="str">
            <v>Unknown</v>
          </cell>
          <cell r="L3306" t="str">
            <v>Uncategorized</v>
          </cell>
          <cell r="M3306" t="str">
            <v>No</v>
          </cell>
          <cell r="R3306" t="str">
            <v>LIVANOS ALEXANDRA</v>
          </cell>
          <cell r="S3306" t="str">
            <v>622 W 168TH ST # 205</v>
          </cell>
          <cell r="T3306" t="str">
            <v>NEW YORK</v>
          </cell>
          <cell r="U3306" t="str">
            <v>NY</v>
          </cell>
          <cell r="V3306" t="str">
            <v>100323720</v>
          </cell>
          <cell r="AC3306" t="str">
            <v>M</v>
          </cell>
          <cell r="AD3306" t="str">
            <v>No</v>
          </cell>
          <cell r="AE3306" t="str">
            <v>NPI only</v>
          </cell>
          <cell r="AF3306" t="str">
            <v>nypwestacn</v>
          </cell>
          <cell r="AG3306" t="str">
            <v>P</v>
          </cell>
        </row>
        <row r="3307">
          <cell r="A3307" t="str">
            <v>1629495692</v>
          </cell>
          <cell r="C3307" t="str">
            <v>ANYE LEVINSON</v>
          </cell>
          <cell r="G3307" t="str">
            <v>Kathryn Spaziani</v>
          </cell>
          <cell r="H3307" t="str">
            <v>(212) 305-1190</v>
          </cell>
          <cell r="J3307" t="str">
            <v>kas9171@nyp.org</v>
          </cell>
          <cell r="K3307" t="str">
            <v>Unknown</v>
          </cell>
          <cell r="L3307" t="str">
            <v>Uncategorized</v>
          </cell>
          <cell r="M3307" t="str">
            <v>No</v>
          </cell>
          <cell r="R3307" t="str">
            <v>LEVINSON ANYA</v>
          </cell>
          <cell r="S3307" t="str">
            <v>3959 BROADWAY</v>
          </cell>
          <cell r="T3307" t="str">
            <v>NEW YORK</v>
          </cell>
          <cell r="U3307" t="str">
            <v>NY</v>
          </cell>
          <cell r="V3307" t="str">
            <v>100321559</v>
          </cell>
          <cell r="AC3307" t="str">
            <v>M</v>
          </cell>
          <cell r="AD3307" t="str">
            <v>No</v>
          </cell>
          <cell r="AE3307" t="str">
            <v>NPI only</v>
          </cell>
          <cell r="AF3307" t="str">
            <v>nypwestacn</v>
          </cell>
          <cell r="AG3307" t="str">
            <v>P</v>
          </cell>
        </row>
        <row r="3308">
          <cell r="A3308" t="str">
            <v>1467849356</v>
          </cell>
          <cell r="C3308" t="str">
            <v>JULIE LEVASSEUR</v>
          </cell>
          <cell r="G3308" t="str">
            <v>Kathryn Spaziani</v>
          </cell>
          <cell r="H3308" t="str">
            <v>(212) 305-1190</v>
          </cell>
          <cell r="J3308" t="str">
            <v>kas9171@nyp.org</v>
          </cell>
          <cell r="K3308" t="str">
            <v>Unknown</v>
          </cell>
          <cell r="L3308" t="str">
            <v>Uncategorized</v>
          </cell>
          <cell r="M3308" t="str">
            <v>No</v>
          </cell>
          <cell r="R3308" t="str">
            <v>LEVASSEUR JULIE</v>
          </cell>
          <cell r="S3308" t="str">
            <v>13 ALFRED DR</v>
          </cell>
          <cell r="T3308" t="str">
            <v>POUGHKEEPSIE</v>
          </cell>
          <cell r="U3308" t="str">
            <v>NY</v>
          </cell>
          <cell r="V3308" t="str">
            <v>126035414</v>
          </cell>
          <cell r="AC3308" t="str">
            <v>M</v>
          </cell>
          <cell r="AD3308" t="str">
            <v>No</v>
          </cell>
          <cell r="AE3308" t="str">
            <v>NPI only</v>
          </cell>
          <cell r="AF3308" t="str">
            <v>nypeastacn</v>
          </cell>
          <cell r="AG3308" t="str">
            <v>P</v>
          </cell>
        </row>
        <row r="3309">
          <cell r="A3309" t="str">
            <v>1467815688</v>
          </cell>
          <cell r="C3309" t="str">
            <v>BENJAMIN LERNER</v>
          </cell>
          <cell r="G3309" t="str">
            <v>Kathryn Spaziani</v>
          </cell>
          <cell r="H3309" t="str">
            <v>(212) 305-1190</v>
          </cell>
          <cell r="J3309" t="str">
            <v>kas9171@nyp.org</v>
          </cell>
          <cell r="K3309" t="str">
            <v>Unknown</v>
          </cell>
          <cell r="L3309" t="str">
            <v>Uncategorized</v>
          </cell>
          <cell r="M3309" t="str">
            <v>No</v>
          </cell>
          <cell r="R3309" t="str">
            <v>LERNER BENJAMIN</v>
          </cell>
          <cell r="S3309" t="str">
            <v>622 W 168TH ST</v>
          </cell>
          <cell r="T3309" t="str">
            <v>NEW YORK</v>
          </cell>
          <cell r="U3309" t="str">
            <v>NY</v>
          </cell>
          <cell r="V3309" t="str">
            <v>100323720</v>
          </cell>
          <cell r="AC3309" t="str">
            <v>M</v>
          </cell>
          <cell r="AD3309" t="str">
            <v>No</v>
          </cell>
          <cell r="AE3309" t="str">
            <v>NPI only</v>
          </cell>
          <cell r="AF3309" t="str">
            <v>nypwestacn</v>
          </cell>
          <cell r="AG3309" t="str">
            <v>P</v>
          </cell>
        </row>
        <row r="3310">
          <cell r="A3310" t="str">
            <v>1013379478</v>
          </cell>
          <cell r="C3310" t="str">
            <v>KRISTIN LEONE</v>
          </cell>
          <cell r="G3310" t="str">
            <v>Kathryn Spaziani</v>
          </cell>
          <cell r="H3310" t="str">
            <v>(212) 305-1190</v>
          </cell>
          <cell r="J3310" t="str">
            <v>kas9171@nyp.org</v>
          </cell>
          <cell r="K3310" t="str">
            <v>Unknown</v>
          </cell>
          <cell r="L3310" t="str">
            <v>Uncategorized</v>
          </cell>
          <cell r="M3310" t="str">
            <v>No</v>
          </cell>
          <cell r="R3310" t="str">
            <v>LEONE KRISTIN</v>
          </cell>
          <cell r="S3310" t="str">
            <v>3959 BROADWAY</v>
          </cell>
          <cell r="T3310" t="str">
            <v>NEW YORK</v>
          </cell>
          <cell r="U3310" t="str">
            <v>NY</v>
          </cell>
          <cell r="V3310" t="str">
            <v>100321559</v>
          </cell>
          <cell r="AC3310" t="str">
            <v>M</v>
          </cell>
          <cell r="AD3310" t="str">
            <v>No</v>
          </cell>
          <cell r="AE3310" t="str">
            <v>NPI only</v>
          </cell>
          <cell r="AF3310" t="str">
            <v>nypwestacn</v>
          </cell>
          <cell r="AG3310" t="str">
            <v>P</v>
          </cell>
        </row>
        <row r="3311">
          <cell r="A3311" t="str">
            <v>1144674334</v>
          </cell>
          <cell r="C3311" t="str">
            <v>REBECCA LEEDS</v>
          </cell>
          <cell r="G3311" t="str">
            <v>Kathryn Spaziani</v>
          </cell>
          <cell r="H3311" t="str">
            <v>(212) 305-1190</v>
          </cell>
          <cell r="J3311" t="str">
            <v>kas9171@nyp.org</v>
          </cell>
          <cell r="K3311" t="str">
            <v>Unknown</v>
          </cell>
          <cell r="L3311" t="str">
            <v>Uncategorized</v>
          </cell>
          <cell r="M3311" t="str">
            <v>No</v>
          </cell>
          <cell r="R3311" t="str">
            <v>LEEDS REBECCA</v>
          </cell>
          <cell r="S3311" t="str">
            <v>622 W 168TH ST</v>
          </cell>
          <cell r="T3311" t="str">
            <v>NEW YORK</v>
          </cell>
          <cell r="U3311" t="str">
            <v>NY</v>
          </cell>
          <cell r="V3311" t="str">
            <v>100323720</v>
          </cell>
          <cell r="AC3311" t="str">
            <v>M</v>
          </cell>
          <cell r="AD3311" t="str">
            <v>No</v>
          </cell>
          <cell r="AE3311" t="str">
            <v>NPI only</v>
          </cell>
          <cell r="AF3311" t="str">
            <v>nypwestacn</v>
          </cell>
          <cell r="AG3311" t="str">
            <v>P</v>
          </cell>
        </row>
        <row r="3312">
          <cell r="A3312" t="str">
            <v>1003201518</v>
          </cell>
          <cell r="C3312" t="str">
            <v>SAMANTHA LEE</v>
          </cell>
          <cell r="G3312" t="str">
            <v>Kathryn Spaziani</v>
          </cell>
          <cell r="H3312" t="str">
            <v>(212) 305-1190</v>
          </cell>
          <cell r="J3312" t="str">
            <v>kas9171@nyp.org</v>
          </cell>
          <cell r="K3312" t="str">
            <v>Unknown</v>
          </cell>
          <cell r="L3312" t="str">
            <v>Uncategorized</v>
          </cell>
          <cell r="M3312" t="str">
            <v>No</v>
          </cell>
          <cell r="R3312" t="str">
            <v>LEE SAMANTHA DR.</v>
          </cell>
          <cell r="S3312" t="str">
            <v>630 W 168TH ST, ROOM 6C-12</v>
          </cell>
          <cell r="T3312" t="str">
            <v>NEW YORK</v>
          </cell>
          <cell r="U3312" t="str">
            <v>NY</v>
          </cell>
          <cell r="V3312" t="str">
            <v>100323725</v>
          </cell>
          <cell r="AC3312" t="str">
            <v>M</v>
          </cell>
          <cell r="AD3312" t="str">
            <v>No</v>
          </cell>
          <cell r="AE3312" t="str">
            <v>NPI only</v>
          </cell>
          <cell r="AF3312" t="str">
            <v>nypwestacn</v>
          </cell>
          <cell r="AG3312" t="str">
            <v>P</v>
          </cell>
        </row>
        <row r="3313">
          <cell r="A3313" t="str">
            <v>1982067245</v>
          </cell>
          <cell r="C3313" t="str">
            <v>ABIGAIL LEATHE</v>
          </cell>
          <cell r="G3313" t="str">
            <v>Kathryn Spaziani</v>
          </cell>
          <cell r="H3313" t="str">
            <v>(212) 305-1190</v>
          </cell>
          <cell r="J3313" t="str">
            <v>kas9171@nyp.org</v>
          </cell>
          <cell r="K3313" t="str">
            <v>Unknown</v>
          </cell>
          <cell r="L3313" t="str">
            <v>Uncategorized</v>
          </cell>
          <cell r="M3313" t="str">
            <v>No</v>
          </cell>
          <cell r="R3313" t="str">
            <v>LEATHE ABIGAIL</v>
          </cell>
          <cell r="S3313" t="str">
            <v>3959 BROADWAY</v>
          </cell>
          <cell r="T3313" t="str">
            <v>NEW YORK</v>
          </cell>
          <cell r="U3313" t="str">
            <v>NY</v>
          </cell>
          <cell r="V3313" t="str">
            <v>100321559</v>
          </cell>
          <cell r="AC3313" t="str">
            <v>M</v>
          </cell>
          <cell r="AD3313" t="str">
            <v>No</v>
          </cell>
          <cell r="AE3313" t="str">
            <v>NPI only</v>
          </cell>
          <cell r="AF3313" t="str">
            <v>nypwestacn</v>
          </cell>
          <cell r="AG3313" t="str">
            <v>P</v>
          </cell>
        </row>
        <row r="3314">
          <cell r="A3314" t="str">
            <v>1699138263</v>
          </cell>
          <cell r="C3314" t="str">
            <v>MICHAEL LAVELLE</v>
          </cell>
          <cell r="G3314" t="str">
            <v>Kathryn Spaziani</v>
          </cell>
          <cell r="H3314" t="str">
            <v>(212) 305-1190</v>
          </cell>
          <cell r="J3314" t="str">
            <v>kas9171@nyp.org</v>
          </cell>
          <cell r="K3314" t="str">
            <v>Unknown</v>
          </cell>
          <cell r="L3314" t="str">
            <v>Uncategorized</v>
          </cell>
          <cell r="M3314" t="str">
            <v>No</v>
          </cell>
          <cell r="R3314" t="str">
            <v>LAVELLE MICHAEL</v>
          </cell>
          <cell r="S3314" t="str">
            <v>622 W 168TH ST</v>
          </cell>
          <cell r="T3314" t="str">
            <v>NEW YORK</v>
          </cell>
          <cell r="U3314" t="str">
            <v>NY</v>
          </cell>
          <cell r="V3314" t="str">
            <v>100323720</v>
          </cell>
          <cell r="AC3314" t="str">
            <v>M</v>
          </cell>
          <cell r="AD3314" t="str">
            <v>No</v>
          </cell>
          <cell r="AE3314" t="str">
            <v>NPI only</v>
          </cell>
          <cell r="AF3314" t="str">
            <v>nypwestacn</v>
          </cell>
          <cell r="AG3314" t="str">
            <v>P</v>
          </cell>
        </row>
        <row r="3315">
          <cell r="A3315" t="str">
            <v>1700248705</v>
          </cell>
          <cell r="C3315" t="str">
            <v>GWYNNE LATIMER</v>
          </cell>
          <cell r="G3315" t="str">
            <v>Kathryn Spaziani</v>
          </cell>
          <cell r="H3315" t="str">
            <v>(212) 305-1190</v>
          </cell>
          <cell r="J3315" t="str">
            <v>kas9171@nyp.org</v>
          </cell>
          <cell r="K3315" t="str">
            <v>Unknown</v>
          </cell>
          <cell r="L3315" t="str">
            <v>Uncategorized</v>
          </cell>
          <cell r="M3315" t="str">
            <v>No</v>
          </cell>
          <cell r="R3315" t="str">
            <v>LATIMER GWYNNE</v>
          </cell>
          <cell r="S3315" t="str">
            <v>3959 BROADWAY</v>
          </cell>
          <cell r="T3315" t="str">
            <v>NEW YORK</v>
          </cell>
          <cell r="U3315" t="str">
            <v>NY</v>
          </cell>
          <cell r="V3315" t="str">
            <v>100321559</v>
          </cell>
          <cell r="AC3315" t="str">
            <v>M</v>
          </cell>
          <cell r="AD3315" t="str">
            <v>No</v>
          </cell>
          <cell r="AE3315" t="str">
            <v>NPI only</v>
          </cell>
          <cell r="AF3315" t="str">
            <v>nypwestacn</v>
          </cell>
          <cell r="AG3315" t="str">
            <v>P</v>
          </cell>
        </row>
        <row r="3316">
          <cell r="A3316" t="str">
            <v>1023437357</v>
          </cell>
          <cell r="C3316" t="str">
            <v>MONIKA LASZKOWSKA</v>
          </cell>
          <cell r="G3316" t="str">
            <v>Kathryn Spaziani</v>
          </cell>
          <cell r="H3316" t="str">
            <v>(212) 305-1190</v>
          </cell>
          <cell r="J3316" t="str">
            <v>kas9171@nyp.org</v>
          </cell>
          <cell r="K3316" t="str">
            <v>Unknown</v>
          </cell>
          <cell r="L3316" t="str">
            <v>Uncategorized</v>
          </cell>
          <cell r="M3316" t="str">
            <v>No</v>
          </cell>
          <cell r="R3316" t="str">
            <v>LASZKOWSKA MONIKA</v>
          </cell>
          <cell r="S3316" t="str">
            <v>245 W 25TH ST APT 3H</v>
          </cell>
          <cell r="T3316" t="str">
            <v>NEW YORK</v>
          </cell>
          <cell r="U3316" t="str">
            <v>NY</v>
          </cell>
          <cell r="V3316" t="str">
            <v>100017106</v>
          </cell>
          <cell r="AC3316" t="str">
            <v>M</v>
          </cell>
          <cell r="AD3316" t="str">
            <v>No</v>
          </cell>
          <cell r="AE3316" t="str">
            <v>NPI only</v>
          </cell>
          <cell r="AF3316" t="str">
            <v>nypwestacn</v>
          </cell>
          <cell r="AG3316" t="str">
            <v>P</v>
          </cell>
        </row>
        <row r="3317">
          <cell r="A3317" t="str">
            <v>1861888786</v>
          </cell>
          <cell r="C3317" t="str">
            <v>JESSICA LAROSA</v>
          </cell>
          <cell r="G3317" t="str">
            <v>Kathryn Spaziani</v>
          </cell>
          <cell r="H3317" t="str">
            <v>(212) 305-1190</v>
          </cell>
          <cell r="J3317" t="str">
            <v>kas9171@nyp.org</v>
          </cell>
          <cell r="K3317" t="str">
            <v>Unknown</v>
          </cell>
          <cell r="L3317" t="str">
            <v>Uncategorized</v>
          </cell>
          <cell r="M3317" t="str">
            <v>No</v>
          </cell>
          <cell r="R3317" t="str">
            <v>LAROSA JESSICA</v>
          </cell>
          <cell r="S3317" t="str">
            <v>3959 BROADWAY</v>
          </cell>
          <cell r="T3317" t="str">
            <v>NEW YORK</v>
          </cell>
          <cell r="U3317" t="str">
            <v>NY</v>
          </cell>
          <cell r="V3317" t="str">
            <v>10032</v>
          </cell>
          <cell r="AC3317" t="str">
            <v>M</v>
          </cell>
          <cell r="AD3317" t="str">
            <v>No</v>
          </cell>
          <cell r="AE3317" t="str">
            <v>NPI only</v>
          </cell>
          <cell r="AF3317" t="str">
            <v>nypwestacn</v>
          </cell>
          <cell r="AG3317" t="str">
            <v>P</v>
          </cell>
        </row>
        <row r="3318">
          <cell r="A3318" t="str">
            <v>1548655954</v>
          </cell>
          <cell r="C3318" t="str">
            <v>JUSTIN LARACY</v>
          </cell>
          <cell r="G3318" t="str">
            <v>Kathryn Spaziani</v>
          </cell>
          <cell r="H3318" t="str">
            <v>(212) 305-1190</v>
          </cell>
          <cell r="J3318" t="str">
            <v>kas9171@nyp.org</v>
          </cell>
          <cell r="K3318" t="str">
            <v>Unknown</v>
          </cell>
          <cell r="L3318" t="str">
            <v>Uncategorized</v>
          </cell>
          <cell r="M3318" t="str">
            <v>No</v>
          </cell>
          <cell r="R3318" t="str">
            <v>LARACY JUSTIN</v>
          </cell>
          <cell r="S3318" t="str">
            <v>622 W 168TH ST # 205</v>
          </cell>
          <cell r="T3318" t="str">
            <v>NEW YORK</v>
          </cell>
          <cell r="U3318" t="str">
            <v>NY</v>
          </cell>
          <cell r="V3318" t="str">
            <v>100323720</v>
          </cell>
          <cell r="AC3318" t="str">
            <v>M</v>
          </cell>
          <cell r="AD3318" t="str">
            <v>No</v>
          </cell>
          <cell r="AE3318" t="str">
            <v>NPI only</v>
          </cell>
          <cell r="AF3318" t="str">
            <v>nypwestacn</v>
          </cell>
          <cell r="AG3318" t="str">
            <v>P</v>
          </cell>
        </row>
        <row r="3319">
          <cell r="A3319" t="str">
            <v>1063808897</v>
          </cell>
          <cell r="C3319" t="str">
            <v>JOSHUA LAMPERT</v>
          </cell>
          <cell r="G3319" t="str">
            <v>Kathryn Spaziani</v>
          </cell>
          <cell r="H3319" t="str">
            <v>(212) 305-1190</v>
          </cell>
          <cell r="J3319" t="str">
            <v>kas9171@nyp.org</v>
          </cell>
          <cell r="K3319" t="str">
            <v>Unknown</v>
          </cell>
          <cell r="L3319" t="str">
            <v>Uncategorized</v>
          </cell>
          <cell r="M3319" t="str">
            <v>No</v>
          </cell>
          <cell r="R3319" t="str">
            <v>LAMPERT JOSHUA DR.</v>
          </cell>
          <cell r="S3319" t="str">
            <v>622 W 168TH ST # 205</v>
          </cell>
          <cell r="T3319" t="str">
            <v>NEW YORK</v>
          </cell>
          <cell r="U3319" t="str">
            <v>NY</v>
          </cell>
          <cell r="V3319" t="str">
            <v>100323720</v>
          </cell>
          <cell r="AC3319" t="str">
            <v>M</v>
          </cell>
          <cell r="AD3319" t="str">
            <v>No</v>
          </cell>
          <cell r="AE3319" t="str">
            <v>NPI only</v>
          </cell>
          <cell r="AF3319" t="str">
            <v>nypwestacn</v>
          </cell>
          <cell r="AG3319" t="str">
            <v>P</v>
          </cell>
        </row>
        <row r="3320">
          <cell r="A3320" t="str">
            <v>1114381423</v>
          </cell>
          <cell r="C3320" t="str">
            <v>RAJAT LAMINGTON</v>
          </cell>
          <cell r="G3320" t="str">
            <v>Kathryn Spaziani</v>
          </cell>
          <cell r="H3320" t="str">
            <v>(212) 305-1190</v>
          </cell>
          <cell r="J3320" t="str">
            <v>kas9171@nyp.org</v>
          </cell>
          <cell r="K3320" t="str">
            <v>Unknown</v>
          </cell>
          <cell r="L3320" t="str">
            <v>Uncategorized</v>
          </cell>
          <cell r="M3320" t="str">
            <v>No</v>
          </cell>
          <cell r="R3320" t="str">
            <v>LAMINGTON RAJAT DR.</v>
          </cell>
          <cell r="S3320" t="str">
            <v>622 W 168TH ST</v>
          </cell>
          <cell r="T3320" t="str">
            <v>NEW YORK</v>
          </cell>
          <cell r="U3320" t="str">
            <v>NY</v>
          </cell>
          <cell r="V3320" t="str">
            <v>100323720</v>
          </cell>
          <cell r="AC3320" t="str">
            <v>M</v>
          </cell>
          <cell r="AD3320" t="str">
            <v>No</v>
          </cell>
          <cell r="AE3320" t="str">
            <v>NPI only</v>
          </cell>
          <cell r="AF3320" t="str">
            <v>nypwestacn</v>
          </cell>
          <cell r="AG3320" t="str">
            <v>P</v>
          </cell>
        </row>
        <row r="3321">
          <cell r="A3321" t="str">
            <v>1679929814</v>
          </cell>
          <cell r="C3321" t="str">
            <v>PEROLA LAMBA</v>
          </cell>
          <cell r="G3321" t="str">
            <v>Kathryn Spaziani</v>
          </cell>
          <cell r="H3321" t="str">
            <v>(212) 305-1190</v>
          </cell>
          <cell r="J3321" t="str">
            <v>kas9171@nyp.org</v>
          </cell>
          <cell r="K3321" t="str">
            <v>Unknown</v>
          </cell>
          <cell r="L3321" t="str">
            <v>Uncategorized</v>
          </cell>
          <cell r="M3321" t="str">
            <v>No</v>
          </cell>
          <cell r="S3321" t="str">
            <v>505 EAST 70TH STREET, WEILL CORNELL INTERNAL MEDICINE ASSOCIATES</v>
          </cell>
          <cell r="T3321" t="str">
            <v>NEW YORK</v>
          </cell>
          <cell r="U3321" t="str">
            <v>NY</v>
          </cell>
          <cell r="V3321" t="str">
            <v>10021</v>
          </cell>
          <cell r="AC3321" t="str">
            <v>M</v>
          </cell>
          <cell r="AD3321" t="str">
            <v>No</v>
          </cell>
          <cell r="AE3321" t="str">
            <v>NPI only</v>
          </cell>
          <cell r="AF3321" t="str">
            <v>nypeastacn</v>
          </cell>
          <cell r="AG3321" t="str">
            <v>P</v>
          </cell>
        </row>
        <row r="3322">
          <cell r="A3322" t="str">
            <v>1154716546</v>
          </cell>
          <cell r="C3322" t="str">
            <v>GALINA LAGOS</v>
          </cell>
          <cell r="G3322" t="str">
            <v>Kathryn Spaziani</v>
          </cell>
          <cell r="H3322" t="str">
            <v>(212) 305-1190</v>
          </cell>
          <cell r="J3322" t="str">
            <v>kas9171@nyp.org</v>
          </cell>
          <cell r="K3322" t="str">
            <v>Unknown</v>
          </cell>
          <cell r="L3322" t="str">
            <v>Uncategorized</v>
          </cell>
          <cell r="M3322" t="str">
            <v>No</v>
          </cell>
          <cell r="R3322" t="str">
            <v>LAGOS GALINA</v>
          </cell>
          <cell r="S3322" t="str">
            <v>622 W 168TH ST # 205</v>
          </cell>
          <cell r="T3322" t="str">
            <v>NEW YORK</v>
          </cell>
          <cell r="U3322" t="str">
            <v>NY</v>
          </cell>
          <cell r="V3322" t="str">
            <v>100323720</v>
          </cell>
          <cell r="AC3322" t="str">
            <v>M</v>
          </cell>
          <cell r="AD3322" t="str">
            <v>No</v>
          </cell>
          <cell r="AE3322" t="str">
            <v>NPI only</v>
          </cell>
          <cell r="AF3322" t="str">
            <v>nypwestacn</v>
          </cell>
          <cell r="AG3322" t="str">
            <v>P</v>
          </cell>
        </row>
        <row r="3323">
          <cell r="A3323" t="str">
            <v>1114381464</v>
          </cell>
          <cell r="C3323" t="str">
            <v>DANIELLA LA SALANDRA</v>
          </cell>
          <cell r="G3323" t="str">
            <v>Kathryn Spaziani</v>
          </cell>
          <cell r="H3323" t="str">
            <v>(212) 305-1190</v>
          </cell>
          <cell r="J3323" t="str">
            <v>kas9171@nyp.org</v>
          </cell>
          <cell r="K3323" t="str">
            <v>Unknown</v>
          </cell>
          <cell r="L3323" t="str">
            <v>Uncategorized</v>
          </cell>
          <cell r="M3323" t="str">
            <v>No</v>
          </cell>
          <cell r="R3323" t="str">
            <v>LASALANDRA DANIELLE</v>
          </cell>
          <cell r="S3323" t="str">
            <v>630 W 168TH ST</v>
          </cell>
          <cell r="T3323" t="str">
            <v>NEW YORK</v>
          </cell>
          <cell r="U3323" t="str">
            <v>NY</v>
          </cell>
          <cell r="V3323" t="str">
            <v>100323725</v>
          </cell>
          <cell r="AC3323" t="str">
            <v>M</v>
          </cell>
          <cell r="AD3323" t="str">
            <v>No</v>
          </cell>
          <cell r="AE3323" t="str">
            <v>NPI only</v>
          </cell>
          <cell r="AF3323" t="str">
            <v>nypwestacn</v>
          </cell>
          <cell r="AG3323" t="str">
            <v>P</v>
          </cell>
        </row>
        <row r="3324">
          <cell r="A3324" t="str">
            <v>1588026793</v>
          </cell>
          <cell r="C3324" t="str">
            <v>AMY KWON</v>
          </cell>
          <cell r="G3324" t="str">
            <v>Kathryn Spaziani</v>
          </cell>
          <cell r="H3324" t="str">
            <v>(212) 305-1190</v>
          </cell>
          <cell r="J3324" t="str">
            <v>kas9171@nyp.org</v>
          </cell>
          <cell r="K3324" t="str">
            <v>Unknown</v>
          </cell>
          <cell r="L3324" t="str">
            <v>Uncategorized</v>
          </cell>
          <cell r="M3324" t="str">
            <v>No</v>
          </cell>
          <cell r="R3324" t="str">
            <v>KWON AMY</v>
          </cell>
          <cell r="S3324" t="str">
            <v>505 E 70TH ST, HT-4, WEILL CORNELL INTERNAL MEDICINE ASSOCIATES</v>
          </cell>
          <cell r="T3324" t="str">
            <v>NEW YORK</v>
          </cell>
          <cell r="U3324" t="str">
            <v>NY</v>
          </cell>
          <cell r="V3324" t="str">
            <v>100214872</v>
          </cell>
          <cell r="AC3324" t="str">
            <v>M</v>
          </cell>
          <cell r="AD3324" t="str">
            <v>No</v>
          </cell>
          <cell r="AE3324" t="str">
            <v>NPI only</v>
          </cell>
          <cell r="AF3324" t="str">
            <v>nypeastacn</v>
          </cell>
          <cell r="AG3324" t="str">
            <v>P</v>
          </cell>
        </row>
        <row r="3325">
          <cell r="A3325" t="str">
            <v>1912325804</v>
          </cell>
          <cell r="C3325" t="str">
            <v>SHRIA KUMAR</v>
          </cell>
          <cell r="G3325" t="str">
            <v>Kathryn Spaziani</v>
          </cell>
          <cell r="H3325" t="str">
            <v>(212) 305-1190</v>
          </cell>
          <cell r="J3325" t="str">
            <v>kas9171@nyp.org</v>
          </cell>
          <cell r="K3325" t="str">
            <v>Unknown</v>
          </cell>
          <cell r="L3325" t="str">
            <v>Uncategorized</v>
          </cell>
          <cell r="M3325" t="str">
            <v>No</v>
          </cell>
          <cell r="R3325" t="str">
            <v>KUMAR SHRIA</v>
          </cell>
          <cell r="S3325" t="str">
            <v>630 W 168TH ST, PH 8 EAST ROOM 105</v>
          </cell>
          <cell r="T3325" t="str">
            <v>NEW YORK</v>
          </cell>
          <cell r="U3325" t="str">
            <v>NY</v>
          </cell>
          <cell r="V3325" t="str">
            <v>100323725</v>
          </cell>
          <cell r="AC3325" t="str">
            <v>M</v>
          </cell>
          <cell r="AD3325" t="str">
            <v>No</v>
          </cell>
          <cell r="AE3325" t="str">
            <v>NPI only</v>
          </cell>
          <cell r="AF3325" t="str">
            <v>nypwestacn</v>
          </cell>
          <cell r="AG3325" t="str">
            <v>P</v>
          </cell>
        </row>
        <row r="3326">
          <cell r="A3326" t="str">
            <v>1134582554</v>
          </cell>
          <cell r="C3326" t="str">
            <v>ANNA KRESS</v>
          </cell>
          <cell r="G3326" t="str">
            <v>Kathryn Spaziani</v>
          </cell>
          <cell r="H3326" t="str">
            <v>(212) 305-1190</v>
          </cell>
          <cell r="J3326" t="str">
            <v>kas9171@nyp.org</v>
          </cell>
          <cell r="K3326" t="str">
            <v>Unknown</v>
          </cell>
          <cell r="L3326" t="str">
            <v>Uncategorized</v>
          </cell>
          <cell r="M3326" t="str">
            <v>No</v>
          </cell>
          <cell r="R3326" t="str">
            <v>KRESS ANNA</v>
          </cell>
          <cell r="S3326" t="str">
            <v>622 W 168TH ST</v>
          </cell>
          <cell r="T3326" t="str">
            <v>NEW YORK</v>
          </cell>
          <cell r="U3326" t="str">
            <v>NY</v>
          </cell>
          <cell r="V3326" t="str">
            <v>100323720</v>
          </cell>
          <cell r="AC3326" t="str">
            <v>M</v>
          </cell>
          <cell r="AD3326" t="str">
            <v>No</v>
          </cell>
          <cell r="AE3326" t="str">
            <v>NPI only</v>
          </cell>
          <cell r="AF3326" t="str">
            <v>nypwestacn</v>
          </cell>
          <cell r="AG3326" t="str">
            <v>P</v>
          </cell>
        </row>
        <row r="3327">
          <cell r="A3327" t="str">
            <v>1104245257</v>
          </cell>
          <cell r="C3327" t="str">
            <v>SHARON KOOK</v>
          </cell>
          <cell r="G3327" t="str">
            <v>Kathryn Spaziani</v>
          </cell>
          <cell r="H3327" t="str">
            <v>(212) 305-1190</v>
          </cell>
          <cell r="J3327" t="str">
            <v>kas9171@nyp.org</v>
          </cell>
          <cell r="K3327" t="str">
            <v>Unknown</v>
          </cell>
          <cell r="L3327" t="str">
            <v>Uncategorized</v>
          </cell>
          <cell r="M3327" t="str">
            <v>No</v>
          </cell>
          <cell r="R3327" t="str">
            <v>KOOK SHARON</v>
          </cell>
          <cell r="S3327" t="str">
            <v>3959 BROADWAY</v>
          </cell>
          <cell r="T3327" t="str">
            <v>NEW YORK</v>
          </cell>
          <cell r="U3327" t="str">
            <v>NY</v>
          </cell>
          <cell r="V3327" t="str">
            <v>100321559</v>
          </cell>
          <cell r="AC3327" t="str">
            <v>M</v>
          </cell>
          <cell r="AD3327" t="str">
            <v>No</v>
          </cell>
          <cell r="AE3327" t="str">
            <v>NPI only</v>
          </cell>
          <cell r="AF3327" t="str">
            <v>nypwestacn</v>
          </cell>
          <cell r="AG3327" t="str">
            <v>P</v>
          </cell>
        </row>
        <row r="3328">
          <cell r="A3328" t="str">
            <v>1093178659</v>
          </cell>
          <cell r="C3328" t="str">
            <v>CHANTHEL KOKOY-MONDRAGON</v>
          </cell>
          <cell r="G3328" t="str">
            <v>Kathryn Spaziani</v>
          </cell>
          <cell r="H3328" t="str">
            <v>(212) 305-1190</v>
          </cell>
          <cell r="J3328" t="str">
            <v>kas9171@nyp.org</v>
          </cell>
          <cell r="K3328" t="str">
            <v>Unknown</v>
          </cell>
          <cell r="L3328" t="str">
            <v>Uncategorized</v>
          </cell>
          <cell r="M3328" t="str">
            <v>No</v>
          </cell>
          <cell r="R3328" t="str">
            <v>KOKOY-MONDRAGON CHANTHEL</v>
          </cell>
          <cell r="S3328" t="str">
            <v>622 W 168TH ST</v>
          </cell>
          <cell r="T3328" t="str">
            <v>NEW YORK</v>
          </cell>
          <cell r="U3328" t="str">
            <v>NY</v>
          </cell>
          <cell r="V3328" t="str">
            <v>100323720</v>
          </cell>
          <cell r="AC3328" t="str">
            <v>M</v>
          </cell>
          <cell r="AD3328" t="str">
            <v>No</v>
          </cell>
          <cell r="AE3328" t="str">
            <v>NPI only</v>
          </cell>
          <cell r="AF3328" t="str">
            <v>nypwestacn</v>
          </cell>
          <cell r="AG3328" t="str">
            <v>P</v>
          </cell>
        </row>
        <row r="3329">
          <cell r="A3329" t="str">
            <v>1518386549</v>
          </cell>
          <cell r="C3329" t="str">
            <v>RENATTA KNOX</v>
          </cell>
          <cell r="G3329" t="str">
            <v>Kathryn Spaziani</v>
          </cell>
          <cell r="H3329" t="str">
            <v>(212) 305-1190</v>
          </cell>
          <cell r="J3329" t="str">
            <v>kas9171@nyp.org</v>
          </cell>
          <cell r="K3329" t="str">
            <v>Unknown</v>
          </cell>
          <cell r="L3329" t="str">
            <v>Uncategorized</v>
          </cell>
          <cell r="M3329" t="str">
            <v>No</v>
          </cell>
          <cell r="R3329" t="str">
            <v>KNOX RENATTA</v>
          </cell>
          <cell r="S3329" t="str">
            <v>525 E 68TH ST</v>
          </cell>
          <cell r="T3329" t="str">
            <v>NEW YORK</v>
          </cell>
          <cell r="U3329" t="str">
            <v>NY</v>
          </cell>
          <cell r="V3329" t="str">
            <v>100654870</v>
          </cell>
          <cell r="AC3329" t="str">
            <v>M</v>
          </cell>
          <cell r="AD3329" t="str">
            <v>No</v>
          </cell>
          <cell r="AE3329" t="str">
            <v>NPI only</v>
          </cell>
          <cell r="AF3329" t="str">
            <v>nypeastacn</v>
          </cell>
          <cell r="AG3329" t="str">
            <v>P</v>
          </cell>
        </row>
        <row r="3330">
          <cell r="A3330" t="str">
            <v>1407219918</v>
          </cell>
          <cell r="C3330" t="str">
            <v>EMILY KNIGHT</v>
          </cell>
          <cell r="G3330" t="str">
            <v>Kathryn Spaziani</v>
          </cell>
          <cell r="H3330" t="str">
            <v>(212) 305-1190</v>
          </cell>
          <cell r="J3330" t="str">
            <v>kas9171@nyp.org</v>
          </cell>
          <cell r="K3330" t="str">
            <v>Unknown</v>
          </cell>
          <cell r="L3330" t="str">
            <v>Uncategorized</v>
          </cell>
          <cell r="M3330" t="str">
            <v>No</v>
          </cell>
          <cell r="R3330" t="str">
            <v>KNIGHT EMILY DR.</v>
          </cell>
          <cell r="S3330" t="str">
            <v>525 E 68TH ST, ROOM M-610</v>
          </cell>
          <cell r="T3330" t="str">
            <v>NEW YORK</v>
          </cell>
          <cell r="U3330" t="str">
            <v>NY</v>
          </cell>
          <cell r="V3330" t="str">
            <v>100654870</v>
          </cell>
          <cell r="AC3330" t="str">
            <v>M</v>
          </cell>
          <cell r="AD3330" t="str">
            <v>No</v>
          </cell>
          <cell r="AE3330" t="str">
            <v>NPI only</v>
          </cell>
          <cell r="AF3330" t="str">
            <v>nypeastacn</v>
          </cell>
          <cell r="AG3330" t="str">
            <v>P</v>
          </cell>
        </row>
        <row r="3331">
          <cell r="A3331" t="str">
            <v>1023471315</v>
          </cell>
          <cell r="C3331" t="str">
            <v>FRANCESCA KINGERY</v>
          </cell>
          <cell r="G3331" t="str">
            <v>Kathryn Spaziani</v>
          </cell>
          <cell r="H3331" t="str">
            <v>(212) 305-1190</v>
          </cell>
          <cell r="J3331" t="str">
            <v>kas9171@nyp.org</v>
          </cell>
          <cell r="K3331" t="str">
            <v>Unknown</v>
          </cell>
          <cell r="L3331" t="str">
            <v>Uncategorized</v>
          </cell>
          <cell r="M3331" t="str">
            <v>No</v>
          </cell>
          <cell r="R3331" t="str">
            <v>KINGERY FRANCESCA</v>
          </cell>
          <cell r="S3331" t="str">
            <v>3959 BROADWAY</v>
          </cell>
          <cell r="T3331" t="str">
            <v>NEW YORK</v>
          </cell>
          <cell r="U3331" t="str">
            <v>NY</v>
          </cell>
          <cell r="V3331" t="str">
            <v>100321559</v>
          </cell>
          <cell r="AC3331" t="str">
            <v>M</v>
          </cell>
          <cell r="AD3331" t="str">
            <v>No</v>
          </cell>
          <cell r="AE3331" t="str">
            <v>NPI only</v>
          </cell>
          <cell r="AF3331" t="str">
            <v>nypwestacn</v>
          </cell>
          <cell r="AG3331" t="str">
            <v>P</v>
          </cell>
        </row>
        <row r="3332">
          <cell r="A3332" t="str">
            <v>1801281894</v>
          </cell>
          <cell r="C3332" t="str">
            <v>DANIEL KING</v>
          </cell>
          <cell r="G3332" t="str">
            <v>Kathryn Spaziani</v>
          </cell>
          <cell r="H3332" t="str">
            <v>(212) 305-1190</v>
          </cell>
          <cell r="J3332" t="str">
            <v>kas9171@nyp.org</v>
          </cell>
          <cell r="K3332" t="str">
            <v>Unknown</v>
          </cell>
          <cell r="L3332" t="str">
            <v>Uncategorized</v>
          </cell>
          <cell r="M3332" t="str">
            <v>No</v>
          </cell>
          <cell r="R3332" t="str">
            <v>KING DANIEL DR.</v>
          </cell>
          <cell r="S3332" t="str">
            <v>622 W 168TH ST, #205, NEW YORK</v>
          </cell>
          <cell r="T3332" t="str">
            <v>NEW YORK</v>
          </cell>
          <cell r="U3332" t="str">
            <v>NY</v>
          </cell>
          <cell r="V3332" t="str">
            <v>100323720</v>
          </cell>
          <cell r="AC3332" t="str">
            <v>M</v>
          </cell>
          <cell r="AD3332" t="str">
            <v>No</v>
          </cell>
          <cell r="AE3332" t="str">
            <v>NPI only</v>
          </cell>
          <cell r="AF3332" t="str">
            <v>nypwestacn</v>
          </cell>
          <cell r="AG3332" t="str">
            <v>P</v>
          </cell>
        </row>
        <row r="3333">
          <cell r="A3333" t="str">
            <v>1336534353</v>
          </cell>
          <cell r="C3333" t="str">
            <v>JUDITH KIM</v>
          </cell>
          <cell r="G3333" t="str">
            <v>Kathryn Spaziani</v>
          </cell>
          <cell r="H3333" t="str">
            <v>(212) 305-1190</v>
          </cell>
          <cell r="J3333" t="str">
            <v>kas9171@nyp.org</v>
          </cell>
          <cell r="K3333" t="str">
            <v>Unknown</v>
          </cell>
          <cell r="L3333" t="str">
            <v>Uncategorized</v>
          </cell>
          <cell r="M3333" t="str">
            <v>No</v>
          </cell>
          <cell r="R3333" t="str">
            <v>KIM JUDITH</v>
          </cell>
          <cell r="S3333" t="str">
            <v>622 W 168TH ST # 205</v>
          </cell>
          <cell r="T3333" t="str">
            <v>NEW YORK</v>
          </cell>
          <cell r="U3333" t="str">
            <v>NY</v>
          </cell>
          <cell r="V3333" t="str">
            <v>100323720</v>
          </cell>
          <cell r="AC3333" t="str">
            <v>M</v>
          </cell>
          <cell r="AD3333" t="str">
            <v>No</v>
          </cell>
          <cell r="AE3333" t="str">
            <v>NPI only</v>
          </cell>
          <cell r="AF3333" t="str">
            <v>nypwestacn</v>
          </cell>
          <cell r="AG3333" t="str">
            <v>P</v>
          </cell>
        </row>
        <row r="3334">
          <cell r="A3334" t="str">
            <v>1518356294</v>
          </cell>
          <cell r="C3334" t="str">
            <v>KRISTEN KESTER</v>
          </cell>
          <cell r="G3334" t="str">
            <v>Kathryn Spaziani</v>
          </cell>
          <cell r="H3334" t="str">
            <v>(212) 305-1190</v>
          </cell>
          <cell r="J3334" t="str">
            <v>kas9171@nyp.org</v>
          </cell>
          <cell r="K3334" t="str">
            <v>Unknown</v>
          </cell>
          <cell r="L3334" t="str">
            <v>Uncategorized</v>
          </cell>
          <cell r="M3334" t="str">
            <v>No</v>
          </cell>
          <cell r="R3334" t="str">
            <v>KESTER KRISTEN</v>
          </cell>
          <cell r="S3334" t="str">
            <v>3959 BROADWAY</v>
          </cell>
          <cell r="T3334" t="str">
            <v>NEW YORK</v>
          </cell>
          <cell r="U3334" t="str">
            <v>NY</v>
          </cell>
          <cell r="V3334" t="str">
            <v>100321559</v>
          </cell>
          <cell r="AC3334" t="str">
            <v>M</v>
          </cell>
          <cell r="AD3334" t="str">
            <v>No</v>
          </cell>
          <cell r="AE3334" t="str">
            <v>NPI only</v>
          </cell>
          <cell r="AF3334" t="str">
            <v>nypwestacn</v>
          </cell>
          <cell r="AG3334" t="str">
            <v>P</v>
          </cell>
        </row>
        <row r="3335">
          <cell r="A3335" t="str">
            <v>1619367935</v>
          </cell>
          <cell r="C3335" t="str">
            <v>ANDREW KERN-GOLDBERGER</v>
          </cell>
          <cell r="G3335" t="str">
            <v>Kathryn Spaziani</v>
          </cell>
          <cell r="H3335" t="str">
            <v>(212) 305-1190</v>
          </cell>
          <cell r="J3335" t="str">
            <v>kas9171@nyp.org</v>
          </cell>
          <cell r="K3335" t="str">
            <v>Unknown</v>
          </cell>
          <cell r="L3335" t="str">
            <v>Uncategorized</v>
          </cell>
          <cell r="M3335" t="str">
            <v>No</v>
          </cell>
          <cell r="R3335" t="str">
            <v>KERN-GOLDBERGER ANDREW</v>
          </cell>
          <cell r="S3335" t="str">
            <v>3959 BROADWAY</v>
          </cell>
          <cell r="T3335" t="str">
            <v>NEW YORK</v>
          </cell>
          <cell r="U3335" t="str">
            <v>NY</v>
          </cell>
          <cell r="V3335" t="str">
            <v>100321559</v>
          </cell>
          <cell r="AC3335" t="str">
            <v>M</v>
          </cell>
          <cell r="AD3335" t="str">
            <v>No</v>
          </cell>
          <cell r="AE3335" t="str">
            <v>NPI only</v>
          </cell>
          <cell r="AF3335" t="str">
            <v>nypwestacn</v>
          </cell>
          <cell r="AG3335" t="str">
            <v>P</v>
          </cell>
        </row>
        <row r="3336">
          <cell r="A3336" t="str">
            <v>1477915247</v>
          </cell>
          <cell r="C3336" t="str">
            <v>PETER KENNEL</v>
          </cell>
          <cell r="G3336" t="str">
            <v>Kathryn Spaziani</v>
          </cell>
          <cell r="H3336" t="str">
            <v>(212) 305-1190</v>
          </cell>
          <cell r="J3336" t="str">
            <v>kas9171@nyp.org</v>
          </cell>
          <cell r="K3336" t="str">
            <v>Unknown</v>
          </cell>
          <cell r="L3336" t="str">
            <v>Uncategorized</v>
          </cell>
          <cell r="M3336" t="str">
            <v>No</v>
          </cell>
          <cell r="R3336" t="str">
            <v>KENNEL PETER</v>
          </cell>
          <cell r="S3336" t="str">
            <v>505 E 70TH ST, WEILL-CORNELL INTERNAL MEDICINE ASSOCIATES</v>
          </cell>
          <cell r="T3336" t="str">
            <v>NEW YORK</v>
          </cell>
          <cell r="U3336" t="str">
            <v>NY</v>
          </cell>
          <cell r="V3336" t="str">
            <v>100214872</v>
          </cell>
          <cell r="AC3336" t="str">
            <v>M</v>
          </cell>
          <cell r="AD3336" t="str">
            <v>No</v>
          </cell>
          <cell r="AE3336" t="str">
            <v>NPI only</v>
          </cell>
          <cell r="AF3336" t="str">
            <v>nypeastacn</v>
          </cell>
          <cell r="AG3336" t="str">
            <v>P</v>
          </cell>
        </row>
        <row r="3337">
          <cell r="A3337" t="str">
            <v>1982067138</v>
          </cell>
          <cell r="C3337" t="str">
            <v>BRITTANY KATZ</v>
          </cell>
          <cell r="G3337" t="str">
            <v>Kathryn Spaziani</v>
          </cell>
          <cell r="H3337" t="str">
            <v>(212) 305-1190</v>
          </cell>
          <cell r="J3337" t="str">
            <v>kas9171@nyp.org</v>
          </cell>
          <cell r="K3337" t="str">
            <v>Unknown</v>
          </cell>
          <cell r="L3337" t="str">
            <v>Uncategorized</v>
          </cell>
          <cell r="M3337" t="str">
            <v>No</v>
          </cell>
          <cell r="R3337" t="str">
            <v>KATZ BRITTANY DR.</v>
          </cell>
          <cell r="S3337" t="str">
            <v>505 EAST 70TH STREET, WEILL CORNELL INTERNAL MEDICINE ASSOCIATES</v>
          </cell>
          <cell r="T3337" t="str">
            <v>NEW YORK</v>
          </cell>
          <cell r="U3337" t="str">
            <v>NY</v>
          </cell>
          <cell r="V3337" t="str">
            <v>10021</v>
          </cell>
          <cell r="AC3337" t="str">
            <v>M</v>
          </cell>
          <cell r="AD3337" t="str">
            <v>No</v>
          </cell>
          <cell r="AE3337" t="str">
            <v>NPI only</v>
          </cell>
          <cell r="AF3337" t="str">
            <v>nypeastacn</v>
          </cell>
          <cell r="AG3337" t="str">
            <v>P</v>
          </cell>
        </row>
        <row r="3338">
          <cell r="A3338" t="str">
            <v>1881089399</v>
          </cell>
          <cell r="C3338" t="str">
            <v>OLIVIA KATES</v>
          </cell>
          <cell r="G3338" t="str">
            <v>Kathryn Spaziani</v>
          </cell>
          <cell r="H3338" t="str">
            <v>(212) 305-1190</v>
          </cell>
          <cell r="J3338" t="str">
            <v>kas9171@nyp.org</v>
          </cell>
          <cell r="K3338" t="str">
            <v>Unknown</v>
          </cell>
          <cell r="L3338" t="str">
            <v>Uncategorized</v>
          </cell>
          <cell r="M3338" t="str">
            <v>No</v>
          </cell>
          <cell r="R3338" t="str">
            <v>KATES OLIVIA</v>
          </cell>
          <cell r="S3338" t="str">
            <v>525 E 68TH ST, BOX #312</v>
          </cell>
          <cell r="T3338" t="str">
            <v>NEW YORK</v>
          </cell>
          <cell r="U3338" t="str">
            <v>NY</v>
          </cell>
          <cell r="V3338" t="str">
            <v>100654870</v>
          </cell>
          <cell r="AC3338" t="str">
            <v>M</v>
          </cell>
          <cell r="AD3338" t="str">
            <v>No</v>
          </cell>
          <cell r="AE3338" t="str">
            <v>NPI only</v>
          </cell>
          <cell r="AF3338" t="str">
            <v>nypwestacn</v>
          </cell>
          <cell r="AG3338" t="str">
            <v>P</v>
          </cell>
        </row>
        <row r="3339">
          <cell r="A3339" t="str">
            <v>1588059463</v>
          </cell>
          <cell r="C3339" t="str">
            <v>ALEXANDRA KASS</v>
          </cell>
          <cell r="G3339" t="str">
            <v>Kathryn Spaziani</v>
          </cell>
          <cell r="H3339" t="str">
            <v>(212) 305-1190</v>
          </cell>
          <cell r="J3339" t="str">
            <v>kas9171@nyp.org</v>
          </cell>
          <cell r="K3339" t="str">
            <v>Unknown</v>
          </cell>
          <cell r="L3339" t="str">
            <v>Uncategorized</v>
          </cell>
          <cell r="M3339" t="str">
            <v>No</v>
          </cell>
          <cell r="R3339" t="str">
            <v>KASS ALEXANDRA DR.</v>
          </cell>
          <cell r="S3339" t="str">
            <v>3959 BROADWAY</v>
          </cell>
          <cell r="T3339" t="str">
            <v>NEW YORK</v>
          </cell>
          <cell r="U3339" t="str">
            <v>NY</v>
          </cell>
          <cell r="V3339" t="str">
            <v>100321559</v>
          </cell>
          <cell r="AC3339" t="str">
            <v>M</v>
          </cell>
          <cell r="AD3339" t="str">
            <v>No</v>
          </cell>
          <cell r="AE3339" t="str">
            <v>NPI only</v>
          </cell>
          <cell r="AF3339" t="str">
            <v>nypwestacn</v>
          </cell>
          <cell r="AG3339" t="str">
            <v>P</v>
          </cell>
        </row>
        <row r="3340">
          <cell r="A3340" t="str">
            <v>1760844104</v>
          </cell>
          <cell r="C3340" t="str">
            <v>CECILE KARSENTY</v>
          </cell>
          <cell r="G3340" t="str">
            <v>Kathryn Spaziani</v>
          </cell>
          <cell r="H3340" t="str">
            <v>(212) 305-1190</v>
          </cell>
          <cell r="J3340" t="str">
            <v>kas9171@nyp.org</v>
          </cell>
          <cell r="K3340" t="str">
            <v>Unknown</v>
          </cell>
          <cell r="L3340" t="str">
            <v>Uncategorized</v>
          </cell>
          <cell r="M3340" t="str">
            <v>No</v>
          </cell>
          <cell r="R3340" t="str">
            <v>KARSENTY CECILE</v>
          </cell>
          <cell r="S3340" t="str">
            <v>3959 BROADWAY</v>
          </cell>
          <cell r="T3340" t="str">
            <v>NEW YORK</v>
          </cell>
          <cell r="U3340" t="str">
            <v>NY</v>
          </cell>
          <cell r="V3340" t="str">
            <v>100321559</v>
          </cell>
          <cell r="AC3340" t="str">
            <v>M</v>
          </cell>
          <cell r="AD3340" t="str">
            <v>No</v>
          </cell>
          <cell r="AE3340" t="str">
            <v>NPI only</v>
          </cell>
          <cell r="AF3340" t="str">
            <v>nypwestacn</v>
          </cell>
          <cell r="AG3340" t="str">
            <v>P</v>
          </cell>
        </row>
        <row r="3341">
          <cell r="A3341" t="str">
            <v>1427443233</v>
          </cell>
          <cell r="C3341" t="str">
            <v>BETH KANTROWITZ</v>
          </cell>
          <cell r="G3341" t="str">
            <v>Kathryn Spaziani</v>
          </cell>
          <cell r="H3341" t="str">
            <v>(212) 305-1190</v>
          </cell>
          <cell r="J3341" t="str">
            <v>kas9171@nyp.org</v>
          </cell>
          <cell r="K3341" t="str">
            <v>Unknown</v>
          </cell>
          <cell r="L3341" t="str">
            <v>Uncategorized</v>
          </cell>
          <cell r="M3341" t="str">
            <v>No</v>
          </cell>
          <cell r="R3341" t="str">
            <v>KANTROWITZ BETH</v>
          </cell>
          <cell r="S3341" t="str">
            <v>3959 BROADWAY</v>
          </cell>
          <cell r="T3341" t="str">
            <v>NEW YORK</v>
          </cell>
          <cell r="U3341" t="str">
            <v>NY</v>
          </cell>
          <cell r="V3341" t="str">
            <v>100321559</v>
          </cell>
          <cell r="AC3341" t="str">
            <v>M</v>
          </cell>
          <cell r="AD3341" t="str">
            <v>No</v>
          </cell>
          <cell r="AE3341" t="str">
            <v>NPI only</v>
          </cell>
          <cell r="AF3341" t="str">
            <v>nypwestacn</v>
          </cell>
          <cell r="AG3341" t="str">
            <v>P</v>
          </cell>
        </row>
        <row r="3342">
          <cell r="A3342" t="str">
            <v>1669891354</v>
          </cell>
          <cell r="C3342" t="str">
            <v>STACIE KAHN</v>
          </cell>
          <cell r="G3342" t="str">
            <v>Kathryn Spaziani</v>
          </cell>
          <cell r="H3342" t="str">
            <v>(212) 305-1190</v>
          </cell>
          <cell r="J3342" t="str">
            <v>kas9171@nyp.org</v>
          </cell>
          <cell r="K3342" t="str">
            <v>Unknown</v>
          </cell>
          <cell r="L3342" t="str">
            <v>Uncategorized</v>
          </cell>
          <cell r="M3342" t="str">
            <v>No</v>
          </cell>
          <cell r="R3342" t="str">
            <v>KAHN STACIE</v>
          </cell>
          <cell r="S3342" t="str">
            <v>525 E 68TH ST, BOX 139</v>
          </cell>
          <cell r="T3342" t="str">
            <v>NEW YORK</v>
          </cell>
          <cell r="U3342" t="str">
            <v>NY</v>
          </cell>
          <cell r="V3342" t="str">
            <v>100654870</v>
          </cell>
          <cell r="AC3342" t="str">
            <v>M</v>
          </cell>
          <cell r="AD3342" t="str">
            <v>No</v>
          </cell>
          <cell r="AE3342" t="str">
            <v>NPI only</v>
          </cell>
          <cell r="AF3342" t="str">
            <v>nypeastacn</v>
          </cell>
          <cell r="AG3342" t="str">
            <v>P</v>
          </cell>
        </row>
        <row r="3343">
          <cell r="A3343" t="str">
            <v>1225425663</v>
          </cell>
          <cell r="C3343" t="str">
            <v>HYOWOUN JYUNG</v>
          </cell>
          <cell r="G3343" t="str">
            <v>Kathryn Spaziani</v>
          </cell>
          <cell r="H3343" t="str">
            <v>(212) 305-1190</v>
          </cell>
          <cell r="J3343" t="str">
            <v>kas9171@nyp.org</v>
          </cell>
          <cell r="K3343" t="str">
            <v>Unknown</v>
          </cell>
          <cell r="L3343" t="str">
            <v>Uncategorized</v>
          </cell>
          <cell r="M3343" t="str">
            <v>No</v>
          </cell>
          <cell r="R3343" t="str">
            <v>JYUNG HYOWOUN</v>
          </cell>
          <cell r="S3343" t="str">
            <v>610 W 158TH ST</v>
          </cell>
          <cell r="T3343" t="str">
            <v>NEW YORK</v>
          </cell>
          <cell r="U3343" t="str">
            <v>NY</v>
          </cell>
          <cell r="V3343" t="str">
            <v>100327104</v>
          </cell>
          <cell r="AC3343" t="str">
            <v>M</v>
          </cell>
          <cell r="AD3343" t="str">
            <v>No</v>
          </cell>
          <cell r="AE3343" t="str">
            <v>NPI only</v>
          </cell>
          <cell r="AF3343" t="str">
            <v>nypwestacn</v>
          </cell>
          <cell r="AG3343" t="str">
            <v>P</v>
          </cell>
        </row>
        <row r="3344">
          <cell r="A3344" t="str">
            <v>1902268139</v>
          </cell>
          <cell r="C3344" t="str">
            <v>ASHLEY JOVANOVSKI BEAN</v>
          </cell>
          <cell r="G3344" t="str">
            <v>Kathryn Spaziani</v>
          </cell>
          <cell r="H3344" t="str">
            <v>(212) 305-1190</v>
          </cell>
          <cell r="J3344" t="str">
            <v>kas9171@nyp.org</v>
          </cell>
          <cell r="K3344" t="str">
            <v>Unknown</v>
          </cell>
          <cell r="L3344" t="str">
            <v>Uncategorized</v>
          </cell>
          <cell r="M3344" t="str">
            <v>No</v>
          </cell>
          <cell r="R3344" t="str">
            <v>JOVANOVSKI ASHLEY</v>
          </cell>
          <cell r="S3344" t="str">
            <v>3959 BROADWAY</v>
          </cell>
          <cell r="T3344" t="str">
            <v>NEW YORK</v>
          </cell>
          <cell r="U3344" t="str">
            <v>NY</v>
          </cell>
          <cell r="V3344" t="str">
            <v>100321559</v>
          </cell>
          <cell r="AC3344" t="str">
            <v>M</v>
          </cell>
          <cell r="AD3344" t="str">
            <v>No</v>
          </cell>
          <cell r="AE3344" t="str">
            <v>NPI only</v>
          </cell>
          <cell r="AF3344" t="str">
            <v>nypwestacn</v>
          </cell>
          <cell r="AG3344" t="str">
            <v>P</v>
          </cell>
        </row>
        <row r="3345">
          <cell r="A3345" t="str">
            <v>1871937565</v>
          </cell>
          <cell r="C3345" t="str">
            <v>SOLEDAD JORGE</v>
          </cell>
          <cell r="G3345" t="str">
            <v>Kathryn Spaziani</v>
          </cell>
          <cell r="H3345" t="str">
            <v>(212) 305-1190</v>
          </cell>
          <cell r="J3345" t="str">
            <v>kas9171@nyp.org</v>
          </cell>
          <cell r="K3345" t="str">
            <v>Unknown</v>
          </cell>
          <cell r="L3345" t="str">
            <v>Uncategorized</v>
          </cell>
          <cell r="M3345" t="str">
            <v>No</v>
          </cell>
          <cell r="R3345" t="str">
            <v>JORGE SOLEDAD</v>
          </cell>
          <cell r="S3345" t="str">
            <v>622 W 168TH ST, PH 16-29</v>
          </cell>
          <cell r="T3345" t="str">
            <v>NEW YORK</v>
          </cell>
          <cell r="U3345" t="str">
            <v>NY</v>
          </cell>
          <cell r="V3345" t="str">
            <v>100323720</v>
          </cell>
          <cell r="AC3345" t="str">
            <v>M</v>
          </cell>
          <cell r="AD3345" t="str">
            <v>No</v>
          </cell>
          <cell r="AE3345" t="str">
            <v>NPI only</v>
          </cell>
          <cell r="AF3345" t="str">
            <v>nypwestacn</v>
          </cell>
          <cell r="AG3345" t="str">
            <v>P</v>
          </cell>
        </row>
        <row r="3346">
          <cell r="A3346" t="str">
            <v>1902268915</v>
          </cell>
          <cell r="C3346" t="str">
            <v>MASHA JONES</v>
          </cell>
          <cell r="G3346" t="str">
            <v>Kathryn Spaziani</v>
          </cell>
          <cell r="H3346" t="str">
            <v>(212) 305-1190</v>
          </cell>
          <cell r="J3346" t="str">
            <v>kas9171@nyp.org</v>
          </cell>
          <cell r="K3346" t="str">
            <v>Unknown</v>
          </cell>
          <cell r="L3346" t="str">
            <v>Uncategorized</v>
          </cell>
          <cell r="M3346" t="str">
            <v>No</v>
          </cell>
          <cell r="R3346" t="str">
            <v>JONES MASHA</v>
          </cell>
          <cell r="S3346" t="str">
            <v>505 E 70TH ST, WEILL CORNELL INTERNAL MEDICINE ASSOCIATES</v>
          </cell>
          <cell r="T3346" t="str">
            <v>NEW YORK</v>
          </cell>
          <cell r="U3346" t="str">
            <v>NY</v>
          </cell>
          <cell r="V3346" t="str">
            <v>100214872</v>
          </cell>
          <cell r="AC3346" t="str">
            <v>M</v>
          </cell>
          <cell r="AD3346" t="str">
            <v>No</v>
          </cell>
          <cell r="AE3346" t="str">
            <v>NPI only</v>
          </cell>
          <cell r="AF3346" t="str">
            <v>nypeastacn</v>
          </cell>
          <cell r="AG3346" t="str">
            <v>P</v>
          </cell>
        </row>
        <row r="3347">
          <cell r="A3347" t="str">
            <v>1770945941</v>
          </cell>
          <cell r="C3347" t="str">
            <v>ANDREW JOELSON</v>
          </cell>
          <cell r="G3347" t="str">
            <v>Kathryn Spaziani</v>
          </cell>
          <cell r="H3347" t="str">
            <v>(212) 305-1190</v>
          </cell>
          <cell r="J3347" t="str">
            <v>kas9171@nyp.org</v>
          </cell>
          <cell r="K3347" t="str">
            <v>Unknown</v>
          </cell>
          <cell r="L3347" t="str">
            <v>Uncategorized</v>
          </cell>
          <cell r="M3347" t="str">
            <v>No</v>
          </cell>
          <cell r="R3347" t="str">
            <v>JOELSON ANDREW</v>
          </cell>
          <cell r="S3347" t="str">
            <v>115 E 87TH ST, #27D</v>
          </cell>
          <cell r="T3347" t="str">
            <v>NEW YORK</v>
          </cell>
          <cell r="U3347" t="str">
            <v>NY</v>
          </cell>
          <cell r="V3347" t="str">
            <v>101281136</v>
          </cell>
          <cell r="AC3347" t="str">
            <v>M</v>
          </cell>
          <cell r="AD3347" t="str">
            <v>No</v>
          </cell>
          <cell r="AE3347" t="str">
            <v>NPI only</v>
          </cell>
          <cell r="AF3347" t="str">
            <v>nypwestacn</v>
          </cell>
          <cell r="AG3347" t="str">
            <v>P</v>
          </cell>
        </row>
        <row r="3348">
          <cell r="A3348" t="str">
            <v>1194170209</v>
          </cell>
          <cell r="C3348" t="str">
            <v>JENNY JIN</v>
          </cell>
          <cell r="G3348" t="str">
            <v>Kathryn Spaziani</v>
          </cell>
          <cell r="H3348" t="str">
            <v>(212) 305-1190</v>
          </cell>
          <cell r="J3348" t="str">
            <v>kas9171@nyp.org</v>
          </cell>
          <cell r="K3348" t="str">
            <v>Unknown</v>
          </cell>
          <cell r="L3348" t="str">
            <v>Uncategorized</v>
          </cell>
          <cell r="M3348" t="str">
            <v>No</v>
          </cell>
          <cell r="R3348" t="str">
            <v>JIN JENNY</v>
          </cell>
          <cell r="S3348" t="str">
            <v>303 DUNWOODY DR</v>
          </cell>
          <cell r="T3348" t="str">
            <v>BLUE BELL</v>
          </cell>
          <cell r="U3348" t="str">
            <v>PA</v>
          </cell>
          <cell r="V3348" t="str">
            <v>194223257</v>
          </cell>
          <cell r="AC3348" t="str">
            <v>M</v>
          </cell>
          <cell r="AD3348" t="str">
            <v>No</v>
          </cell>
          <cell r="AE3348" t="str">
            <v>NPI only</v>
          </cell>
          <cell r="AF3348" t="str">
            <v>nypeastacn</v>
          </cell>
          <cell r="AG3348" t="str">
            <v>P</v>
          </cell>
        </row>
        <row r="3349">
          <cell r="A3349" t="str">
            <v>1356761969</v>
          </cell>
          <cell r="C3349" t="str">
            <v>DAVID JANG</v>
          </cell>
          <cell r="G3349" t="str">
            <v>Kathryn Spaziani</v>
          </cell>
          <cell r="H3349" t="str">
            <v>(212) 305-1190</v>
          </cell>
          <cell r="J3349" t="str">
            <v>kas9171@nyp.org</v>
          </cell>
          <cell r="K3349" t="str">
            <v>Unknown</v>
          </cell>
          <cell r="L3349" t="str">
            <v>Uncategorized</v>
          </cell>
          <cell r="M3349" t="str">
            <v>No</v>
          </cell>
          <cell r="R3349" t="str">
            <v>JANG DAVID MR.</v>
          </cell>
          <cell r="S3349" t="str">
            <v>610 W 158TH ST</v>
          </cell>
          <cell r="T3349" t="str">
            <v>NEW YORK</v>
          </cell>
          <cell r="U3349" t="str">
            <v>NY</v>
          </cell>
          <cell r="V3349" t="str">
            <v>100327104</v>
          </cell>
          <cell r="AC3349" t="str">
            <v>M</v>
          </cell>
          <cell r="AD3349" t="str">
            <v>No</v>
          </cell>
          <cell r="AE3349" t="str">
            <v>NPI only</v>
          </cell>
          <cell r="AF3349" t="str">
            <v>nypwestacn</v>
          </cell>
          <cell r="AG3349" t="str">
            <v>P</v>
          </cell>
        </row>
        <row r="3350">
          <cell r="A3350" t="str">
            <v>1376905620</v>
          </cell>
          <cell r="C3350" t="str">
            <v>POUYA JAMSHIDI</v>
          </cell>
          <cell r="G3350" t="str">
            <v>Kathryn Spaziani</v>
          </cell>
          <cell r="H3350" t="str">
            <v>(212) 305-1190</v>
          </cell>
          <cell r="J3350" t="str">
            <v>kas9171@nyp.org</v>
          </cell>
          <cell r="K3350" t="str">
            <v>Unknown</v>
          </cell>
          <cell r="L3350" t="str">
            <v>Uncategorized</v>
          </cell>
          <cell r="M3350" t="str">
            <v>No</v>
          </cell>
          <cell r="R3350" t="str">
            <v>JAMSHIDI POUYA</v>
          </cell>
          <cell r="S3350" t="str">
            <v>525 E 68TH ST # 122</v>
          </cell>
          <cell r="T3350" t="str">
            <v>NEW YORK</v>
          </cell>
          <cell r="U3350" t="str">
            <v>NY</v>
          </cell>
          <cell r="V3350" t="str">
            <v>100654870</v>
          </cell>
          <cell r="AC3350" t="str">
            <v>M</v>
          </cell>
          <cell r="AD3350" t="str">
            <v>No</v>
          </cell>
          <cell r="AE3350" t="str">
            <v>NPI only</v>
          </cell>
          <cell r="AF3350" t="str">
            <v>nypeastacn</v>
          </cell>
          <cell r="AG3350" t="str">
            <v>P</v>
          </cell>
        </row>
        <row r="3351">
          <cell r="A3351" t="str">
            <v>1609296334</v>
          </cell>
          <cell r="C3351" t="str">
            <v>ARIEL JAFFE</v>
          </cell>
          <cell r="G3351" t="str">
            <v>Kathryn Spaziani</v>
          </cell>
          <cell r="H3351" t="str">
            <v>(212) 305-1190</v>
          </cell>
          <cell r="J3351" t="str">
            <v>kas9171@nyp.org</v>
          </cell>
          <cell r="K3351" t="str">
            <v>Unknown</v>
          </cell>
          <cell r="L3351" t="str">
            <v>Uncategorized</v>
          </cell>
          <cell r="M3351" t="str">
            <v>No</v>
          </cell>
          <cell r="R3351" t="str">
            <v>JAFFE ARIEL</v>
          </cell>
          <cell r="S3351" t="str">
            <v>622 W 168TH ST</v>
          </cell>
          <cell r="T3351" t="str">
            <v>NEW YORK</v>
          </cell>
          <cell r="U3351" t="str">
            <v>NY</v>
          </cell>
          <cell r="V3351" t="str">
            <v>100323720</v>
          </cell>
          <cell r="AC3351" t="str">
            <v>M</v>
          </cell>
          <cell r="AD3351" t="str">
            <v>No</v>
          </cell>
          <cell r="AE3351" t="str">
            <v>NPI only</v>
          </cell>
          <cell r="AF3351" t="str">
            <v>nypwestacn</v>
          </cell>
          <cell r="AG3351" t="str">
            <v>P</v>
          </cell>
        </row>
        <row r="3352">
          <cell r="A3352" t="str">
            <v>1487016705</v>
          </cell>
          <cell r="C3352" t="str">
            <v>HAYLEY ISRAEL</v>
          </cell>
          <cell r="G3352" t="str">
            <v>Kathryn Spaziani</v>
          </cell>
          <cell r="H3352" t="str">
            <v>(212) 305-1190</v>
          </cell>
          <cell r="J3352" t="str">
            <v>kas9171@nyp.org</v>
          </cell>
          <cell r="K3352" t="str">
            <v>Unknown</v>
          </cell>
          <cell r="L3352" t="str">
            <v>Uncategorized</v>
          </cell>
          <cell r="M3352" t="str">
            <v>No</v>
          </cell>
          <cell r="R3352" t="str">
            <v>ISRAEL HAYLEY</v>
          </cell>
          <cell r="S3352" t="str">
            <v>622 W 168TH ST</v>
          </cell>
          <cell r="T3352" t="str">
            <v>NEW YORK</v>
          </cell>
          <cell r="U3352" t="str">
            <v>NY</v>
          </cell>
          <cell r="V3352" t="str">
            <v>100323720</v>
          </cell>
          <cell r="AC3352" t="str">
            <v>M</v>
          </cell>
          <cell r="AD3352" t="str">
            <v>No</v>
          </cell>
          <cell r="AE3352" t="str">
            <v>NPI only</v>
          </cell>
          <cell r="AF3352" t="str">
            <v>nypwestacn</v>
          </cell>
          <cell r="AG3352" t="str">
            <v>P</v>
          </cell>
        </row>
        <row r="3353">
          <cell r="A3353" t="str">
            <v>1154783306</v>
          </cell>
          <cell r="C3353" t="str">
            <v>FAHMIDA ISLAM</v>
          </cell>
          <cell r="G3353" t="str">
            <v>Kathryn Spaziani</v>
          </cell>
          <cell r="H3353" t="str">
            <v>(212) 305-1190</v>
          </cell>
          <cell r="J3353" t="str">
            <v>kas9171@nyp.org</v>
          </cell>
          <cell r="K3353" t="str">
            <v>Unknown</v>
          </cell>
          <cell r="L3353" t="str">
            <v>Uncategorized</v>
          </cell>
          <cell r="M3353" t="str">
            <v>No</v>
          </cell>
          <cell r="R3353" t="str">
            <v>ISLAM FAHMIDA MS.</v>
          </cell>
          <cell r="S3353" t="str">
            <v>3959 BROADWAY</v>
          </cell>
          <cell r="T3353" t="str">
            <v>NEW YORK</v>
          </cell>
          <cell r="U3353" t="str">
            <v>NY</v>
          </cell>
          <cell r="V3353" t="str">
            <v>100321559</v>
          </cell>
          <cell r="AC3353" t="str">
            <v>M</v>
          </cell>
          <cell r="AD3353" t="str">
            <v>No</v>
          </cell>
          <cell r="AE3353" t="str">
            <v>NPI only</v>
          </cell>
          <cell r="AF3353" t="str">
            <v>nypwestacn</v>
          </cell>
          <cell r="AG3353" t="str">
            <v>P</v>
          </cell>
        </row>
        <row r="3354">
          <cell r="A3354" t="str">
            <v>1174987739</v>
          </cell>
          <cell r="C3354" t="str">
            <v>SUMAIYA IQBAL</v>
          </cell>
          <cell r="G3354" t="str">
            <v>Kathryn Spaziani</v>
          </cell>
          <cell r="H3354" t="str">
            <v>(212) 305-1190</v>
          </cell>
          <cell r="J3354" t="str">
            <v>kas9171@nyp.org</v>
          </cell>
          <cell r="K3354" t="str">
            <v>Unknown</v>
          </cell>
          <cell r="L3354" t="str">
            <v>Uncategorized</v>
          </cell>
          <cell r="M3354" t="str">
            <v>No</v>
          </cell>
          <cell r="R3354" t="str">
            <v>IQBAL SUMAIYA</v>
          </cell>
          <cell r="S3354" t="str">
            <v>505 EAST 70TH STREET, WEILL CORNELL INTERNAL MEDICINE ASSOCIATES</v>
          </cell>
          <cell r="T3354" t="str">
            <v>NEW YORK</v>
          </cell>
          <cell r="U3354" t="str">
            <v>NY</v>
          </cell>
          <cell r="V3354" t="str">
            <v>10021</v>
          </cell>
          <cell r="AC3354" t="str">
            <v>M</v>
          </cell>
          <cell r="AD3354" t="str">
            <v>No</v>
          </cell>
          <cell r="AE3354" t="str">
            <v>NPI only</v>
          </cell>
          <cell r="AF3354" t="str">
            <v>nypeastacn</v>
          </cell>
          <cell r="AG3354" t="str">
            <v>P</v>
          </cell>
        </row>
        <row r="3355">
          <cell r="A3355" t="str">
            <v>1346660040</v>
          </cell>
          <cell r="C3355" t="str">
            <v>QUANG HUYNH</v>
          </cell>
          <cell r="G3355" t="str">
            <v>Kathryn Spaziani</v>
          </cell>
          <cell r="H3355" t="str">
            <v>(212) 305-1190</v>
          </cell>
          <cell r="J3355" t="str">
            <v>kas9171@nyp.org</v>
          </cell>
          <cell r="K3355" t="str">
            <v>Unknown</v>
          </cell>
          <cell r="L3355" t="str">
            <v>Uncategorized</v>
          </cell>
          <cell r="M3355" t="str">
            <v>No</v>
          </cell>
          <cell r="R3355" t="str">
            <v>HUYNH QUANG</v>
          </cell>
          <cell r="S3355" t="str">
            <v>610 W 158TH ST</v>
          </cell>
          <cell r="T3355" t="str">
            <v>NEW YORK</v>
          </cell>
          <cell r="U3355" t="str">
            <v>NY</v>
          </cell>
          <cell r="V3355" t="str">
            <v>100327104</v>
          </cell>
          <cell r="AC3355" t="str">
            <v>M</v>
          </cell>
          <cell r="AD3355" t="str">
            <v>No</v>
          </cell>
          <cell r="AE3355" t="str">
            <v>NPI only</v>
          </cell>
          <cell r="AF3355" t="str">
            <v>nypwestacn</v>
          </cell>
          <cell r="AG3355" t="str">
            <v>P</v>
          </cell>
        </row>
        <row r="3356">
          <cell r="A3356" t="str">
            <v>1144647058</v>
          </cell>
          <cell r="C3356" t="str">
            <v>ANNE HUTCHINSON</v>
          </cell>
          <cell r="G3356" t="str">
            <v>Kathryn Spaziani</v>
          </cell>
          <cell r="H3356" t="str">
            <v>(212) 305-1190</v>
          </cell>
          <cell r="J3356" t="str">
            <v>kas9171@nyp.org</v>
          </cell>
          <cell r="K3356" t="str">
            <v>Unknown</v>
          </cell>
          <cell r="L3356" t="str">
            <v>Uncategorized</v>
          </cell>
          <cell r="M3356" t="str">
            <v>No</v>
          </cell>
          <cell r="R3356" t="str">
            <v>HUTCHINSON ANNE DR.</v>
          </cell>
          <cell r="S3356" t="str">
            <v>525 E 68TH ST, BOX 122</v>
          </cell>
          <cell r="T3356" t="str">
            <v>NEW YORK</v>
          </cell>
          <cell r="U3356" t="str">
            <v>NY</v>
          </cell>
          <cell r="V3356" t="str">
            <v>100654870</v>
          </cell>
          <cell r="AC3356" t="str">
            <v>M</v>
          </cell>
          <cell r="AD3356" t="str">
            <v>No</v>
          </cell>
          <cell r="AE3356" t="str">
            <v>NPI only</v>
          </cell>
          <cell r="AF3356" t="str">
            <v>nypeastacn</v>
          </cell>
          <cell r="AG3356" t="str">
            <v>P</v>
          </cell>
        </row>
        <row r="3357">
          <cell r="A3357" t="str">
            <v>1184071441</v>
          </cell>
          <cell r="C3357" t="str">
            <v>YASIN HUSSAIN</v>
          </cell>
          <cell r="G3357" t="str">
            <v>Kathryn Spaziani</v>
          </cell>
          <cell r="H3357" t="str">
            <v>(212) 305-1190</v>
          </cell>
          <cell r="J3357" t="str">
            <v>kas9171@nyp.org</v>
          </cell>
          <cell r="K3357" t="str">
            <v>Unknown</v>
          </cell>
          <cell r="L3357" t="str">
            <v>Uncategorized</v>
          </cell>
          <cell r="M3357" t="str">
            <v>No</v>
          </cell>
          <cell r="R3357" t="str">
            <v>HUSSAIN YASIN MR.</v>
          </cell>
          <cell r="S3357" t="str">
            <v>505 EAST 70TH STREET, WEILL CORNELL MEDICINE ASSOCIATES</v>
          </cell>
          <cell r="T3357" t="str">
            <v>NEW YORK</v>
          </cell>
          <cell r="U3357" t="str">
            <v>NY</v>
          </cell>
          <cell r="V3357" t="str">
            <v>10021</v>
          </cell>
          <cell r="AC3357" t="str">
            <v>M</v>
          </cell>
          <cell r="AD3357" t="str">
            <v>No</v>
          </cell>
          <cell r="AE3357" t="str">
            <v>NPI only</v>
          </cell>
          <cell r="AF3357" t="str">
            <v>nypeastacn</v>
          </cell>
          <cell r="AG3357" t="str">
            <v>P</v>
          </cell>
        </row>
        <row r="3358">
          <cell r="A3358" t="str">
            <v>1952643355</v>
          </cell>
          <cell r="C3358" t="str">
            <v>ANDREA HUBSCHMANN</v>
          </cell>
          <cell r="G3358" t="str">
            <v>Kathryn Spaziani</v>
          </cell>
          <cell r="H3358" t="str">
            <v>(212) 305-1190</v>
          </cell>
          <cell r="J3358" t="str">
            <v>kas9171@nyp.org</v>
          </cell>
          <cell r="K3358" t="str">
            <v>Unknown</v>
          </cell>
          <cell r="L3358" t="str">
            <v>Uncategorized</v>
          </cell>
          <cell r="M3358" t="str">
            <v>No</v>
          </cell>
          <cell r="R3358" t="str">
            <v>HUBSCHMANN ANDREA</v>
          </cell>
          <cell r="S3358" t="str">
            <v>525 E 68TH ST # 122</v>
          </cell>
          <cell r="T3358" t="str">
            <v>NEW YORK</v>
          </cell>
          <cell r="U3358" t="str">
            <v>NY</v>
          </cell>
          <cell r="V3358" t="str">
            <v>100654870</v>
          </cell>
          <cell r="AC3358" t="str">
            <v>M</v>
          </cell>
          <cell r="AD3358" t="str">
            <v>No</v>
          </cell>
          <cell r="AE3358" t="str">
            <v>NPI only</v>
          </cell>
          <cell r="AF3358" t="str">
            <v>nypeastacn</v>
          </cell>
          <cell r="AG3358" t="str">
            <v>P</v>
          </cell>
        </row>
        <row r="3359">
          <cell r="A3359" t="str">
            <v>1063755163</v>
          </cell>
          <cell r="C3359" t="str">
            <v>JENNIFER HSU</v>
          </cell>
          <cell r="G3359" t="str">
            <v>Kathryn Spaziani</v>
          </cell>
          <cell r="H3359" t="str">
            <v>(212) 305-1190</v>
          </cell>
          <cell r="J3359" t="str">
            <v>kas9171@nyp.org</v>
          </cell>
          <cell r="K3359" t="str">
            <v>Unknown</v>
          </cell>
          <cell r="L3359" t="str">
            <v>Uncategorized</v>
          </cell>
          <cell r="M3359" t="str">
            <v>No</v>
          </cell>
          <cell r="R3359" t="str">
            <v>HSU JENNIFER</v>
          </cell>
          <cell r="S3359" t="str">
            <v>622 W 168TH ST, SUITE 16-29</v>
          </cell>
          <cell r="T3359" t="str">
            <v>NEW YORK</v>
          </cell>
          <cell r="U3359" t="str">
            <v>NY</v>
          </cell>
          <cell r="V3359" t="str">
            <v>100323720</v>
          </cell>
          <cell r="AC3359" t="str">
            <v>M</v>
          </cell>
          <cell r="AD3359" t="str">
            <v>No</v>
          </cell>
          <cell r="AE3359" t="str">
            <v>NPI only</v>
          </cell>
          <cell r="AF3359" t="str">
            <v>nypwestacn</v>
          </cell>
          <cell r="AG3359" t="str">
            <v>P</v>
          </cell>
        </row>
        <row r="3360">
          <cell r="A3360" t="str">
            <v>1700248150</v>
          </cell>
          <cell r="C3360" t="str">
            <v>BENJAMIN HOOE</v>
          </cell>
          <cell r="G3360" t="str">
            <v>Kathryn Spaziani</v>
          </cell>
          <cell r="H3360" t="str">
            <v>(212) 305-1190</v>
          </cell>
          <cell r="J3360" t="str">
            <v>kas9171@nyp.org</v>
          </cell>
          <cell r="K3360" t="str">
            <v>Unknown</v>
          </cell>
          <cell r="L3360" t="str">
            <v>Uncategorized</v>
          </cell>
          <cell r="M3360" t="str">
            <v>No</v>
          </cell>
          <cell r="R3360" t="str">
            <v>HOOE BENJAMIN DR.</v>
          </cell>
          <cell r="S3360" t="str">
            <v>3959 BROADWAY</v>
          </cell>
          <cell r="T3360" t="str">
            <v>NEW YORK</v>
          </cell>
          <cell r="U3360" t="str">
            <v>NY</v>
          </cell>
          <cell r="V3360" t="str">
            <v>100321559</v>
          </cell>
          <cell r="AC3360" t="str">
            <v>M</v>
          </cell>
          <cell r="AD3360" t="str">
            <v>No</v>
          </cell>
          <cell r="AE3360" t="str">
            <v>NPI only</v>
          </cell>
          <cell r="AF3360" t="str">
            <v>nypwestacn</v>
          </cell>
          <cell r="AG3360" t="str">
            <v>P</v>
          </cell>
        </row>
        <row r="3361">
          <cell r="A3361" t="str">
            <v>1366805640</v>
          </cell>
          <cell r="C3361" t="str">
            <v>EDWIN HOMAN</v>
          </cell>
          <cell r="G3361" t="str">
            <v>Kathryn Spaziani</v>
          </cell>
          <cell r="H3361" t="str">
            <v>(212) 305-1190</v>
          </cell>
          <cell r="J3361" t="str">
            <v>kas9171@nyp.org</v>
          </cell>
          <cell r="K3361" t="str">
            <v>Unknown</v>
          </cell>
          <cell r="L3361" t="str">
            <v>Uncategorized</v>
          </cell>
          <cell r="M3361" t="str">
            <v>No</v>
          </cell>
          <cell r="R3361" t="str">
            <v>HOMAN EDWIN DR.</v>
          </cell>
          <cell r="S3361" t="str">
            <v>622 W 168TH ST</v>
          </cell>
          <cell r="T3361" t="str">
            <v>NEW YORK</v>
          </cell>
          <cell r="U3361" t="str">
            <v>NY</v>
          </cell>
          <cell r="V3361" t="str">
            <v>100323720</v>
          </cell>
          <cell r="AC3361" t="str">
            <v>M</v>
          </cell>
          <cell r="AD3361" t="str">
            <v>No</v>
          </cell>
          <cell r="AE3361" t="str">
            <v>NPI only</v>
          </cell>
          <cell r="AF3361" t="str">
            <v>nypwestacn</v>
          </cell>
          <cell r="AG3361" t="str">
            <v>P</v>
          </cell>
        </row>
        <row r="3362">
          <cell r="A3362" t="str">
            <v>1972946150</v>
          </cell>
          <cell r="C3362" t="str">
            <v>ANNE HOLLAND</v>
          </cell>
          <cell r="G3362" t="str">
            <v>Kathryn Spaziani</v>
          </cell>
          <cell r="H3362" t="str">
            <v>(212) 305-1190</v>
          </cell>
          <cell r="J3362" t="str">
            <v>kas9171@nyp.org</v>
          </cell>
          <cell r="K3362" t="str">
            <v>Unknown</v>
          </cell>
          <cell r="L3362" t="str">
            <v>Uncategorized</v>
          </cell>
          <cell r="M3362" t="str">
            <v>No</v>
          </cell>
          <cell r="R3362" t="str">
            <v>HOLLAND ANNE</v>
          </cell>
          <cell r="S3362" t="str">
            <v>100 HAVEN AVE APT 5B</v>
          </cell>
          <cell r="T3362" t="str">
            <v>NEW YORK</v>
          </cell>
          <cell r="U3362" t="str">
            <v>NY</v>
          </cell>
          <cell r="V3362" t="str">
            <v>100322622</v>
          </cell>
          <cell r="AC3362" t="str">
            <v>M</v>
          </cell>
          <cell r="AD3362" t="str">
            <v>No</v>
          </cell>
          <cell r="AE3362" t="str">
            <v>NPI only</v>
          </cell>
          <cell r="AF3362" t="str">
            <v>nypwestacn</v>
          </cell>
          <cell r="AG3362" t="str">
            <v>P</v>
          </cell>
        </row>
        <row r="3363">
          <cell r="A3363" t="str">
            <v>1801216742</v>
          </cell>
          <cell r="C3363" t="str">
            <v>BRYCE HOFFMAN</v>
          </cell>
          <cell r="G3363" t="str">
            <v>Kathryn Spaziani</v>
          </cell>
          <cell r="H3363" t="str">
            <v>(212) 305-1190</v>
          </cell>
          <cell r="J3363" t="str">
            <v>kas9171@nyp.org</v>
          </cell>
          <cell r="K3363" t="str">
            <v>Unknown</v>
          </cell>
          <cell r="L3363" t="str">
            <v>Uncategorized</v>
          </cell>
          <cell r="M3363" t="str">
            <v>No</v>
          </cell>
          <cell r="R3363" t="str">
            <v>HOFFMAN BRYCE</v>
          </cell>
          <cell r="S3363" t="str">
            <v>3260 N HALL ST APT 337</v>
          </cell>
          <cell r="T3363" t="str">
            <v>DALLAS</v>
          </cell>
          <cell r="U3363" t="str">
            <v>TX</v>
          </cell>
          <cell r="V3363" t="str">
            <v>752041255</v>
          </cell>
          <cell r="AC3363" t="str">
            <v>M</v>
          </cell>
          <cell r="AD3363" t="str">
            <v>No</v>
          </cell>
          <cell r="AE3363" t="str">
            <v>NPI only</v>
          </cell>
          <cell r="AF3363" t="str">
            <v>nypeastacn</v>
          </cell>
          <cell r="AG3363" t="str">
            <v>P</v>
          </cell>
        </row>
        <row r="3364">
          <cell r="A3364" t="str">
            <v>1063830453</v>
          </cell>
          <cell r="C3364" t="str">
            <v>NICHOLAS HOERTER</v>
          </cell>
          <cell r="G3364" t="str">
            <v>Kathryn Spaziani</v>
          </cell>
          <cell r="H3364" t="str">
            <v>(212) 305-1190</v>
          </cell>
          <cell r="J3364" t="str">
            <v>kas9171@nyp.org</v>
          </cell>
          <cell r="K3364" t="str">
            <v>Unknown</v>
          </cell>
          <cell r="L3364" t="str">
            <v>Uncategorized</v>
          </cell>
          <cell r="M3364" t="str">
            <v>No</v>
          </cell>
          <cell r="R3364" t="str">
            <v>HOERTER NICHOLAS</v>
          </cell>
          <cell r="S3364" t="str">
            <v>622 W 168TH ST # VC2-205</v>
          </cell>
          <cell r="T3364" t="str">
            <v>NEW YORK</v>
          </cell>
          <cell r="U3364" t="str">
            <v>NY</v>
          </cell>
          <cell r="V3364" t="str">
            <v>100323720</v>
          </cell>
          <cell r="AC3364" t="str">
            <v>M</v>
          </cell>
          <cell r="AD3364" t="str">
            <v>No</v>
          </cell>
          <cell r="AE3364" t="str">
            <v>NPI only</v>
          </cell>
          <cell r="AF3364" t="str">
            <v>nypwestacn</v>
          </cell>
          <cell r="AG3364" t="str">
            <v>P</v>
          </cell>
        </row>
        <row r="3365">
          <cell r="A3365" t="str">
            <v>1356760292</v>
          </cell>
          <cell r="C3365" t="str">
            <v>SYLVANA HIDALGO</v>
          </cell>
          <cell r="G3365" t="str">
            <v>Kathryn Spaziani</v>
          </cell>
          <cell r="H3365" t="str">
            <v>(212) 305-1190</v>
          </cell>
          <cell r="J3365" t="str">
            <v>kas9171@nyp.org</v>
          </cell>
          <cell r="K3365" t="str">
            <v>Unknown</v>
          </cell>
          <cell r="L3365" t="str">
            <v>Uncategorized</v>
          </cell>
          <cell r="M3365" t="str">
            <v>No</v>
          </cell>
          <cell r="R3365" t="str">
            <v>HIDALGO SYLVANA DR.</v>
          </cell>
          <cell r="S3365" t="str">
            <v>3959 BROADWAY</v>
          </cell>
          <cell r="T3365" t="str">
            <v>NEW YORK</v>
          </cell>
          <cell r="U3365" t="str">
            <v>NY</v>
          </cell>
          <cell r="V3365" t="str">
            <v>100321559</v>
          </cell>
          <cell r="AC3365" t="str">
            <v>M</v>
          </cell>
          <cell r="AD3365" t="str">
            <v>No</v>
          </cell>
          <cell r="AE3365" t="str">
            <v>NPI only</v>
          </cell>
          <cell r="AF3365" t="str">
            <v>nypwestacn</v>
          </cell>
          <cell r="AG3365" t="str">
            <v>P</v>
          </cell>
        </row>
        <row r="3366">
          <cell r="A3366" t="str">
            <v>1639532039</v>
          </cell>
          <cell r="C3366" t="str">
            <v>REX HERMANSEN</v>
          </cell>
          <cell r="G3366" t="str">
            <v>Kathryn Spaziani</v>
          </cell>
          <cell r="H3366" t="str">
            <v>(212) 305-1190</v>
          </cell>
          <cell r="J3366" t="str">
            <v>kas9171@nyp.org</v>
          </cell>
          <cell r="K3366" t="str">
            <v>Unknown</v>
          </cell>
          <cell r="L3366" t="str">
            <v>Uncategorized</v>
          </cell>
          <cell r="M3366" t="str">
            <v>No</v>
          </cell>
          <cell r="R3366" t="str">
            <v>HERMANSEN REX DR.</v>
          </cell>
          <cell r="S3366" t="str">
            <v>622 W 168TH ST</v>
          </cell>
          <cell r="T3366" t="str">
            <v>NEW YORK</v>
          </cell>
          <cell r="U3366" t="str">
            <v>NY</v>
          </cell>
          <cell r="V3366" t="str">
            <v>100323720</v>
          </cell>
          <cell r="AC3366" t="str">
            <v>M</v>
          </cell>
          <cell r="AD3366" t="str">
            <v>No</v>
          </cell>
          <cell r="AE3366" t="str">
            <v>NPI only</v>
          </cell>
          <cell r="AF3366" t="str">
            <v>nypwestacn</v>
          </cell>
          <cell r="AG3366" t="str">
            <v>P</v>
          </cell>
        </row>
        <row r="3367">
          <cell r="A3367" t="str">
            <v>1093100471</v>
          </cell>
          <cell r="C3367" t="str">
            <v>EMILIA HERMANN</v>
          </cell>
          <cell r="G3367" t="str">
            <v>Kathryn Spaziani</v>
          </cell>
          <cell r="H3367" t="str">
            <v>(212) 305-1190</v>
          </cell>
          <cell r="J3367" t="str">
            <v>kas9171@nyp.org</v>
          </cell>
          <cell r="K3367" t="str">
            <v>Unknown</v>
          </cell>
          <cell r="L3367" t="str">
            <v>Uncategorized</v>
          </cell>
          <cell r="M3367" t="str">
            <v>No</v>
          </cell>
          <cell r="R3367" t="str">
            <v>HERMANN EMILIA</v>
          </cell>
          <cell r="S3367" t="str">
            <v>622 W 168TH ST # 205</v>
          </cell>
          <cell r="T3367" t="str">
            <v>NEW YORK</v>
          </cell>
          <cell r="U3367" t="str">
            <v>NY</v>
          </cell>
          <cell r="V3367" t="str">
            <v>100323720</v>
          </cell>
          <cell r="AC3367" t="str">
            <v>M</v>
          </cell>
          <cell r="AD3367" t="str">
            <v>No</v>
          </cell>
          <cell r="AE3367" t="str">
            <v>NPI only</v>
          </cell>
          <cell r="AF3367" t="str">
            <v>nypwestacn</v>
          </cell>
          <cell r="AG3367" t="str">
            <v>P</v>
          </cell>
        </row>
        <row r="3368">
          <cell r="A3368" t="str">
            <v>1104289586</v>
          </cell>
          <cell r="C3368" t="str">
            <v>JONATHAN HERMAN</v>
          </cell>
          <cell r="G3368" t="str">
            <v>Kathryn Spaziani</v>
          </cell>
          <cell r="H3368" t="str">
            <v>(212) 305-1190</v>
          </cell>
          <cell r="J3368" t="str">
            <v>kas9171@nyp.org</v>
          </cell>
          <cell r="K3368" t="str">
            <v>Unknown</v>
          </cell>
          <cell r="L3368" t="str">
            <v>Uncategorized</v>
          </cell>
          <cell r="M3368" t="str">
            <v>No</v>
          </cell>
          <cell r="R3368" t="str">
            <v>HERMAN JONATHAN DR.</v>
          </cell>
          <cell r="S3368" t="str">
            <v>505 E 70TH ST, WEILL CORNELL INTERNAL MEDICINE ASSOCIATES</v>
          </cell>
          <cell r="T3368" t="str">
            <v>NEW YORK</v>
          </cell>
          <cell r="U3368" t="str">
            <v>NY</v>
          </cell>
          <cell r="V3368" t="str">
            <v>100214872</v>
          </cell>
          <cell r="AC3368" t="str">
            <v>M</v>
          </cell>
          <cell r="AD3368" t="str">
            <v>No</v>
          </cell>
          <cell r="AE3368" t="str">
            <v>NPI only</v>
          </cell>
          <cell r="AF3368" t="str">
            <v>nypeastacn</v>
          </cell>
          <cell r="AG3368" t="str">
            <v>P</v>
          </cell>
        </row>
        <row r="3369">
          <cell r="A3369" t="str">
            <v>1780047597</v>
          </cell>
          <cell r="C3369" t="str">
            <v>AWS HASAN</v>
          </cell>
          <cell r="G3369" t="str">
            <v>Kathryn Spaziani</v>
          </cell>
          <cell r="H3369" t="str">
            <v>(212) 305-1190</v>
          </cell>
          <cell r="J3369" t="str">
            <v>kas9171@nyp.org</v>
          </cell>
          <cell r="K3369" t="str">
            <v>Unknown</v>
          </cell>
          <cell r="L3369" t="str">
            <v>Uncategorized</v>
          </cell>
          <cell r="M3369" t="str">
            <v>No</v>
          </cell>
          <cell r="R3369" t="str">
            <v>HASAN AWS</v>
          </cell>
          <cell r="S3369" t="str">
            <v>622 W 168TH ST</v>
          </cell>
          <cell r="T3369" t="str">
            <v>NEW YORK</v>
          </cell>
          <cell r="U3369" t="str">
            <v>NY</v>
          </cell>
          <cell r="V3369" t="str">
            <v>100323720</v>
          </cell>
          <cell r="AC3369" t="str">
            <v>M</v>
          </cell>
          <cell r="AD3369" t="str">
            <v>No</v>
          </cell>
          <cell r="AE3369" t="str">
            <v>NPI only</v>
          </cell>
          <cell r="AF3369" t="str">
            <v>nypwestacn</v>
          </cell>
          <cell r="AG3369" t="str">
            <v>P</v>
          </cell>
        </row>
        <row r="3370">
          <cell r="A3370" t="str">
            <v>1891114930</v>
          </cell>
          <cell r="C3370" t="str">
            <v>LARA HARISAY</v>
          </cell>
          <cell r="G3370" t="str">
            <v>Kathryn Spaziani</v>
          </cell>
          <cell r="H3370" t="str">
            <v>(212) 305-1190</v>
          </cell>
          <cell r="J3370" t="str">
            <v>kas9171@nyp.org</v>
          </cell>
          <cell r="K3370" t="str">
            <v>Unknown</v>
          </cell>
          <cell r="L3370" t="str">
            <v>Uncategorized</v>
          </cell>
          <cell r="M3370" t="str">
            <v>No</v>
          </cell>
          <cell r="R3370" t="str">
            <v>HARISAY LARA</v>
          </cell>
          <cell r="S3370" t="str">
            <v>610 W 158TH ST</v>
          </cell>
          <cell r="T3370" t="str">
            <v>NEW YORK</v>
          </cell>
          <cell r="U3370" t="str">
            <v>NY</v>
          </cell>
          <cell r="V3370" t="str">
            <v>100327104</v>
          </cell>
          <cell r="AC3370" t="str">
            <v>M</v>
          </cell>
          <cell r="AD3370" t="str">
            <v>No</v>
          </cell>
          <cell r="AE3370" t="str">
            <v>NPI only</v>
          </cell>
          <cell r="AF3370" t="str">
            <v>nypwestacn</v>
          </cell>
          <cell r="AG3370" t="str">
            <v>P</v>
          </cell>
        </row>
        <row r="3371">
          <cell r="A3371" t="str">
            <v>1770901944</v>
          </cell>
          <cell r="C3371" t="str">
            <v>KOLBE HANCOCK</v>
          </cell>
          <cell r="G3371" t="str">
            <v>Kathryn Spaziani</v>
          </cell>
          <cell r="H3371" t="str">
            <v>(212) 305-1190</v>
          </cell>
          <cell r="J3371" t="str">
            <v>kas9171@nyp.org</v>
          </cell>
          <cell r="K3371" t="str">
            <v>Unknown</v>
          </cell>
          <cell r="L3371" t="str">
            <v>Uncategorized</v>
          </cell>
          <cell r="M3371" t="str">
            <v>No</v>
          </cell>
          <cell r="R3371" t="str">
            <v>HANCOCK KOLBE DR.</v>
          </cell>
          <cell r="S3371" t="str">
            <v>525 E 68TH ST, BOX 122</v>
          </cell>
          <cell r="T3371" t="str">
            <v>NEW YORK</v>
          </cell>
          <cell r="U3371" t="str">
            <v>NY</v>
          </cell>
          <cell r="V3371" t="str">
            <v>100654870</v>
          </cell>
          <cell r="AC3371" t="str">
            <v>M</v>
          </cell>
          <cell r="AD3371" t="str">
            <v>No</v>
          </cell>
          <cell r="AE3371" t="str">
            <v>NPI only</v>
          </cell>
          <cell r="AF3371" t="str">
            <v>nypeastacn</v>
          </cell>
          <cell r="AG3371" t="str">
            <v>P</v>
          </cell>
        </row>
        <row r="3372">
          <cell r="A3372" t="str">
            <v>1740675602</v>
          </cell>
          <cell r="C3372" t="str">
            <v>JENNIFER HAMMOND</v>
          </cell>
          <cell r="G3372" t="str">
            <v>Kathryn Spaziani</v>
          </cell>
          <cell r="H3372" t="str">
            <v>(212) 305-1190</v>
          </cell>
          <cell r="J3372" t="str">
            <v>kas9171@nyp.org</v>
          </cell>
          <cell r="K3372" t="str">
            <v>Unknown</v>
          </cell>
          <cell r="L3372" t="str">
            <v>Uncategorized</v>
          </cell>
          <cell r="M3372" t="str">
            <v>No</v>
          </cell>
          <cell r="R3372" t="str">
            <v>HAMMOND JENNIFER DR.</v>
          </cell>
          <cell r="S3372" t="str">
            <v>3959 BROADWAY</v>
          </cell>
          <cell r="T3372" t="str">
            <v>NEW YORK</v>
          </cell>
          <cell r="U3372" t="str">
            <v>NY</v>
          </cell>
          <cell r="V3372" t="str">
            <v>100321559</v>
          </cell>
          <cell r="AC3372" t="str">
            <v>M</v>
          </cell>
          <cell r="AD3372" t="str">
            <v>No</v>
          </cell>
          <cell r="AE3372" t="str">
            <v>NPI only</v>
          </cell>
          <cell r="AF3372" t="str">
            <v>nypwestacn</v>
          </cell>
          <cell r="AG3372" t="str">
            <v>P</v>
          </cell>
        </row>
        <row r="3373">
          <cell r="A3373" t="str">
            <v>1518321264</v>
          </cell>
          <cell r="C3373" t="str">
            <v>SHEERIN HABIBULLAH</v>
          </cell>
          <cell r="G3373" t="str">
            <v>Kathryn Spaziani</v>
          </cell>
          <cell r="H3373" t="str">
            <v>(212) 305-1190</v>
          </cell>
          <cell r="J3373" t="str">
            <v>kas9171@nyp.org</v>
          </cell>
          <cell r="K3373" t="str">
            <v>Unknown</v>
          </cell>
          <cell r="L3373" t="str">
            <v>Uncategorized</v>
          </cell>
          <cell r="M3373" t="str">
            <v>No</v>
          </cell>
          <cell r="R3373" t="str">
            <v>HABIBULLAH SHEERIN</v>
          </cell>
          <cell r="S3373" t="str">
            <v>622 W 168TH ST</v>
          </cell>
          <cell r="T3373" t="str">
            <v>NEW YORK</v>
          </cell>
          <cell r="U3373" t="str">
            <v>NY</v>
          </cell>
          <cell r="V3373" t="str">
            <v>100323720</v>
          </cell>
          <cell r="AC3373" t="str">
            <v>M</v>
          </cell>
          <cell r="AD3373" t="str">
            <v>No</v>
          </cell>
          <cell r="AE3373" t="str">
            <v>NPI only</v>
          </cell>
          <cell r="AF3373" t="str">
            <v>nypwestacn</v>
          </cell>
          <cell r="AG3373" t="str">
            <v>P</v>
          </cell>
        </row>
        <row r="3374">
          <cell r="A3374" t="str">
            <v>1689094815</v>
          </cell>
          <cell r="C3374" t="str">
            <v>CHRISTIE GUTIERREZ</v>
          </cell>
          <cell r="G3374" t="str">
            <v>Kathryn Spaziani</v>
          </cell>
          <cell r="H3374" t="str">
            <v>(212) 305-1190</v>
          </cell>
          <cell r="J3374" t="str">
            <v>kas9171@nyp.org</v>
          </cell>
          <cell r="K3374" t="str">
            <v>Unknown</v>
          </cell>
          <cell r="L3374" t="str">
            <v>Uncategorized</v>
          </cell>
          <cell r="M3374" t="str">
            <v>No</v>
          </cell>
          <cell r="R3374" t="str">
            <v>GUTIERREZ CHRISTIE DR.</v>
          </cell>
          <cell r="S3374" t="str">
            <v>3959 BROADWAY</v>
          </cell>
          <cell r="T3374" t="str">
            <v>NEW YORK</v>
          </cell>
          <cell r="U3374" t="str">
            <v>NY</v>
          </cell>
          <cell r="V3374" t="str">
            <v>100321559</v>
          </cell>
          <cell r="AC3374" t="str">
            <v>M</v>
          </cell>
          <cell r="AD3374" t="str">
            <v>No</v>
          </cell>
          <cell r="AE3374" t="str">
            <v>NPI only</v>
          </cell>
          <cell r="AF3374" t="str">
            <v>nypwestacn</v>
          </cell>
          <cell r="AG3374" t="str">
            <v>P</v>
          </cell>
        </row>
        <row r="3375">
          <cell r="A3375" t="str">
            <v>1598184822</v>
          </cell>
          <cell r="C3375" t="str">
            <v>ARNAV GUPTA</v>
          </cell>
          <cell r="G3375" t="str">
            <v>Kathryn Spaziani</v>
          </cell>
          <cell r="H3375" t="str">
            <v>(212) 305-1190</v>
          </cell>
          <cell r="J3375" t="str">
            <v>kas9171@nyp.org</v>
          </cell>
          <cell r="K3375" t="str">
            <v>Unknown</v>
          </cell>
          <cell r="L3375" t="str">
            <v>Uncategorized</v>
          </cell>
          <cell r="M3375" t="str">
            <v>No</v>
          </cell>
          <cell r="R3375" t="str">
            <v>GUPTA ARNAV</v>
          </cell>
          <cell r="S3375" t="str">
            <v>622 W 168TH ST</v>
          </cell>
          <cell r="T3375" t="str">
            <v>NEW YORK</v>
          </cell>
          <cell r="U3375" t="str">
            <v>NY</v>
          </cell>
          <cell r="V3375" t="str">
            <v>100323720</v>
          </cell>
          <cell r="AC3375" t="str">
            <v>M</v>
          </cell>
          <cell r="AD3375" t="str">
            <v>No</v>
          </cell>
          <cell r="AE3375" t="str">
            <v>NPI only</v>
          </cell>
          <cell r="AF3375" t="str">
            <v>nypwestacn</v>
          </cell>
          <cell r="AG3375" t="str">
            <v>P</v>
          </cell>
        </row>
        <row r="3376">
          <cell r="A3376" t="str">
            <v>1790105609</v>
          </cell>
          <cell r="C3376" t="str">
            <v>ARIELLE GUMER</v>
          </cell>
          <cell r="G3376" t="str">
            <v>Kathryn Spaziani</v>
          </cell>
          <cell r="H3376" t="str">
            <v>(212) 305-1190</v>
          </cell>
          <cell r="J3376" t="str">
            <v>kas9171@nyp.org</v>
          </cell>
          <cell r="K3376" t="str">
            <v>Unknown</v>
          </cell>
          <cell r="L3376" t="str">
            <v>Uncategorized</v>
          </cell>
          <cell r="M3376" t="str">
            <v>No</v>
          </cell>
          <cell r="R3376" t="str">
            <v>GUMER ARIELLE</v>
          </cell>
          <cell r="S3376" t="str">
            <v>622 W 168TH ST, PH 16-29</v>
          </cell>
          <cell r="T3376" t="str">
            <v>NEW YORK</v>
          </cell>
          <cell r="U3376" t="str">
            <v>NY</v>
          </cell>
          <cell r="V3376" t="str">
            <v>100323720</v>
          </cell>
          <cell r="AC3376" t="str">
            <v>M</v>
          </cell>
          <cell r="AD3376" t="str">
            <v>No</v>
          </cell>
          <cell r="AE3376" t="str">
            <v>NPI only</v>
          </cell>
          <cell r="AF3376" t="str">
            <v>nypwestacn</v>
          </cell>
          <cell r="AG3376" t="str">
            <v>P</v>
          </cell>
        </row>
        <row r="3377">
          <cell r="A3377" t="str">
            <v>1750778866</v>
          </cell>
          <cell r="C3377" t="str">
            <v>ARIELLE GROSSMAN</v>
          </cell>
          <cell r="G3377" t="str">
            <v>Kathryn Spaziani</v>
          </cell>
          <cell r="H3377" t="str">
            <v>(212) 305-1190</v>
          </cell>
          <cell r="J3377" t="str">
            <v>kas9171@nyp.org</v>
          </cell>
          <cell r="K3377" t="str">
            <v>Unknown</v>
          </cell>
          <cell r="L3377" t="str">
            <v>Uncategorized</v>
          </cell>
          <cell r="M3377" t="str">
            <v>No</v>
          </cell>
          <cell r="R3377" t="str">
            <v>GROSSMAN ARIELLE DR.</v>
          </cell>
          <cell r="S3377" t="str">
            <v>525 E 68TH ST</v>
          </cell>
          <cell r="T3377" t="str">
            <v>NEW YORK</v>
          </cell>
          <cell r="U3377" t="str">
            <v>NY</v>
          </cell>
          <cell r="V3377" t="str">
            <v>100654870</v>
          </cell>
          <cell r="AC3377" t="str">
            <v>M</v>
          </cell>
          <cell r="AD3377" t="str">
            <v>No</v>
          </cell>
          <cell r="AE3377" t="str">
            <v>NPI only</v>
          </cell>
          <cell r="AF3377" t="str">
            <v>nypeastacn</v>
          </cell>
          <cell r="AG3377" t="str">
            <v>P</v>
          </cell>
        </row>
        <row r="3378">
          <cell r="A3378" t="str">
            <v>1629497136</v>
          </cell>
          <cell r="C3378" t="str">
            <v>LAUREN GRINSPAN</v>
          </cell>
          <cell r="G3378" t="str">
            <v>Kathryn Spaziani</v>
          </cell>
          <cell r="H3378" t="str">
            <v>(212) 305-1190</v>
          </cell>
          <cell r="J3378" t="str">
            <v>kas9171@nyp.org</v>
          </cell>
          <cell r="K3378" t="str">
            <v>Unknown</v>
          </cell>
          <cell r="L3378" t="str">
            <v>Uncategorized</v>
          </cell>
          <cell r="M3378" t="str">
            <v>No</v>
          </cell>
          <cell r="R3378" t="str">
            <v>GRINSPAN LAUREN DR.</v>
          </cell>
          <cell r="S3378" t="str">
            <v>177 FORT WASHINGTON AVE</v>
          </cell>
          <cell r="T3378" t="str">
            <v>NEW YORK</v>
          </cell>
          <cell r="U3378" t="str">
            <v>NY</v>
          </cell>
          <cell r="V3378" t="str">
            <v>100323733</v>
          </cell>
          <cell r="AC3378" t="str">
            <v>M</v>
          </cell>
          <cell r="AD3378" t="str">
            <v>No</v>
          </cell>
          <cell r="AE3378" t="str">
            <v>NPI only</v>
          </cell>
          <cell r="AF3378" t="str">
            <v>nypwestacn</v>
          </cell>
          <cell r="AG3378" t="str">
            <v>P</v>
          </cell>
        </row>
        <row r="3379">
          <cell r="A3379" t="str">
            <v>1710307483</v>
          </cell>
          <cell r="C3379" t="str">
            <v>JAMISON GREENWALD</v>
          </cell>
          <cell r="G3379" t="str">
            <v>Kathryn Spaziani</v>
          </cell>
          <cell r="H3379" t="str">
            <v>(212) 305-1190</v>
          </cell>
          <cell r="J3379" t="str">
            <v>kas9171@nyp.org</v>
          </cell>
          <cell r="K3379" t="str">
            <v>Unknown</v>
          </cell>
          <cell r="L3379" t="str">
            <v>Uncategorized</v>
          </cell>
          <cell r="M3379" t="str">
            <v>No</v>
          </cell>
          <cell r="R3379" t="str">
            <v>GREENWALD JAMIESON</v>
          </cell>
          <cell r="S3379" t="str">
            <v>525 E 68TH ST, BOX 122</v>
          </cell>
          <cell r="T3379" t="str">
            <v>NEW YORK</v>
          </cell>
          <cell r="U3379" t="str">
            <v>NY</v>
          </cell>
          <cell r="V3379" t="str">
            <v>100654870</v>
          </cell>
          <cell r="AC3379" t="str">
            <v>M</v>
          </cell>
          <cell r="AD3379" t="str">
            <v>No</v>
          </cell>
          <cell r="AE3379" t="str">
            <v>NPI only</v>
          </cell>
          <cell r="AF3379" t="str">
            <v>nypeastacn</v>
          </cell>
          <cell r="AG3379" t="str">
            <v>P</v>
          </cell>
        </row>
        <row r="3380">
          <cell r="A3380" t="str">
            <v>1174918130</v>
          </cell>
          <cell r="C3380" t="str">
            <v>ZOE GRABINSKI</v>
          </cell>
          <cell r="G3380" t="str">
            <v>Kathryn Spaziani</v>
          </cell>
          <cell r="H3380" t="str">
            <v>(212) 305-1190</v>
          </cell>
          <cell r="J3380" t="str">
            <v>kas9171@nyp.org</v>
          </cell>
          <cell r="K3380" t="str">
            <v>Unknown</v>
          </cell>
          <cell r="L3380" t="str">
            <v>Uncategorized</v>
          </cell>
          <cell r="M3380" t="str">
            <v>No</v>
          </cell>
          <cell r="R3380" t="str">
            <v>GRABINSKI ZOE</v>
          </cell>
          <cell r="S3380" t="str">
            <v>3959 BROADWAY</v>
          </cell>
          <cell r="T3380" t="str">
            <v>NEW YORK</v>
          </cell>
          <cell r="U3380" t="str">
            <v>NY</v>
          </cell>
          <cell r="V3380" t="str">
            <v>100321559</v>
          </cell>
          <cell r="AC3380" t="str">
            <v>M</v>
          </cell>
          <cell r="AD3380" t="str">
            <v>No</v>
          </cell>
          <cell r="AE3380" t="str">
            <v>NPI only</v>
          </cell>
          <cell r="AF3380" t="str">
            <v>nypwestacn</v>
          </cell>
          <cell r="AG3380" t="str">
            <v>P</v>
          </cell>
        </row>
        <row r="3381">
          <cell r="A3381" t="str">
            <v>1821452822</v>
          </cell>
          <cell r="C3381" t="str">
            <v>ARMAND GOTTLIEB</v>
          </cell>
          <cell r="G3381" t="str">
            <v>Kathryn Spaziani</v>
          </cell>
          <cell r="H3381" t="str">
            <v>(212) 305-1190</v>
          </cell>
          <cell r="J3381" t="str">
            <v>kas9171@nyp.org</v>
          </cell>
          <cell r="K3381" t="str">
            <v>Unknown</v>
          </cell>
          <cell r="L3381" t="str">
            <v>Uncategorized</v>
          </cell>
          <cell r="M3381" t="str">
            <v>No</v>
          </cell>
          <cell r="R3381" t="str">
            <v>GOTTLIEB ARMAND</v>
          </cell>
          <cell r="S3381" t="str">
            <v>622 W 168TH ST</v>
          </cell>
          <cell r="T3381" t="str">
            <v>NEW YORK</v>
          </cell>
          <cell r="U3381" t="str">
            <v>NY</v>
          </cell>
          <cell r="V3381" t="str">
            <v>100323720</v>
          </cell>
          <cell r="AC3381" t="str">
            <v>M</v>
          </cell>
          <cell r="AD3381" t="str">
            <v>No</v>
          </cell>
          <cell r="AE3381" t="str">
            <v>NPI only</v>
          </cell>
          <cell r="AF3381" t="str">
            <v>nypwestacn</v>
          </cell>
          <cell r="AG3381" t="str">
            <v>P</v>
          </cell>
        </row>
        <row r="3382">
          <cell r="A3382" t="str">
            <v>1871913244</v>
          </cell>
          <cell r="C3382" t="str">
            <v>JASON GOODMAN</v>
          </cell>
          <cell r="G3382" t="str">
            <v>Kathryn Spaziani</v>
          </cell>
          <cell r="H3382" t="str">
            <v>(212) 305-1190</v>
          </cell>
          <cell r="J3382" t="str">
            <v>kas9171@nyp.org</v>
          </cell>
          <cell r="K3382" t="str">
            <v>Unknown</v>
          </cell>
          <cell r="L3382" t="str">
            <v>Uncategorized</v>
          </cell>
          <cell r="M3382" t="str">
            <v>No</v>
          </cell>
          <cell r="R3382" t="str">
            <v>GOODMAN JASON</v>
          </cell>
          <cell r="S3382" t="str">
            <v>177 FORT WASHINGTON AVE</v>
          </cell>
          <cell r="T3382" t="str">
            <v>NEW YORK</v>
          </cell>
          <cell r="U3382" t="str">
            <v>NY</v>
          </cell>
          <cell r="V3382" t="str">
            <v>100323733</v>
          </cell>
          <cell r="AC3382" t="str">
            <v>M</v>
          </cell>
          <cell r="AD3382" t="str">
            <v>No</v>
          </cell>
          <cell r="AE3382" t="str">
            <v>NPI only</v>
          </cell>
          <cell r="AF3382" t="str">
            <v>nypwestacn</v>
          </cell>
          <cell r="AG3382" t="str">
            <v>P</v>
          </cell>
        </row>
        <row r="3383">
          <cell r="A3383" t="str">
            <v>1750745493</v>
          </cell>
          <cell r="C3383" t="str">
            <v>AMANDA GONZALEZ</v>
          </cell>
          <cell r="G3383" t="str">
            <v>Kathryn Spaziani</v>
          </cell>
          <cell r="H3383" t="str">
            <v>(212) 305-1190</v>
          </cell>
          <cell r="J3383" t="str">
            <v>kas9171@nyp.org</v>
          </cell>
          <cell r="K3383" t="str">
            <v>Unknown</v>
          </cell>
          <cell r="L3383" t="str">
            <v>Uncategorized</v>
          </cell>
          <cell r="M3383" t="str">
            <v>No</v>
          </cell>
          <cell r="R3383" t="str">
            <v>GONZALEZ AMANDA</v>
          </cell>
          <cell r="S3383" t="str">
            <v>3959 BROADWAY</v>
          </cell>
          <cell r="T3383" t="str">
            <v>NEW YORK</v>
          </cell>
          <cell r="U3383" t="str">
            <v>NY</v>
          </cell>
          <cell r="V3383" t="str">
            <v>100321559</v>
          </cell>
          <cell r="AC3383" t="str">
            <v>M</v>
          </cell>
          <cell r="AD3383" t="str">
            <v>No</v>
          </cell>
          <cell r="AE3383" t="str">
            <v>NPI only</v>
          </cell>
          <cell r="AF3383" t="str">
            <v>nypwestacn</v>
          </cell>
          <cell r="AG3383" t="str">
            <v>P</v>
          </cell>
        </row>
        <row r="3384">
          <cell r="A3384" t="str">
            <v>1972958163</v>
          </cell>
          <cell r="C3384" t="str">
            <v>CHRISTOPHER GONZALEZ</v>
          </cell>
          <cell r="G3384" t="str">
            <v>Kathryn Spaziani</v>
          </cell>
          <cell r="H3384" t="str">
            <v>(212) 305-1190</v>
          </cell>
          <cell r="J3384" t="str">
            <v>kas9171@nyp.org</v>
          </cell>
          <cell r="K3384" t="str">
            <v>Unknown</v>
          </cell>
          <cell r="L3384" t="str">
            <v>Uncategorized</v>
          </cell>
          <cell r="M3384" t="str">
            <v>No</v>
          </cell>
          <cell r="R3384" t="str">
            <v>GONZALEZ CHRISTOPHER</v>
          </cell>
          <cell r="S3384" t="str">
            <v>622 W 168TH ST</v>
          </cell>
          <cell r="T3384" t="str">
            <v>NEW YORK</v>
          </cell>
          <cell r="U3384" t="str">
            <v>NY</v>
          </cell>
          <cell r="V3384" t="str">
            <v>100323720</v>
          </cell>
          <cell r="AC3384" t="str">
            <v>M</v>
          </cell>
          <cell r="AD3384" t="str">
            <v>No</v>
          </cell>
          <cell r="AE3384" t="str">
            <v>NPI only</v>
          </cell>
          <cell r="AF3384" t="str">
            <v>nypwestacn</v>
          </cell>
          <cell r="AG3384" t="str">
            <v>P</v>
          </cell>
        </row>
        <row r="3385">
          <cell r="A3385" t="str">
            <v>1700275427</v>
          </cell>
          <cell r="C3385" t="str">
            <v>ADINA GOLDBERGER</v>
          </cell>
          <cell r="G3385" t="str">
            <v>Kathryn Spaziani</v>
          </cell>
          <cell r="H3385" t="str">
            <v>(212) 305-1190</v>
          </cell>
          <cell r="J3385" t="str">
            <v>kas9171@nyp.org</v>
          </cell>
          <cell r="K3385" t="str">
            <v>Unknown</v>
          </cell>
          <cell r="L3385" t="str">
            <v>Uncategorized</v>
          </cell>
          <cell r="M3385" t="str">
            <v>No</v>
          </cell>
          <cell r="R3385" t="str">
            <v>KERN-GOLDBERGER ADINA</v>
          </cell>
          <cell r="S3385" t="str">
            <v>622 W 168TH ST, SUITE 16-29</v>
          </cell>
          <cell r="T3385" t="str">
            <v>NEW YORK</v>
          </cell>
          <cell r="U3385" t="str">
            <v>NY</v>
          </cell>
          <cell r="V3385" t="str">
            <v>100323720</v>
          </cell>
          <cell r="AC3385" t="str">
            <v>M</v>
          </cell>
          <cell r="AD3385" t="str">
            <v>No</v>
          </cell>
          <cell r="AE3385" t="str">
            <v>NPI only</v>
          </cell>
          <cell r="AF3385" t="str">
            <v>nypwestacn</v>
          </cell>
          <cell r="AG3385" t="str">
            <v>P</v>
          </cell>
        </row>
        <row r="3386">
          <cell r="A3386" t="str">
            <v>1619395902</v>
          </cell>
          <cell r="C3386" t="str">
            <v>LAUREN GOLDBERG</v>
          </cell>
          <cell r="G3386" t="str">
            <v>Kathryn Spaziani</v>
          </cell>
          <cell r="H3386" t="str">
            <v>(212) 305-1190</v>
          </cell>
          <cell r="J3386" t="str">
            <v>kas9171@nyp.org</v>
          </cell>
          <cell r="K3386" t="str">
            <v>Unknown</v>
          </cell>
          <cell r="L3386" t="str">
            <v>Uncategorized</v>
          </cell>
          <cell r="M3386" t="str">
            <v>No</v>
          </cell>
          <cell r="R3386" t="str">
            <v>ROTHSTEIN LAUREN DR.</v>
          </cell>
          <cell r="S3386" t="str">
            <v>177 FORT WASHINGTON AVE</v>
          </cell>
          <cell r="T3386" t="str">
            <v>NEW YORK</v>
          </cell>
          <cell r="U3386" t="str">
            <v>NY</v>
          </cell>
          <cell r="V3386" t="str">
            <v>100323733</v>
          </cell>
          <cell r="AC3386" t="str">
            <v>M</v>
          </cell>
          <cell r="AD3386" t="str">
            <v>No</v>
          </cell>
          <cell r="AE3386" t="str">
            <v>NPI only</v>
          </cell>
          <cell r="AF3386" t="str">
            <v>nypwestacn</v>
          </cell>
          <cell r="AG3386" t="str">
            <v>P</v>
          </cell>
        </row>
        <row r="3387">
          <cell r="A3387" t="str">
            <v>1346694064</v>
          </cell>
          <cell r="C3387" t="str">
            <v>JEREMY GOLD</v>
          </cell>
          <cell r="G3387" t="str">
            <v>Kathryn Spaziani</v>
          </cell>
          <cell r="H3387" t="str">
            <v>(212) 305-1190</v>
          </cell>
          <cell r="J3387" t="str">
            <v>kas9171@nyp.org</v>
          </cell>
          <cell r="K3387" t="str">
            <v>Unknown</v>
          </cell>
          <cell r="L3387" t="str">
            <v>Uncategorized</v>
          </cell>
          <cell r="M3387" t="str">
            <v>No</v>
          </cell>
          <cell r="R3387" t="str">
            <v>GOLD JEREMY DR.</v>
          </cell>
          <cell r="S3387" t="str">
            <v>622 W 168TH ST</v>
          </cell>
          <cell r="T3387" t="str">
            <v>NEW YORK</v>
          </cell>
          <cell r="U3387" t="str">
            <v>NY</v>
          </cell>
          <cell r="V3387" t="str">
            <v>100323720</v>
          </cell>
          <cell r="AC3387" t="str">
            <v>M</v>
          </cell>
          <cell r="AD3387" t="str">
            <v>No</v>
          </cell>
          <cell r="AE3387" t="str">
            <v>NPI only</v>
          </cell>
          <cell r="AF3387" t="str">
            <v>nypwestacn</v>
          </cell>
          <cell r="AG3387" t="str">
            <v>P</v>
          </cell>
        </row>
        <row r="3388">
          <cell r="A3388" t="str">
            <v>1801258975</v>
          </cell>
          <cell r="C3388" t="str">
            <v>STEPHANIE GOLD</v>
          </cell>
          <cell r="G3388" t="str">
            <v>Kathryn Spaziani</v>
          </cell>
          <cell r="H3388" t="str">
            <v>(212) 305-1190</v>
          </cell>
          <cell r="J3388" t="str">
            <v>kas9171@nyp.org</v>
          </cell>
          <cell r="K3388" t="str">
            <v>Unknown</v>
          </cell>
          <cell r="L3388" t="str">
            <v>Uncategorized</v>
          </cell>
          <cell r="M3388" t="str">
            <v>No</v>
          </cell>
          <cell r="R3388" t="str">
            <v>GOLD STEPHANIE</v>
          </cell>
          <cell r="S3388" t="str">
            <v>505 E 70TH ST</v>
          </cell>
          <cell r="T3388" t="str">
            <v>NEW YORK</v>
          </cell>
          <cell r="U3388" t="str">
            <v>NY</v>
          </cell>
          <cell r="V3388" t="str">
            <v>100214872</v>
          </cell>
          <cell r="AC3388" t="str">
            <v>M</v>
          </cell>
          <cell r="AD3388" t="str">
            <v>No</v>
          </cell>
          <cell r="AE3388" t="str">
            <v>NPI only</v>
          </cell>
          <cell r="AF3388" t="str">
            <v>nypeastacn</v>
          </cell>
          <cell r="AG3388" t="str">
            <v>P</v>
          </cell>
        </row>
        <row r="3389">
          <cell r="A3389" t="str">
            <v>1003200387</v>
          </cell>
          <cell r="C3389" t="str">
            <v>PRIYANKA GHOSH</v>
          </cell>
          <cell r="G3389" t="str">
            <v>Kathryn Spaziani</v>
          </cell>
          <cell r="H3389" t="str">
            <v>(212) 305-1190</v>
          </cell>
          <cell r="J3389" t="str">
            <v>kas9171@nyp.org</v>
          </cell>
          <cell r="K3389" t="str">
            <v>Unknown</v>
          </cell>
          <cell r="L3389" t="str">
            <v>Uncategorized</v>
          </cell>
          <cell r="M3389" t="str">
            <v>No</v>
          </cell>
          <cell r="R3389" t="str">
            <v>GHOSH PRIYANKA</v>
          </cell>
          <cell r="S3389" t="str">
            <v>525 E 68TH ST, BOX 122</v>
          </cell>
          <cell r="T3389" t="str">
            <v>NEW YORK</v>
          </cell>
          <cell r="U3389" t="str">
            <v>NY</v>
          </cell>
          <cell r="V3389" t="str">
            <v>100654870</v>
          </cell>
          <cell r="AC3389" t="str">
            <v>M</v>
          </cell>
          <cell r="AD3389" t="str">
            <v>No</v>
          </cell>
          <cell r="AE3389" t="str">
            <v>NPI only</v>
          </cell>
          <cell r="AF3389" t="str">
            <v>nypeastacn</v>
          </cell>
          <cell r="AG3389" t="str">
            <v>P</v>
          </cell>
        </row>
        <row r="3390">
          <cell r="A3390" t="str">
            <v>1548622392</v>
          </cell>
          <cell r="C3390" t="str">
            <v>GAURAV GHOSH</v>
          </cell>
          <cell r="G3390" t="str">
            <v>Kathryn Spaziani</v>
          </cell>
          <cell r="H3390" t="str">
            <v>(212) 305-1190</v>
          </cell>
          <cell r="J3390" t="str">
            <v>kas9171@nyp.org</v>
          </cell>
          <cell r="K3390" t="str">
            <v>Unknown</v>
          </cell>
          <cell r="L3390" t="str">
            <v>Uncategorized</v>
          </cell>
          <cell r="M3390" t="str">
            <v>No</v>
          </cell>
          <cell r="R3390" t="str">
            <v>GHOSH GAURAV</v>
          </cell>
          <cell r="S3390" t="str">
            <v>505 E 70TH ST, WEILL CORNELL INTERNAL MEDICINE ASSOCIATES</v>
          </cell>
          <cell r="T3390" t="str">
            <v>NEW YORK</v>
          </cell>
          <cell r="U3390" t="str">
            <v>NY</v>
          </cell>
          <cell r="V3390" t="str">
            <v>100214872</v>
          </cell>
          <cell r="AC3390" t="str">
            <v>M</v>
          </cell>
          <cell r="AD3390" t="str">
            <v>No</v>
          </cell>
          <cell r="AE3390" t="str">
            <v>NPI only</v>
          </cell>
          <cell r="AF3390" t="str">
            <v>nypeastacn</v>
          </cell>
          <cell r="AG3390" t="str">
            <v>P</v>
          </cell>
        </row>
        <row r="3391">
          <cell r="A3391" t="str">
            <v>1023462462</v>
          </cell>
          <cell r="C3391" t="str">
            <v>GLORIA GERBER</v>
          </cell>
          <cell r="G3391" t="str">
            <v>Kathryn Spaziani</v>
          </cell>
          <cell r="H3391" t="str">
            <v>(212) 305-1190</v>
          </cell>
          <cell r="J3391" t="str">
            <v>kas9171@nyp.org</v>
          </cell>
          <cell r="K3391" t="str">
            <v>Unknown</v>
          </cell>
          <cell r="L3391" t="str">
            <v>Uncategorized</v>
          </cell>
          <cell r="M3391" t="str">
            <v>No</v>
          </cell>
          <cell r="R3391" t="str">
            <v>GERBER GLORIA</v>
          </cell>
          <cell r="S3391" t="str">
            <v>505 EAST 70TH STREET, WEILL CORNELL INTERNAL MEDICINE ASSOCIATES</v>
          </cell>
          <cell r="T3391" t="str">
            <v>NEW YORK</v>
          </cell>
          <cell r="U3391" t="str">
            <v>NY</v>
          </cell>
          <cell r="V3391" t="str">
            <v>10021</v>
          </cell>
          <cell r="AC3391" t="str">
            <v>M</v>
          </cell>
          <cell r="AD3391" t="str">
            <v>No</v>
          </cell>
          <cell r="AE3391" t="str">
            <v>NPI only</v>
          </cell>
          <cell r="AF3391" t="str">
            <v>nypeastacn</v>
          </cell>
          <cell r="AG3391" t="str">
            <v>P</v>
          </cell>
        </row>
        <row r="3392">
          <cell r="A3392" t="str">
            <v>1548689821</v>
          </cell>
          <cell r="C3392" t="str">
            <v>MICHAEL GAVALAS</v>
          </cell>
          <cell r="G3392" t="str">
            <v>Kathryn Spaziani</v>
          </cell>
          <cell r="H3392" t="str">
            <v>(212) 305-1190</v>
          </cell>
          <cell r="J3392" t="str">
            <v>kas9171@nyp.org</v>
          </cell>
          <cell r="K3392" t="str">
            <v>Unknown</v>
          </cell>
          <cell r="L3392" t="str">
            <v>Uncategorized</v>
          </cell>
          <cell r="M3392" t="str">
            <v>No</v>
          </cell>
          <cell r="R3392" t="str">
            <v>GAVALAS MICHAEL</v>
          </cell>
          <cell r="S3392" t="str">
            <v>622 W 168TH ST</v>
          </cell>
          <cell r="T3392" t="str">
            <v>NEW YORK</v>
          </cell>
          <cell r="U3392" t="str">
            <v>NY</v>
          </cell>
          <cell r="V3392" t="str">
            <v>100323720</v>
          </cell>
          <cell r="AC3392" t="str">
            <v>M</v>
          </cell>
          <cell r="AD3392" t="str">
            <v>No</v>
          </cell>
          <cell r="AE3392" t="str">
            <v>NPI only</v>
          </cell>
          <cell r="AF3392" t="str">
            <v>nypwestacn</v>
          </cell>
          <cell r="AG3392" t="str">
            <v>P</v>
          </cell>
        </row>
        <row r="3393">
          <cell r="A3393" t="str">
            <v>1649632092</v>
          </cell>
          <cell r="C3393" t="str">
            <v>MARCO GARCIA</v>
          </cell>
          <cell r="G3393" t="str">
            <v>Kathryn Spaziani</v>
          </cell>
          <cell r="H3393" t="str">
            <v>(212) 305-1190</v>
          </cell>
          <cell r="J3393" t="str">
            <v>kas9171@nyp.org</v>
          </cell>
          <cell r="K3393" t="str">
            <v>Unknown</v>
          </cell>
          <cell r="L3393" t="str">
            <v>Uncategorized</v>
          </cell>
          <cell r="M3393" t="str">
            <v>No</v>
          </cell>
          <cell r="R3393" t="str">
            <v>GARCIA MARCO</v>
          </cell>
          <cell r="S3393" t="str">
            <v>3959 BROADWAY</v>
          </cell>
          <cell r="T3393" t="str">
            <v>NEW YORK</v>
          </cell>
          <cell r="U3393" t="str">
            <v>NY</v>
          </cell>
          <cell r="V3393" t="str">
            <v>100321559</v>
          </cell>
          <cell r="AC3393" t="str">
            <v>M</v>
          </cell>
          <cell r="AD3393" t="str">
            <v>No</v>
          </cell>
          <cell r="AE3393" t="str">
            <v>NPI only</v>
          </cell>
          <cell r="AF3393" t="str">
            <v>nypwestacn</v>
          </cell>
          <cell r="AG3393" t="str">
            <v>P</v>
          </cell>
        </row>
        <row r="3394">
          <cell r="A3394" t="str">
            <v>1801215835</v>
          </cell>
          <cell r="C3394" t="str">
            <v>CAROLYN GARCIA</v>
          </cell>
          <cell r="G3394" t="str">
            <v>Kathryn Spaziani</v>
          </cell>
          <cell r="H3394" t="str">
            <v>(212) 305-1190</v>
          </cell>
          <cell r="J3394" t="str">
            <v>kas9171@nyp.org</v>
          </cell>
          <cell r="K3394" t="str">
            <v>Unknown</v>
          </cell>
          <cell r="L3394" t="str">
            <v>Uncategorized</v>
          </cell>
          <cell r="M3394" t="str">
            <v>No</v>
          </cell>
          <cell r="R3394" t="str">
            <v>GARCIA CAROLYN</v>
          </cell>
          <cell r="S3394" t="str">
            <v>177 FORT WASHINGTON AVE</v>
          </cell>
          <cell r="T3394" t="str">
            <v>NEW YORK</v>
          </cell>
          <cell r="U3394" t="str">
            <v>NY</v>
          </cell>
          <cell r="V3394" t="str">
            <v>100323733</v>
          </cell>
          <cell r="AC3394" t="str">
            <v>M</v>
          </cell>
          <cell r="AD3394" t="str">
            <v>No</v>
          </cell>
          <cell r="AE3394" t="str">
            <v>NPI only</v>
          </cell>
          <cell r="AF3394" t="str">
            <v>nypwestacn</v>
          </cell>
          <cell r="AG3394" t="str">
            <v>P</v>
          </cell>
        </row>
        <row r="3395">
          <cell r="A3395" t="str">
            <v>1295120426</v>
          </cell>
          <cell r="C3395" t="str">
            <v>LEONID GARBER</v>
          </cell>
          <cell r="G3395" t="str">
            <v>Kathryn Spaziani</v>
          </cell>
          <cell r="H3395" t="str">
            <v>(212) 305-1190</v>
          </cell>
          <cell r="J3395" t="str">
            <v>kas9171@nyp.org</v>
          </cell>
          <cell r="K3395" t="str">
            <v>Unknown</v>
          </cell>
          <cell r="L3395" t="str">
            <v>Uncategorized</v>
          </cell>
          <cell r="M3395" t="str">
            <v>No</v>
          </cell>
          <cell r="R3395" t="str">
            <v>GARBER LEONID</v>
          </cell>
          <cell r="S3395" t="str">
            <v>622 W 168TH ST</v>
          </cell>
          <cell r="T3395" t="str">
            <v>NEW YORK</v>
          </cell>
          <cell r="U3395" t="str">
            <v>NY</v>
          </cell>
          <cell r="V3395" t="str">
            <v>100323720</v>
          </cell>
          <cell r="AC3395" t="str">
            <v>M</v>
          </cell>
          <cell r="AD3395" t="str">
            <v>No</v>
          </cell>
          <cell r="AE3395" t="str">
            <v>NPI only</v>
          </cell>
          <cell r="AF3395" t="str">
            <v>nypwestacn</v>
          </cell>
          <cell r="AG3395" t="str">
            <v>P</v>
          </cell>
        </row>
        <row r="3396">
          <cell r="A3396" t="str">
            <v>1578958005</v>
          </cell>
          <cell r="C3396" t="str">
            <v>BENJAMIN GALLAGHER</v>
          </cell>
          <cell r="G3396" t="str">
            <v>Kathryn Spaziani</v>
          </cell>
          <cell r="H3396" t="str">
            <v>(212) 305-1190</v>
          </cell>
          <cell r="J3396" t="str">
            <v>kas9171@nyp.org</v>
          </cell>
          <cell r="K3396" t="str">
            <v>Unknown</v>
          </cell>
          <cell r="L3396" t="str">
            <v>Uncategorized</v>
          </cell>
          <cell r="M3396" t="str">
            <v>No</v>
          </cell>
          <cell r="R3396" t="str">
            <v>GALLAGHER BENJAMIN</v>
          </cell>
          <cell r="S3396" t="str">
            <v>622 W 168TH ST, #205</v>
          </cell>
          <cell r="T3396" t="str">
            <v>NEW YORK</v>
          </cell>
          <cell r="U3396" t="str">
            <v>NY</v>
          </cell>
          <cell r="V3396" t="str">
            <v>100323720</v>
          </cell>
          <cell r="AC3396" t="str">
            <v>M</v>
          </cell>
          <cell r="AD3396" t="str">
            <v>No</v>
          </cell>
          <cell r="AE3396" t="str">
            <v>NPI only</v>
          </cell>
          <cell r="AF3396" t="str">
            <v>nypwestacn</v>
          </cell>
          <cell r="AG3396" t="str">
            <v>P</v>
          </cell>
        </row>
        <row r="3397">
          <cell r="A3397" t="str">
            <v>1992190581</v>
          </cell>
          <cell r="C3397" t="str">
            <v>LISA GABOR</v>
          </cell>
          <cell r="G3397" t="str">
            <v>Kathryn Spaziani</v>
          </cell>
          <cell r="H3397" t="str">
            <v>(212) 305-1190</v>
          </cell>
          <cell r="J3397" t="str">
            <v>kas9171@nyp.org</v>
          </cell>
          <cell r="K3397" t="str">
            <v>Unknown</v>
          </cell>
          <cell r="L3397" t="str">
            <v>Uncategorized</v>
          </cell>
          <cell r="M3397" t="str">
            <v>No</v>
          </cell>
          <cell r="R3397" t="str">
            <v>GABOR LISA DR.</v>
          </cell>
          <cell r="S3397" t="str">
            <v>622 W 168TH ST, PH 16-29</v>
          </cell>
          <cell r="T3397" t="str">
            <v>NEW YORK</v>
          </cell>
          <cell r="U3397" t="str">
            <v>NY</v>
          </cell>
          <cell r="V3397" t="str">
            <v>100323720</v>
          </cell>
          <cell r="AC3397" t="str">
            <v>M</v>
          </cell>
          <cell r="AD3397" t="str">
            <v>No</v>
          </cell>
          <cell r="AE3397" t="str">
            <v>NPI only</v>
          </cell>
          <cell r="AF3397" t="str">
            <v>nypwestacn</v>
          </cell>
          <cell r="AG3397" t="str">
            <v>P</v>
          </cell>
        </row>
        <row r="3398">
          <cell r="A3398" t="str">
            <v>1942664172</v>
          </cell>
          <cell r="C3398" t="str">
            <v>JONATHAN FRIEDMAN</v>
          </cell>
          <cell r="G3398" t="str">
            <v>Kathryn Spaziani</v>
          </cell>
          <cell r="H3398" t="str">
            <v>(212) 305-1190</v>
          </cell>
          <cell r="J3398" t="str">
            <v>kas9171@nyp.org</v>
          </cell>
          <cell r="K3398" t="str">
            <v>Unknown</v>
          </cell>
          <cell r="L3398" t="str">
            <v>Uncategorized</v>
          </cell>
          <cell r="M3398" t="str">
            <v>No</v>
          </cell>
          <cell r="R3398" t="str">
            <v>FRIEDMAN JONATHAN</v>
          </cell>
          <cell r="S3398" t="str">
            <v>505 E 70TH ST, 5TH FLOOR</v>
          </cell>
          <cell r="T3398" t="str">
            <v>NEW YORK</v>
          </cell>
          <cell r="U3398" t="str">
            <v>NY</v>
          </cell>
          <cell r="V3398" t="str">
            <v>100214872</v>
          </cell>
          <cell r="AC3398" t="str">
            <v>M</v>
          </cell>
          <cell r="AD3398" t="str">
            <v>No</v>
          </cell>
          <cell r="AE3398" t="str">
            <v>NPI only</v>
          </cell>
          <cell r="AF3398" t="str">
            <v>nypeastacn</v>
          </cell>
          <cell r="AG3398" t="str">
            <v>P</v>
          </cell>
        </row>
        <row r="3399">
          <cell r="A3399" t="str">
            <v>1487071502</v>
          </cell>
          <cell r="C3399" t="str">
            <v>CAROLINE FRIEDMAN</v>
          </cell>
          <cell r="G3399" t="str">
            <v>Kathryn Spaziani</v>
          </cell>
          <cell r="H3399" t="str">
            <v>(212) 305-1190</v>
          </cell>
          <cell r="J3399" t="str">
            <v>kas9171@nyp.org</v>
          </cell>
          <cell r="K3399" t="str">
            <v>Unknown</v>
          </cell>
          <cell r="L3399" t="str">
            <v>Uncategorized</v>
          </cell>
          <cell r="M3399" t="str">
            <v>No</v>
          </cell>
          <cell r="R3399" t="str">
            <v>FRIEDMAN CAROLINE</v>
          </cell>
          <cell r="S3399" t="str">
            <v>525 E 68TH ST</v>
          </cell>
          <cell r="T3399" t="str">
            <v>NEW YORK</v>
          </cell>
          <cell r="U3399" t="str">
            <v>NY</v>
          </cell>
          <cell r="V3399" t="str">
            <v>100654870</v>
          </cell>
          <cell r="AC3399" t="str">
            <v>M</v>
          </cell>
          <cell r="AD3399" t="str">
            <v>No</v>
          </cell>
          <cell r="AE3399" t="str">
            <v>NPI only</v>
          </cell>
          <cell r="AF3399" t="str">
            <v>nypeastacn</v>
          </cell>
          <cell r="AG3399" t="str">
            <v>P</v>
          </cell>
        </row>
        <row r="3400">
          <cell r="A3400" t="str">
            <v>1467847392</v>
          </cell>
          <cell r="C3400" t="str">
            <v>MICHAEL FREMED</v>
          </cell>
          <cell r="G3400" t="str">
            <v>Kathryn Spaziani</v>
          </cell>
          <cell r="H3400" t="str">
            <v>(212) 305-1190</v>
          </cell>
          <cell r="J3400" t="str">
            <v>kas9171@nyp.org</v>
          </cell>
          <cell r="K3400" t="str">
            <v>Unknown</v>
          </cell>
          <cell r="L3400" t="str">
            <v>Uncategorized</v>
          </cell>
          <cell r="M3400" t="str">
            <v>No</v>
          </cell>
          <cell r="R3400" t="str">
            <v>FREMED MICHAEL</v>
          </cell>
          <cell r="S3400" t="str">
            <v>3959 BROADWAY</v>
          </cell>
          <cell r="T3400" t="str">
            <v>NEW YORK</v>
          </cell>
          <cell r="U3400" t="str">
            <v>NY</v>
          </cell>
          <cell r="V3400" t="str">
            <v>100321559</v>
          </cell>
          <cell r="AC3400" t="str">
            <v>M</v>
          </cell>
          <cell r="AD3400" t="str">
            <v>No</v>
          </cell>
          <cell r="AE3400" t="str">
            <v>NPI only</v>
          </cell>
          <cell r="AF3400" t="str">
            <v>nypwestacn</v>
          </cell>
          <cell r="AG3400" t="str">
            <v>P</v>
          </cell>
        </row>
        <row r="3401">
          <cell r="A3401" t="str">
            <v>1780047423</v>
          </cell>
          <cell r="C3401" t="str">
            <v>MATTHEW FRANCO</v>
          </cell>
          <cell r="G3401" t="str">
            <v>Kathryn Spaziani</v>
          </cell>
          <cell r="H3401" t="str">
            <v>(212) 305-1190</v>
          </cell>
          <cell r="J3401" t="str">
            <v>kas9171@nyp.org</v>
          </cell>
          <cell r="K3401" t="str">
            <v>Unknown</v>
          </cell>
          <cell r="L3401" t="str">
            <v>Uncategorized</v>
          </cell>
          <cell r="M3401" t="str">
            <v>No</v>
          </cell>
          <cell r="R3401" t="str">
            <v>FRANCO MATTHEW</v>
          </cell>
          <cell r="S3401" t="str">
            <v>622 W 168TH ST</v>
          </cell>
          <cell r="T3401" t="str">
            <v>NEW YORK</v>
          </cell>
          <cell r="U3401" t="str">
            <v>NY</v>
          </cell>
          <cell r="V3401" t="str">
            <v>100323720</v>
          </cell>
          <cell r="AC3401" t="str">
            <v>M</v>
          </cell>
          <cell r="AD3401" t="str">
            <v>No</v>
          </cell>
          <cell r="AE3401" t="str">
            <v>NPI only</v>
          </cell>
          <cell r="AF3401" t="str">
            <v>nypwestacn</v>
          </cell>
          <cell r="AG3401" t="str">
            <v>P</v>
          </cell>
        </row>
        <row r="3402">
          <cell r="A3402" t="str">
            <v>1861886723</v>
          </cell>
          <cell r="C3402" t="str">
            <v>HECTOR FLORIMON</v>
          </cell>
          <cell r="G3402" t="str">
            <v>Kathryn Spaziani</v>
          </cell>
          <cell r="H3402" t="str">
            <v>(212) 305-1190</v>
          </cell>
          <cell r="J3402" t="str">
            <v>kas9171@nyp.org</v>
          </cell>
          <cell r="K3402" t="str">
            <v>Unknown</v>
          </cell>
          <cell r="L3402" t="str">
            <v>Uncategorized</v>
          </cell>
          <cell r="M3402" t="str">
            <v>No</v>
          </cell>
          <cell r="R3402" t="str">
            <v>FLORIMON HECTOR</v>
          </cell>
          <cell r="S3402" t="str">
            <v>630 W 168TH ST # 517</v>
          </cell>
          <cell r="T3402" t="str">
            <v>NEW YORK</v>
          </cell>
          <cell r="U3402" t="str">
            <v>NY</v>
          </cell>
          <cell r="V3402" t="str">
            <v>100323725</v>
          </cell>
          <cell r="AC3402" t="str">
            <v>M</v>
          </cell>
          <cell r="AD3402" t="str">
            <v>No</v>
          </cell>
          <cell r="AE3402" t="str">
            <v>NPI only</v>
          </cell>
          <cell r="AF3402" t="str">
            <v>nypwestacn</v>
          </cell>
          <cell r="AG3402" t="str">
            <v>P</v>
          </cell>
        </row>
        <row r="3403">
          <cell r="A3403" t="str">
            <v>1376938589</v>
          </cell>
          <cell r="C3403" t="str">
            <v>RAUL FLORES</v>
          </cell>
          <cell r="G3403" t="str">
            <v>Kathryn Spaziani</v>
          </cell>
          <cell r="H3403" t="str">
            <v>(212) 305-1190</v>
          </cell>
          <cell r="J3403" t="str">
            <v>kas9171@nyp.org</v>
          </cell>
          <cell r="K3403" t="str">
            <v>Unknown</v>
          </cell>
          <cell r="L3403" t="str">
            <v>Uncategorized</v>
          </cell>
          <cell r="M3403" t="str">
            <v>No</v>
          </cell>
          <cell r="R3403" t="str">
            <v>FLORES RAUL DR.</v>
          </cell>
          <cell r="S3403" t="str">
            <v>630 W 168TH ST</v>
          </cell>
          <cell r="T3403" t="str">
            <v>NEW YORK</v>
          </cell>
          <cell r="U3403" t="str">
            <v>NY</v>
          </cell>
          <cell r="V3403" t="str">
            <v>100323725</v>
          </cell>
          <cell r="AC3403" t="str">
            <v>M</v>
          </cell>
          <cell r="AD3403" t="str">
            <v>No</v>
          </cell>
          <cell r="AE3403" t="str">
            <v>NPI only</v>
          </cell>
          <cell r="AF3403" t="str">
            <v>nypwestacn</v>
          </cell>
          <cell r="AG3403" t="str">
            <v>P</v>
          </cell>
        </row>
        <row r="3404">
          <cell r="A3404" t="str">
            <v>1104244532</v>
          </cell>
          <cell r="C3404" t="str">
            <v>JUDE FLEMING</v>
          </cell>
          <cell r="G3404" t="str">
            <v>Kathryn Spaziani</v>
          </cell>
          <cell r="H3404" t="str">
            <v>(212) 305-1190</v>
          </cell>
          <cell r="J3404" t="str">
            <v>kas9171@nyp.org</v>
          </cell>
          <cell r="K3404" t="str">
            <v>Unknown</v>
          </cell>
          <cell r="L3404" t="str">
            <v>Uncategorized</v>
          </cell>
          <cell r="M3404" t="str">
            <v>No</v>
          </cell>
          <cell r="R3404" t="str">
            <v>FLEMING JUDE</v>
          </cell>
          <cell r="S3404" t="str">
            <v>630 W 168TH ST</v>
          </cell>
          <cell r="T3404" t="str">
            <v>NEW YORK</v>
          </cell>
          <cell r="U3404" t="str">
            <v>NY</v>
          </cell>
          <cell r="V3404" t="str">
            <v>100323725</v>
          </cell>
          <cell r="AC3404" t="str">
            <v>M</v>
          </cell>
          <cell r="AD3404" t="str">
            <v>No</v>
          </cell>
          <cell r="AE3404" t="str">
            <v>NPI only</v>
          </cell>
          <cell r="AF3404" t="str">
            <v>nypwestacn</v>
          </cell>
          <cell r="AG3404" t="str">
            <v>P</v>
          </cell>
        </row>
        <row r="3405">
          <cell r="A3405" t="str">
            <v>1639597388</v>
          </cell>
          <cell r="C3405" t="str">
            <v>NOA FLEISS</v>
          </cell>
          <cell r="G3405" t="str">
            <v>Kathryn Spaziani</v>
          </cell>
          <cell r="H3405" t="str">
            <v>(212) 305-1190</v>
          </cell>
          <cell r="J3405" t="str">
            <v>kas9171@nyp.org</v>
          </cell>
          <cell r="K3405" t="str">
            <v>Unknown</v>
          </cell>
          <cell r="L3405" t="str">
            <v>Uncategorized</v>
          </cell>
          <cell r="M3405" t="str">
            <v>No</v>
          </cell>
          <cell r="R3405" t="str">
            <v>FLEISS NOA</v>
          </cell>
          <cell r="S3405" t="str">
            <v>3959 BROADWAY, MORGAN STANLEY CHILDREN'S HOSPITAL</v>
          </cell>
          <cell r="T3405" t="str">
            <v>NEW YORK</v>
          </cell>
          <cell r="U3405" t="str">
            <v>NY</v>
          </cell>
          <cell r="V3405" t="str">
            <v>10032</v>
          </cell>
          <cell r="AC3405" t="str">
            <v>M</v>
          </cell>
          <cell r="AD3405" t="str">
            <v>No</v>
          </cell>
          <cell r="AE3405" t="str">
            <v>NPI only</v>
          </cell>
          <cell r="AF3405" t="str">
            <v>nypwestacn</v>
          </cell>
          <cell r="AG3405" t="str">
            <v>P</v>
          </cell>
        </row>
        <row r="3406">
          <cell r="A3406" t="str">
            <v>1679991806</v>
          </cell>
          <cell r="C3406" t="str">
            <v>CECILIA FIX</v>
          </cell>
          <cell r="G3406" t="str">
            <v>Kathryn Spaziani</v>
          </cell>
          <cell r="H3406" t="str">
            <v>(212) 305-1190</v>
          </cell>
          <cell r="J3406" t="str">
            <v>kas9171@nyp.org</v>
          </cell>
          <cell r="K3406" t="str">
            <v>Unknown</v>
          </cell>
          <cell r="L3406" t="str">
            <v>Uncategorized</v>
          </cell>
          <cell r="M3406" t="str">
            <v>No</v>
          </cell>
          <cell r="R3406" t="str">
            <v>FIX CECILIA</v>
          </cell>
          <cell r="S3406" t="str">
            <v>722 W 168TH ST</v>
          </cell>
          <cell r="T3406" t="str">
            <v>NEW YORK</v>
          </cell>
          <cell r="U3406" t="str">
            <v>NY</v>
          </cell>
          <cell r="V3406" t="str">
            <v>100323727</v>
          </cell>
          <cell r="AC3406" t="str">
            <v>M</v>
          </cell>
          <cell r="AD3406" t="str">
            <v>No</v>
          </cell>
          <cell r="AE3406" t="str">
            <v>NPI only</v>
          </cell>
          <cell r="AF3406" t="str">
            <v>nypwestacn</v>
          </cell>
          <cell r="AG3406" t="str">
            <v>P</v>
          </cell>
        </row>
        <row r="3407">
          <cell r="A3407" t="str">
            <v>1578958658</v>
          </cell>
          <cell r="C3407" t="str">
            <v>MORGAN FINKEL</v>
          </cell>
          <cell r="G3407" t="str">
            <v>Kathryn Spaziani</v>
          </cell>
          <cell r="H3407" t="str">
            <v>(212) 305-1190</v>
          </cell>
          <cell r="J3407" t="str">
            <v>kas9171@nyp.org</v>
          </cell>
          <cell r="K3407" t="str">
            <v>Unknown</v>
          </cell>
          <cell r="L3407" t="str">
            <v>Uncategorized</v>
          </cell>
          <cell r="M3407" t="str">
            <v>No</v>
          </cell>
          <cell r="R3407" t="str">
            <v>FINKEL MORGAN</v>
          </cell>
          <cell r="S3407" t="str">
            <v>3959 BROADWAY</v>
          </cell>
          <cell r="T3407" t="str">
            <v>NEW YORK</v>
          </cell>
          <cell r="U3407" t="str">
            <v>NY</v>
          </cell>
          <cell r="V3407" t="str">
            <v>100321559</v>
          </cell>
          <cell r="AC3407" t="str">
            <v>M</v>
          </cell>
          <cell r="AD3407" t="str">
            <v>No</v>
          </cell>
          <cell r="AE3407" t="str">
            <v>NPI only</v>
          </cell>
          <cell r="AF3407" t="str">
            <v>nypwestacn</v>
          </cell>
          <cell r="AG3407" t="str">
            <v>P</v>
          </cell>
        </row>
        <row r="3408">
          <cell r="A3408" t="str">
            <v>1508251752</v>
          </cell>
          <cell r="C3408" t="str">
            <v>JESSICA FIELDS</v>
          </cell>
          <cell r="G3408" t="str">
            <v>Kathryn Spaziani</v>
          </cell>
          <cell r="H3408" t="str">
            <v>(212) 305-1190</v>
          </cell>
          <cell r="J3408" t="str">
            <v>kas9171@nyp.org</v>
          </cell>
          <cell r="K3408" t="str">
            <v>Unknown</v>
          </cell>
          <cell r="L3408" t="str">
            <v>Uncategorized</v>
          </cell>
          <cell r="M3408" t="str">
            <v>No</v>
          </cell>
          <cell r="R3408" t="str">
            <v>FIELDS JESSICA</v>
          </cell>
          <cell r="S3408" t="str">
            <v>525 E 68TH ST, BOX 122</v>
          </cell>
          <cell r="T3408" t="str">
            <v>NEW YORK</v>
          </cell>
          <cell r="U3408" t="str">
            <v>NY</v>
          </cell>
          <cell r="V3408" t="str">
            <v>100654870</v>
          </cell>
          <cell r="AC3408" t="str">
            <v>M</v>
          </cell>
          <cell r="AD3408" t="str">
            <v>No</v>
          </cell>
          <cell r="AE3408" t="str">
            <v>NPI only</v>
          </cell>
          <cell r="AF3408" t="str">
            <v>nypeastacn</v>
          </cell>
          <cell r="AG3408" t="str">
            <v>P</v>
          </cell>
        </row>
        <row r="3409">
          <cell r="A3409" t="str">
            <v>1295155216</v>
          </cell>
          <cell r="C3409" t="str">
            <v>DANIELLE FERNANDES</v>
          </cell>
          <cell r="G3409" t="str">
            <v>Kathryn Spaziani</v>
          </cell>
          <cell r="H3409" t="str">
            <v>(212) 305-1190</v>
          </cell>
          <cell r="J3409" t="str">
            <v>kas9171@nyp.org</v>
          </cell>
          <cell r="K3409" t="str">
            <v>Unknown</v>
          </cell>
          <cell r="L3409" t="str">
            <v>Uncategorized</v>
          </cell>
          <cell r="M3409" t="str">
            <v>No</v>
          </cell>
          <cell r="R3409" t="str">
            <v>FERNANDES DANIELLE DR.</v>
          </cell>
          <cell r="S3409" t="str">
            <v>3959 BROADWAY</v>
          </cell>
          <cell r="T3409" t="str">
            <v>NEW YORK</v>
          </cell>
          <cell r="U3409" t="str">
            <v>NY</v>
          </cell>
          <cell r="V3409" t="str">
            <v>100321559</v>
          </cell>
          <cell r="AC3409" t="str">
            <v>M</v>
          </cell>
          <cell r="AD3409" t="str">
            <v>No</v>
          </cell>
          <cell r="AE3409" t="str">
            <v>NPI only</v>
          </cell>
          <cell r="AF3409" t="str">
            <v>nypwestacn</v>
          </cell>
          <cell r="AG3409" t="str">
            <v>P</v>
          </cell>
        </row>
        <row r="3410">
          <cell r="A3410" t="str">
            <v>1205255619</v>
          </cell>
          <cell r="C3410" t="str">
            <v>KATHLEEN FENN</v>
          </cell>
          <cell r="G3410" t="str">
            <v>Kathryn Spaziani</v>
          </cell>
          <cell r="H3410" t="str">
            <v>(212) 305-1190</v>
          </cell>
          <cell r="J3410" t="str">
            <v>kas9171@nyp.org</v>
          </cell>
          <cell r="K3410" t="str">
            <v>Unknown</v>
          </cell>
          <cell r="L3410" t="str">
            <v>Uncategorized</v>
          </cell>
          <cell r="M3410" t="str">
            <v>No</v>
          </cell>
          <cell r="R3410" t="str">
            <v>FENN KATHLEEN</v>
          </cell>
          <cell r="S3410" t="str">
            <v>630 W 168TH ST</v>
          </cell>
          <cell r="T3410" t="str">
            <v>NEW YORK</v>
          </cell>
          <cell r="U3410" t="str">
            <v>NY</v>
          </cell>
          <cell r="V3410" t="str">
            <v>100323725</v>
          </cell>
          <cell r="AC3410" t="str">
            <v>M</v>
          </cell>
          <cell r="AD3410" t="str">
            <v>No</v>
          </cell>
          <cell r="AE3410" t="str">
            <v>NPI only</v>
          </cell>
          <cell r="AF3410" t="str">
            <v>nypwestacn</v>
          </cell>
          <cell r="AG3410" t="str">
            <v>P</v>
          </cell>
        </row>
        <row r="3411">
          <cell r="A3411" t="str">
            <v>1730574252</v>
          </cell>
          <cell r="C3411" t="str">
            <v>DANIEL FARRELL</v>
          </cell>
          <cell r="G3411" t="str">
            <v>Kathryn Spaziani</v>
          </cell>
          <cell r="H3411" t="str">
            <v>(212) 305-1190</v>
          </cell>
          <cell r="J3411" t="str">
            <v>kas9171@nyp.org</v>
          </cell>
          <cell r="K3411" t="str">
            <v>Unknown</v>
          </cell>
          <cell r="L3411" t="str">
            <v>Uncategorized</v>
          </cell>
          <cell r="M3411" t="str">
            <v>No</v>
          </cell>
          <cell r="R3411" t="str">
            <v>FARRELL DANIEL</v>
          </cell>
          <cell r="S3411" t="str">
            <v>622 W 168TH ST</v>
          </cell>
          <cell r="T3411" t="str">
            <v>NEW YORK</v>
          </cell>
          <cell r="U3411" t="str">
            <v>NY</v>
          </cell>
          <cell r="V3411" t="str">
            <v>100323720</v>
          </cell>
          <cell r="AC3411" t="str">
            <v>M</v>
          </cell>
          <cell r="AD3411" t="str">
            <v>No</v>
          </cell>
          <cell r="AE3411" t="str">
            <v>NPI only</v>
          </cell>
          <cell r="AF3411" t="str">
            <v>nypwestacn</v>
          </cell>
          <cell r="AG3411" t="str">
            <v>P</v>
          </cell>
        </row>
        <row r="3412">
          <cell r="A3412" t="str">
            <v>1861888018</v>
          </cell>
          <cell r="C3412" t="str">
            <v>DANIELA FANTO</v>
          </cell>
          <cell r="G3412" t="str">
            <v>Kathryn Spaziani</v>
          </cell>
          <cell r="H3412" t="str">
            <v>(212) 305-1190</v>
          </cell>
          <cell r="J3412" t="str">
            <v>kas9171@nyp.org</v>
          </cell>
          <cell r="K3412" t="str">
            <v>Unknown</v>
          </cell>
          <cell r="L3412" t="str">
            <v>Uncategorized</v>
          </cell>
          <cell r="M3412" t="str">
            <v>No</v>
          </cell>
          <cell r="R3412" t="str">
            <v>FANTO DANIELA</v>
          </cell>
          <cell r="S3412" t="str">
            <v>610 W 158TH ST</v>
          </cell>
          <cell r="T3412" t="str">
            <v>NEW YORK</v>
          </cell>
          <cell r="U3412" t="str">
            <v>NY</v>
          </cell>
          <cell r="V3412" t="str">
            <v>100327104</v>
          </cell>
          <cell r="AC3412" t="str">
            <v>M</v>
          </cell>
          <cell r="AD3412" t="str">
            <v>No</v>
          </cell>
          <cell r="AE3412" t="str">
            <v>NPI only</v>
          </cell>
          <cell r="AF3412" t="str">
            <v>nypwestacn</v>
          </cell>
          <cell r="AG3412" t="str">
            <v>P</v>
          </cell>
        </row>
        <row r="3413">
          <cell r="A3413" t="str">
            <v>1144682568</v>
          </cell>
          <cell r="C3413" t="str">
            <v>JOHN FALCONE</v>
          </cell>
          <cell r="G3413" t="str">
            <v>Kathryn Spaziani</v>
          </cell>
          <cell r="H3413" t="str">
            <v>(212) 305-1190</v>
          </cell>
          <cell r="J3413" t="str">
            <v>kas9171@nyp.org</v>
          </cell>
          <cell r="K3413" t="str">
            <v>Unknown</v>
          </cell>
          <cell r="L3413" t="str">
            <v>Uncategorized</v>
          </cell>
          <cell r="M3413" t="str">
            <v>No</v>
          </cell>
          <cell r="R3413" t="str">
            <v>FALCONE JOHN DR.</v>
          </cell>
          <cell r="S3413" t="str">
            <v>505 E 70TH ST</v>
          </cell>
          <cell r="T3413" t="str">
            <v>NEW YORK</v>
          </cell>
          <cell r="U3413" t="str">
            <v>NY</v>
          </cell>
          <cell r="V3413" t="str">
            <v>100214872</v>
          </cell>
          <cell r="AC3413" t="str">
            <v>M</v>
          </cell>
          <cell r="AD3413" t="str">
            <v>No</v>
          </cell>
          <cell r="AE3413" t="str">
            <v>NPI only</v>
          </cell>
          <cell r="AF3413" t="str">
            <v>nypeastacn</v>
          </cell>
          <cell r="AG3413" t="str">
            <v>P</v>
          </cell>
        </row>
        <row r="3414">
          <cell r="A3414" t="str">
            <v>1982023347</v>
          </cell>
          <cell r="C3414" t="str">
            <v>SASHA FAHME</v>
          </cell>
          <cell r="G3414" t="str">
            <v>Kathryn Spaziani</v>
          </cell>
          <cell r="H3414" t="str">
            <v>(212) 305-1190</v>
          </cell>
          <cell r="J3414" t="str">
            <v>kas9171@nyp.org</v>
          </cell>
          <cell r="K3414" t="str">
            <v>Unknown</v>
          </cell>
          <cell r="L3414" t="str">
            <v>Uncategorized</v>
          </cell>
          <cell r="M3414" t="str">
            <v>No</v>
          </cell>
          <cell r="R3414" t="str">
            <v>FAHME SASHA</v>
          </cell>
          <cell r="S3414" t="str">
            <v>622 W 168TH ST</v>
          </cell>
          <cell r="T3414" t="str">
            <v>NEW YORK</v>
          </cell>
          <cell r="U3414" t="str">
            <v>NY</v>
          </cell>
          <cell r="V3414" t="str">
            <v>100323720</v>
          </cell>
          <cell r="AC3414" t="str">
            <v>M</v>
          </cell>
          <cell r="AD3414" t="str">
            <v>No</v>
          </cell>
          <cell r="AE3414" t="str">
            <v>NPI only</v>
          </cell>
          <cell r="AF3414" t="str">
            <v>nypwestacn</v>
          </cell>
          <cell r="AG3414" t="str">
            <v>P</v>
          </cell>
        </row>
        <row r="3415">
          <cell r="A3415" t="str">
            <v>1487041455</v>
          </cell>
          <cell r="C3415" t="str">
            <v>JESSIE EVANGELISTA</v>
          </cell>
          <cell r="G3415" t="str">
            <v>Kathryn Spaziani</v>
          </cell>
          <cell r="H3415" t="str">
            <v>(212) 305-1190</v>
          </cell>
          <cell r="J3415" t="str">
            <v>kas9171@nyp.org</v>
          </cell>
          <cell r="K3415" t="str">
            <v>Unknown</v>
          </cell>
          <cell r="L3415" t="str">
            <v>Uncategorized</v>
          </cell>
          <cell r="M3415" t="str">
            <v>No</v>
          </cell>
          <cell r="R3415" t="str">
            <v>EVANGELISTA JESSIE</v>
          </cell>
          <cell r="S3415" t="str">
            <v>525 E 68TH ST, DEPARTMENT OF PEDIATRICS</v>
          </cell>
          <cell r="T3415" t="str">
            <v>NEW YORK</v>
          </cell>
          <cell r="U3415" t="str">
            <v>NY</v>
          </cell>
          <cell r="V3415" t="str">
            <v>100654870</v>
          </cell>
          <cell r="AC3415" t="str">
            <v>M</v>
          </cell>
          <cell r="AD3415" t="str">
            <v>No</v>
          </cell>
          <cell r="AE3415" t="str">
            <v>NPI only</v>
          </cell>
          <cell r="AF3415" t="str">
            <v>nypeastacn</v>
          </cell>
          <cell r="AG3415" t="str">
            <v>P</v>
          </cell>
        </row>
        <row r="3416">
          <cell r="A3416" t="str">
            <v>1609262120</v>
          </cell>
          <cell r="C3416" t="str">
            <v>SRAVYA ENNAMURI</v>
          </cell>
          <cell r="G3416" t="str">
            <v>Kathryn Spaziani</v>
          </cell>
          <cell r="H3416" t="str">
            <v>(212) 305-1190</v>
          </cell>
          <cell r="J3416" t="str">
            <v>kas9171@nyp.org</v>
          </cell>
          <cell r="K3416" t="str">
            <v>Unknown</v>
          </cell>
          <cell r="L3416" t="str">
            <v>Uncategorized</v>
          </cell>
          <cell r="M3416" t="str">
            <v>No</v>
          </cell>
          <cell r="R3416" t="str">
            <v>ENNAMURI SRAVYA</v>
          </cell>
          <cell r="S3416" t="str">
            <v>705 SCOTTS BLF</v>
          </cell>
          <cell r="T3416" t="str">
            <v>NORMAN</v>
          </cell>
          <cell r="U3416" t="str">
            <v>OK</v>
          </cell>
          <cell r="V3416" t="str">
            <v>730724835</v>
          </cell>
          <cell r="AC3416" t="str">
            <v>M</v>
          </cell>
          <cell r="AD3416" t="str">
            <v>No</v>
          </cell>
          <cell r="AE3416" t="str">
            <v>NPI only</v>
          </cell>
          <cell r="AF3416" t="str">
            <v>nypeastacn</v>
          </cell>
          <cell r="AG3416" t="str">
            <v>P</v>
          </cell>
        </row>
        <row r="3417">
          <cell r="A3417" t="str">
            <v>1013335355</v>
          </cell>
          <cell r="C3417" t="str">
            <v>IHEANACHO EMERUWA</v>
          </cell>
          <cell r="G3417" t="str">
            <v>Kathryn Spaziani</v>
          </cell>
          <cell r="H3417" t="str">
            <v>(212) 305-1190</v>
          </cell>
          <cell r="J3417" t="str">
            <v>kas9171@nyp.org</v>
          </cell>
          <cell r="K3417" t="str">
            <v>Unknown</v>
          </cell>
          <cell r="L3417" t="str">
            <v>Uncategorized</v>
          </cell>
          <cell r="M3417" t="str">
            <v>No</v>
          </cell>
          <cell r="R3417" t="str">
            <v>EMERUWA IHEANACHO DR.</v>
          </cell>
          <cell r="S3417" t="str">
            <v>177 FORT WASHINGTON AVE</v>
          </cell>
          <cell r="T3417" t="str">
            <v>NEW YORK</v>
          </cell>
          <cell r="U3417" t="str">
            <v>NY</v>
          </cell>
          <cell r="V3417" t="str">
            <v>100323733</v>
          </cell>
          <cell r="AC3417" t="str">
            <v>M</v>
          </cell>
          <cell r="AD3417" t="str">
            <v>No</v>
          </cell>
          <cell r="AE3417" t="str">
            <v>NPI only</v>
          </cell>
          <cell r="AF3417" t="str">
            <v>nypwestacn</v>
          </cell>
          <cell r="AG3417" t="str">
            <v>P</v>
          </cell>
        </row>
        <row r="3418">
          <cell r="A3418" t="str">
            <v>1396164018</v>
          </cell>
          <cell r="C3418" t="str">
            <v>JULIA EMANUEL</v>
          </cell>
          <cell r="G3418" t="str">
            <v>Kathryn Spaziani</v>
          </cell>
          <cell r="H3418" t="str">
            <v>(212) 305-1190</v>
          </cell>
          <cell r="J3418" t="str">
            <v>kas9171@nyp.org</v>
          </cell>
          <cell r="K3418" t="str">
            <v>Unknown</v>
          </cell>
          <cell r="L3418" t="str">
            <v>Uncategorized</v>
          </cell>
          <cell r="M3418" t="str">
            <v>No</v>
          </cell>
          <cell r="R3418" t="str">
            <v>EMANUEL JULIA</v>
          </cell>
          <cell r="S3418" t="str">
            <v>3959 BROADWAY</v>
          </cell>
          <cell r="T3418" t="str">
            <v>NEW YORK</v>
          </cell>
          <cell r="U3418" t="str">
            <v>NY</v>
          </cell>
          <cell r="V3418" t="str">
            <v>100321559</v>
          </cell>
          <cell r="AC3418" t="str">
            <v>M</v>
          </cell>
          <cell r="AD3418" t="str">
            <v>No</v>
          </cell>
          <cell r="AE3418" t="str">
            <v>NPI only</v>
          </cell>
          <cell r="AF3418" t="str">
            <v>nypwestacn</v>
          </cell>
          <cell r="AG3418" t="str">
            <v>P</v>
          </cell>
        </row>
        <row r="3419">
          <cell r="A3419" t="str">
            <v>1497100440</v>
          </cell>
          <cell r="C3419" t="str">
            <v>RACHEL ELKIN</v>
          </cell>
          <cell r="G3419" t="str">
            <v>Kathryn Spaziani</v>
          </cell>
          <cell r="H3419" t="str">
            <v>(212) 305-1190</v>
          </cell>
          <cell r="J3419" t="str">
            <v>kas9171@nyp.org</v>
          </cell>
          <cell r="K3419" t="str">
            <v>Unknown</v>
          </cell>
          <cell r="L3419" t="str">
            <v>Uncategorized</v>
          </cell>
          <cell r="M3419" t="str">
            <v>No</v>
          </cell>
          <cell r="R3419" t="str">
            <v>ELKIN RACHEL</v>
          </cell>
          <cell r="S3419" t="str">
            <v>3959 BROADWAY</v>
          </cell>
          <cell r="T3419" t="str">
            <v>NEW YORK</v>
          </cell>
          <cell r="U3419" t="str">
            <v>NY</v>
          </cell>
          <cell r="V3419" t="str">
            <v>100321559</v>
          </cell>
          <cell r="AC3419" t="str">
            <v>M</v>
          </cell>
          <cell r="AD3419" t="str">
            <v>No</v>
          </cell>
          <cell r="AE3419" t="str">
            <v>NPI only</v>
          </cell>
          <cell r="AF3419" t="str">
            <v>nypwestacn</v>
          </cell>
          <cell r="AG3419" t="str">
            <v>P</v>
          </cell>
        </row>
        <row r="3420">
          <cell r="A3420" t="str">
            <v>1770947418</v>
          </cell>
          <cell r="C3420" t="str">
            <v>PIERRE ELIAS</v>
          </cell>
          <cell r="G3420" t="str">
            <v>Kathryn Spaziani</v>
          </cell>
          <cell r="H3420" t="str">
            <v>(212) 305-1190</v>
          </cell>
          <cell r="J3420" t="str">
            <v>kas9171@nyp.org</v>
          </cell>
          <cell r="K3420" t="str">
            <v>Unknown</v>
          </cell>
          <cell r="L3420" t="str">
            <v>Uncategorized</v>
          </cell>
          <cell r="M3420" t="str">
            <v>No</v>
          </cell>
          <cell r="R3420" t="str">
            <v>ELIAS PIERRE DR.</v>
          </cell>
          <cell r="S3420" t="str">
            <v>622 W 168TH ST</v>
          </cell>
          <cell r="T3420" t="str">
            <v>NEW YORK</v>
          </cell>
          <cell r="U3420" t="str">
            <v>NY</v>
          </cell>
          <cell r="V3420" t="str">
            <v>100323720</v>
          </cell>
          <cell r="AC3420" t="str">
            <v>M</v>
          </cell>
          <cell r="AD3420" t="str">
            <v>No</v>
          </cell>
          <cell r="AE3420" t="str">
            <v>NPI only</v>
          </cell>
          <cell r="AF3420" t="str">
            <v>nypwestacn</v>
          </cell>
          <cell r="AG3420" t="str">
            <v>P</v>
          </cell>
        </row>
        <row r="3421">
          <cell r="A3421" t="str">
            <v>1912392747</v>
          </cell>
          <cell r="C3421" t="str">
            <v>DANIEL EISON</v>
          </cell>
          <cell r="G3421" t="str">
            <v>Kathryn Spaziani</v>
          </cell>
          <cell r="H3421" t="str">
            <v>(212) 305-1190</v>
          </cell>
          <cell r="J3421" t="str">
            <v>kas9171@nyp.org</v>
          </cell>
          <cell r="K3421" t="str">
            <v>Unknown</v>
          </cell>
          <cell r="L3421" t="str">
            <v>Uncategorized</v>
          </cell>
          <cell r="M3421" t="str">
            <v>No</v>
          </cell>
          <cell r="R3421" t="str">
            <v>EISON DANIEL</v>
          </cell>
          <cell r="S3421" t="str">
            <v>3959 BROADWAY</v>
          </cell>
          <cell r="T3421" t="str">
            <v>NEW YORK</v>
          </cell>
          <cell r="U3421" t="str">
            <v>NY</v>
          </cell>
          <cell r="V3421" t="str">
            <v>100321559</v>
          </cell>
          <cell r="AC3421" t="str">
            <v>M</v>
          </cell>
          <cell r="AD3421" t="str">
            <v>No</v>
          </cell>
          <cell r="AE3421" t="str">
            <v>NPI only</v>
          </cell>
          <cell r="AF3421" t="str">
            <v>nypwestacn</v>
          </cell>
          <cell r="AG3421" t="str">
            <v>P</v>
          </cell>
        </row>
        <row r="3422">
          <cell r="A3422" t="str">
            <v>1790139780</v>
          </cell>
          <cell r="C3422" t="str">
            <v>MIKEL EHNTHOLT</v>
          </cell>
          <cell r="G3422" t="str">
            <v>Kathryn Spaziani</v>
          </cell>
          <cell r="H3422" t="str">
            <v>(212) 305-1190</v>
          </cell>
          <cell r="J3422" t="str">
            <v>kas9171@nyp.org</v>
          </cell>
          <cell r="K3422" t="str">
            <v>Unknown</v>
          </cell>
          <cell r="L3422" t="str">
            <v>Uncategorized</v>
          </cell>
          <cell r="M3422" t="str">
            <v>No</v>
          </cell>
          <cell r="R3422" t="str">
            <v>EHNTHOLT MIKEL</v>
          </cell>
          <cell r="S3422" t="str">
            <v>100 E PALISADE AVE, APT A24</v>
          </cell>
          <cell r="T3422" t="str">
            <v>ENGLEWOOD</v>
          </cell>
          <cell r="U3422" t="str">
            <v>NJ</v>
          </cell>
          <cell r="V3422" t="str">
            <v>076313046</v>
          </cell>
          <cell r="AC3422" t="str">
            <v>M</v>
          </cell>
          <cell r="AD3422" t="str">
            <v>No</v>
          </cell>
          <cell r="AE3422" t="str">
            <v>NPI only</v>
          </cell>
          <cell r="AF3422" t="str">
            <v>nypeastacn</v>
          </cell>
          <cell r="AG3422" t="str">
            <v>P</v>
          </cell>
        </row>
        <row r="3423">
          <cell r="A3423" t="str">
            <v>1104211358</v>
          </cell>
          <cell r="C3423" t="str">
            <v>ROSS EHMKE</v>
          </cell>
          <cell r="G3423" t="str">
            <v>Kathryn Spaziani</v>
          </cell>
          <cell r="H3423" t="str">
            <v>(212) 305-1190</v>
          </cell>
          <cell r="J3423" t="str">
            <v>kas9171@nyp.org</v>
          </cell>
          <cell r="K3423" t="str">
            <v>Unknown</v>
          </cell>
          <cell r="L3423" t="str">
            <v>Uncategorized</v>
          </cell>
          <cell r="M3423" t="str">
            <v>No</v>
          </cell>
          <cell r="R3423" t="str">
            <v>EHMKE ROSS</v>
          </cell>
          <cell r="S3423" t="str">
            <v>60 HAVEN AVE, APT 18D</v>
          </cell>
          <cell r="T3423" t="str">
            <v>NEW YORK</v>
          </cell>
          <cell r="U3423" t="str">
            <v>NY</v>
          </cell>
          <cell r="V3423" t="str">
            <v>100322604</v>
          </cell>
          <cell r="AC3423" t="str">
            <v>M</v>
          </cell>
          <cell r="AD3423" t="str">
            <v>No</v>
          </cell>
          <cell r="AE3423" t="str">
            <v>NPI only</v>
          </cell>
          <cell r="AF3423" t="str">
            <v>nypwestacn</v>
          </cell>
          <cell r="AG3423" t="str">
            <v>P</v>
          </cell>
        </row>
        <row r="3424">
          <cell r="A3424" t="str">
            <v>1225423288</v>
          </cell>
          <cell r="C3424" t="str">
            <v>CHRISTINA ECKHARDT</v>
          </cell>
          <cell r="G3424" t="str">
            <v>Kathryn Spaziani</v>
          </cell>
          <cell r="H3424" t="str">
            <v>(212) 305-1190</v>
          </cell>
          <cell r="J3424" t="str">
            <v>kas9171@nyp.org</v>
          </cell>
          <cell r="K3424" t="str">
            <v>Unknown</v>
          </cell>
          <cell r="L3424" t="str">
            <v>Uncategorized</v>
          </cell>
          <cell r="M3424" t="str">
            <v>No</v>
          </cell>
          <cell r="R3424" t="str">
            <v>ECKHARDT CHRISTINA DR.</v>
          </cell>
          <cell r="S3424" t="str">
            <v>622 W 168TH ST, #205</v>
          </cell>
          <cell r="T3424" t="str">
            <v>NEW YORK</v>
          </cell>
          <cell r="U3424" t="str">
            <v>NY</v>
          </cell>
          <cell r="V3424" t="str">
            <v>100323720</v>
          </cell>
          <cell r="AC3424" t="str">
            <v>M</v>
          </cell>
          <cell r="AD3424" t="str">
            <v>No</v>
          </cell>
          <cell r="AE3424" t="str">
            <v>NPI only</v>
          </cell>
          <cell r="AF3424" t="str">
            <v>nypwestacn</v>
          </cell>
          <cell r="AG3424" t="str">
            <v>P</v>
          </cell>
        </row>
        <row r="3425">
          <cell r="A3425" t="str">
            <v>1285052613</v>
          </cell>
          <cell r="C3425" t="str">
            <v>RACHEL EASTERWOOD</v>
          </cell>
          <cell r="G3425" t="str">
            <v>Kathryn Spaziani</v>
          </cell>
          <cell r="H3425" t="str">
            <v>(212) 305-1190</v>
          </cell>
          <cell r="J3425" t="str">
            <v>kas9171@nyp.org</v>
          </cell>
          <cell r="K3425" t="str">
            <v>Unknown</v>
          </cell>
          <cell r="L3425" t="str">
            <v>Uncategorized</v>
          </cell>
          <cell r="M3425" t="str">
            <v>No</v>
          </cell>
          <cell r="R3425" t="str">
            <v>EASTERWOOD RACHEL</v>
          </cell>
          <cell r="S3425" t="str">
            <v>177 FORT WASHINGTON AVE, 6TH FLOOR CENTER, ROOM 12</v>
          </cell>
          <cell r="T3425" t="str">
            <v>NEW YORK</v>
          </cell>
          <cell r="U3425" t="str">
            <v>NY</v>
          </cell>
          <cell r="V3425" t="str">
            <v>100323733</v>
          </cell>
          <cell r="AC3425" t="str">
            <v>M</v>
          </cell>
          <cell r="AD3425" t="str">
            <v>No</v>
          </cell>
          <cell r="AE3425" t="str">
            <v>NPI only</v>
          </cell>
          <cell r="AF3425" t="str">
            <v>nypwestacn</v>
          </cell>
          <cell r="AG3425" t="str">
            <v>P</v>
          </cell>
        </row>
        <row r="3426">
          <cell r="A3426" t="str">
            <v>1285029678</v>
          </cell>
          <cell r="C3426" t="str">
            <v>KATHRYN DUBOWSKI</v>
          </cell>
          <cell r="G3426" t="str">
            <v>Kathryn Spaziani</v>
          </cell>
          <cell r="H3426" t="str">
            <v>(212) 305-1190</v>
          </cell>
          <cell r="J3426" t="str">
            <v>kas9171@nyp.org</v>
          </cell>
          <cell r="K3426" t="str">
            <v>Unknown</v>
          </cell>
          <cell r="L3426" t="str">
            <v>Uncategorized</v>
          </cell>
          <cell r="M3426" t="str">
            <v>No</v>
          </cell>
          <cell r="R3426" t="str">
            <v>DUBOWSKI KATHRYN</v>
          </cell>
          <cell r="S3426" t="str">
            <v>622 W 168TH ST # 205</v>
          </cell>
          <cell r="T3426" t="str">
            <v>NEW YORK</v>
          </cell>
          <cell r="U3426" t="str">
            <v>NY</v>
          </cell>
          <cell r="V3426" t="str">
            <v>100323720</v>
          </cell>
          <cell r="AC3426" t="str">
            <v>M</v>
          </cell>
          <cell r="AD3426" t="str">
            <v>No</v>
          </cell>
          <cell r="AE3426" t="str">
            <v>NPI only</v>
          </cell>
          <cell r="AF3426" t="str">
            <v>nypwestacn</v>
          </cell>
          <cell r="AG3426" t="str">
            <v>P</v>
          </cell>
        </row>
        <row r="3427">
          <cell r="A3427" t="str">
            <v>1750776225</v>
          </cell>
          <cell r="C3427" t="str">
            <v>THEODORE DRIVAS</v>
          </cell>
          <cell r="G3427" t="str">
            <v>Kathryn Spaziani</v>
          </cell>
          <cell r="H3427" t="str">
            <v>(212) 305-1190</v>
          </cell>
          <cell r="J3427" t="str">
            <v>kas9171@nyp.org</v>
          </cell>
          <cell r="K3427" t="str">
            <v>Unknown</v>
          </cell>
          <cell r="L3427" t="str">
            <v>Uncategorized</v>
          </cell>
          <cell r="M3427" t="str">
            <v>No</v>
          </cell>
          <cell r="R3427" t="str">
            <v>DRIVAS THEODORE</v>
          </cell>
          <cell r="S3427" t="str">
            <v>622 W 168TH ST # 205</v>
          </cell>
          <cell r="T3427" t="str">
            <v>NEW YORK</v>
          </cell>
          <cell r="U3427" t="str">
            <v>NY</v>
          </cell>
          <cell r="V3427" t="str">
            <v>100323720</v>
          </cell>
          <cell r="AC3427" t="str">
            <v>M</v>
          </cell>
          <cell r="AD3427" t="str">
            <v>No</v>
          </cell>
          <cell r="AE3427" t="str">
            <v>NPI only</v>
          </cell>
          <cell r="AF3427" t="str">
            <v>nypwestacn</v>
          </cell>
          <cell r="AG3427" t="str">
            <v>P</v>
          </cell>
        </row>
        <row r="3428">
          <cell r="A3428" t="str">
            <v>1699161075</v>
          </cell>
          <cell r="C3428" t="str">
            <v>DENZIL DOUGLAS</v>
          </cell>
          <cell r="G3428" t="str">
            <v>Kathryn Spaziani</v>
          </cell>
          <cell r="H3428" t="str">
            <v>(212) 305-1190</v>
          </cell>
          <cell r="J3428" t="str">
            <v>kas9171@nyp.org</v>
          </cell>
          <cell r="K3428" t="str">
            <v>Unknown</v>
          </cell>
          <cell r="L3428" t="str">
            <v>Uncategorized</v>
          </cell>
          <cell r="M3428" t="str">
            <v>No</v>
          </cell>
          <cell r="R3428" t="str">
            <v>DOUGLAS DENZIL</v>
          </cell>
          <cell r="S3428" t="str">
            <v>622 W 168TH ST # 205</v>
          </cell>
          <cell r="T3428" t="str">
            <v>NEW YORK</v>
          </cell>
          <cell r="U3428" t="str">
            <v>NY</v>
          </cell>
          <cell r="V3428" t="str">
            <v>100323720</v>
          </cell>
          <cell r="AC3428" t="str">
            <v>M</v>
          </cell>
          <cell r="AD3428" t="str">
            <v>No</v>
          </cell>
          <cell r="AE3428" t="str">
            <v>NPI only</v>
          </cell>
          <cell r="AF3428" t="str">
            <v>nypwestacn</v>
          </cell>
          <cell r="AG3428" t="str">
            <v>P</v>
          </cell>
        </row>
        <row r="3429">
          <cell r="A3429" t="str">
            <v>1700205879</v>
          </cell>
          <cell r="C3429" t="str">
            <v>ELYCEIA DORTCH</v>
          </cell>
          <cell r="G3429" t="str">
            <v>Kathryn Spaziani</v>
          </cell>
          <cell r="H3429" t="str">
            <v>(212) 305-1190</v>
          </cell>
          <cell r="J3429" t="str">
            <v>kas9171@nyp.org</v>
          </cell>
          <cell r="K3429" t="str">
            <v>Unknown</v>
          </cell>
          <cell r="L3429" t="str">
            <v>Uncategorized</v>
          </cell>
          <cell r="M3429" t="str">
            <v>No</v>
          </cell>
          <cell r="R3429" t="str">
            <v>DORTCH ELYCEIA DR.</v>
          </cell>
          <cell r="S3429" t="str">
            <v>5596 MARBUT RD</v>
          </cell>
          <cell r="T3429" t="str">
            <v>LITHONIA</v>
          </cell>
          <cell r="U3429" t="str">
            <v>GA</v>
          </cell>
          <cell r="V3429" t="str">
            <v>300587855</v>
          </cell>
          <cell r="AC3429" t="str">
            <v>M</v>
          </cell>
          <cell r="AD3429" t="str">
            <v>No</v>
          </cell>
          <cell r="AE3429" t="str">
            <v>NPI only</v>
          </cell>
          <cell r="AF3429" t="str">
            <v>nypwestacn</v>
          </cell>
          <cell r="AG3429" t="str">
            <v>P</v>
          </cell>
        </row>
        <row r="3430">
          <cell r="A3430" t="str">
            <v>1003159401</v>
          </cell>
          <cell r="C3430" t="str">
            <v>MARIANNE DINAPOLI</v>
          </cell>
          <cell r="G3430" t="str">
            <v>Kathryn Spaziani</v>
          </cell>
          <cell r="H3430" t="str">
            <v>(212) 305-1190</v>
          </cell>
          <cell r="J3430" t="str">
            <v>kas9171@nyp.org</v>
          </cell>
          <cell r="K3430" t="str">
            <v>Unknown</v>
          </cell>
          <cell r="L3430" t="str">
            <v>Uncategorized</v>
          </cell>
          <cell r="M3430" t="str">
            <v>No</v>
          </cell>
          <cell r="R3430" t="str">
            <v>DINAPOLI MARIANNE DR.</v>
          </cell>
          <cell r="S3430" t="str">
            <v>622 W 168TH ST, DEPARTMENT OF OB/GYN, PH-16</v>
          </cell>
          <cell r="T3430" t="str">
            <v>NEW YORK</v>
          </cell>
          <cell r="U3430" t="str">
            <v>NY</v>
          </cell>
          <cell r="V3430" t="str">
            <v>100323720</v>
          </cell>
          <cell r="AC3430" t="str">
            <v>M</v>
          </cell>
          <cell r="AD3430" t="str">
            <v>No</v>
          </cell>
          <cell r="AE3430" t="str">
            <v>NPI only</v>
          </cell>
          <cell r="AF3430" t="str">
            <v>nypwestacn</v>
          </cell>
          <cell r="AG3430" t="str">
            <v>P</v>
          </cell>
        </row>
        <row r="3431">
          <cell r="A3431" t="str">
            <v>1518386796</v>
          </cell>
          <cell r="C3431" t="str">
            <v>DONALD DIETZ</v>
          </cell>
          <cell r="G3431" t="str">
            <v>Kathryn Spaziani</v>
          </cell>
          <cell r="H3431" t="str">
            <v>(212) 305-1190</v>
          </cell>
          <cell r="J3431" t="str">
            <v>kas9171@nyp.org</v>
          </cell>
          <cell r="K3431" t="str">
            <v>Unknown</v>
          </cell>
          <cell r="L3431" t="str">
            <v>Uncategorized</v>
          </cell>
          <cell r="M3431" t="str">
            <v>No</v>
          </cell>
          <cell r="R3431" t="str">
            <v>DIETZ DONALD DR.</v>
          </cell>
          <cell r="S3431" t="str">
            <v>630 W 186TH ST.</v>
          </cell>
          <cell r="T3431" t="str">
            <v>NEW YORK</v>
          </cell>
          <cell r="U3431" t="str">
            <v>NY</v>
          </cell>
          <cell r="V3431" t="str">
            <v>10032</v>
          </cell>
          <cell r="AC3431" t="str">
            <v>M</v>
          </cell>
          <cell r="AD3431" t="str">
            <v>No</v>
          </cell>
          <cell r="AE3431" t="str">
            <v>NPI only</v>
          </cell>
          <cell r="AF3431" t="str">
            <v>nypwestacn</v>
          </cell>
          <cell r="AG3431" t="str">
            <v>P</v>
          </cell>
        </row>
        <row r="3432">
          <cell r="A3432" t="str">
            <v>1770946634</v>
          </cell>
          <cell r="C3432" t="str">
            <v>JAMIE DIAMOND</v>
          </cell>
          <cell r="G3432" t="str">
            <v>Kathryn Spaziani</v>
          </cell>
          <cell r="H3432" t="str">
            <v>(212) 305-1190</v>
          </cell>
          <cell r="J3432" t="str">
            <v>kas9171@nyp.org</v>
          </cell>
          <cell r="K3432" t="str">
            <v>Unknown</v>
          </cell>
          <cell r="L3432" t="str">
            <v>Uncategorized</v>
          </cell>
          <cell r="M3432" t="str">
            <v>No</v>
          </cell>
          <cell r="R3432" t="str">
            <v>DIAMOND JAMIE</v>
          </cell>
          <cell r="S3432" t="str">
            <v>622 W 168TH ST</v>
          </cell>
          <cell r="T3432" t="str">
            <v>NEW YORK</v>
          </cell>
          <cell r="U3432" t="str">
            <v>NY</v>
          </cell>
          <cell r="V3432" t="str">
            <v>100323720</v>
          </cell>
          <cell r="AC3432" t="str">
            <v>M</v>
          </cell>
          <cell r="AD3432" t="str">
            <v>No</v>
          </cell>
          <cell r="AE3432" t="str">
            <v>NPI only</v>
          </cell>
          <cell r="AF3432" t="str">
            <v>nypwestacn</v>
          </cell>
          <cell r="AG3432" t="str">
            <v>P</v>
          </cell>
        </row>
        <row r="3433">
          <cell r="A3433" t="str">
            <v>1275928657</v>
          </cell>
          <cell r="C3433" t="str">
            <v>SUSAN DEWOLF</v>
          </cell>
          <cell r="G3433" t="str">
            <v>Kathryn Spaziani</v>
          </cell>
          <cell r="H3433" t="str">
            <v>(212) 305-1190</v>
          </cell>
          <cell r="J3433" t="str">
            <v>kas9171@nyp.org</v>
          </cell>
          <cell r="K3433" t="str">
            <v>Unknown</v>
          </cell>
          <cell r="L3433" t="str">
            <v>Uncategorized</v>
          </cell>
          <cell r="M3433" t="str">
            <v>No</v>
          </cell>
          <cell r="R3433" t="str">
            <v>DEWOLF SUSAN</v>
          </cell>
          <cell r="S3433" t="str">
            <v>622 W 168TH ST, #205</v>
          </cell>
          <cell r="T3433" t="str">
            <v>NEW YORK</v>
          </cell>
          <cell r="U3433" t="str">
            <v>NY</v>
          </cell>
          <cell r="V3433" t="str">
            <v>100323720</v>
          </cell>
          <cell r="AC3433" t="str">
            <v>M</v>
          </cell>
          <cell r="AD3433" t="str">
            <v>No</v>
          </cell>
          <cell r="AE3433" t="str">
            <v>NPI only</v>
          </cell>
          <cell r="AF3433" t="str">
            <v>nypwestacn</v>
          </cell>
          <cell r="AG3433" t="str">
            <v>P</v>
          </cell>
        </row>
        <row r="3434">
          <cell r="A3434" t="str">
            <v>1942629548</v>
          </cell>
          <cell r="C3434" t="str">
            <v>CATHERINE DEVOE</v>
          </cell>
          <cell r="G3434" t="str">
            <v>Kathryn Spaziani</v>
          </cell>
          <cell r="H3434" t="str">
            <v>(212) 305-1190</v>
          </cell>
          <cell r="J3434" t="str">
            <v>kas9171@nyp.org</v>
          </cell>
          <cell r="K3434" t="str">
            <v>Unknown</v>
          </cell>
          <cell r="L3434" t="str">
            <v>Uncategorized</v>
          </cell>
          <cell r="M3434" t="str">
            <v>No</v>
          </cell>
          <cell r="R3434" t="str">
            <v>DEVOE CATHERINE</v>
          </cell>
          <cell r="S3434" t="str">
            <v>722 W 168TH ST</v>
          </cell>
          <cell r="T3434" t="str">
            <v>NEW YORK</v>
          </cell>
          <cell r="U3434" t="str">
            <v>NY</v>
          </cell>
          <cell r="V3434" t="str">
            <v>100323727</v>
          </cell>
          <cell r="AC3434" t="str">
            <v>M</v>
          </cell>
          <cell r="AD3434" t="str">
            <v>No</v>
          </cell>
          <cell r="AE3434" t="str">
            <v>NPI only</v>
          </cell>
          <cell r="AF3434" t="str">
            <v>nypwestacn</v>
          </cell>
          <cell r="AG3434" t="str">
            <v>P</v>
          </cell>
        </row>
        <row r="3435">
          <cell r="A3435" t="str">
            <v>1205221603</v>
          </cell>
          <cell r="C3435" t="str">
            <v>ARDALAN DAVARIFAR</v>
          </cell>
          <cell r="G3435" t="str">
            <v>Kathryn Spaziani</v>
          </cell>
          <cell r="H3435" t="str">
            <v>(212) 305-1190</v>
          </cell>
          <cell r="J3435" t="str">
            <v>kas9171@nyp.org</v>
          </cell>
          <cell r="K3435" t="str">
            <v>Unknown</v>
          </cell>
          <cell r="L3435" t="str">
            <v>Uncategorized</v>
          </cell>
          <cell r="M3435" t="str">
            <v>No</v>
          </cell>
          <cell r="R3435" t="str">
            <v>DAVARIFAR ARDY DR.</v>
          </cell>
          <cell r="S3435" t="str">
            <v>177 FORT WASHINGTON AVE</v>
          </cell>
          <cell r="T3435" t="str">
            <v>NEW YORK</v>
          </cell>
          <cell r="U3435" t="str">
            <v>NY</v>
          </cell>
          <cell r="V3435" t="str">
            <v>100323733</v>
          </cell>
          <cell r="AC3435" t="str">
            <v>M</v>
          </cell>
          <cell r="AD3435" t="str">
            <v>No</v>
          </cell>
          <cell r="AE3435" t="str">
            <v>NPI only</v>
          </cell>
          <cell r="AF3435" t="str">
            <v>nypwestacn</v>
          </cell>
          <cell r="AG3435" t="str">
            <v>P</v>
          </cell>
        </row>
        <row r="3436">
          <cell r="A3436" t="str">
            <v>1679968036</v>
          </cell>
          <cell r="C3436" t="str">
            <v>MEGHAN DALY</v>
          </cell>
          <cell r="G3436" t="str">
            <v>Kathryn Spaziani</v>
          </cell>
          <cell r="H3436" t="str">
            <v>(212) 305-1190</v>
          </cell>
          <cell r="J3436" t="str">
            <v>kas9171@nyp.org</v>
          </cell>
          <cell r="K3436" t="str">
            <v>Unknown</v>
          </cell>
          <cell r="L3436" t="str">
            <v>Uncategorized</v>
          </cell>
          <cell r="M3436" t="str">
            <v>No</v>
          </cell>
          <cell r="R3436" t="str">
            <v>DALY MEGHAN</v>
          </cell>
          <cell r="S3436" t="str">
            <v>3959 BROADWAY</v>
          </cell>
          <cell r="T3436" t="str">
            <v>NEW YORK</v>
          </cell>
          <cell r="U3436" t="str">
            <v>NY</v>
          </cell>
          <cell r="V3436" t="str">
            <v>100321559</v>
          </cell>
          <cell r="AC3436" t="str">
            <v>M</v>
          </cell>
          <cell r="AD3436" t="str">
            <v>No</v>
          </cell>
          <cell r="AE3436" t="str">
            <v>NPI only</v>
          </cell>
          <cell r="AF3436" t="str">
            <v>nypwestacn</v>
          </cell>
          <cell r="AG3436" t="str">
            <v>P</v>
          </cell>
        </row>
        <row r="3437">
          <cell r="A3437" t="str">
            <v>1528454642</v>
          </cell>
          <cell r="C3437" t="str">
            <v>VIDHI DALAL</v>
          </cell>
          <cell r="G3437" t="str">
            <v>Kathryn Spaziani</v>
          </cell>
          <cell r="H3437" t="str">
            <v>(212) 305-1190</v>
          </cell>
          <cell r="J3437" t="str">
            <v>kas9171@nyp.org</v>
          </cell>
          <cell r="K3437" t="str">
            <v>Unknown</v>
          </cell>
          <cell r="L3437" t="str">
            <v>Uncategorized</v>
          </cell>
          <cell r="M3437" t="str">
            <v>No</v>
          </cell>
          <cell r="R3437" t="str">
            <v>DALAL VIDHI</v>
          </cell>
          <cell r="S3437" t="str">
            <v>525 E 68TH ST, ROOM M-610 (DEPARTMENT OF PEDIATRICS)</v>
          </cell>
          <cell r="T3437" t="str">
            <v>NEW YORK</v>
          </cell>
          <cell r="U3437" t="str">
            <v>NY</v>
          </cell>
          <cell r="V3437" t="str">
            <v>100654870</v>
          </cell>
          <cell r="AC3437" t="str">
            <v>M</v>
          </cell>
          <cell r="AD3437" t="str">
            <v>No</v>
          </cell>
          <cell r="AE3437" t="str">
            <v>NPI only</v>
          </cell>
          <cell r="AF3437" t="str">
            <v>nypeastacn</v>
          </cell>
          <cell r="AG3437" t="str">
            <v>P</v>
          </cell>
        </row>
        <row r="3438">
          <cell r="A3438" t="str">
            <v>1013302744</v>
          </cell>
          <cell r="C3438" t="str">
            <v>ANGELA CURCIO</v>
          </cell>
          <cell r="G3438" t="str">
            <v>Kathryn Spaziani</v>
          </cell>
          <cell r="H3438" t="str">
            <v>(212) 305-1190</v>
          </cell>
          <cell r="J3438" t="str">
            <v>kas9171@nyp.org</v>
          </cell>
          <cell r="K3438" t="str">
            <v>Unknown</v>
          </cell>
          <cell r="L3438" t="str">
            <v>Uncategorized</v>
          </cell>
          <cell r="M3438" t="str">
            <v>No</v>
          </cell>
          <cell r="R3438" t="str">
            <v>CURCIO ANGELA</v>
          </cell>
          <cell r="S3438" t="str">
            <v>3959 BROADWAY</v>
          </cell>
          <cell r="T3438" t="str">
            <v>NEW YORK</v>
          </cell>
          <cell r="U3438" t="str">
            <v>NY</v>
          </cell>
          <cell r="V3438" t="str">
            <v>100321559</v>
          </cell>
          <cell r="AC3438" t="str">
            <v>M</v>
          </cell>
          <cell r="AD3438" t="str">
            <v>No</v>
          </cell>
          <cell r="AE3438" t="str">
            <v>NPI only</v>
          </cell>
          <cell r="AF3438" t="str">
            <v>nypwestacn</v>
          </cell>
          <cell r="AG3438" t="str">
            <v>P</v>
          </cell>
        </row>
        <row r="3439">
          <cell r="A3439" t="str">
            <v>1306233622</v>
          </cell>
          <cell r="C3439" t="str">
            <v>ROSA CUI</v>
          </cell>
          <cell r="G3439" t="str">
            <v>Kathryn Spaziani</v>
          </cell>
          <cell r="H3439" t="str">
            <v>(212) 305-1190</v>
          </cell>
          <cell r="J3439" t="str">
            <v>kas9171@nyp.org</v>
          </cell>
          <cell r="K3439" t="str">
            <v>Unknown</v>
          </cell>
          <cell r="L3439" t="str">
            <v>Uncategorized</v>
          </cell>
          <cell r="M3439" t="str">
            <v>No</v>
          </cell>
          <cell r="R3439" t="str">
            <v>CUI ROSA DR.</v>
          </cell>
          <cell r="S3439" t="str">
            <v>650 W 168TH ST</v>
          </cell>
          <cell r="T3439" t="str">
            <v>NEW YORK</v>
          </cell>
          <cell r="U3439" t="str">
            <v>NY</v>
          </cell>
          <cell r="V3439" t="str">
            <v>100323702</v>
          </cell>
          <cell r="AC3439" t="str">
            <v>M</v>
          </cell>
          <cell r="AD3439" t="str">
            <v>No</v>
          </cell>
          <cell r="AE3439" t="str">
            <v>NPI only</v>
          </cell>
          <cell r="AF3439" t="str">
            <v>nypwestacn</v>
          </cell>
          <cell r="AG3439" t="str">
            <v>P</v>
          </cell>
        </row>
        <row r="3440">
          <cell r="A3440" t="str">
            <v>1265895825</v>
          </cell>
          <cell r="C3440" t="str">
            <v>YONGYAN CUI</v>
          </cell>
          <cell r="G3440" t="str">
            <v>Kathryn Spaziani</v>
          </cell>
          <cell r="H3440" t="str">
            <v>(212) 305-1190</v>
          </cell>
          <cell r="J3440" t="str">
            <v>kas9171@nyp.org</v>
          </cell>
          <cell r="K3440" t="str">
            <v>Unknown</v>
          </cell>
          <cell r="L3440" t="str">
            <v>Uncategorized</v>
          </cell>
          <cell r="M3440" t="str">
            <v>No</v>
          </cell>
          <cell r="R3440" t="str">
            <v>CUI YONGYAN</v>
          </cell>
          <cell r="S3440" t="str">
            <v>622 W 168TH ST</v>
          </cell>
          <cell r="T3440" t="str">
            <v>NEW YORK</v>
          </cell>
          <cell r="U3440" t="str">
            <v>NY</v>
          </cell>
          <cell r="V3440" t="str">
            <v>100323720</v>
          </cell>
          <cell r="AC3440" t="str">
            <v>M</v>
          </cell>
          <cell r="AD3440" t="str">
            <v>No</v>
          </cell>
          <cell r="AE3440" t="str">
            <v>NPI only</v>
          </cell>
          <cell r="AF3440" t="str">
            <v>nypwestacn</v>
          </cell>
          <cell r="AG3440" t="str">
            <v>P</v>
          </cell>
        </row>
        <row r="3441">
          <cell r="A3441" t="str">
            <v>1841653284</v>
          </cell>
          <cell r="C3441" t="str">
            <v>EDWARD CUARESMA</v>
          </cell>
          <cell r="G3441" t="str">
            <v>Kathryn Spaziani</v>
          </cell>
          <cell r="H3441" t="str">
            <v>(212) 305-1190</v>
          </cell>
          <cell r="J3441" t="str">
            <v>kas9171@nyp.org</v>
          </cell>
          <cell r="K3441" t="str">
            <v>Unknown</v>
          </cell>
          <cell r="L3441" t="str">
            <v>Uncategorized</v>
          </cell>
          <cell r="M3441" t="str">
            <v>No</v>
          </cell>
          <cell r="R3441" t="str">
            <v>CUARESMA EDWARD</v>
          </cell>
          <cell r="S3441" t="str">
            <v>622 W 168TH ST</v>
          </cell>
          <cell r="T3441" t="str">
            <v>NEW YORK</v>
          </cell>
          <cell r="U3441" t="str">
            <v>NY</v>
          </cell>
          <cell r="V3441" t="str">
            <v>100323720</v>
          </cell>
          <cell r="AC3441" t="str">
            <v>M</v>
          </cell>
          <cell r="AD3441" t="str">
            <v>No</v>
          </cell>
          <cell r="AE3441" t="str">
            <v>NPI only</v>
          </cell>
          <cell r="AF3441" t="str">
            <v>nypwestacn</v>
          </cell>
          <cell r="AG3441" t="str">
            <v>P</v>
          </cell>
        </row>
        <row r="3442">
          <cell r="A3442" t="str">
            <v>1619362159</v>
          </cell>
          <cell r="C3442" t="str">
            <v>SARA JANE CROMER</v>
          </cell>
          <cell r="G3442" t="str">
            <v>Kathryn Spaziani</v>
          </cell>
          <cell r="H3442" t="str">
            <v>(212) 305-1190</v>
          </cell>
          <cell r="J3442" t="str">
            <v>kas9171@nyp.org</v>
          </cell>
          <cell r="K3442" t="str">
            <v>Unknown</v>
          </cell>
          <cell r="L3442" t="str">
            <v>Uncategorized</v>
          </cell>
          <cell r="M3442" t="str">
            <v>No</v>
          </cell>
          <cell r="R3442" t="str">
            <v>CROMER SARA JANE</v>
          </cell>
          <cell r="S3442" t="str">
            <v>622 W 168TH ST # 205</v>
          </cell>
          <cell r="T3442" t="str">
            <v>NEW YORK</v>
          </cell>
          <cell r="U3442" t="str">
            <v>NY</v>
          </cell>
          <cell r="V3442" t="str">
            <v>100323720</v>
          </cell>
          <cell r="AC3442" t="str">
            <v>M</v>
          </cell>
          <cell r="AD3442" t="str">
            <v>No</v>
          </cell>
          <cell r="AE3442" t="str">
            <v>NPI only</v>
          </cell>
          <cell r="AF3442" t="str">
            <v>nypwestacn</v>
          </cell>
          <cell r="AG3442" t="str">
            <v>P</v>
          </cell>
        </row>
        <row r="3443">
          <cell r="A3443" t="str">
            <v>1942610043</v>
          </cell>
          <cell r="C3443" t="str">
            <v>ASHLEY COZZO</v>
          </cell>
          <cell r="G3443" t="str">
            <v>Kathryn Spaziani</v>
          </cell>
          <cell r="H3443" t="str">
            <v>(212) 305-1190</v>
          </cell>
          <cell r="J3443" t="str">
            <v>kas9171@nyp.org</v>
          </cell>
          <cell r="K3443" t="str">
            <v>Unknown</v>
          </cell>
          <cell r="L3443" t="str">
            <v>Uncategorized</v>
          </cell>
          <cell r="M3443" t="str">
            <v>No</v>
          </cell>
          <cell r="R3443" t="str">
            <v>COZZO ASHLEY</v>
          </cell>
          <cell r="S3443" t="str">
            <v>525 E 68TH ST</v>
          </cell>
          <cell r="T3443" t="str">
            <v>NEW YORK</v>
          </cell>
          <cell r="U3443" t="str">
            <v>NY</v>
          </cell>
          <cell r="V3443" t="str">
            <v>100654870</v>
          </cell>
          <cell r="AC3443" t="str">
            <v>M</v>
          </cell>
          <cell r="AD3443" t="str">
            <v>No</v>
          </cell>
          <cell r="AE3443" t="str">
            <v>NPI only</v>
          </cell>
          <cell r="AF3443" t="str">
            <v>nypeastacn</v>
          </cell>
          <cell r="AG3443" t="str">
            <v>P</v>
          </cell>
        </row>
        <row r="3444">
          <cell r="A3444" t="str">
            <v>1558756940</v>
          </cell>
          <cell r="C3444" t="str">
            <v>ELLIE COROMILAS</v>
          </cell>
          <cell r="G3444" t="str">
            <v>Kathryn Spaziani</v>
          </cell>
          <cell r="H3444" t="str">
            <v>(212) 305-1190</v>
          </cell>
          <cell r="J3444" t="str">
            <v>kas9171@nyp.org</v>
          </cell>
          <cell r="K3444" t="str">
            <v>Unknown</v>
          </cell>
          <cell r="L3444" t="str">
            <v>Uncategorized</v>
          </cell>
          <cell r="M3444" t="str">
            <v>No</v>
          </cell>
          <cell r="R3444" t="str">
            <v>COROMILAS ELLIE DR.</v>
          </cell>
          <cell r="S3444" t="str">
            <v>622 W 168TH ST, #205</v>
          </cell>
          <cell r="T3444" t="str">
            <v>NEW YORK</v>
          </cell>
          <cell r="U3444" t="str">
            <v>NY</v>
          </cell>
          <cell r="V3444" t="str">
            <v>100323720</v>
          </cell>
          <cell r="AC3444" t="str">
            <v>M</v>
          </cell>
          <cell r="AD3444" t="str">
            <v>No</v>
          </cell>
          <cell r="AE3444" t="str">
            <v>NPI only</v>
          </cell>
          <cell r="AF3444" t="str">
            <v>nypwestacn</v>
          </cell>
          <cell r="AG3444" t="str">
            <v>P</v>
          </cell>
        </row>
        <row r="3445">
          <cell r="A3445" t="str">
            <v>1922461375</v>
          </cell>
          <cell r="C3445" t="str">
            <v>JOSEPHINE COOL</v>
          </cell>
          <cell r="G3445" t="str">
            <v>Kathryn Spaziani</v>
          </cell>
          <cell r="H3445" t="str">
            <v>(212) 305-1190</v>
          </cell>
          <cell r="J3445" t="str">
            <v>kas9171@nyp.org</v>
          </cell>
          <cell r="K3445" t="str">
            <v>Unknown</v>
          </cell>
          <cell r="L3445" t="str">
            <v>Uncategorized</v>
          </cell>
          <cell r="M3445" t="str">
            <v>No</v>
          </cell>
          <cell r="R3445" t="str">
            <v>COOL JOSEPHINE</v>
          </cell>
          <cell r="S3445" t="str">
            <v>505 E 70TH ST, WEILL CORNELL INTERNAL MEDICINE ASSOCIATES</v>
          </cell>
          <cell r="T3445" t="str">
            <v>NEW YORK</v>
          </cell>
          <cell r="U3445" t="str">
            <v>NY</v>
          </cell>
          <cell r="V3445" t="str">
            <v>100214872</v>
          </cell>
          <cell r="AC3445" t="str">
            <v>M</v>
          </cell>
          <cell r="AD3445" t="str">
            <v>No</v>
          </cell>
          <cell r="AE3445" t="str">
            <v>NPI only</v>
          </cell>
          <cell r="AF3445" t="str">
            <v>nypeastacn</v>
          </cell>
          <cell r="AG3445" t="str">
            <v>P</v>
          </cell>
        </row>
        <row r="3446">
          <cell r="A3446" t="str">
            <v>1689037301</v>
          </cell>
          <cell r="C3446" t="str">
            <v>JOSHUA COOK</v>
          </cell>
          <cell r="G3446" t="str">
            <v>Kathryn Spaziani</v>
          </cell>
          <cell r="H3446" t="str">
            <v>(212) 305-1190</v>
          </cell>
          <cell r="J3446" t="str">
            <v>kas9171@nyp.org</v>
          </cell>
          <cell r="K3446" t="str">
            <v>Unknown</v>
          </cell>
          <cell r="L3446" t="str">
            <v>Uncategorized</v>
          </cell>
          <cell r="M3446" t="str">
            <v>No</v>
          </cell>
          <cell r="R3446" t="str">
            <v>COOK JOSHUA DR.</v>
          </cell>
          <cell r="S3446" t="str">
            <v>622 W 168TH ST</v>
          </cell>
          <cell r="T3446" t="str">
            <v>NEW YORK</v>
          </cell>
          <cell r="U3446" t="str">
            <v>NY</v>
          </cell>
          <cell r="V3446" t="str">
            <v>100323720</v>
          </cell>
          <cell r="AC3446" t="str">
            <v>M</v>
          </cell>
          <cell r="AD3446" t="str">
            <v>No</v>
          </cell>
          <cell r="AE3446" t="str">
            <v>NPI only</v>
          </cell>
          <cell r="AF3446" t="str">
            <v>nypwestacn</v>
          </cell>
          <cell r="AG3446" t="str">
            <v>P</v>
          </cell>
        </row>
        <row r="3447">
          <cell r="A3447" t="str">
            <v>1962822288</v>
          </cell>
          <cell r="C3447" t="str">
            <v>MARGOT COHEN</v>
          </cell>
          <cell r="G3447" t="str">
            <v>Kathryn Spaziani</v>
          </cell>
          <cell r="H3447" t="str">
            <v>(212) 305-1190</v>
          </cell>
          <cell r="J3447" t="str">
            <v>kas9171@nyp.org</v>
          </cell>
          <cell r="K3447" t="str">
            <v>Unknown</v>
          </cell>
          <cell r="L3447" t="str">
            <v>Uncategorized</v>
          </cell>
          <cell r="M3447" t="str">
            <v>No</v>
          </cell>
          <cell r="R3447" t="str">
            <v>COHEN MARGOT</v>
          </cell>
          <cell r="S3447" t="str">
            <v>630 W 168TH ST, PH8 EAST ROOM 105</v>
          </cell>
          <cell r="T3447" t="str">
            <v>NEW YORK</v>
          </cell>
          <cell r="U3447" t="str">
            <v>NY</v>
          </cell>
          <cell r="V3447" t="str">
            <v>100323725</v>
          </cell>
          <cell r="AC3447" t="str">
            <v>M</v>
          </cell>
          <cell r="AD3447" t="str">
            <v>No</v>
          </cell>
          <cell r="AE3447" t="str">
            <v>NPI only</v>
          </cell>
          <cell r="AF3447" t="str">
            <v>nypwestacn</v>
          </cell>
          <cell r="AG3447" t="str">
            <v>P</v>
          </cell>
        </row>
        <row r="3448">
          <cell r="A3448" t="str">
            <v>1326466509</v>
          </cell>
          <cell r="C3448" t="str">
            <v>LAURA COHEN</v>
          </cell>
          <cell r="G3448" t="str">
            <v>Kathryn Spaziani</v>
          </cell>
          <cell r="H3448" t="str">
            <v>(212) 305-1190</v>
          </cell>
          <cell r="J3448" t="str">
            <v>kas9171@nyp.org</v>
          </cell>
          <cell r="K3448" t="str">
            <v>Unknown</v>
          </cell>
          <cell r="L3448" t="str">
            <v>Uncategorized</v>
          </cell>
          <cell r="M3448" t="str">
            <v>No</v>
          </cell>
          <cell r="R3448" t="str">
            <v>COHEN LAURA</v>
          </cell>
          <cell r="S3448" t="str">
            <v>630 W 168TH ST, PH 8 EAST ROOM 105</v>
          </cell>
          <cell r="T3448" t="str">
            <v>NEW YORK</v>
          </cell>
          <cell r="U3448" t="str">
            <v>NY</v>
          </cell>
          <cell r="V3448" t="str">
            <v>100323725</v>
          </cell>
          <cell r="AC3448" t="str">
            <v>M</v>
          </cell>
          <cell r="AD3448" t="str">
            <v>No</v>
          </cell>
          <cell r="AE3448" t="str">
            <v>NPI only</v>
          </cell>
          <cell r="AF3448" t="str">
            <v>nypwestacn</v>
          </cell>
          <cell r="AG3448" t="str">
            <v>P</v>
          </cell>
        </row>
        <row r="3449">
          <cell r="A3449" t="str">
            <v>1710341714</v>
          </cell>
          <cell r="C3449" t="str">
            <v>JACOB COGAN</v>
          </cell>
          <cell r="G3449" t="str">
            <v>Kathryn Spaziani</v>
          </cell>
          <cell r="H3449" t="str">
            <v>(212) 305-1190</v>
          </cell>
          <cell r="J3449" t="str">
            <v>kas9171@nyp.org</v>
          </cell>
          <cell r="K3449" t="str">
            <v>Unknown</v>
          </cell>
          <cell r="L3449" t="str">
            <v>Uncategorized</v>
          </cell>
          <cell r="M3449" t="str">
            <v>No</v>
          </cell>
          <cell r="R3449" t="str">
            <v>COGAN JACOB</v>
          </cell>
          <cell r="S3449" t="str">
            <v>622 W 168TH ST</v>
          </cell>
          <cell r="T3449" t="str">
            <v>NEW YORK</v>
          </cell>
          <cell r="U3449" t="str">
            <v>NY</v>
          </cell>
          <cell r="V3449" t="str">
            <v>100323720</v>
          </cell>
          <cell r="AC3449" t="str">
            <v>M</v>
          </cell>
          <cell r="AD3449" t="str">
            <v>No</v>
          </cell>
          <cell r="AE3449" t="str">
            <v>NPI only</v>
          </cell>
          <cell r="AF3449" t="str">
            <v>nypwestacn</v>
          </cell>
          <cell r="AG3449" t="str">
            <v>P</v>
          </cell>
        </row>
        <row r="3450">
          <cell r="A3450" t="str">
            <v>1376906206</v>
          </cell>
          <cell r="C3450" t="str">
            <v>LOUIS CICATELLI</v>
          </cell>
          <cell r="G3450" t="str">
            <v>Kathryn Spaziani</v>
          </cell>
          <cell r="H3450" t="str">
            <v>(212) 305-1190</v>
          </cell>
          <cell r="J3450" t="str">
            <v>kas9171@nyp.org</v>
          </cell>
          <cell r="K3450" t="str">
            <v>Unknown</v>
          </cell>
          <cell r="L3450" t="str">
            <v>Uncategorized</v>
          </cell>
          <cell r="M3450" t="str">
            <v>No</v>
          </cell>
          <cell r="R3450" t="str">
            <v>CICATELLI LOUIS DR.</v>
          </cell>
          <cell r="S3450" t="str">
            <v>610 W 158TH ST</v>
          </cell>
          <cell r="T3450" t="str">
            <v>NEW YORK</v>
          </cell>
          <cell r="U3450" t="str">
            <v>NY</v>
          </cell>
          <cell r="V3450" t="str">
            <v>100327104</v>
          </cell>
          <cell r="AC3450" t="str">
            <v>M</v>
          </cell>
          <cell r="AD3450" t="str">
            <v>No</v>
          </cell>
          <cell r="AE3450" t="str">
            <v>NPI only</v>
          </cell>
          <cell r="AF3450" t="str">
            <v>nypwestacn</v>
          </cell>
          <cell r="AG3450" t="str">
            <v>P</v>
          </cell>
        </row>
        <row r="3451">
          <cell r="A3451" t="str">
            <v>1821417429</v>
          </cell>
          <cell r="C3451" t="str">
            <v>KAYLAN CHRISTIANER</v>
          </cell>
          <cell r="G3451" t="str">
            <v>Kathryn Spaziani</v>
          </cell>
          <cell r="H3451" t="str">
            <v>(212) 305-1190</v>
          </cell>
          <cell r="J3451" t="str">
            <v>kas9171@nyp.org</v>
          </cell>
          <cell r="K3451" t="str">
            <v>Unknown</v>
          </cell>
          <cell r="L3451" t="str">
            <v>Uncategorized</v>
          </cell>
          <cell r="M3451" t="str">
            <v>No</v>
          </cell>
          <cell r="R3451" t="str">
            <v>CHRISTIANER KAYLAN</v>
          </cell>
          <cell r="S3451" t="str">
            <v>177 FORT WASHINGTON AVE, 6TH FLOOR CENTER ROOM 12</v>
          </cell>
          <cell r="T3451" t="str">
            <v>NEW YORK</v>
          </cell>
          <cell r="U3451" t="str">
            <v>NY</v>
          </cell>
          <cell r="V3451" t="str">
            <v>100323733</v>
          </cell>
          <cell r="AC3451" t="str">
            <v>M</v>
          </cell>
          <cell r="AD3451" t="str">
            <v>No</v>
          </cell>
          <cell r="AE3451" t="str">
            <v>NPI only</v>
          </cell>
          <cell r="AF3451" t="str">
            <v>nypwestacn</v>
          </cell>
          <cell r="AG3451" t="str">
            <v>P</v>
          </cell>
        </row>
        <row r="3452">
          <cell r="A3452" t="str">
            <v>1750745741</v>
          </cell>
          <cell r="C3452" t="str">
            <v>BINA CHOI</v>
          </cell>
          <cell r="G3452" t="str">
            <v>Kathryn Spaziani</v>
          </cell>
          <cell r="H3452" t="str">
            <v>(212) 305-1190</v>
          </cell>
          <cell r="J3452" t="str">
            <v>kas9171@nyp.org</v>
          </cell>
          <cell r="K3452" t="str">
            <v>Unknown</v>
          </cell>
          <cell r="L3452" t="str">
            <v>Uncategorized</v>
          </cell>
          <cell r="M3452" t="str">
            <v>No</v>
          </cell>
          <cell r="R3452" t="str">
            <v>CHOI BINA</v>
          </cell>
          <cell r="S3452" t="str">
            <v>622 W 168TH ST</v>
          </cell>
          <cell r="T3452" t="str">
            <v>NEW YORK</v>
          </cell>
          <cell r="U3452" t="str">
            <v>NY</v>
          </cell>
          <cell r="V3452" t="str">
            <v>100323720</v>
          </cell>
          <cell r="AC3452" t="str">
            <v>M</v>
          </cell>
          <cell r="AD3452" t="str">
            <v>No</v>
          </cell>
          <cell r="AE3452" t="str">
            <v>NPI only</v>
          </cell>
          <cell r="AF3452" t="str">
            <v>nypwestacn</v>
          </cell>
          <cell r="AG3452" t="str">
            <v>P</v>
          </cell>
        </row>
        <row r="3453">
          <cell r="A3453" t="str">
            <v>1306208715</v>
          </cell>
          <cell r="C3453" t="str">
            <v>DANIEL CHOI</v>
          </cell>
          <cell r="G3453" t="str">
            <v>Kathryn Spaziani</v>
          </cell>
          <cell r="H3453" t="str">
            <v>(212) 305-1190</v>
          </cell>
          <cell r="J3453" t="str">
            <v>kas9171@nyp.org</v>
          </cell>
          <cell r="K3453" t="str">
            <v>Unknown</v>
          </cell>
          <cell r="L3453" t="str">
            <v>Uncategorized</v>
          </cell>
          <cell r="M3453" t="str">
            <v>No</v>
          </cell>
          <cell r="R3453" t="str">
            <v>CHOI DANIEL</v>
          </cell>
          <cell r="S3453" t="str">
            <v>505 E 70TH ST, WEILL CORNELL INTERNAL MEDICINE ASSOCIATES</v>
          </cell>
          <cell r="T3453" t="str">
            <v>NEW YORK</v>
          </cell>
          <cell r="U3453" t="str">
            <v>NY</v>
          </cell>
          <cell r="V3453" t="str">
            <v>100214872</v>
          </cell>
          <cell r="AC3453" t="str">
            <v>M</v>
          </cell>
          <cell r="AD3453" t="str">
            <v>No</v>
          </cell>
          <cell r="AE3453" t="str">
            <v>NPI only</v>
          </cell>
          <cell r="AF3453" t="str">
            <v>nypeastacn</v>
          </cell>
          <cell r="AG3453" t="str">
            <v>P</v>
          </cell>
        </row>
        <row r="3454">
          <cell r="A3454" t="str">
            <v>1801258686</v>
          </cell>
          <cell r="C3454" t="str">
            <v>WAI KAN CHIU</v>
          </cell>
          <cell r="G3454" t="str">
            <v>Kathryn Spaziani</v>
          </cell>
          <cell r="H3454" t="str">
            <v>(212) 305-1190</v>
          </cell>
          <cell r="J3454" t="str">
            <v>kas9171@nyp.org</v>
          </cell>
          <cell r="K3454" t="str">
            <v>Unknown</v>
          </cell>
          <cell r="L3454" t="str">
            <v>Uncategorized</v>
          </cell>
          <cell r="M3454" t="str">
            <v>No</v>
          </cell>
          <cell r="R3454" t="str">
            <v>CHIU WAI KAN DR.</v>
          </cell>
          <cell r="S3454" t="str">
            <v>505 E 70TH ST, WEILL CORNELL INTERNAL MEDICINE ASSOCIATES</v>
          </cell>
          <cell r="T3454" t="str">
            <v>NEW YORK</v>
          </cell>
          <cell r="U3454" t="str">
            <v>NY</v>
          </cell>
          <cell r="V3454" t="str">
            <v>100214872</v>
          </cell>
          <cell r="AC3454" t="str">
            <v>M</v>
          </cell>
          <cell r="AD3454" t="str">
            <v>No</v>
          </cell>
          <cell r="AE3454" t="str">
            <v>NPI only</v>
          </cell>
          <cell r="AF3454" t="str">
            <v>nypeastacn</v>
          </cell>
          <cell r="AG3454" t="str">
            <v>P</v>
          </cell>
        </row>
        <row r="3455">
          <cell r="A3455" t="str">
            <v>1710349147</v>
          </cell>
          <cell r="C3455" t="str">
            <v>AARON CHARNAY</v>
          </cell>
          <cell r="G3455" t="str">
            <v>Kathryn Spaziani</v>
          </cell>
          <cell r="H3455" t="str">
            <v>(212) 305-1190</v>
          </cell>
          <cell r="J3455" t="str">
            <v>kas9171@nyp.org</v>
          </cell>
          <cell r="K3455" t="str">
            <v>Unknown</v>
          </cell>
          <cell r="L3455" t="str">
            <v>Uncategorized</v>
          </cell>
          <cell r="M3455" t="str">
            <v>No</v>
          </cell>
          <cell r="R3455" t="str">
            <v>CHARNAY AARON</v>
          </cell>
          <cell r="S3455" t="str">
            <v>3959 BROADWAY</v>
          </cell>
          <cell r="T3455" t="str">
            <v>NEW YORK</v>
          </cell>
          <cell r="U3455" t="str">
            <v>NY</v>
          </cell>
          <cell r="V3455" t="str">
            <v>100321559</v>
          </cell>
          <cell r="AC3455" t="str">
            <v>M</v>
          </cell>
          <cell r="AD3455" t="str">
            <v>No</v>
          </cell>
          <cell r="AE3455" t="str">
            <v>NPI only</v>
          </cell>
          <cell r="AF3455" t="str">
            <v>nypwestacn</v>
          </cell>
          <cell r="AG3455" t="str">
            <v>P</v>
          </cell>
        </row>
        <row r="3456">
          <cell r="A3456" t="str">
            <v>1700273414</v>
          </cell>
          <cell r="C3456" t="str">
            <v>MELANIE CHAPEKIS</v>
          </cell>
          <cell r="G3456" t="str">
            <v>Kathryn Spaziani</v>
          </cell>
          <cell r="H3456" t="str">
            <v>(212) 305-1190</v>
          </cell>
          <cell r="J3456" t="str">
            <v>kas9171@nyp.org</v>
          </cell>
          <cell r="K3456" t="str">
            <v>Unknown</v>
          </cell>
          <cell r="L3456" t="str">
            <v>Uncategorized</v>
          </cell>
          <cell r="M3456" t="str">
            <v>No</v>
          </cell>
          <cell r="R3456" t="str">
            <v>PRIOR MELANIE</v>
          </cell>
          <cell r="S3456" t="str">
            <v>525 E 68TH ST</v>
          </cell>
          <cell r="T3456" t="str">
            <v>NEW YORK</v>
          </cell>
          <cell r="U3456" t="str">
            <v>NY</v>
          </cell>
          <cell r="V3456" t="str">
            <v>100654870</v>
          </cell>
          <cell r="AC3456" t="str">
            <v>M</v>
          </cell>
          <cell r="AD3456" t="str">
            <v>No</v>
          </cell>
          <cell r="AE3456" t="str">
            <v>NPI only</v>
          </cell>
          <cell r="AF3456" t="str">
            <v>nypeastacn</v>
          </cell>
          <cell r="AG3456" t="str">
            <v>P</v>
          </cell>
        </row>
        <row r="3457">
          <cell r="A3457" t="str">
            <v>1598150831</v>
          </cell>
          <cell r="C3457" t="str">
            <v>HARRY CHANG</v>
          </cell>
          <cell r="G3457" t="str">
            <v>Kathryn Spaziani</v>
          </cell>
          <cell r="H3457" t="str">
            <v>(212) 305-1190</v>
          </cell>
          <cell r="J3457" t="str">
            <v>kas9171@nyp.org</v>
          </cell>
          <cell r="K3457" t="str">
            <v>Unknown</v>
          </cell>
          <cell r="L3457" t="str">
            <v>Uncategorized</v>
          </cell>
          <cell r="M3457" t="str">
            <v>No</v>
          </cell>
          <cell r="R3457" t="str">
            <v>CHANG HARRY</v>
          </cell>
          <cell r="S3457" t="str">
            <v>630 W 168TH ST, PH 8 EAST ROOM 105</v>
          </cell>
          <cell r="T3457" t="str">
            <v>NEW YORK</v>
          </cell>
          <cell r="U3457" t="str">
            <v>NY</v>
          </cell>
          <cell r="V3457" t="str">
            <v>100323725</v>
          </cell>
          <cell r="AC3457" t="str">
            <v>M</v>
          </cell>
          <cell r="AD3457" t="str">
            <v>No</v>
          </cell>
          <cell r="AE3457" t="str">
            <v>NPI only</v>
          </cell>
          <cell r="AF3457" t="str">
            <v>nypwestacn</v>
          </cell>
          <cell r="AG3457" t="str">
            <v>P</v>
          </cell>
        </row>
        <row r="3458">
          <cell r="A3458" t="str">
            <v>1003279845</v>
          </cell>
          <cell r="C3458" t="str">
            <v>CATHERINE CHAN</v>
          </cell>
          <cell r="G3458" t="str">
            <v>Kathryn Spaziani</v>
          </cell>
          <cell r="H3458" t="str">
            <v>(212) 305-1190</v>
          </cell>
          <cell r="J3458" t="str">
            <v>kas9171@nyp.org</v>
          </cell>
          <cell r="K3458" t="str">
            <v>Unknown</v>
          </cell>
          <cell r="L3458" t="str">
            <v>Uncategorized</v>
          </cell>
          <cell r="M3458" t="str">
            <v>No</v>
          </cell>
          <cell r="R3458" t="str">
            <v>CHAN CATHERINE DR.</v>
          </cell>
          <cell r="S3458" t="str">
            <v>525 E 68TH ST, BOX 122</v>
          </cell>
          <cell r="T3458" t="str">
            <v>NEW YORK</v>
          </cell>
          <cell r="U3458" t="str">
            <v>NY</v>
          </cell>
          <cell r="V3458" t="str">
            <v>100654870</v>
          </cell>
          <cell r="AC3458" t="str">
            <v>M</v>
          </cell>
          <cell r="AD3458" t="str">
            <v>No</v>
          </cell>
          <cell r="AE3458" t="str">
            <v>NPI only</v>
          </cell>
          <cell r="AF3458" t="str">
            <v>nypeastacn</v>
          </cell>
          <cell r="AG3458" t="str">
            <v>P</v>
          </cell>
        </row>
        <row r="3459">
          <cell r="A3459" t="str">
            <v>1033597117</v>
          </cell>
          <cell r="C3459" t="str">
            <v>STEPHANIE CHAM</v>
          </cell>
          <cell r="G3459" t="str">
            <v>Kathryn Spaziani</v>
          </cell>
          <cell r="H3459" t="str">
            <v>(212) 305-1190</v>
          </cell>
          <cell r="J3459" t="str">
            <v>kas9171@nyp.org</v>
          </cell>
          <cell r="K3459" t="str">
            <v>Unknown</v>
          </cell>
          <cell r="L3459" t="str">
            <v>Uncategorized</v>
          </cell>
          <cell r="M3459" t="str">
            <v>No</v>
          </cell>
          <cell r="R3459" t="str">
            <v>CHAM STEPHANIE</v>
          </cell>
          <cell r="S3459" t="str">
            <v>622 W 168TH ST</v>
          </cell>
          <cell r="T3459" t="str">
            <v>NEW YORK</v>
          </cell>
          <cell r="U3459" t="str">
            <v>NY</v>
          </cell>
          <cell r="V3459" t="str">
            <v>100323720</v>
          </cell>
          <cell r="AC3459" t="str">
            <v>M</v>
          </cell>
          <cell r="AD3459" t="str">
            <v>No</v>
          </cell>
          <cell r="AE3459" t="str">
            <v>NPI only</v>
          </cell>
          <cell r="AF3459" t="str">
            <v>nypwestacn</v>
          </cell>
          <cell r="AG3459" t="str">
            <v>P</v>
          </cell>
        </row>
        <row r="3460">
          <cell r="A3460" t="str">
            <v>1902224629</v>
          </cell>
          <cell r="C3460" t="str">
            <v>SHARON CHACKO</v>
          </cell>
          <cell r="G3460" t="str">
            <v>Kathryn Spaziani</v>
          </cell>
          <cell r="H3460" t="str">
            <v>(212) 305-1190</v>
          </cell>
          <cell r="J3460" t="str">
            <v>kas9171@nyp.org</v>
          </cell>
          <cell r="K3460" t="str">
            <v>Unknown</v>
          </cell>
          <cell r="L3460" t="str">
            <v>Uncategorized</v>
          </cell>
          <cell r="M3460" t="str">
            <v>No</v>
          </cell>
          <cell r="R3460" t="str">
            <v>CHACKO SHARON</v>
          </cell>
          <cell r="S3460" t="str">
            <v>610 W 158TH ST</v>
          </cell>
          <cell r="T3460" t="str">
            <v>NEW YORK</v>
          </cell>
          <cell r="U3460" t="str">
            <v>NY</v>
          </cell>
          <cell r="V3460" t="str">
            <v>100327104</v>
          </cell>
          <cell r="AC3460" t="str">
            <v>M</v>
          </cell>
          <cell r="AD3460" t="str">
            <v>No</v>
          </cell>
          <cell r="AE3460" t="str">
            <v>NPI only</v>
          </cell>
          <cell r="AF3460" t="str">
            <v>nypwestacn</v>
          </cell>
          <cell r="AG3460" t="str">
            <v>P</v>
          </cell>
        </row>
        <row r="3461">
          <cell r="A3461" t="str">
            <v>1255793139</v>
          </cell>
          <cell r="C3461" t="str">
            <v>CHELSEA CANON</v>
          </cell>
          <cell r="G3461" t="str">
            <v>Kathryn Spaziani</v>
          </cell>
          <cell r="H3461" t="str">
            <v>(212) 305-1190</v>
          </cell>
          <cell r="J3461" t="str">
            <v>kas9171@nyp.org</v>
          </cell>
          <cell r="K3461" t="str">
            <v>Unknown</v>
          </cell>
          <cell r="L3461" t="str">
            <v>Uncategorized</v>
          </cell>
          <cell r="M3461" t="str">
            <v>No</v>
          </cell>
          <cell r="R3461" t="str">
            <v>CANON CHELSEA</v>
          </cell>
          <cell r="S3461" t="str">
            <v>525 E 68TH ST, BOX 122</v>
          </cell>
          <cell r="T3461" t="str">
            <v>NEW YORK</v>
          </cell>
          <cell r="U3461" t="str">
            <v>NY</v>
          </cell>
          <cell r="V3461" t="str">
            <v>100654870</v>
          </cell>
          <cell r="AC3461" t="str">
            <v>M</v>
          </cell>
          <cell r="AD3461" t="str">
            <v>No</v>
          </cell>
          <cell r="AE3461" t="str">
            <v>NPI only</v>
          </cell>
          <cell r="AF3461" t="str">
            <v>nypeastacn</v>
          </cell>
          <cell r="AG3461" t="str">
            <v>P</v>
          </cell>
        </row>
        <row r="3462">
          <cell r="A3462" t="str">
            <v>1780003855</v>
          </cell>
          <cell r="C3462" t="str">
            <v>BIANCA CALDERON</v>
          </cell>
          <cell r="G3462" t="str">
            <v>Kathryn Spaziani</v>
          </cell>
          <cell r="H3462" t="str">
            <v>(212) 305-1190</v>
          </cell>
          <cell r="J3462" t="str">
            <v>kas9171@nyp.org</v>
          </cell>
          <cell r="K3462" t="str">
            <v>Unknown</v>
          </cell>
          <cell r="L3462" t="str">
            <v>Uncategorized</v>
          </cell>
          <cell r="M3462" t="str">
            <v>No</v>
          </cell>
          <cell r="R3462" t="str">
            <v>CALDERON BIANCA</v>
          </cell>
          <cell r="S3462" t="str">
            <v>3959 BROADWAY</v>
          </cell>
          <cell r="T3462" t="str">
            <v>NEW YORK</v>
          </cell>
          <cell r="U3462" t="str">
            <v>NY</v>
          </cell>
          <cell r="V3462" t="str">
            <v>100321559</v>
          </cell>
          <cell r="AC3462" t="str">
            <v>M</v>
          </cell>
          <cell r="AD3462" t="str">
            <v>No</v>
          </cell>
          <cell r="AE3462" t="str">
            <v>NPI only</v>
          </cell>
          <cell r="AF3462" t="str">
            <v>nypwestacn</v>
          </cell>
          <cell r="AG3462" t="str">
            <v>P</v>
          </cell>
        </row>
        <row r="3463">
          <cell r="A3463" t="str">
            <v>1285053868</v>
          </cell>
          <cell r="C3463" t="str">
            <v>ERIN CAHILL</v>
          </cell>
          <cell r="G3463" t="str">
            <v>Kathryn Spaziani</v>
          </cell>
          <cell r="H3463" t="str">
            <v>(212) 305-1190</v>
          </cell>
          <cell r="J3463" t="str">
            <v>kas9171@nyp.org</v>
          </cell>
          <cell r="K3463" t="str">
            <v>Unknown</v>
          </cell>
          <cell r="L3463" t="str">
            <v>Uncategorized</v>
          </cell>
          <cell r="M3463" t="str">
            <v>No</v>
          </cell>
          <cell r="R3463" t="str">
            <v>CAHILL ERIN</v>
          </cell>
          <cell r="S3463" t="str">
            <v>3959 BROADWAY</v>
          </cell>
          <cell r="T3463" t="str">
            <v>NEW YORK</v>
          </cell>
          <cell r="U3463" t="str">
            <v>NY</v>
          </cell>
          <cell r="V3463" t="str">
            <v>100321559</v>
          </cell>
          <cell r="AC3463" t="str">
            <v>M</v>
          </cell>
          <cell r="AD3463" t="str">
            <v>No</v>
          </cell>
          <cell r="AE3463" t="str">
            <v>NPI only</v>
          </cell>
          <cell r="AF3463" t="str">
            <v>nypwestacn</v>
          </cell>
          <cell r="AG3463" t="str">
            <v>P</v>
          </cell>
        </row>
        <row r="3464">
          <cell r="A3464" t="str">
            <v>1073908513</v>
          </cell>
          <cell r="C3464" t="str">
            <v>ERIC BURNETT</v>
          </cell>
          <cell r="G3464" t="str">
            <v>Kathryn Spaziani</v>
          </cell>
          <cell r="H3464" t="str">
            <v>(212) 305-1190</v>
          </cell>
          <cell r="J3464" t="str">
            <v>kas9171@nyp.org</v>
          </cell>
          <cell r="K3464" t="str">
            <v>Unknown</v>
          </cell>
          <cell r="L3464" t="str">
            <v>Uncategorized</v>
          </cell>
          <cell r="M3464" t="str">
            <v>No</v>
          </cell>
          <cell r="R3464" t="str">
            <v>BURNETT ERIC</v>
          </cell>
          <cell r="S3464" t="str">
            <v>198 DELAWARE AVE, APARTMENT 2L</v>
          </cell>
          <cell r="T3464" t="str">
            <v>JERSEY CITY</v>
          </cell>
          <cell r="U3464" t="str">
            <v>NJ</v>
          </cell>
          <cell r="V3464" t="str">
            <v>073066655</v>
          </cell>
          <cell r="AC3464" t="str">
            <v>M</v>
          </cell>
          <cell r="AD3464" t="str">
            <v>No</v>
          </cell>
          <cell r="AE3464" t="str">
            <v>NPI only</v>
          </cell>
          <cell r="AF3464" t="str">
            <v>nypwestacn</v>
          </cell>
          <cell r="AG3464" t="str">
            <v>P</v>
          </cell>
        </row>
        <row r="3465">
          <cell r="A3465" t="str">
            <v>1346637188</v>
          </cell>
          <cell r="C3465" t="str">
            <v>FAY BUREKHOVICH</v>
          </cell>
          <cell r="G3465" t="str">
            <v>Kathryn Spaziani</v>
          </cell>
          <cell r="H3465" t="str">
            <v>(212) 305-1190</v>
          </cell>
          <cell r="J3465" t="str">
            <v>kas9171@nyp.org</v>
          </cell>
          <cell r="K3465" t="str">
            <v>Unknown</v>
          </cell>
          <cell r="L3465" t="str">
            <v>Uncategorized</v>
          </cell>
          <cell r="M3465" t="str">
            <v>No</v>
          </cell>
          <cell r="R3465" t="str">
            <v>BUREKHOVICH FAY</v>
          </cell>
          <cell r="S3465" t="str">
            <v>525 E 68TH ST, ROOM M-610</v>
          </cell>
          <cell r="T3465" t="str">
            <v>NEW YORK</v>
          </cell>
          <cell r="U3465" t="str">
            <v>NY</v>
          </cell>
          <cell r="V3465" t="str">
            <v>100654870</v>
          </cell>
          <cell r="AC3465" t="str">
            <v>M</v>
          </cell>
          <cell r="AD3465" t="str">
            <v>No</v>
          </cell>
          <cell r="AE3465" t="str">
            <v>NPI only</v>
          </cell>
          <cell r="AF3465" t="str">
            <v>nypeastacn</v>
          </cell>
          <cell r="AG3465" t="str">
            <v>P</v>
          </cell>
        </row>
        <row r="3466">
          <cell r="A3466" t="str">
            <v>1255785440</v>
          </cell>
          <cell r="C3466" t="str">
            <v>CHARLIE BUFFIE</v>
          </cell>
          <cell r="G3466" t="str">
            <v>Kathryn Spaziani</v>
          </cell>
          <cell r="H3466" t="str">
            <v>(212) 305-1190</v>
          </cell>
          <cell r="J3466" t="str">
            <v>kas9171@nyp.org</v>
          </cell>
          <cell r="K3466" t="str">
            <v>Unknown</v>
          </cell>
          <cell r="L3466" t="str">
            <v>Uncategorized</v>
          </cell>
          <cell r="M3466" t="str">
            <v>No</v>
          </cell>
          <cell r="R3466" t="str">
            <v>BUFFIE CHARLIE</v>
          </cell>
          <cell r="S3466" t="str">
            <v>505 EAST 70TH STREET</v>
          </cell>
          <cell r="T3466" t="str">
            <v>NEW YORK</v>
          </cell>
          <cell r="U3466" t="str">
            <v>NY</v>
          </cell>
          <cell r="V3466" t="str">
            <v>10021</v>
          </cell>
          <cell r="AC3466" t="str">
            <v>M</v>
          </cell>
          <cell r="AD3466" t="str">
            <v>No</v>
          </cell>
          <cell r="AE3466" t="str">
            <v>NPI only</v>
          </cell>
          <cell r="AF3466" t="str">
            <v>nypeastacn</v>
          </cell>
          <cell r="AG3466" t="str">
            <v>P</v>
          </cell>
        </row>
        <row r="3467">
          <cell r="A3467" t="str">
            <v>1588026876</v>
          </cell>
          <cell r="C3467" t="str">
            <v>ADAM BUCKHOLZ</v>
          </cell>
          <cell r="G3467" t="str">
            <v>Kathryn Spaziani</v>
          </cell>
          <cell r="H3467" t="str">
            <v>(212) 305-1190</v>
          </cell>
          <cell r="J3467" t="str">
            <v>kas9171@nyp.org</v>
          </cell>
          <cell r="K3467" t="str">
            <v>Unknown</v>
          </cell>
          <cell r="L3467" t="str">
            <v>Uncategorized</v>
          </cell>
          <cell r="M3467" t="str">
            <v>No</v>
          </cell>
          <cell r="R3467" t="str">
            <v>BUCKHOLZ ADAM</v>
          </cell>
          <cell r="S3467" t="str">
            <v>505 E 70TH ST</v>
          </cell>
          <cell r="T3467" t="str">
            <v>NEW YORK</v>
          </cell>
          <cell r="U3467" t="str">
            <v>NY</v>
          </cell>
          <cell r="V3467" t="str">
            <v>100214872</v>
          </cell>
          <cell r="AC3467" t="str">
            <v>M</v>
          </cell>
          <cell r="AD3467" t="str">
            <v>No</v>
          </cell>
          <cell r="AE3467" t="str">
            <v>NPI only</v>
          </cell>
          <cell r="AF3467" t="str">
            <v>nypeastacn</v>
          </cell>
          <cell r="AG3467" t="str">
            <v>P</v>
          </cell>
        </row>
        <row r="3468">
          <cell r="A3468" t="str">
            <v>1619362043</v>
          </cell>
          <cell r="C3468" t="str">
            <v>KELSEY BRYANT</v>
          </cell>
          <cell r="G3468" t="str">
            <v>Kathryn Spaziani</v>
          </cell>
          <cell r="H3468" t="str">
            <v>(212) 305-1190</v>
          </cell>
          <cell r="J3468" t="str">
            <v>kas9171@nyp.org</v>
          </cell>
          <cell r="K3468" t="str">
            <v>Unknown</v>
          </cell>
          <cell r="L3468" t="str">
            <v>Uncategorized</v>
          </cell>
          <cell r="M3468" t="str">
            <v>No</v>
          </cell>
          <cell r="R3468" t="str">
            <v>BRYANT KELSEY DR.</v>
          </cell>
          <cell r="S3468" t="str">
            <v>622 W 168TH ST, 2ND FLOOR</v>
          </cell>
          <cell r="T3468" t="str">
            <v>NEW YORK</v>
          </cell>
          <cell r="U3468" t="str">
            <v>NY</v>
          </cell>
          <cell r="V3468" t="str">
            <v>100323720</v>
          </cell>
          <cell r="AC3468" t="str">
            <v>M</v>
          </cell>
          <cell r="AD3468" t="str">
            <v>No</v>
          </cell>
          <cell r="AE3468" t="str">
            <v>NPI only</v>
          </cell>
          <cell r="AF3468" t="str">
            <v>nypwestacn</v>
          </cell>
          <cell r="AG3468" t="str">
            <v>P</v>
          </cell>
        </row>
        <row r="3469">
          <cell r="A3469" t="str">
            <v>1689945081</v>
          </cell>
          <cell r="C3469" t="str">
            <v>TYLER BROWN</v>
          </cell>
          <cell r="G3469" t="str">
            <v>Kathryn Spaziani</v>
          </cell>
          <cell r="H3469" t="str">
            <v>(212) 305-1190</v>
          </cell>
          <cell r="J3469" t="str">
            <v>kas9171@nyp.org</v>
          </cell>
          <cell r="K3469" t="str">
            <v>Unknown</v>
          </cell>
          <cell r="L3469" t="str">
            <v>Uncategorized</v>
          </cell>
          <cell r="M3469" t="str">
            <v>No</v>
          </cell>
          <cell r="R3469" t="str">
            <v>BROWN TYLER MR.</v>
          </cell>
          <cell r="S3469" t="str">
            <v>733 N. BROADWAY,, SUITE 147 THE JOHNS HOPKINS HOSPITAL</v>
          </cell>
          <cell r="T3469" t="str">
            <v>BALTIMORE</v>
          </cell>
          <cell r="U3469" t="str">
            <v>MD</v>
          </cell>
          <cell r="V3469" t="str">
            <v>212872109</v>
          </cell>
          <cell r="AC3469" t="str">
            <v>M</v>
          </cell>
          <cell r="AD3469" t="str">
            <v>No</v>
          </cell>
          <cell r="AE3469" t="str">
            <v>NPI only</v>
          </cell>
          <cell r="AF3469" t="str">
            <v>nypwestacn</v>
          </cell>
          <cell r="AG3469" t="str">
            <v>P</v>
          </cell>
        </row>
        <row r="3470">
          <cell r="A3470" t="str">
            <v>1023351350</v>
          </cell>
          <cell r="C3470" t="str">
            <v>CLIFTON BROCK</v>
          </cell>
          <cell r="G3470" t="str">
            <v>Kathryn Spaziani</v>
          </cell>
          <cell r="H3470" t="str">
            <v>(212) 305-1190</v>
          </cell>
          <cell r="J3470" t="str">
            <v>kas9171@nyp.org</v>
          </cell>
          <cell r="K3470" t="str">
            <v>Unknown</v>
          </cell>
          <cell r="L3470" t="str">
            <v>Uncategorized</v>
          </cell>
          <cell r="M3470" t="str">
            <v>No</v>
          </cell>
          <cell r="R3470" t="str">
            <v>BROCK CLIFTON MR.</v>
          </cell>
          <cell r="S3470" t="str">
            <v>622 W 168TH ST</v>
          </cell>
          <cell r="T3470" t="str">
            <v>NEW YORK</v>
          </cell>
          <cell r="U3470" t="str">
            <v>NY</v>
          </cell>
          <cell r="V3470" t="str">
            <v>100323720</v>
          </cell>
          <cell r="AC3470" t="str">
            <v>M</v>
          </cell>
          <cell r="AD3470" t="str">
            <v>No</v>
          </cell>
          <cell r="AE3470" t="str">
            <v>NPI only</v>
          </cell>
          <cell r="AF3470" t="str">
            <v>nypwestacn</v>
          </cell>
          <cell r="AG3470" t="str">
            <v>P</v>
          </cell>
        </row>
        <row r="3471">
          <cell r="A3471" t="str">
            <v>1922486562</v>
          </cell>
          <cell r="C3471" t="str">
            <v>NOELLE BRESLIN</v>
          </cell>
          <cell r="G3471" t="str">
            <v>Kathryn Spaziani</v>
          </cell>
          <cell r="H3471" t="str">
            <v>(212) 305-1190</v>
          </cell>
          <cell r="J3471" t="str">
            <v>kas9171@nyp.org</v>
          </cell>
          <cell r="K3471" t="str">
            <v>Unknown</v>
          </cell>
          <cell r="L3471" t="str">
            <v>Uncategorized</v>
          </cell>
          <cell r="M3471" t="str">
            <v>No</v>
          </cell>
          <cell r="R3471" t="str">
            <v>BRESLIN NOELLE MS.</v>
          </cell>
          <cell r="S3471" t="str">
            <v>622 W 168TH ST, #16-29</v>
          </cell>
          <cell r="T3471" t="str">
            <v>NEW YORK</v>
          </cell>
          <cell r="U3471" t="str">
            <v>NY</v>
          </cell>
          <cell r="V3471" t="str">
            <v>100323720</v>
          </cell>
          <cell r="AC3471" t="str">
            <v>M</v>
          </cell>
          <cell r="AD3471" t="str">
            <v>No</v>
          </cell>
          <cell r="AE3471" t="str">
            <v>NPI only</v>
          </cell>
          <cell r="AF3471" t="str">
            <v>nypwestacn</v>
          </cell>
          <cell r="AG3471" t="str">
            <v>P</v>
          </cell>
        </row>
        <row r="3472">
          <cell r="A3472" t="str">
            <v>1811317209</v>
          </cell>
          <cell r="C3472" t="str">
            <v>WALLACE BOURGEOIS</v>
          </cell>
          <cell r="G3472" t="str">
            <v>Kathryn Spaziani</v>
          </cell>
          <cell r="H3472" t="str">
            <v>(212) 305-1190</v>
          </cell>
          <cell r="J3472" t="str">
            <v>kas9171@nyp.org</v>
          </cell>
          <cell r="K3472" t="str">
            <v>Unknown</v>
          </cell>
          <cell r="L3472" t="str">
            <v>Uncategorized</v>
          </cell>
          <cell r="M3472" t="str">
            <v>No</v>
          </cell>
          <cell r="R3472" t="str">
            <v>BOURGEOIS WALLACE</v>
          </cell>
          <cell r="S3472" t="str">
            <v>3959 BROADWAY</v>
          </cell>
          <cell r="T3472" t="str">
            <v>NEW YORK</v>
          </cell>
          <cell r="U3472" t="str">
            <v>NY</v>
          </cell>
          <cell r="V3472" t="str">
            <v>100321559</v>
          </cell>
          <cell r="AC3472" t="str">
            <v>M</v>
          </cell>
          <cell r="AD3472" t="str">
            <v>No</v>
          </cell>
          <cell r="AE3472" t="str">
            <v>NPI only</v>
          </cell>
          <cell r="AF3472" t="str">
            <v>nypwestacn</v>
          </cell>
          <cell r="AG3472" t="str">
            <v>P</v>
          </cell>
        </row>
        <row r="3473">
          <cell r="A3473" t="str">
            <v>1437511862</v>
          </cell>
          <cell r="C3473" t="str">
            <v>NICHOLAS BOSCAMP</v>
          </cell>
          <cell r="G3473" t="str">
            <v>Kathryn Spaziani</v>
          </cell>
          <cell r="H3473" t="str">
            <v>(212) 305-1190</v>
          </cell>
          <cell r="J3473" t="str">
            <v>kas9171@nyp.org</v>
          </cell>
          <cell r="K3473" t="str">
            <v>Unknown</v>
          </cell>
          <cell r="L3473" t="str">
            <v>Uncategorized</v>
          </cell>
          <cell r="M3473" t="str">
            <v>No</v>
          </cell>
          <cell r="R3473" t="str">
            <v>BOSCAMP NICHOLAS</v>
          </cell>
          <cell r="S3473" t="str">
            <v>3959 BROADWAY</v>
          </cell>
          <cell r="T3473" t="str">
            <v>NEW YORK</v>
          </cell>
          <cell r="U3473" t="str">
            <v>NY</v>
          </cell>
          <cell r="V3473" t="str">
            <v>100321559</v>
          </cell>
          <cell r="AC3473" t="str">
            <v>M</v>
          </cell>
          <cell r="AD3473" t="str">
            <v>No</v>
          </cell>
          <cell r="AE3473" t="str">
            <v>NPI only</v>
          </cell>
          <cell r="AF3473" t="str">
            <v>nypwestacn</v>
          </cell>
          <cell r="AG3473" t="str">
            <v>P</v>
          </cell>
        </row>
        <row r="3474">
          <cell r="A3474" t="str">
            <v>1497140594</v>
          </cell>
          <cell r="C3474" t="str">
            <v>LEA BORNSTEIN</v>
          </cell>
          <cell r="G3474" t="str">
            <v>Kathryn Spaziani</v>
          </cell>
          <cell r="H3474" t="str">
            <v>(212) 305-1190</v>
          </cell>
          <cell r="J3474" t="str">
            <v>kas9171@nyp.org</v>
          </cell>
          <cell r="K3474" t="str">
            <v>Unknown</v>
          </cell>
          <cell r="L3474" t="str">
            <v>Uncategorized</v>
          </cell>
          <cell r="M3474" t="str">
            <v>No</v>
          </cell>
          <cell r="R3474" t="str">
            <v>BORNSTEIN LEA</v>
          </cell>
          <cell r="S3474" t="str">
            <v>3959 BROADWAY</v>
          </cell>
          <cell r="T3474" t="str">
            <v>NEW YORK</v>
          </cell>
          <cell r="U3474" t="str">
            <v>NY</v>
          </cell>
          <cell r="V3474" t="str">
            <v>100321559</v>
          </cell>
          <cell r="AC3474" t="str">
            <v>M</v>
          </cell>
          <cell r="AD3474" t="str">
            <v>No</v>
          </cell>
          <cell r="AE3474" t="str">
            <v>NPI only</v>
          </cell>
          <cell r="AF3474" t="str">
            <v>nypwestacn</v>
          </cell>
          <cell r="AG3474" t="str">
            <v>P</v>
          </cell>
        </row>
        <row r="3475">
          <cell r="A3475" t="str">
            <v>1649698325</v>
          </cell>
          <cell r="C3475" t="str">
            <v>RACHEL BORLACK</v>
          </cell>
          <cell r="G3475" t="str">
            <v>Kathryn Spaziani</v>
          </cell>
          <cell r="H3475" t="str">
            <v>(212) 305-1190</v>
          </cell>
          <cell r="J3475" t="str">
            <v>kas9171@nyp.org</v>
          </cell>
          <cell r="K3475" t="str">
            <v>Unknown</v>
          </cell>
          <cell r="L3475" t="str">
            <v>Uncategorized</v>
          </cell>
          <cell r="M3475" t="str">
            <v>No</v>
          </cell>
          <cell r="R3475" t="str">
            <v>BORLACK RACHEL</v>
          </cell>
          <cell r="S3475" t="str">
            <v>3959 BROADWAY</v>
          </cell>
          <cell r="T3475" t="str">
            <v>NEW YORK</v>
          </cell>
          <cell r="U3475" t="str">
            <v>NY</v>
          </cell>
          <cell r="V3475" t="str">
            <v>100321559</v>
          </cell>
          <cell r="AC3475" t="str">
            <v>M</v>
          </cell>
          <cell r="AD3475" t="str">
            <v>No</v>
          </cell>
          <cell r="AE3475" t="str">
            <v>NPI only</v>
          </cell>
          <cell r="AF3475" t="str">
            <v>nypwestacn</v>
          </cell>
          <cell r="AG3475" t="str">
            <v>P</v>
          </cell>
        </row>
        <row r="3476">
          <cell r="A3476" t="str">
            <v>1265827869</v>
          </cell>
          <cell r="C3476" t="str">
            <v>KIMBERLY BODENLOS</v>
          </cell>
          <cell r="G3476" t="str">
            <v>Kathryn Spaziani</v>
          </cell>
          <cell r="H3476" t="str">
            <v>(212) 305-1190</v>
          </cell>
          <cell r="J3476" t="str">
            <v>kas9171@nyp.org</v>
          </cell>
          <cell r="K3476" t="str">
            <v>Unknown</v>
          </cell>
          <cell r="L3476" t="str">
            <v>Uncategorized</v>
          </cell>
          <cell r="M3476" t="str">
            <v>No</v>
          </cell>
          <cell r="R3476" t="str">
            <v>BODENLOS KIMBERLY</v>
          </cell>
          <cell r="S3476" t="str">
            <v>525 E 68TH ST, BOX 122</v>
          </cell>
          <cell r="T3476" t="str">
            <v>NEW YORK</v>
          </cell>
          <cell r="U3476" t="str">
            <v>NY</v>
          </cell>
          <cell r="V3476" t="str">
            <v>100654870</v>
          </cell>
          <cell r="AC3476" t="str">
            <v>M</v>
          </cell>
          <cell r="AD3476" t="str">
            <v>No</v>
          </cell>
          <cell r="AE3476" t="str">
            <v>NPI only</v>
          </cell>
          <cell r="AF3476" t="str">
            <v>nypeastacn</v>
          </cell>
          <cell r="AG3476" t="str">
            <v>P</v>
          </cell>
        </row>
        <row r="3477">
          <cell r="A3477" t="str">
            <v>1093169757</v>
          </cell>
          <cell r="C3477" t="str">
            <v>SARAH BOBKER</v>
          </cell>
          <cell r="G3477" t="str">
            <v>Kathryn Spaziani</v>
          </cell>
          <cell r="H3477" t="str">
            <v>(212) 305-1190</v>
          </cell>
          <cell r="J3477" t="str">
            <v>kas9171@nyp.org</v>
          </cell>
          <cell r="K3477" t="str">
            <v>Unknown</v>
          </cell>
          <cell r="L3477" t="str">
            <v>Uncategorized</v>
          </cell>
          <cell r="M3477" t="str">
            <v>No</v>
          </cell>
          <cell r="R3477" t="str">
            <v>BOBKER SARAH</v>
          </cell>
          <cell r="S3477" t="str">
            <v>525 E 68TH ST, DEPARTMENT OF NEUROLOGY</v>
          </cell>
          <cell r="T3477" t="str">
            <v>NEW YORK</v>
          </cell>
          <cell r="U3477" t="str">
            <v>NY</v>
          </cell>
          <cell r="V3477" t="str">
            <v>100654870</v>
          </cell>
          <cell r="AC3477" t="str">
            <v>M</v>
          </cell>
          <cell r="AD3477" t="str">
            <v>No</v>
          </cell>
          <cell r="AE3477" t="str">
            <v>NPI only</v>
          </cell>
          <cell r="AF3477" t="str">
            <v>nypeastacn</v>
          </cell>
          <cell r="AG3477" t="str">
            <v>P</v>
          </cell>
        </row>
        <row r="3478">
          <cell r="A3478" t="str">
            <v>1629430483</v>
          </cell>
          <cell r="C3478" t="str">
            <v>RYAN BOBER</v>
          </cell>
          <cell r="G3478" t="str">
            <v>Kathryn Spaziani</v>
          </cell>
          <cell r="H3478" t="str">
            <v>(212) 305-1190</v>
          </cell>
          <cell r="J3478" t="str">
            <v>kas9171@nyp.org</v>
          </cell>
          <cell r="K3478" t="str">
            <v>Unknown</v>
          </cell>
          <cell r="L3478" t="str">
            <v>Uncategorized</v>
          </cell>
          <cell r="M3478" t="str">
            <v>No</v>
          </cell>
          <cell r="R3478" t="str">
            <v>BOBER RYAN</v>
          </cell>
          <cell r="S3478" t="str">
            <v>108 CEDAR CT</v>
          </cell>
          <cell r="T3478" t="str">
            <v>SWEDESBORO</v>
          </cell>
          <cell r="U3478" t="str">
            <v>NJ</v>
          </cell>
          <cell r="V3478" t="str">
            <v>080855054</v>
          </cell>
          <cell r="AC3478" t="str">
            <v>M</v>
          </cell>
          <cell r="AD3478" t="str">
            <v>No</v>
          </cell>
          <cell r="AE3478" t="str">
            <v>NPI only</v>
          </cell>
          <cell r="AF3478" t="str">
            <v>nypeastacn</v>
          </cell>
          <cell r="AG3478" t="str">
            <v>P</v>
          </cell>
        </row>
        <row r="3479">
          <cell r="A3479" t="str">
            <v>1831517234</v>
          </cell>
          <cell r="C3479" t="str">
            <v>EMILY BLAUEL</v>
          </cell>
          <cell r="G3479" t="str">
            <v>Kathryn Spaziani</v>
          </cell>
          <cell r="H3479" t="str">
            <v>(212) 305-1190</v>
          </cell>
          <cell r="J3479" t="str">
            <v>kas9171@nyp.org</v>
          </cell>
          <cell r="K3479" t="str">
            <v>Unknown</v>
          </cell>
          <cell r="L3479" t="str">
            <v>Uncategorized</v>
          </cell>
          <cell r="M3479" t="str">
            <v>No</v>
          </cell>
          <cell r="R3479" t="str">
            <v>BLAUEL EMILY</v>
          </cell>
          <cell r="S3479" t="str">
            <v>3959 BROADWAY</v>
          </cell>
          <cell r="T3479" t="str">
            <v>NEW YORK</v>
          </cell>
          <cell r="U3479" t="str">
            <v>NY</v>
          </cell>
          <cell r="V3479" t="str">
            <v>100321559</v>
          </cell>
          <cell r="AC3479" t="str">
            <v>M</v>
          </cell>
          <cell r="AD3479" t="str">
            <v>No</v>
          </cell>
          <cell r="AE3479" t="str">
            <v>NPI only</v>
          </cell>
          <cell r="AF3479" t="str">
            <v>nypwestacn</v>
          </cell>
          <cell r="AG3479" t="str">
            <v>P</v>
          </cell>
        </row>
        <row r="3480">
          <cell r="A3480" t="str">
            <v>1164884409</v>
          </cell>
          <cell r="C3480" t="str">
            <v>REBECCA BLANK</v>
          </cell>
          <cell r="G3480" t="str">
            <v>Kathryn Spaziani</v>
          </cell>
          <cell r="H3480" t="str">
            <v>(212) 305-1190</v>
          </cell>
          <cell r="J3480" t="str">
            <v>kas9171@nyp.org</v>
          </cell>
          <cell r="K3480" t="str">
            <v>Unknown</v>
          </cell>
          <cell r="L3480" t="str">
            <v>Uncategorized</v>
          </cell>
          <cell r="M3480" t="str">
            <v>No</v>
          </cell>
          <cell r="R3480" t="str">
            <v>BLANK REBECCA</v>
          </cell>
          <cell r="S3480" t="str">
            <v>505 E 70TH ST</v>
          </cell>
          <cell r="T3480" t="str">
            <v>NEW YORK</v>
          </cell>
          <cell r="U3480" t="str">
            <v>NY</v>
          </cell>
          <cell r="V3480" t="str">
            <v>100214872</v>
          </cell>
          <cell r="AC3480" t="str">
            <v>M</v>
          </cell>
          <cell r="AD3480" t="str">
            <v>No</v>
          </cell>
          <cell r="AE3480" t="str">
            <v>NPI only</v>
          </cell>
          <cell r="AF3480" t="str">
            <v>nypeastacn</v>
          </cell>
          <cell r="AG3480" t="str">
            <v>P</v>
          </cell>
        </row>
        <row r="3481">
          <cell r="A3481" t="str">
            <v>1386098291</v>
          </cell>
          <cell r="C3481" t="str">
            <v>VICTORIA BLANCHA</v>
          </cell>
          <cell r="G3481" t="str">
            <v>Kathryn Spaziani</v>
          </cell>
          <cell r="H3481" t="str">
            <v>(212) 305-1190</v>
          </cell>
          <cell r="J3481" t="str">
            <v>kas9171@nyp.org</v>
          </cell>
          <cell r="K3481" t="str">
            <v>Unknown</v>
          </cell>
          <cell r="L3481" t="str">
            <v>Uncategorized</v>
          </cell>
          <cell r="M3481" t="str">
            <v>No</v>
          </cell>
          <cell r="R3481" t="str">
            <v>BLANCHA ECKELS VICTORIA</v>
          </cell>
          <cell r="S3481" t="str">
            <v>3959 BROADWAY</v>
          </cell>
          <cell r="T3481" t="str">
            <v>NEW YORK</v>
          </cell>
          <cell r="U3481" t="str">
            <v>NY</v>
          </cell>
          <cell r="V3481" t="str">
            <v>100321559</v>
          </cell>
          <cell r="AC3481" t="str">
            <v>M</v>
          </cell>
          <cell r="AD3481" t="str">
            <v>No</v>
          </cell>
          <cell r="AE3481" t="str">
            <v>NPI only</v>
          </cell>
          <cell r="AF3481" t="str">
            <v>nypwestacn</v>
          </cell>
          <cell r="AG3481" t="str">
            <v>P</v>
          </cell>
        </row>
        <row r="3482">
          <cell r="A3482" t="str">
            <v>1932594314</v>
          </cell>
          <cell r="C3482" t="str">
            <v>JOHN BLACKETT</v>
          </cell>
          <cell r="G3482" t="str">
            <v>Kathryn Spaziani</v>
          </cell>
          <cell r="H3482" t="str">
            <v>(212) 305-1190</v>
          </cell>
          <cell r="J3482" t="str">
            <v>kas9171@nyp.org</v>
          </cell>
          <cell r="K3482" t="str">
            <v>Unknown</v>
          </cell>
          <cell r="L3482" t="str">
            <v>Uncategorized</v>
          </cell>
          <cell r="M3482" t="str">
            <v>No</v>
          </cell>
          <cell r="R3482" t="str">
            <v>BLACKETT JOHN</v>
          </cell>
          <cell r="S3482" t="str">
            <v>622 W 168TH ST # 205, APT 9W</v>
          </cell>
          <cell r="T3482" t="str">
            <v>NEW YORK</v>
          </cell>
          <cell r="U3482" t="str">
            <v>NY</v>
          </cell>
          <cell r="V3482" t="str">
            <v>100323720</v>
          </cell>
          <cell r="AC3482" t="str">
            <v>M</v>
          </cell>
          <cell r="AD3482" t="str">
            <v>No</v>
          </cell>
          <cell r="AE3482" t="str">
            <v>NPI only</v>
          </cell>
          <cell r="AF3482" t="str">
            <v>nypwestacn</v>
          </cell>
          <cell r="AG3482" t="str">
            <v>P</v>
          </cell>
        </row>
        <row r="3483">
          <cell r="A3483" t="str">
            <v>1538587035</v>
          </cell>
          <cell r="C3483" t="str">
            <v>NAVDEEP BHATTI</v>
          </cell>
          <cell r="G3483" t="str">
            <v>Kathryn Spaziani</v>
          </cell>
          <cell r="H3483" t="str">
            <v>(212) 305-1190</v>
          </cell>
          <cell r="J3483" t="str">
            <v>kas9171@nyp.org</v>
          </cell>
          <cell r="K3483" t="str">
            <v>Unknown</v>
          </cell>
          <cell r="L3483" t="str">
            <v>Uncategorized</v>
          </cell>
          <cell r="M3483" t="str">
            <v>No</v>
          </cell>
          <cell r="R3483" t="str">
            <v>BHATTI NAVDEEP</v>
          </cell>
          <cell r="S3483" t="str">
            <v>722 W 168TH ST</v>
          </cell>
          <cell r="T3483" t="str">
            <v>NEW YORK</v>
          </cell>
          <cell r="U3483" t="str">
            <v>NY</v>
          </cell>
          <cell r="V3483" t="str">
            <v>100323727</v>
          </cell>
          <cell r="AC3483" t="str">
            <v>M</v>
          </cell>
          <cell r="AD3483" t="str">
            <v>No</v>
          </cell>
          <cell r="AE3483" t="str">
            <v>NPI only</v>
          </cell>
          <cell r="AF3483" t="str">
            <v>nypwestacn</v>
          </cell>
          <cell r="AG3483" t="str">
            <v>P</v>
          </cell>
        </row>
        <row r="3484">
          <cell r="A3484" t="str">
            <v>1487017158</v>
          </cell>
          <cell r="C3484" t="str">
            <v>DEEP BHATT</v>
          </cell>
          <cell r="G3484" t="str">
            <v>Kathryn Spaziani</v>
          </cell>
          <cell r="H3484" t="str">
            <v>(212) 305-1190</v>
          </cell>
          <cell r="J3484" t="str">
            <v>kas9171@nyp.org</v>
          </cell>
          <cell r="K3484" t="str">
            <v>Unknown</v>
          </cell>
          <cell r="L3484" t="str">
            <v>Uncategorized</v>
          </cell>
          <cell r="M3484" t="str">
            <v>No</v>
          </cell>
          <cell r="R3484" t="str">
            <v>BHATT DEEP</v>
          </cell>
          <cell r="S3484" t="str">
            <v>505 E 70TH ST, WEILL CORNELL INTERNAL MEDICINE ASSOCIATES</v>
          </cell>
          <cell r="T3484" t="str">
            <v>NEW YORK</v>
          </cell>
          <cell r="U3484" t="str">
            <v>NY</v>
          </cell>
          <cell r="V3484" t="str">
            <v>100214872</v>
          </cell>
          <cell r="AC3484" t="str">
            <v>M</v>
          </cell>
          <cell r="AD3484" t="str">
            <v>No</v>
          </cell>
          <cell r="AE3484" t="str">
            <v>NPI only</v>
          </cell>
          <cell r="AF3484" t="str">
            <v>nypeastacn</v>
          </cell>
          <cell r="AG3484" t="str">
            <v>P</v>
          </cell>
        </row>
        <row r="3485">
          <cell r="A3485" t="str">
            <v>1750744504</v>
          </cell>
          <cell r="C3485" t="str">
            <v>JESSE BERTRAND</v>
          </cell>
          <cell r="G3485" t="str">
            <v>Kathryn Spaziani</v>
          </cell>
          <cell r="H3485" t="str">
            <v>(212) 305-1190</v>
          </cell>
          <cell r="J3485" t="str">
            <v>kas9171@nyp.org</v>
          </cell>
          <cell r="K3485" t="str">
            <v>Unknown</v>
          </cell>
          <cell r="L3485" t="str">
            <v>Uncategorized</v>
          </cell>
          <cell r="M3485" t="str">
            <v>No</v>
          </cell>
          <cell r="R3485" t="str">
            <v>BERTRAND JESSE</v>
          </cell>
          <cell r="S3485" t="str">
            <v>505 E 70TH ST</v>
          </cell>
          <cell r="T3485" t="str">
            <v>NEW YORK</v>
          </cell>
          <cell r="U3485" t="str">
            <v>NY</v>
          </cell>
          <cell r="V3485" t="str">
            <v>100214872</v>
          </cell>
          <cell r="AC3485" t="str">
            <v>M</v>
          </cell>
          <cell r="AD3485" t="str">
            <v>No</v>
          </cell>
          <cell r="AE3485" t="str">
            <v>NPI only</v>
          </cell>
          <cell r="AF3485" t="str">
            <v>nypeastacn</v>
          </cell>
          <cell r="AG3485" t="str">
            <v>P</v>
          </cell>
        </row>
        <row r="3486">
          <cell r="A3486" t="str">
            <v>1346635646</v>
          </cell>
          <cell r="C3486" t="str">
            <v>JANINE BERNARDO</v>
          </cell>
          <cell r="G3486" t="str">
            <v>Kathryn Spaziani</v>
          </cell>
          <cell r="H3486" t="str">
            <v>(212) 305-1190</v>
          </cell>
          <cell r="J3486" t="str">
            <v>kas9171@nyp.org</v>
          </cell>
          <cell r="K3486" t="str">
            <v>Unknown</v>
          </cell>
          <cell r="L3486" t="str">
            <v>Uncategorized</v>
          </cell>
          <cell r="M3486" t="str">
            <v>No</v>
          </cell>
          <cell r="R3486" t="str">
            <v>BERNARDO JANINE DR.</v>
          </cell>
          <cell r="S3486" t="str">
            <v>3959 BROADWAY</v>
          </cell>
          <cell r="T3486" t="str">
            <v>NEW YORK</v>
          </cell>
          <cell r="U3486" t="str">
            <v>NY</v>
          </cell>
          <cell r="V3486" t="str">
            <v>100321559</v>
          </cell>
          <cell r="AC3486" t="str">
            <v>M</v>
          </cell>
          <cell r="AD3486" t="str">
            <v>No</v>
          </cell>
          <cell r="AE3486" t="str">
            <v>NPI only</v>
          </cell>
          <cell r="AF3486" t="str">
            <v>nypwestacn</v>
          </cell>
          <cell r="AG3486" t="str">
            <v>P</v>
          </cell>
        </row>
        <row r="3487">
          <cell r="A3487" t="str">
            <v>1659791887</v>
          </cell>
          <cell r="C3487" t="str">
            <v>ESTHER BERKO</v>
          </cell>
          <cell r="G3487" t="str">
            <v>Kathryn Spaziani</v>
          </cell>
          <cell r="H3487" t="str">
            <v>(212) 305-1190</v>
          </cell>
          <cell r="J3487" t="str">
            <v>kas9171@nyp.org</v>
          </cell>
          <cell r="K3487" t="str">
            <v>Unknown</v>
          </cell>
          <cell r="L3487" t="str">
            <v>Uncategorized</v>
          </cell>
          <cell r="M3487" t="str">
            <v>No</v>
          </cell>
          <cell r="R3487" t="str">
            <v>BERKO ESTHER</v>
          </cell>
          <cell r="S3487" t="str">
            <v>630 W 168TH ST, VC-507</v>
          </cell>
          <cell r="T3487" t="str">
            <v>NEW YORK</v>
          </cell>
          <cell r="U3487" t="str">
            <v>NY</v>
          </cell>
          <cell r="V3487" t="str">
            <v>100323725</v>
          </cell>
          <cell r="AC3487" t="str">
            <v>M</v>
          </cell>
          <cell r="AD3487" t="str">
            <v>No</v>
          </cell>
          <cell r="AE3487" t="str">
            <v>NPI only</v>
          </cell>
          <cell r="AF3487" t="str">
            <v>nypwestacn</v>
          </cell>
          <cell r="AG3487" t="str">
            <v>P</v>
          </cell>
        </row>
        <row r="3488">
          <cell r="A3488" t="str">
            <v>1922462399</v>
          </cell>
          <cell r="C3488" t="str">
            <v>CHARLES BERGMAN</v>
          </cell>
          <cell r="G3488" t="str">
            <v>Kathryn Spaziani</v>
          </cell>
          <cell r="H3488" t="str">
            <v>(212) 305-1190</v>
          </cell>
          <cell r="J3488" t="str">
            <v>kas9171@nyp.org</v>
          </cell>
          <cell r="K3488" t="str">
            <v>Unknown</v>
          </cell>
          <cell r="L3488" t="str">
            <v>Uncategorized</v>
          </cell>
          <cell r="M3488" t="str">
            <v>No</v>
          </cell>
          <cell r="R3488" t="str">
            <v>BERGMAN CHARLES DR.</v>
          </cell>
          <cell r="S3488" t="str">
            <v>525 E 68TH ST, BOX 225</v>
          </cell>
          <cell r="T3488" t="str">
            <v>NEW YORK</v>
          </cell>
          <cell r="U3488" t="str">
            <v>NY</v>
          </cell>
          <cell r="V3488" t="str">
            <v>100654870</v>
          </cell>
          <cell r="AC3488" t="str">
            <v>M</v>
          </cell>
          <cell r="AD3488" t="str">
            <v>No</v>
          </cell>
          <cell r="AE3488" t="str">
            <v>NPI only</v>
          </cell>
          <cell r="AF3488" t="str">
            <v>nypeastacn</v>
          </cell>
          <cell r="AG3488" t="str">
            <v>P</v>
          </cell>
        </row>
        <row r="3489">
          <cell r="A3489" t="str">
            <v>1356704670</v>
          </cell>
          <cell r="C3489" t="str">
            <v>HEATHER BELLE</v>
          </cell>
          <cell r="G3489" t="str">
            <v>Kathryn Spaziani</v>
          </cell>
          <cell r="H3489" t="str">
            <v>(212) 305-1190</v>
          </cell>
          <cell r="J3489" t="str">
            <v>kas9171@nyp.org</v>
          </cell>
          <cell r="K3489" t="str">
            <v>Unknown</v>
          </cell>
          <cell r="L3489" t="str">
            <v>Uncategorized</v>
          </cell>
          <cell r="M3489" t="str">
            <v>No</v>
          </cell>
          <cell r="R3489" t="str">
            <v>BELLE HEATHER</v>
          </cell>
          <cell r="S3489" t="str">
            <v>622 W 168TH ST</v>
          </cell>
          <cell r="T3489" t="str">
            <v>NEW YORK</v>
          </cell>
          <cell r="U3489" t="str">
            <v>NY</v>
          </cell>
          <cell r="V3489" t="str">
            <v>100323720</v>
          </cell>
          <cell r="AC3489" t="str">
            <v>M</v>
          </cell>
          <cell r="AD3489" t="str">
            <v>No</v>
          </cell>
          <cell r="AE3489" t="str">
            <v>NPI only</v>
          </cell>
          <cell r="AF3489" t="str">
            <v>nypwestacn</v>
          </cell>
          <cell r="AG3489" t="str">
            <v>P</v>
          </cell>
        </row>
        <row r="3490">
          <cell r="A3490" t="str">
            <v>1043697238</v>
          </cell>
          <cell r="C3490" t="str">
            <v>LAURA BELLAND</v>
          </cell>
          <cell r="G3490" t="str">
            <v>Kathryn Spaziani</v>
          </cell>
          <cell r="H3490" t="str">
            <v>(212) 305-1190</v>
          </cell>
          <cell r="J3490" t="str">
            <v>kas9171@nyp.org</v>
          </cell>
          <cell r="K3490" t="str">
            <v>Unknown</v>
          </cell>
          <cell r="L3490" t="str">
            <v>Uncategorized</v>
          </cell>
          <cell r="M3490" t="str">
            <v>No</v>
          </cell>
          <cell r="R3490" t="str">
            <v>BELLAND LAURA</v>
          </cell>
          <cell r="S3490" t="str">
            <v>630 W 168TH ST, P&amp;S BOX 100</v>
          </cell>
          <cell r="T3490" t="str">
            <v>NEW YORK</v>
          </cell>
          <cell r="U3490" t="str">
            <v>NY</v>
          </cell>
          <cell r="V3490" t="str">
            <v>100323725</v>
          </cell>
          <cell r="AC3490" t="str">
            <v>M</v>
          </cell>
          <cell r="AD3490" t="str">
            <v>No</v>
          </cell>
          <cell r="AE3490" t="str">
            <v>NPI only</v>
          </cell>
          <cell r="AF3490" t="str">
            <v>nypwestacn</v>
          </cell>
          <cell r="AG3490" t="str">
            <v>P</v>
          </cell>
        </row>
        <row r="3491">
          <cell r="A3491" t="str">
            <v>1629497599</v>
          </cell>
          <cell r="C3491" t="str">
            <v>AHMAD NAJDAT BAZARBASHI</v>
          </cell>
          <cell r="G3491" t="str">
            <v>Kathryn Spaziani</v>
          </cell>
          <cell r="H3491" t="str">
            <v>(212) 305-1190</v>
          </cell>
          <cell r="J3491" t="str">
            <v>kas9171@nyp.org</v>
          </cell>
          <cell r="K3491" t="str">
            <v>Unknown</v>
          </cell>
          <cell r="L3491" t="str">
            <v>Uncategorized</v>
          </cell>
          <cell r="M3491" t="str">
            <v>No</v>
          </cell>
          <cell r="R3491" t="str">
            <v>BAZARBASHI AHMAD NAJDAT MR.</v>
          </cell>
          <cell r="S3491" t="str">
            <v>ALTUS APARTMENT 18, SUNDAYS WELL ROAD, CORK CITY, CORK</v>
          </cell>
          <cell r="T3491" t="str">
            <v>CORK CITY</v>
          </cell>
          <cell r="U3491" t="str">
            <v>CORK</v>
          </cell>
          <cell r="V3491" t="str">
            <v>CORK CITY</v>
          </cell>
          <cell r="AC3491" t="str">
            <v>M</v>
          </cell>
          <cell r="AD3491" t="str">
            <v>No</v>
          </cell>
          <cell r="AE3491" t="str">
            <v>NPI only</v>
          </cell>
          <cell r="AF3491" t="str">
            <v>nypwestacn</v>
          </cell>
          <cell r="AG3491" t="str">
            <v>P</v>
          </cell>
        </row>
        <row r="3492">
          <cell r="A3492" t="str">
            <v>1316301179</v>
          </cell>
          <cell r="C3492" t="str">
            <v>JOSEPH BAYNE</v>
          </cell>
          <cell r="G3492" t="str">
            <v>Kathryn Spaziani</v>
          </cell>
          <cell r="H3492" t="str">
            <v>(212) 305-1190</v>
          </cell>
          <cell r="J3492" t="str">
            <v>kas9171@nyp.org</v>
          </cell>
          <cell r="K3492" t="str">
            <v>Unknown</v>
          </cell>
          <cell r="L3492" t="str">
            <v>Uncategorized</v>
          </cell>
          <cell r="M3492" t="str">
            <v>No</v>
          </cell>
          <cell r="R3492" t="str">
            <v>BAYNE JOSEPH DR.</v>
          </cell>
          <cell r="S3492" t="str">
            <v>622 W 168TH ST</v>
          </cell>
          <cell r="T3492" t="str">
            <v>NEW YORK</v>
          </cell>
          <cell r="U3492" t="str">
            <v>NY</v>
          </cell>
          <cell r="V3492" t="str">
            <v>100323720</v>
          </cell>
          <cell r="AC3492" t="str">
            <v>M</v>
          </cell>
          <cell r="AD3492" t="str">
            <v>No</v>
          </cell>
          <cell r="AE3492" t="str">
            <v>NPI only</v>
          </cell>
          <cell r="AF3492" t="str">
            <v>nypwestacn</v>
          </cell>
          <cell r="AG3492" t="str">
            <v>P</v>
          </cell>
        </row>
        <row r="3493">
          <cell r="A3493" t="str">
            <v>1477916237</v>
          </cell>
          <cell r="C3493" t="str">
            <v>CLEA BARNETT</v>
          </cell>
          <cell r="G3493" t="str">
            <v>Kathryn Spaziani</v>
          </cell>
          <cell r="H3493" t="str">
            <v>(212) 305-1190</v>
          </cell>
          <cell r="J3493" t="str">
            <v>kas9171@nyp.org</v>
          </cell>
          <cell r="K3493" t="str">
            <v>Unknown</v>
          </cell>
          <cell r="L3493" t="str">
            <v>Uncategorized</v>
          </cell>
          <cell r="M3493" t="str">
            <v>No</v>
          </cell>
          <cell r="R3493" t="str">
            <v>BARNETT CLEA</v>
          </cell>
          <cell r="S3493" t="str">
            <v>622 W 168TH ST</v>
          </cell>
          <cell r="T3493" t="str">
            <v>NEW YORK</v>
          </cell>
          <cell r="U3493" t="str">
            <v>NY</v>
          </cell>
          <cell r="V3493" t="str">
            <v>100323720</v>
          </cell>
          <cell r="AC3493" t="str">
            <v>M</v>
          </cell>
          <cell r="AD3493" t="str">
            <v>No</v>
          </cell>
          <cell r="AE3493" t="str">
            <v>NPI only</v>
          </cell>
          <cell r="AF3493" t="str">
            <v>nypwestacn</v>
          </cell>
          <cell r="AG3493" t="str">
            <v>P</v>
          </cell>
        </row>
        <row r="3494">
          <cell r="A3494" t="str">
            <v>1316301245</v>
          </cell>
          <cell r="C3494" t="str">
            <v>SARAH BARENBAUM</v>
          </cell>
          <cell r="G3494" t="str">
            <v>Kathryn Spaziani</v>
          </cell>
          <cell r="H3494" t="str">
            <v>(212) 305-1190</v>
          </cell>
          <cell r="J3494" t="str">
            <v>kas9171@nyp.org</v>
          </cell>
          <cell r="K3494" t="str">
            <v>Unknown</v>
          </cell>
          <cell r="L3494" t="str">
            <v>Uncategorized</v>
          </cell>
          <cell r="M3494" t="str">
            <v>No</v>
          </cell>
          <cell r="R3494" t="str">
            <v>BARENBAUM SARAH</v>
          </cell>
          <cell r="S3494" t="str">
            <v>505 E 70TH ST</v>
          </cell>
          <cell r="T3494" t="str">
            <v>NEW YORK</v>
          </cell>
          <cell r="U3494" t="str">
            <v>NY</v>
          </cell>
          <cell r="V3494" t="str">
            <v>100214872</v>
          </cell>
          <cell r="AC3494" t="str">
            <v>M</v>
          </cell>
          <cell r="AD3494" t="str">
            <v>No</v>
          </cell>
          <cell r="AE3494" t="str">
            <v>NPI only</v>
          </cell>
          <cell r="AF3494" t="str">
            <v>nypeastacn</v>
          </cell>
          <cell r="AG3494" t="str">
            <v>P</v>
          </cell>
        </row>
        <row r="3495">
          <cell r="A3495" t="str">
            <v>1427442805</v>
          </cell>
          <cell r="C3495" t="str">
            <v>ANDREA BARBERIO</v>
          </cell>
          <cell r="G3495" t="str">
            <v>Kathryn Spaziani</v>
          </cell>
          <cell r="H3495" t="str">
            <v>(212) 305-1190</v>
          </cell>
          <cell r="J3495" t="str">
            <v>kas9171@nyp.org</v>
          </cell>
          <cell r="K3495" t="str">
            <v>Unknown</v>
          </cell>
          <cell r="L3495" t="str">
            <v>Uncategorized</v>
          </cell>
          <cell r="M3495" t="str">
            <v>No</v>
          </cell>
          <cell r="R3495" t="str">
            <v>BARBERIO ANDREA</v>
          </cell>
          <cell r="S3495" t="str">
            <v>525 E 68TH ST # 122</v>
          </cell>
          <cell r="T3495" t="str">
            <v>NEW YORK</v>
          </cell>
          <cell r="U3495" t="str">
            <v>NY</v>
          </cell>
          <cell r="V3495" t="str">
            <v>100654870</v>
          </cell>
          <cell r="AC3495" t="str">
            <v>M</v>
          </cell>
          <cell r="AD3495" t="str">
            <v>No</v>
          </cell>
          <cell r="AE3495" t="str">
            <v>NPI only</v>
          </cell>
          <cell r="AF3495" t="str">
            <v>nypeastacn</v>
          </cell>
          <cell r="AG3495" t="str">
            <v>P</v>
          </cell>
        </row>
        <row r="3496">
          <cell r="A3496" t="str">
            <v>1922427392</v>
          </cell>
          <cell r="C3496" t="str">
            <v>CAITLIN BAPTISTE</v>
          </cell>
          <cell r="G3496" t="str">
            <v>Kathryn Spaziani</v>
          </cell>
          <cell r="H3496" t="str">
            <v>(212) 305-1190</v>
          </cell>
          <cell r="J3496" t="str">
            <v>kas9171@nyp.org</v>
          </cell>
          <cell r="K3496" t="str">
            <v>Unknown</v>
          </cell>
          <cell r="L3496" t="str">
            <v>Uncategorized</v>
          </cell>
          <cell r="M3496" t="str">
            <v>No</v>
          </cell>
          <cell r="R3496" t="str">
            <v>BAPTISTE CAITLIN</v>
          </cell>
          <cell r="S3496" t="str">
            <v>622 W 168TH ST</v>
          </cell>
          <cell r="T3496" t="str">
            <v>NEW YORK</v>
          </cell>
          <cell r="U3496" t="str">
            <v>NY</v>
          </cell>
          <cell r="V3496" t="str">
            <v>100323720</v>
          </cell>
          <cell r="AC3496" t="str">
            <v>M</v>
          </cell>
          <cell r="AD3496" t="str">
            <v>No</v>
          </cell>
          <cell r="AE3496" t="str">
            <v>NPI only</v>
          </cell>
          <cell r="AF3496" t="str">
            <v>nypwestacn</v>
          </cell>
          <cell r="AG3496" t="str">
            <v>P</v>
          </cell>
        </row>
        <row r="3497">
          <cell r="A3497" t="str">
            <v>1053706325</v>
          </cell>
          <cell r="C3497" t="str">
            <v>DAVID BAE</v>
          </cell>
          <cell r="G3497" t="str">
            <v>Kathryn Spaziani</v>
          </cell>
          <cell r="H3497" t="str">
            <v>(212) 305-1190</v>
          </cell>
          <cell r="J3497" t="str">
            <v>kas9171@nyp.org</v>
          </cell>
          <cell r="K3497" t="str">
            <v>Unknown</v>
          </cell>
          <cell r="L3497" t="str">
            <v>Uncategorized</v>
          </cell>
          <cell r="M3497" t="str">
            <v>No</v>
          </cell>
          <cell r="R3497" t="str">
            <v>BAE DAVID</v>
          </cell>
          <cell r="S3497" t="str">
            <v>622 W 168TH ST # 205</v>
          </cell>
          <cell r="T3497" t="str">
            <v>NEW YORK</v>
          </cell>
          <cell r="U3497" t="str">
            <v>NY</v>
          </cell>
          <cell r="V3497" t="str">
            <v>100323720</v>
          </cell>
          <cell r="AC3497" t="str">
            <v>M</v>
          </cell>
          <cell r="AD3497" t="str">
            <v>No</v>
          </cell>
          <cell r="AE3497" t="str">
            <v>NPI only</v>
          </cell>
          <cell r="AF3497" t="str">
            <v>nypwestacn</v>
          </cell>
          <cell r="AG3497" t="str">
            <v>P</v>
          </cell>
        </row>
        <row r="3498">
          <cell r="A3498" t="str">
            <v>1891149704</v>
          </cell>
          <cell r="C3498" t="str">
            <v>SAEEDEH AZARY</v>
          </cell>
          <cell r="G3498" t="str">
            <v>Kathryn Spaziani</v>
          </cell>
          <cell r="H3498" t="str">
            <v>(212) 305-1190</v>
          </cell>
          <cell r="J3498" t="str">
            <v>kas9171@nyp.org</v>
          </cell>
          <cell r="K3498" t="str">
            <v>Unknown</v>
          </cell>
          <cell r="L3498" t="str">
            <v>Uncategorized</v>
          </cell>
          <cell r="M3498" t="str">
            <v>No</v>
          </cell>
          <cell r="R3498" t="str">
            <v>AZARY SAEEDEH</v>
          </cell>
          <cell r="S3498" t="str">
            <v>525 E 68TH ST</v>
          </cell>
          <cell r="T3498" t="str">
            <v>NEW YORK</v>
          </cell>
          <cell r="U3498" t="str">
            <v>NY</v>
          </cell>
          <cell r="V3498" t="str">
            <v>100654870</v>
          </cell>
          <cell r="AC3498" t="str">
            <v>M</v>
          </cell>
          <cell r="AD3498" t="str">
            <v>No</v>
          </cell>
          <cell r="AE3498" t="str">
            <v>NPI only</v>
          </cell>
          <cell r="AF3498" t="str">
            <v>nypeastacn</v>
          </cell>
          <cell r="AG3498" t="str">
            <v>P</v>
          </cell>
        </row>
        <row r="3499">
          <cell r="A3499" t="str">
            <v>1326434119</v>
          </cell>
          <cell r="C3499" t="str">
            <v>NWORAH AYOGU</v>
          </cell>
          <cell r="G3499" t="str">
            <v>Kathryn Spaziani</v>
          </cell>
          <cell r="H3499" t="str">
            <v>(212) 305-1190</v>
          </cell>
          <cell r="J3499" t="str">
            <v>kas9171@nyp.org</v>
          </cell>
          <cell r="K3499" t="str">
            <v>Unknown</v>
          </cell>
          <cell r="L3499" t="str">
            <v>Uncategorized</v>
          </cell>
          <cell r="M3499" t="str">
            <v>No</v>
          </cell>
          <cell r="R3499" t="str">
            <v>AYOGU NWORAH</v>
          </cell>
          <cell r="S3499" t="str">
            <v>622 W 168TH ST, #205</v>
          </cell>
          <cell r="T3499" t="str">
            <v>NEW YORK</v>
          </cell>
          <cell r="U3499" t="str">
            <v>NY</v>
          </cell>
          <cell r="V3499" t="str">
            <v>100323720</v>
          </cell>
          <cell r="AC3499" t="str">
            <v>M</v>
          </cell>
          <cell r="AD3499" t="str">
            <v>No</v>
          </cell>
          <cell r="AE3499" t="str">
            <v>NPI only</v>
          </cell>
          <cell r="AF3499" t="str">
            <v>nypwestacn</v>
          </cell>
          <cell r="AG3499" t="str">
            <v>P</v>
          </cell>
        </row>
        <row r="3500">
          <cell r="A3500" t="str">
            <v>1851774590</v>
          </cell>
          <cell r="C3500" t="str">
            <v>STEPHANIE ARNOLD</v>
          </cell>
          <cell r="G3500" t="str">
            <v>Kathryn Spaziani</v>
          </cell>
          <cell r="H3500" t="str">
            <v>(212) 305-1190</v>
          </cell>
          <cell r="J3500" t="str">
            <v>kas9171@nyp.org</v>
          </cell>
          <cell r="K3500" t="str">
            <v>Unknown</v>
          </cell>
          <cell r="L3500" t="str">
            <v>Uncategorized</v>
          </cell>
          <cell r="M3500" t="str">
            <v>No</v>
          </cell>
          <cell r="R3500" t="str">
            <v>ARNOLD STEPHANIE DR.</v>
          </cell>
          <cell r="S3500" t="str">
            <v>2110 DORCHESTER AVE</v>
          </cell>
          <cell r="T3500" t="str">
            <v>BOSTON</v>
          </cell>
          <cell r="U3500" t="str">
            <v>MA</v>
          </cell>
          <cell r="V3500" t="str">
            <v>021245628</v>
          </cell>
          <cell r="AC3500" t="str">
            <v>M</v>
          </cell>
          <cell r="AD3500" t="str">
            <v>No</v>
          </cell>
          <cell r="AE3500" t="str">
            <v>NPI only</v>
          </cell>
          <cell r="AF3500" t="str">
            <v>nypwestacn</v>
          </cell>
          <cell r="AG3500" t="str">
            <v>P</v>
          </cell>
        </row>
        <row r="3501">
          <cell r="A3501" t="str">
            <v>1194145623</v>
          </cell>
          <cell r="C3501" t="str">
            <v>KATHERINE ARMSTRONG</v>
          </cell>
          <cell r="G3501" t="str">
            <v>Kathryn Spaziani</v>
          </cell>
          <cell r="H3501" t="str">
            <v>(212) 305-1190</v>
          </cell>
          <cell r="J3501" t="str">
            <v>kas9171@nyp.org</v>
          </cell>
          <cell r="K3501" t="str">
            <v>Unknown</v>
          </cell>
          <cell r="L3501" t="str">
            <v>Uncategorized</v>
          </cell>
          <cell r="M3501" t="str">
            <v>No</v>
          </cell>
          <cell r="R3501" t="str">
            <v>ARMSTRONG KATHERINE</v>
          </cell>
          <cell r="S3501" t="str">
            <v>525 E 68TH ST</v>
          </cell>
          <cell r="T3501" t="str">
            <v>NEW YORK</v>
          </cell>
          <cell r="U3501" t="str">
            <v>NY</v>
          </cell>
          <cell r="V3501" t="str">
            <v>100654870</v>
          </cell>
          <cell r="AC3501" t="str">
            <v>M</v>
          </cell>
          <cell r="AD3501" t="str">
            <v>No</v>
          </cell>
          <cell r="AE3501" t="str">
            <v>NPI only</v>
          </cell>
          <cell r="AF3501" t="str">
            <v>nypeastacn</v>
          </cell>
          <cell r="AG3501" t="str">
            <v>P</v>
          </cell>
        </row>
        <row r="3502">
          <cell r="A3502" t="str">
            <v>1699160515</v>
          </cell>
          <cell r="C3502" t="str">
            <v>ERIC ARMOUR</v>
          </cell>
          <cell r="G3502" t="str">
            <v>Kathryn Spaziani</v>
          </cell>
          <cell r="H3502" t="str">
            <v>(212) 305-1190</v>
          </cell>
          <cell r="J3502" t="str">
            <v>kas9171@nyp.org</v>
          </cell>
          <cell r="K3502" t="str">
            <v>Unknown</v>
          </cell>
          <cell r="L3502" t="str">
            <v>Uncategorized</v>
          </cell>
          <cell r="M3502" t="str">
            <v>No</v>
          </cell>
          <cell r="R3502" t="str">
            <v>ARMOUR ERIC</v>
          </cell>
          <cell r="S3502" t="str">
            <v>3959 BROADWAY</v>
          </cell>
          <cell r="T3502" t="str">
            <v>NEW YORK</v>
          </cell>
          <cell r="U3502" t="str">
            <v>NY</v>
          </cell>
          <cell r="V3502" t="str">
            <v>100321559</v>
          </cell>
          <cell r="AC3502" t="str">
            <v>M</v>
          </cell>
          <cell r="AD3502" t="str">
            <v>No</v>
          </cell>
          <cell r="AE3502" t="str">
            <v>NPI only</v>
          </cell>
          <cell r="AF3502" t="str">
            <v>nypwestacn</v>
          </cell>
          <cell r="AG3502" t="str">
            <v>P</v>
          </cell>
        </row>
        <row r="3503">
          <cell r="A3503" t="str">
            <v>1447679253</v>
          </cell>
          <cell r="C3503" t="str">
            <v>RACHEL ARAKAWA</v>
          </cell>
          <cell r="G3503" t="str">
            <v>Kathryn Spaziani</v>
          </cell>
          <cell r="H3503" t="str">
            <v>(212) 305-1190</v>
          </cell>
          <cell r="J3503" t="str">
            <v>kas9171@nyp.org</v>
          </cell>
          <cell r="K3503" t="str">
            <v>Unknown</v>
          </cell>
          <cell r="L3503" t="str">
            <v>Uncategorized</v>
          </cell>
          <cell r="M3503" t="str">
            <v>No</v>
          </cell>
          <cell r="R3503" t="str">
            <v>ARAKAWA RACHEL MS.</v>
          </cell>
          <cell r="S3503" t="str">
            <v>177 FORT WASHINGTON AVE</v>
          </cell>
          <cell r="T3503" t="str">
            <v>NEW YORK</v>
          </cell>
          <cell r="U3503" t="str">
            <v>NY</v>
          </cell>
          <cell r="V3503" t="str">
            <v>100323733</v>
          </cell>
          <cell r="AC3503" t="str">
            <v>M</v>
          </cell>
          <cell r="AD3503" t="str">
            <v>No</v>
          </cell>
          <cell r="AE3503" t="str">
            <v>NPI only</v>
          </cell>
          <cell r="AF3503" t="str">
            <v>nypwestacn</v>
          </cell>
          <cell r="AG3503" t="str">
            <v>P</v>
          </cell>
        </row>
        <row r="3504">
          <cell r="A3504" t="str">
            <v>1972948099</v>
          </cell>
          <cell r="C3504" t="str">
            <v>VARREY ANEESHA</v>
          </cell>
          <cell r="G3504" t="str">
            <v>Kathryn Spaziani</v>
          </cell>
          <cell r="H3504" t="str">
            <v>(212) 305-1190</v>
          </cell>
          <cell r="J3504" t="str">
            <v>kas9171@nyp.org</v>
          </cell>
          <cell r="K3504" t="str">
            <v>Unknown</v>
          </cell>
          <cell r="L3504" t="str">
            <v>Uncategorized</v>
          </cell>
          <cell r="M3504" t="str">
            <v>No</v>
          </cell>
          <cell r="R3504" t="str">
            <v>ANEESHA VARREY</v>
          </cell>
          <cell r="S3504" t="str">
            <v>525 E 68TH ST, BOX 122</v>
          </cell>
          <cell r="T3504" t="str">
            <v>NEW YORK</v>
          </cell>
          <cell r="U3504" t="str">
            <v>NY</v>
          </cell>
          <cell r="V3504" t="str">
            <v>100654870</v>
          </cell>
          <cell r="AC3504" t="str">
            <v>M</v>
          </cell>
          <cell r="AD3504" t="str">
            <v>No</v>
          </cell>
          <cell r="AE3504" t="str">
            <v>NPI only</v>
          </cell>
          <cell r="AF3504" t="str">
            <v>nypeastacn</v>
          </cell>
          <cell r="AG3504" t="str">
            <v>P</v>
          </cell>
        </row>
        <row r="3505">
          <cell r="A3505" t="str">
            <v>1720421530</v>
          </cell>
          <cell r="C3505" t="str">
            <v>SARAH ANN ANDERSON</v>
          </cell>
          <cell r="G3505" t="str">
            <v>Kathryn Spaziani</v>
          </cell>
          <cell r="H3505" t="str">
            <v>(212) 305-1190</v>
          </cell>
          <cell r="J3505" t="str">
            <v>kas9171@nyp.org</v>
          </cell>
          <cell r="K3505" t="str">
            <v>Unknown</v>
          </cell>
          <cell r="L3505" t="str">
            <v>Uncategorized</v>
          </cell>
          <cell r="M3505" t="str">
            <v>No</v>
          </cell>
          <cell r="R3505" t="str">
            <v>ANDERSON ANGELA</v>
          </cell>
          <cell r="S3505" t="str">
            <v>3959 BROADWAY</v>
          </cell>
          <cell r="T3505" t="str">
            <v>NEW YORK</v>
          </cell>
          <cell r="U3505" t="str">
            <v>NY</v>
          </cell>
          <cell r="V3505" t="str">
            <v>100321559</v>
          </cell>
          <cell r="AC3505" t="str">
            <v>M</v>
          </cell>
          <cell r="AD3505" t="str">
            <v>No</v>
          </cell>
          <cell r="AE3505" t="str">
            <v>NPI only</v>
          </cell>
          <cell r="AF3505" t="str">
            <v>nypwestacn</v>
          </cell>
          <cell r="AG3505" t="str">
            <v>P</v>
          </cell>
        </row>
        <row r="3506">
          <cell r="A3506" t="str">
            <v>1508109372</v>
          </cell>
          <cell r="C3506" t="str">
            <v>SELMA AMRANE</v>
          </cell>
          <cell r="G3506" t="str">
            <v>Kathryn Spaziani</v>
          </cell>
          <cell r="H3506" t="str">
            <v>(212) 305-1190</v>
          </cell>
          <cell r="J3506" t="str">
            <v>kas9171@nyp.org</v>
          </cell>
          <cell r="K3506" t="str">
            <v>Unknown</v>
          </cell>
          <cell r="L3506" t="str">
            <v>Uncategorized</v>
          </cell>
          <cell r="M3506" t="str">
            <v>No</v>
          </cell>
          <cell r="R3506" t="str">
            <v>AMRANE SELMA MS.</v>
          </cell>
          <cell r="S3506" t="str">
            <v>525 E 68TH ST # 122</v>
          </cell>
          <cell r="T3506" t="str">
            <v>NEW YORK</v>
          </cell>
          <cell r="U3506" t="str">
            <v>NY</v>
          </cell>
          <cell r="V3506" t="str">
            <v>100654870</v>
          </cell>
          <cell r="AC3506" t="str">
            <v>M</v>
          </cell>
          <cell r="AD3506" t="str">
            <v>No</v>
          </cell>
          <cell r="AE3506" t="str">
            <v>NPI only</v>
          </cell>
          <cell r="AF3506" t="str">
            <v>nypeastacn</v>
          </cell>
          <cell r="AG3506" t="str">
            <v>P</v>
          </cell>
        </row>
        <row r="3507">
          <cell r="A3507" t="str">
            <v>1417376377</v>
          </cell>
          <cell r="C3507" t="str">
            <v>SAIFELDEEN ALZOOBAEE</v>
          </cell>
          <cell r="G3507" t="str">
            <v>Kathryn Spaziani</v>
          </cell>
          <cell r="H3507" t="str">
            <v>(212) 305-1190</v>
          </cell>
          <cell r="J3507" t="str">
            <v>kas9171@nyp.org</v>
          </cell>
          <cell r="K3507" t="str">
            <v>Unknown</v>
          </cell>
          <cell r="L3507" t="str">
            <v>Uncategorized</v>
          </cell>
          <cell r="M3507" t="str">
            <v>No</v>
          </cell>
          <cell r="R3507" t="str">
            <v>ALZOOBAEE SAIFELDEEN</v>
          </cell>
          <cell r="S3507" t="str">
            <v>420 EAST 70TH STREET, LASDON HALL 7H3</v>
          </cell>
          <cell r="T3507" t="str">
            <v>NEW YORK</v>
          </cell>
          <cell r="U3507" t="str">
            <v>NY</v>
          </cell>
          <cell r="V3507" t="str">
            <v>10021</v>
          </cell>
          <cell r="AC3507" t="str">
            <v>M</v>
          </cell>
          <cell r="AD3507" t="str">
            <v>No</v>
          </cell>
          <cell r="AE3507" t="str">
            <v>NPI only</v>
          </cell>
          <cell r="AF3507" t="str">
            <v>nypeastacn</v>
          </cell>
          <cell r="AG3507" t="str">
            <v>P</v>
          </cell>
        </row>
        <row r="3508">
          <cell r="A3508" t="str">
            <v>1992168280</v>
          </cell>
          <cell r="C3508" t="str">
            <v>JAVID ALAKBARLI</v>
          </cell>
          <cell r="G3508" t="str">
            <v>Kathryn Spaziani</v>
          </cell>
          <cell r="H3508" t="str">
            <v>(212) 305-1190</v>
          </cell>
          <cell r="J3508" t="str">
            <v>kas9171@nyp.org</v>
          </cell>
          <cell r="K3508" t="str">
            <v>Unknown</v>
          </cell>
          <cell r="L3508" t="str">
            <v>Uncategorized</v>
          </cell>
          <cell r="M3508" t="str">
            <v>No</v>
          </cell>
          <cell r="R3508" t="str">
            <v>ALAKBARLI JAVID</v>
          </cell>
          <cell r="S3508" t="str">
            <v>505 EAST 70TH STREET, WEILL CORNELL INTERNAL MEDICINE ASSOCIATES</v>
          </cell>
          <cell r="T3508" t="str">
            <v>NEW YORK</v>
          </cell>
          <cell r="U3508" t="str">
            <v>NY</v>
          </cell>
          <cell r="V3508" t="str">
            <v>10021</v>
          </cell>
          <cell r="AC3508" t="str">
            <v>M</v>
          </cell>
          <cell r="AD3508" t="str">
            <v>No</v>
          </cell>
          <cell r="AE3508" t="str">
            <v>NPI only</v>
          </cell>
          <cell r="AF3508" t="str">
            <v>nypeastacn</v>
          </cell>
          <cell r="AG3508" t="str">
            <v>P</v>
          </cell>
        </row>
        <row r="3509">
          <cell r="A3509" t="str">
            <v>1265850390</v>
          </cell>
          <cell r="C3509" t="str">
            <v>DAVID ABRAMOWITZ</v>
          </cell>
          <cell r="G3509" t="str">
            <v>Kathryn Spaziani</v>
          </cell>
          <cell r="H3509" t="str">
            <v>(212) 305-1190</v>
          </cell>
          <cell r="J3509" t="str">
            <v>kas9171@nyp.org</v>
          </cell>
          <cell r="K3509" t="str">
            <v>Unknown</v>
          </cell>
          <cell r="L3509" t="str">
            <v>Uncategorized</v>
          </cell>
          <cell r="M3509" t="str">
            <v>No</v>
          </cell>
          <cell r="R3509" t="str">
            <v>ABRAMOWITZ DAVID</v>
          </cell>
          <cell r="S3509" t="str">
            <v>177 THE PADDOCK</v>
          </cell>
          <cell r="T3509" t="str">
            <v>BUFFALO</v>
          </cell>
          <cell r="U3509" t="str">
            <v>NY</v>
          </cell>
          <cell r="V3509" t="str">
            <v>142214625</v>
          </cell>
          <cell r="AC3509" t="str">
            <v>M</v>
          </cell>
          <cell r="AD3509" t="str">
            <v>No</v>
          </cell>
          <cell r="AE3509" t="str">
            <v>NPI only</v>
          </cell>
          <cell r="AF3509" t="str">
            <v>nypeastacn</v>
          </cell>
          <cell r="AG3509" t="str">
            <v>P</v>
          </cell>
        </row>
        <row r="3510">
          <cell r="A3510" t="str">
            <v>1255751715</v>
          </cell>
          <cell r="C3510" t="str">
            <v>MICHAEL ABOODI</v>
          </cell>
          <cell r="G3510" t="str">
            <v>Kathryn Spaziani</v>
          </cell>
          <cell r="H3510" t="str">
            <v>(212) 305-1190</v>
          </cell>
          <cell r="J3510" t="str">
            <v>kas9171@nyp.org</v>
          </cell>
          <cell r="K3510" t="str">
            <v>Unknown</v>
          </cell>
          <cell r="L3510" t="str">
            <v>Uncategorized</v>
          </cell>
          <cell r="M3510" t="str">
            <v>No</v>
          </cell>
          <cell r="R3510" t="str">
            <v>ABOODI MICHAEL DR.</v>
          </cell>
          <cell r="S3510" t="str">
            <v>200 E 65TH ST</v>
          </cell>
          <cell r="T3510" t="str">
            <v>NEW YORK</v>
          </cell>
          <cell r="U3510" t="str">
            <v>NY</v>
          </cell>
          <cell r="V3510" t="str">
            <v>100654451</v>
          </cell>
          <cell r="AC3510" t="str">
            <v>M</v>
          </cell>
          <cell r="AD3510" t="str">
            <v>No</v>
          </cell>
          <cell r="AE3510" t="str">
            <v>NPI only</v>
          </cell>
          <cell r="AF3510" t="str">
            <v>nypwestacn</v>
          </cell>
          <cell r="AG3510" t="str">
            <v>P</v>
          </cell>
        </row>
        <row r="3511">
          <cell r="A3511" t="str">
            <v>1689092439</v>
          </cell>
          <cell r="C3511" t="str">
            <v>LALITA ABHYANKAR</v>
          </cell>
          <cell r="G3511" t="str">
            <v>Kathryn Spaziani</v>
          </cell>
          <cell r="H3511" t="str">
            <v>(212) 305-1190</v>
          </cell>
          <cell r="J3511" t="str">
            <v>kas9171@nyp.org</v>
          </cell>
          <cell r="K3511" t="str">
            <v>Unknown</v>
          </cell>
          <cell r="L3511" t="str">
            <v>Uncategorized</v>
          </cell>
          <cell r="M3511" t="str">
            <v>No</v>
          </cell>
          <cell r="R3511" t="str">
            <v>ABHYANKAR LALITA</v>
          </cell>
          <cell r="S3511" t="str">
            <v>630 W 168TH ST, P&amp;S BOX 100</v>
          </cell>
          <cell r="T3511" t="str">
            <v>NEW YORK</v>
          </cell>
          <cell r="U3511" t="str">
            <v>NY</v>
          </cell>
          <cell r="V3511" t="str">
            <v>100323725</v>
          </cell>
          <cell r="AC3511" t="str">
            <v>M</v>
          </cell>
          <cell r="AD3511" t="str">
            <v>No</v>
          </cell>
          <cell r="AE3511" t="str">
            <v>NPI only</v>
          </cell>
          <cell r="AF3511" t="str">
            <v>nypwestacn</v>
          </cell>
          <cell r="AG3511" t="str">
            <v>P</v>
          </cell>
        </row>
        <row r="3512">
          <cell r="A3512" t="str">
            <v>1215322383</v>
          </cell>
          <cell r="C3512" t="str">
            <v>MARY ABBOT</v>
          </cell>
          <cell r="G3512" t="str">
            <v>Kathryn Spaziani</v>
          </cell>
          <cell r="H3512" t="str">
            <v>(212) 305-1190</v>
          </cell>
          <cell r="J3512" t="str">
            <v>kas9171@nyp.org</v>
          </cell>
          <cell r="K3512" t="str">
            <v>Unknown</v>
          </cell>
          <cell r="L3512" t="str">
            <v>Uncategorized</v>
          </cell>
          <cell r="M3512" t="str">
            <v>No</v>
          </cell>
          <cell r="R3512" t="str">
            <v>ABBOT MARY CLAIRE</v>
          </cell>
          <cell r="S3512" t="str">
            <v>610 W 158TH ST</v>
          </cell>
          <cell r="T3512" t="str">
            <v>NEW YORK</v>
          </cell>
          <cell r="U3512" t="str">
            <v>NY</v>
          </cell>
          <cell r="V3512" t="str">
            <v>100327104</v>
          </cell>
          <cell r="AC3512" t="str">
            <v>M</v>
          </cell>
          <cell r="AD3512" t="str">
            <v>No</v>
          </cell>
          <cell r="AE3512" t="str">
            <v>NPI only</v>
          </cell>
          <cell r="AF3512" t="str">
            <v>nypwestacn</v>
          </cell>
          <cell r="AG3512" t="str">
            <v>P</v>
          </cell>
        </row>
        <row r="3513">
          <cell r="C3513" t="str">
            <v>Hamilton-Madison House</v>
          </cell>
          <cell r="G3513" t="str">
            <v>Isabel Ching</v>
          </cell>
          <cell r="H3513" t="str">
            <v>(212) 349-3724</v>
          </cell>
          <cell r="I3513">
            <v>9788</v>
          </cell>
          <cell r="J3513" t="str">
            <v>isabel@hmhonline.org</v>
          </cell>
          <cell r="K3513" t="str">
            <v>Community Center</v>
          </cell>
          <cell r="L3513" t="str">
            <v>CBO</v>
          </cell>
          <cell r="M3513" t="str">
            <v>No</v>
          </cell>
          <cell r="N3513" t="str">
            <v>253 South St</v>
          </cell>
          <cell r="O3513" t="str">
            <v>New York</v>
          </cell>
          <cell r="P3513" t="str">
            <v>NY</v>
          </cell>
          <cell r="Q3513" t="str">
            <v>10002</v>
          </cell>
          <cell r="AC3513" t="str">
            <v>M</v>
          </cell>
          <cell r="AD3513" t="str">
            <v>No</v>
          </cell>
          <cell r="AE3513" t="str">
            <v>No NPI or MMIS</v>
          </cell>
          <cell r="AG3513" t="str">
            <v>P</v>
          </cell>
        </row>
        <row r="3514">
          <cell r="A3514" t="str">
            <v>1598072852</v>
          </cell>
          <cell r="C3514" t="str">
            <v>Redington, Rebecca</v>
          </cell>
          <cell r="G3514" t="str">
            <v xml:space="preserve">Manjulika Chatterjee </v>
          </cell>
          <cell r="H3514" t="str">
            <v>(212) 838-4333</v>
          </cell>
          <cell r="I3514">
            <v>125</v>
          </cell>
          <cell r="J3514" t="str">
            <v>mchatterjee@karenhorneyclinic.org</v>
          </cell>
          <cell r="K3514" t="str">
            <v>Unknown</v>
          </cell>
          <cell r="L3514" t="str">
            <v>Practitioner - Non-Primary Care Provider (PCP)</v>
          </cell>
          <cell r="M3514" t="str">
            <v>No</v>
          </cell>
          <cell r="R3514" t="str">
            <v>REDINGTON REBECCA</v>
          </cell>
          <cell r="S3514" t="str">
            <v>329 E 62ND ST</v>
          </cell>
          <cell r="T3514" t="str">
            <v>NEW YORK</v>
          </cell>
          <cell r="U3514" t="str">
            <v>NY</v>
          </cell>
          <cell r="V3514" t="str">
            <v>100657769</v>
          </cell>
          <cell r="AC3514" t="str">
            <v>M</v>
          </cell>
          <cell r="AD3514" t="str">
            <v>No</v>
          </cell>
          <cell r="AE3514" t="str">
            <v>NPI only</v>
          </cell>
          <cell r="AF3514" t="str">
            <v>karenhorney</v>
          </cell>
          <cell r="AG3514" t="str">
            <v>P</v>
          </cell>
        </row>
        <row r="3515">
          <cell r="A3515" t="str">
            <v>1225310436</v>
          </cell>
          <cell r="C3515" t="str">
            <v>Rabhan, Laura</v>
          </cell>
          <cell r="G3515" t="str">
            <v xml:space="preserve">Manjulika Chatterjee </v>
          </cell>
          <cell r="H3515" t="str">
            <v>(212) 838-4333</v>
          </cell>
          <cell r="I3515">
            <v>125</v>
          </cell>
          <cell r="J3515" t="str">
            <v>mchatterjee@karenhorneyclinic.org</v>
          </cell>
          <cell r="K3515" t="str">
            <v>Unknown</v>
          </cell>
          <cell r="L3515" t="str">
            <v>Practitioner - Non-Primary Care Provider (PCP)</v>
          </cell>
          <cell r="M3515" t="str">
            <v>No</v>
          </cell>
          <cell r="R3515" t="str">
            <v>RABHAN LAURA MS.</v>
          </cell>
          <cell r="S3515" t="str">
            <v>329 E 62ND ST</v>
          </cell>
          <cell r="T3515" t="str">
            <v>NEW YORK</v>
          </cell>
          <cell r="U3515" t="str">
            <v>NY</v>
          </cell>
          <cell r="V3515" t="str">
            <v>100657769</v>
          </cell>
          <cell r="AC3515" t="str">
            <v>M</v>
          </cell>
          <cell r="AD3515" t="str">
            <v>No</v>
          </cell>
          <cell r="AE3515" t="str">
            <v>NPI only</v>
          </cell>
          <cell r="AF3515" t="str">
            <v>karenhorney</v>
          </cell>
          <cell r="AG3515" t="str">
            <v>P</v>
          </cell>
        </row>
        <row r="3516">
          <cell r="A3516" t="str">
            <v>1265868798</v>
          </cell>
          <cell r="C3516" t="str">
            <v>Marbe, Doran</v>
          </cell>
          <cell r="G3516" t="str">
            <v xml:space="preserve">Manjulika Chatterjee </v>
          </cell>
          <cell r="H3516" t="str">
            <v>(212) 838-4333</v>
          </cell>
          <cell r="I3516">
            <v>125</v>
          </cell>
          <cell r="J3516" t="str">
            <v>mchatterjee@karenhorneyclinic.org</v>
          </cell>
          <cell r="K3516" t="str">
            <v>Unknown</v>
          </cell>
          <cell r="L3516" t="str">
            <v>Practitioner - Non-Primary Care Provider (PCP)</v>
          </cell>
          <cell r="M3516" t="str">
            <v>No</v>
          </cell>
          <cell r="R3516" t="str">
            <v>MARBE DORON DR.</v>
          </cell>
          <cell r="S3516" t="str">
            <v>41 CANTERBURY LN</v>
          </cell>
          <cell r="T3516" t="str">
            <v>NEW MILFORD</v>
          </cell>
          <cell r="U3516" t="str">
            <v>NJ</v>
          </cell>
          <cell r="V3516" t="str">
            <v>076463260</v>
          </cell>
          <cell r="AC3516" t="str">
            <v>M</v>
          </cell>
          <cell r="AD3516" t="str">
            <v>No</v>
          </cell>
          <cell r="AE3516" t="str">
            <v>NPI only</v>
          </cell>
          <cell r="AF3516" t="str">
            <v>karenhorney</v>
          </cell>
          <cell r="AG3516" t="str">
            <v>P</v>
          </cell>
        </row>
        <row r="3517">
          <cell r="A3517" t="str">
            <v>1144654229</v>
          </cell>
          <cell r="C3517" t="str">
            <v>Liben, Lindsay</v>
          </cell>
          <cell r="G3517" t="str">
            <v xml:space="preserve">Manjulika Chatterjee </v>
          </cell>
          <cell r="H3517" t="str">
            <v>(212) 838-4333</v>
          </cell>
          <cell r="I3517">
            <v>125</v>
          </cell>
          <cell r="J3517" t="str">
            <v>mchatterjee@karenhorneyclinic.org</v>
          </cell>
          <cell r="K3517" t="str">
            <v>Unknown</v>
          </cell>
          <cell r="L3517" t="str">
            <v>Practitioner - Non-Primary Care Provider (PCP)</v>
          </cell>
          <cell r="M3517" t="str">
            <v>No</v>
          </cell>
          <cell r="R3517" t="str">
            <v>LIBEN LINDSAY</v>
          </cell>
          <cell r="S3517" t="str">
            <v>7701 13TH AVE</v>
          </cell>
          <cell r="T3517" t="str">
            <v>BROOKLYN</v>
          </cell>
          <cell r="U3517" t="str">
            <v>NY</v>
          </cell>
          <cell r="V3517" t="str">
            <v>112282413</v>
          </cell>
          <cell r="AC3517" t="str">
            <v>M</v>
          </cell>
          <cell r="AD3517" t="str">
            <v>No</v>
          </cell>
          <cell r="AE3517" t="str">
            <v>NPI only</v>
          </cell>
          <cell r="AF3517" t="str">
            <v>karenhorney</v>
          </cell>
          <cell r="AG3517" t="str">
            <v>P</v>
          </cell>
        </row>
        <row r="3518">
          <cell r="A3518" t="str">
            <v>1760539498</v>
          </cell>
          <cell r="B3518" t="str">
            <v>02438613</v>
          </cell>
          <cell r="C3518" t="str">
            <v>Winarick, Kenneth</v>
          </cell>
          <cell r="D3518" t="str">
            <v>E0056270</v>
          </cell>
          <cell r="E3518" t="str">
            <v>WINARICK KENNETH</v>
          </cell>
          <cell r="G3518" t="str">
            <v xml:space="preserve">Manjulika Chatterjee </v>
          </cell>
          <cell r="H3518" t="str">
            <v>(212) 838-4333</v>
          </cell>
          <cell r="I3518">
            <v>125</v>
          </cell>
          <cell r="J3518" t="str">
            <v>mchatterjee@karenhorneyclinic.org</v>
          </cell>
          <cell r="L3518" t="str">
            <v>Mental Health:: Practitioner - Non-Primary Care Provider (PCP)</v>
          </cell>
          <cell r="M3518" t="str">
            <v>No</v>
          </cell>
          <cell r="R3518" t="str">
            <v>WINARICK KENNETH DR.</v>
          </cell>
          <cell r="W3518" t="str">
            <v>WINARICK KENNETH</v>
          </cell>
          <cell r="X3518" t="str">
            <v>WINARICK KENNETH</v>
          </cell>
          <cell r="Y3518" t="str">
            <v>NEW YORK</v>
          </cell>
          <cell r="Z3518" t="str">
            <v>NY</v>
          </cell>
          <cell r="AA3518" t="str">
            <v>10065-7705</v>
          </cell>
          <cell r="AB3518" t="str">
            <v>CLINICAL PSYCHOLOGIST</v>
          </cell>
          <cell r="AC3518" t="str">
            <v>M</v>
          </cell>
          <cell r="AD3518" t="str">
            <v>No</v>
          </cell>
          <cell r="AE3518" t="str">
            <v>MMIS</v>
          </cell>
          <cell r="AF3518" t="str">
            <v>karenhorney</v>
          </cell>
          <cell r="AG3518" t="str">
            <v>P</v>
          </cell>
        </row>
        <row r="3519">
          <cell r="A3519" t="str">
            <v>1346672417</v>
          </cell>
          <cell r="C3519" t="str">
            <v>Wilson, Anna</v>
          </cell>
          <cell r="G3519" t="str">
            <v xml:space="preserve">Manjulika Chatterjee </v>
          </cell>
          <cell r="H3519" t="str">
            <v>(212) 838-4333</v>
          </cell>
          <cell r="I3519">
            <v>125</v>
          </cell>
          <cell r="J3519" t="str">
            <v>mchatterjee@karenhorneyclinic.org</v>
          </cell>
          <cell r="K3519" t="str">
            <v>Unknown</v>
          </cell>
          <cell r="L3519" t="str">
            <v>Practitioner - Non-Primary Care Provider (PCP)</v>
          </cell>
          <cell r="M3519" t="str">
            <v>No</v>
          </cell>
          <cell r="R3519" t="str">
            <v>WILSON ANNA</v>
          </cell>
          <cell r="S3519" t="str">
            <v>325 5TH AVE APT 25H</v>
          </cell>
          <cell r="T3519" t="str">
            <v>NEW YORK</v>
          </cell>
          <cell r="U3519" t="str">
            <v>NY</v>
          </cell>
          <cell r="V3519" t="str">
            <v>100165043</v>
          </cell>
          <cell r="AC3519" t="str">
            <v>M</v>
          </cell>
          <cell r="AD3519" t="str">
            <v>No</v>
          </cell>
          <cell r="AE3519" t="str">
            <v>NPI only</v>
          </cell>
          <cell r="AF3519" t="str">
            <v>karenhorney</v>
          </cell>
          <cell r="AG3519" t="str">
            <v>P</v>
          </cell>
        </row>
        <row r="3520">
          <cell r="A3520" t="str">
            <v>1588757272</v>
          </cell>
          <cell r="B3520" t="str">
            <v>00203609</v>
          </cell>
          <cell r="C3520" t="str">
            <v>Paul , Henry</v>
          </cell>
          <cell r="D3520" t="str">
            <v>E0276018</v>
          </cell>
          <cell r="E3520" t="str">
            <v>PAUL HENRY A               MD</v>
          </cell>
          <cell r="G3520" t="str">
            <v xml:space="preserve">Manjulika Chatterjee </v>
          </cell>
          <cell r="H3520" t="str">
            <v>(212) 838-4333</v>
          </cell>
          <cell r="I3520">
            <v>125</v>
          </cell>
          <cell r="J3520" t="str">
            <v>mchatterjee@karenhorneyclinic.org</v>
          </cell>
          <cell r="L3520" t="str">
            <v>All Other:: Mental Health:: Practitioner - Non-Primary Care Provider (PCP)</v>
          </cell>
          <cell r="M3520" t="str">
            <v>No</v>
          </cell>
          <cell r="R3520" t="str">
            <v>PAUL HENRY DR.</v>
          </cell>
          <cell r="W3520" t="str">
            <v>PAUL HENRY ALLAN</v>
          </cell>
          <cell r="X3520" t="str">
            <v>50-98 EAST 168TH STREET</v>
          </cell>
          <cell r="Y3520" t="str">
            <v>BRONX</v>
          </cell>
          <cell r="Z3520" t="str">
            <v>NY</v>
          </cell>
          <cell r="AA3520" t="str">
            <v>10452-0000</v>
          </cell>
          <cell r="AB3520" t="str">
            <v>PHYSICIAN</v>
          </cell>
          <cell r="AC3520" t="str">
            <v>M</v>
          </cell>
          <cell r="AD3520" t="str">
            <v>No</v>
          </cell>
          <cell r="AE3520" t="str">
            <v>MMIS</v>
          </cell>
          <cell r="AF3520" t="str">
            <v>karenhorney</v>
          </cell>
          <cell r="AG3520" t="str">
            <v>P</v>
          </cell>
        </row>
        <row r="3521">
          <cell r="A3521" t="str">
            <v>1124453451</v>
          </cell>
          <cell r="C3521" t="str">
            <v>Murray, Margo</v>
          </cell>
          <cell r="G3521" t="str">
            <v xml:space="preserve">Manjulika Chatterjee </v>
          </cell>
          <cell r="H3521" t="str">
            <v>(212) 838-4333</v>
          </cell>
          <cell r="I3521">
            <v>125</v>
          </cell>
          <cell r="J3521" t="str">
            <v>mchatterjee@karenhorneyclinic.org</v>
          </cell>
          <cell r="K3521" t="str">
            <v>Unknown</v>
          </cell>
          <cell r="L3521" t="str">
            <v>Practitioner - Non-Primary Care Provider (PCP)</v>
          </cell>
          <cell r="M3521" t="str">
            <v>No</v>
          </cell>
          <cell r="R3521" t="str">
            <v>MURRAY MARGO</v>
          </cell>
          <cell r="S3521" t="str">
            <v>600 LAFAYETTE AVE, 4TH FLOOR</v>
          </cell>
          <cell r="T3521" t="str">
            <v>BROOKLYN</v>
          </cell>
          <cell r="U3521" t="str">
            <v>NY</v>
          </cell>
          <cell r="V3521" t="str">
            <v>112161020</v>
          </cell>
          <cell r="AC3521" t="str">
            <v>M</v>
          </cell>
          <cell r="AD3521" t="str">
            <v>No</v>
          </cell>
          <cell r="AE3521" t="str">
            <v>NPI only</v>
          </cell>
          <cell r="AF3521" t="str">
            <v>karenhorney</v>
          </cell>
          <cell r="AG3521" t="str">
            <v>P</v>
          </cell>
        </row>
        <row r="3522">
          <cell r="A3522" t="str">
            <v>1962887232</v>
          </cell>
          <cell r="C3522" t="str">
            <v>Kolchin-Miller, Maia</v>
          </cell>
          <cell r="G3522" t="str">
            <v xml:space="preserve">Manjulika Chatterjee </v>
          </cell>
          <cell r="H3522" t="str">
            <v>(212) 838-4333</v>
          </cell>
          <cell r="I3522">
            <v>125</v>
          </cell>
          <cell r="J3522" t="str">
            <v>mchatterjee@karenhorneyclinic.org</v>
          </cell>
          <cell r="K3522" t="str">
            <v>Unknown</v>
          </cell>
          <cell r="L3522" t="str">
            <v>Practitioner - Non-Primary Care Provider (PCP)</v>
          </cell>
          <cell r="M3522" t="str">
            <v>No</v>
          </cell>
          <cell r="R3522" t="str">
            <v>KOLCHIN-MILLER MAIA MS.</v>
          </cell>
          <cell r="S3522" t="str">
            <v>329 E 62ND ST</v>
          </cell>
          <cell r="T3522" t="str">
            <v>NEW YORK</v>
          </cell>
          <cell r="U3522" t="str">
            <v>NY</v>
          </cell>
          <cell r="V3522" t="str">
            <v>100657769</v>
          </cell>
          <cell r="AC3522" t="str">
            <v>M</v>
          </cell>
          <cell r="AD3522" t="str">
            <v>No</v>
          </cell>
          <cell r="AE3522" t="str">
            <v>NPI only</v>
          </cell>
          <cell r="AF3522" t="str">
            <v>karenhorney</v>
          </cell>
          <cell r="AG3522" t="str">
            <v>P</v>
          </cell>
        </row>
        <row r="3523">
          <cell r="A3523" t="str">
            <v>1598190050</v>
          </cell>
          <cell r="B3523" t="str">
            <v>04312034</v>
          </cell>
          <cell r="C3523" t="str">
            <v>Khodik, Kalman</v>
          </cell>
          <cell r="D3523" t="str">
            <v>E0423523</v>
          </cell>
          <cell r="E3523" t="str">
            <v>KHODIK KALMAN</v>
          </cell>
          <cell r="G3523" t="str">
            <v xml:space="preserve">Manjulika Chatterjee </v>
          </cell>
          <cell r="H3523" t="str">
            <v>(212) 838-4333</v>
          </cell>
          <cell r="I3523">
            <v>125</v>
          </cell>
          <cell r="J3523" t="str">
            <v>mchatterjee@karenhorneyclinic.org</v>
          </cell>
          <cell r="L3523" t="str">
            <v>Mental Health:: Practitioner - Non-Primary Care Provider (PCP)</v>
          </cell>
          <cell r="M3523" t="str">
            <v>No</v>
          </cell>
          <cell r="R3523" t="str">
            <v>KHODIK KALMAN DR.</v>
          </cell>
          <cell r="W3523" t="str">
            <v>KHODIK KALMAN</v>
          </cell>
          <cell r="X3523" t="str">
            <v>329 E 62ND ST</v>
          </cell>
          <cell r="Y3523" t="str">
            <v>NEW YORK</v>
          </cell>
          <cell r="Z3523" t="str">
            <v>NY</v>
          </cell>
          <cell r="AA3523" t="str">
            <v>10065-7705</v>
          </cell>
          <cell r="AB3523" t="str">
            <v>CLINICAL PSYCHOLOGIST</v>
          </cell>
          <cell r="AC3523" t="str">
            <v>M</v>
          </cell>
          <cell r="AD3523" t="str">
            <v>No</v>
          </cell>
          <cell r="AE3523" t="str">
            <v>MMIS</v>
          </cell>
          <cell r="AF3523" t="str">
            <v>karenhorney</v>
          </cell>
          <cell r="AG3523" t="str">
            <v>P</v>
          </cell>
        </row>
        <row r="3524">
          <cell r="A3524" t="str">
            <v>1497063812</v>
          </cell>
          <cell r="B3524" t="str">
            <v>03374930</v>
          </cell>
          <cell r="C3524" t="str">
            <v>McCue, Jennifer</v>
          </cell>
          <cell r="D3524" t="str">
            <v>E0324423</v>
          </cell>
          <cell r="E3524" t="str">
            <v>MCCUE JENNIFER</v>
          </cell>
          <cell r="G3524" t="str">
            <v xml:space="preserve">Manjulika Chatterjee </v>
          </cell>
          <cell r="H3524" t="str">
            <v>(212) 838-4333</v>
          </cell>
          <cell r="I3524">
            <v>125</v>
          </cell>
          <cell r="J3524" t="str">
            <v>mchatterjee@karenhorneyclinic.org</v>
          </cell>
          <cell r="L3524" t="str">
            <v>Mental Health:: Practitioner - Non-Primary Care Provider (PCP)</v>
          </cell>
          <cell r="M3524" t="str">
            <v>No</v>
          </cell>
          <cell r="R3524" t="str">
            <v>MCCUE JENNIFER</v>
          </cell>
          <cell r="W3524" t="str">
            <v>MCCUE JENNIFER</v>
          </cell>
          <cell r="X3524" t="str">
            <v>2590 FRISBY AVE</v>
          </cell>
          <cell r="Y3524" t="str">
            <v>BRONX</v>
          </cell>
          <cell r="Z3524" t="str">
            <v>NY</v>
          </cell>
          <cell r="AA3524" t="str">
            <v>10461-3240</v>
          </cell>
          <cell r="AB3524" t="str">
            <v>CLINICAL SOCIAL WORKER (CSW)</v>
          </cell>
          <cell r="AC3524" t="str">
            <v>M</v>
          </cell>
          <cell r="AD3524" t="str">
            <v>No</v>
          </cell>
          <cell r="AE3524" t="str">
            <v>MMIS</v>
          </cell>
          <cell r="AF3524" t="str">
            <v>karenhorney</v>
          </cell>
          <cell r="AG3524" t="str">
            <v>P</v>
          </cell>
        </row>
        <row r="3525">
          <cell r="A3525" t="str">
            <v>1013396233</v>
          </cell>
          <cell r="C3525" t="str">
            <v>Marks, Dylan</v>
          </cell>
          <cell r="G3525" t="str">
            <v xml:space="preserve">Manjulika Chatterjee </v>
          </cell>
          <cell r="H3525" t="str">
            <v>(212) 838-4333</v>
          </cell>
          <cell r="I3525">
            <v>125</v>
          </cell>
          <cell r="J3525" t="str">
            <v>mchatterjee@karenhorneyclinic.org</v>
          </cell>
          <cell r="K3525" t="str">
            <v>Unknown</v>
          </cell>
          <cell r="L3525" t="str">
            <v>Practitioner - Non-Primary Care Provider (PCP)</v>
          </cell>
          <cell r="M3525" t="str">
            <v>No</v>
          </cell>
          <cell r="R3525" t="str">
            <v>MARKS DYLAN</v>
          </cell>
          <cell r="S3525" t="str">
            <v>329 E 62ND ST</v>
          </cell>
          <cell r="T3525" t="str">
            <v>NEW YORK</v>
          </cell>
          <cell r="U3525" t="str">
            <v>NY</v>
          </cell>
          <cell r="V3525" t="str">
            <v>100657769</v>
          </cell>
          <cell r="AC3525" t="str">
            <v>M</v>
          </cell>
          <cell r="AD3525" t="str">
            <v>No</v>
          </cell>
          <cell r="AE3525" t="str">
            <v>NPI only</v>
          </cell>
          <cell r="AF3525" t="str">
            <v>karenhorney</v>
          </cell>
          <cell r="AG3525" t="str">
            <v>P</v>
          </cell>
        </row>
        <row r="3526">
          <cell r="A3526" t="str">
            <v>1316335110</v>
          </cell>
          <cell r="C3526" t="str">
            <v>Dietrich, Meredith</v>
          </cell>
          <cell r="G3526" t="str">
            <v xml:space="preserve">Manjulika Chatterjee </v>
          </cell>
          <cell r="H3526" t="str">
            <v>(212) 838-4333</v>
          </cell>
          <cell r="I3526">
            <v>125</v>
          </cell>
          <cell r="J3526" t="str">
            <v>mchatterjee@karenhorneyclinic.org</v>
          </cell>
          <cell r="K3526" t="str">
            <v>Unknown</v>
          </cell>
          <cell r="L3526" t="str">
            <v>Practitioner - Non-Primary Care Provider (PCP)</v>
          </cell>
          <cell r="M3526" t="str">
            <v>No</v>
          </cell>
          <cell r="R3526" t="str">
            <v>DIETRICH MEREDITH</v>
          </cell>
          <cell r="S3526" t="str">
            <v>2590 FRISBY AVE</v>
          </cell>
          <cell r="T3526" t="str">
            <v>BRONX</v>
          </cell>
          <cell r="U3526" t="str">
            <v>NY</v>
          </cell>
          <cell r="V3526" t="str">
            <v>104613240</v>
          </cell>
          <cell r="AC3526" t="str">
            <v>M</v>
          </cell>
          <cell r="AD3526" t="str">
            <v>No</v>
          </cell>
          <cell r="AE3526" t="str">
            <v>NPI only</v>
          </cell>
          <cell r="AF3526" t="str">
            <v>karenhorney</v>
          </cell>
          <cell r="AG3526" t="str">
            <v>P</v>
          </cell>
        </row>
        <row r="3527">
          <cell r="A3527" t="str">
            <v>1043383979</v>
          </cell>
          <cell r="B3527" t="str">
            <v>02894571</v>
          </cell>
          <cell r="C3527" t="str">
            <v xml:space="preserve">Demetri, James </v>
          </cell>
          <cell r="D3527" t="str">
            <v>E0010749</v>
          </cell>
          <cell r="E3527" t="str">
            <v>DEMETRI JAMES</v>
          </cell>
          <cell r="G3527" t="str">
            <v xml:space="preserve">Manjulika Chatterjee </v>
          </cell>
          <cell r="H3527" t="str">
            <v>(212) 838-4333</v>
          </cell>
          <cell r="I3527">
            <v>125</v>
          </cell>
          <cell r="J3527" t="str">
            <v>mchatterjee@karenhorneyclinic.org</v>
          </cell>
          <cell r="L3527" t="str">
            <v>Practitioner - Non-Primary Care Provider (PCP)</v>
          </cell>
          <cell r="M3527" t="str">
            <v>No</v>
          </cell>
          <cell r="R3527" t="str">
            <v>DEMETRI JAMES</v>
          </cell>
          <cell r="W3527" t="str">
            <v>DEMETRI JAMES</v>
          </cell>
          <cell r="X3527" t="str">
            <v>329 E 62ND ST</v>
          </cell>
          <cell r="Y3527" t="str">
            <v>NEW YORK</v>
          </cell>
          <cell r="Z3527" t="str">
            <v>NY</v>
          </cell>
          <cell r="AA3527" t="str">
            <v>10065-7705</v>
          </cell>
          <cell r="AB3527" t="str">
            <v>CLINICAL SOCIAL WORKER (CSW)</v>
          </cell>
          <cell r="AC3527" t="str">
            <v>M</v>
          </cell>
          <cell r="AD3527" t="str">
            <v>No</v>
          </cell>
          <cell r="AE3527" t="str">
            <v>MMIS</v>
          </cell>
          <cell r="AF3527" t="str">
            <v>karenhorney</v>
          </cell>
          <cell r="AG3527" t="str">
            <v>P</v>
          </cell>
        </row>
        <row r="3528">
          <cell r="A3528" t="str">
            <v>1831389121</v>
          </cell>
          <cell r="B3528" t="str">
            <v>03165419</v>
          </cell>
          <cell r="C3528" t="str">
            <v>Whitaker, Gordon</v>
          </cell>
          <cell r="D3528" t="str">
            <v>E0300525</v>
          </cell>
          <cell r="E3528" t="str">
            <v>WHITAKER GORDON</v>
          </cell>
          <cell r="G3528" t="str">
            <v xml:space="preserve">Manjulika Chatterjee </v>
          </cell>
          <cell r="H3528" t="str">
            <v>(212) 838-4333</v>
          </cell>
          <cell r="I3528">
            <v>125</v>
          </cell>
          <cell r="J3528" t="str">
            <v>mchatterjee@karenhorneyclinic.org</v>
          </cell>
          <cell r="L3528" t="str">
            <v>Mental Health:: Practitioner - Non-Primary Care Provider (PCP)</v>
          </cell>
          <cell r="M3528" t="str">
            <v>No</v>
          </cell>
          <cell r="R3528" t="str">
            <v>WHITAKER GORDON</v>
          </cell>
          <cell r="W3528" t="str">
            <v>WHITAKER GORDON</v>
          </cell>
          <cell r="X3528" t="str">
            <v>329 E 62ND ST</v>
          </cell>
          <cell r="Y3528" t="str">
            <v>NEW YORK</v>
          </cell>
          <cell r="Z3528" t="str">
            <v>NY</v>
          </cell>
          <cell r="AA3528" t="str">
            <v>10065-7769</v>
          </cell>
          <cell r="AB3528" t="str">
            <v>CLINICAL SOCIAL WORKER (CSW)</v>
          </cell>
          <cell r="AC3528" t="str">
            <v>M</v>
          </cell>
          <cell r="AD3528" t="str">
            <v>No</v>
          </cell>
          <cell r="AE3528" t="str">
            <v>MMIS</v>
          </cell>
          <cell r="AF3528" t="str">
            <v>karenhorney</v>
          </cell>
          <cell r="AG3528" t="str">
            <v>P</v>
          </cell>
        </row>
        <row r="3529">
          <cell r="A3529" t="str">
            <v>1609136266</v>
          </cell>
          <cell r="C3529" t="str">
            <v>Wallace, Michelle</v>
          </cell>
          <cell r="G3529" t="str">
            <v xml:space="preserve">Manjulika Chatterjee </v>
          </cell>
          <cell r="H3529" t="str">
            <v>(212) 838-4333</v>
          </cell>
          <cell r="I3529">
            <v>125</v>
          </cell>
          <cell r="J3529" t="str">
            <v>mchatterjee@karenhorneyclinic.org</v>
          </cell>
          <cell r="K3529" t="str">
            <v>Unknown</v>
          </cell>
          <cell r="L3529" t="str">
            <v>Practitioner - Non-Primary Care Provider (PCP)</v>
          </cell>
          <cell r="M3529" t="str">
            <v>No</v>
          </cell>
          <cell r="R3529" t="str">
            <v>WALLACE MICHELLE</v>
          </cell>
          <cell r="S3529" t="str">
            <v>245 E 19TH ST, APT. 12F</v>
          </cell>
          <cell r="T3529" t="str">
            <v>NEW YORK</v>
          </cell>
          <cell r="U3529" t="str">
            <v>NY</v>
          </cell>
          <cell r="V3529" t="str">
            <v>100032639</v>
          </cell>
          <cell r="AC3529" t="str">
            <v>M</v>
          </cell>
          <cell r="AD3529" t="str">
            <v>No</v>
          </cell>
          <cell r="AE3529" t="str">
            <v>NPI only</v>
          </cell>
          <cell r="AF3529" t="str">
            <v>karenhorney</v>
          </cell>
          <cell r="AG3529" t="str">
            <v>P</v>
          </cell>
        </row>
        <row r="3530">
          <cell r="A3530" t="str">
            <v>1053742395</v>
          </cell>
          <cell r="C3530" t="str">
            <v>Rigney, Lynn</v>
          </cell>
          <cell r="G3530" t="str">
            <v xml:space="preserve">Manjulika Chatterjee </v>
          </cell>
          <cell r="H3530" t="str">
            <v>(212) 838-4333</v>
          </cell>
          <cell r="I3530">
            <v>125</v>
          </cell>
          <cell r="J3530" t="str">
            <v>mchatterjee@karenhorneyclinic.org</v>
          </cell>
          <cell r="K3530" t="str">
            <v>Unknown</v>
          </cell>
          <cell r="L3530" t="str">
            <v>Practitioner - Non-Primary Care Provider (PCP)</v>
          </cell>
          <cell r="M3530" t="str">
            <v>No</v>
          </cell>
          <cell r="R3530" t="str">
            <v>RIGNEY LYNN</v>
          </cell>
          <cell r="S3530" t="str">
            <v>32 MORTON ST, APT. 2C</v>
          </cell>
          <cell r="T3530" t="str">
            <v>NEW YORK</v>
          </cell>
          <cell r="U3530" t="str">
            <v>NY</v>
          </cell>
          <cell r="V3530" t="str">
            <v>100144009</v>
          </cell>
          <cell r="AC3530" t="str">
            <v>M</v>
          </cell>
          <cell r="AD3530" t="str">
            <v>No</v>
          </cell>
          <cell r="AE3530" t="str">
            <v>NPI only</v>
          </cell>
          <cell r="AF3530" t="str">
            <v>karenhorney</v>
          </cell>
          <cell r="AG3530" t="str">
            <v>P</v>
          </cell>
        </row>
        <row r="3531">
          <cell r="A3531" t="str">
            <v>1114385580</v>
          </cell>
          <cell r="C3531" t="str">
            <v>Rehman, Ayesha</v>
          </cell>
          <cell r="G3531" t="str">
            <v xml:space="preserve">Manjulika Chatterjee </v>
          </cell>
          <cell r="H3531" t="str">
            <v>(212) 838-4333</v>
          </cell>
          <cell r="I3531">
            <v>125</v>
          </cell>
          <cell r="J3531" t="str">
            <v>mchatterjee@karenhorneyclinic.org</v>
          </cell>
          <cell r="K3531" t="str">
            <v>Unknown</v>
          </cell>
          <cell r="L3531" t="str">
            <v>Practitioner - Non-Primary Care Provider (PCP)</v>
          </cell>
          <cell r="M3531" t="str">
            <v>No</v>
          </cell>
          <cell r="R3531" t="str">
            <v>REHMAN AYESHA MS.</v>
          </cell>
          <cell r="S3531" t="str">
            <v>302 E 88TH ST</v>
          </cell>
          <cell r="T3531" t="str">
            <v>NEW YORK</v>
          </cell>
          <cell r="U3531" t="str">
            <v>NY</v>
          </cell>
          <cell r="V3531" t="str">
            <v>101284928</v>
          </cell>
          <cell r="AC3531" t="str">
            <v>M</v>
          </cell>
          <cell r="AD3531" t="str">
            <v>No</v>
          </cell>
          <cell r="AE3531" t="str">
            <v>NPI only</v>
          </cell>
          <cell r="AF3531" t="str">
            <v>karenhorney</v>
          </cell>
          <cell r="AG3531" t="str">
            <v>P</v>
          </cell>
        </row>
        <row r="3532">
          <cell r="A3532" t="str">
            <v>1114272234</v>
          </cell>
          <cell r="C3532" t="str">
            <v>Sheer, Joyelyn</v>
          </cell>
          <cell r="G3532" t="str">
            <v xml:space="preserve">Manjulika Chatterjee </v>
          </cell>
          <cell r="H3532" t="str">
            <v>(212) 838-4333</v>
          </cell>
          <cell r="I3532">
            <v>125</v>
          </cell>
          <cell r="J3532" t="str">
            <v>mchatterjee@karenhorneyclinic.org</v>
          </cell>
          <cell r="K3532" t="str">
            <v>Unknown</v>
          </cell>
          <cell r="L3532" t="str">
            <v>Practitioner - Non-Primary Care Provider (PCP)</v>
          </cell>
          <cell r="M3532" t="str">
            <v>No</v>
          </cell>
          <cell r="R3532" t="str">
            <v>SHEER JOSSELYN MS.</v>
          </cell>
          <cell r="S3532" t="str">
            <v>232 E 77TH ST, APT 17</v>
          </cell>
          <cell r="T3532" t="str">
            <v>NEW YORK</v>
          </cell>
          <cell r="U3532" t="str">
            <v>NY</v>
          </cell>
          <cell r="V3532" t="str">
            <v>100752115</v>
          </cell>
          <cell r="AC3532" t="str">
            <v>M</v>
          </cell>
          <cell r="AD3532" t="str">
            <v>No</v>
          </cell>
          <cell r="AE3532" t="str">
            <v>NPI only</v>
          </cell>
          <cell r="AF3532" t="str">
            <v>karenhorney</v>
          </cell>
          <cell r="AG3532" t="str">
            <v>P</v>
          </cell>
        </row>
        <row r="3533">
          <cell r="A3533" t="str">
            <v>1265863484</v>
          </cell>
          <cell r="C3533" t="str">
            <v>Rozenfeld, Magali</v>
          </cell>
          <cell r="G3533" t="str">
            <v xml:space="preserve">Manjulika Chatterjee </v>
          </cell>
          <cell r="H3533" t="str">
            <v>(212) 838-4333</v>
          </cell>
          <cell r="I3533">
            <v>125</v>
          </cell>
          <cell r="J3533" t="str">
            <v>mchatterjee@karenhorneyclinic.org</v>
          </cell>
          <cell r="K3533" t="str">
            <v>Unknown</v>
          </cell>
          <cell r="L3533" t="str">
            <v>Practitioner - Non-Primary Care Provider (PCP)</v>
          </cell>
          <cell r="M3533" t="str">
            <v>No</v>
          </cell>
          <cell r="R3533" t="str">
            <v>ROZENFELD MAGALI</v>
          </cell>
          <cell r="S3533" t="str">
            <v>329 E 62ND ST</v>
          </cell>
          <cell r="T3533" t="str">
            <v>NEW YORK</v>
          </cell>
          <cell r="U3533" t="str">
            <v>NY</v>
          </cell>
          <cell r="V3533" t="str">
            <v>100657769</v>
          </cell>
          <cell r="AC3533" t="str">
            <v>M</v>
          </cell>
          <cell r="AD3533" t="str">
            <v>No</v>
          </cell>
          <cell r="AE3533" t="str">
            <v>NPI only</v>
          </cell>
          <cell r="AF3533" t="str">
            <v>karenhorney</v>
          </cell>
          <cell r="AG3533" t="str">
            <v>P</v>
          </cell>
        </row>
        <row r="3534">
          <cell r="A3534" t="str">
            <v>1427464676</v>
          </cell>
          <cell r="C3534" t="str">
            <v>Kahn, Jesse</v>
          </cell>
          <cell r="G3534" t="str">
            <v xml:space="preserve">Manjulika Chatterjee </v>
          </cell>
          <cell r="H3534" t="str">
            <v>(212) 838-4333</v>
          </cell>
          <cell r="I3534">
            <v>125</v>
          </cell>
          <cell r="J3534" t="str">
            <v>mchatterjee@karenhorneyclinic.org</v>
          </cell>
          <cell r="K3534" t="str">
            <v>Unknown</v>
          </cell>
          <cell r="L3534" t="str">
            <v>Practitioner - Non-Primary Care Provider (PCP)</v>
          </cell>
          <cell r="M3534" t="str">
            <v>No</v>
          </cell>
          <cell r="R3534" t="str">
            <v>KAHN JESSE</v>
          </cell>
          <cell r="S3534" t="str">
            <v>329 E 62ND STREET</v>
          </cell>
          <cell r="T3534" t="str">
            <v>NEW YORK</v>
          </cell>
          <cell r="U3534" t="str">
            <v>NY</v>
          </cell>
          <cell r="V3534" t="str">
            <v>10065</v>
          </cell>
          <cell r="AC3534" t="str">
            <v>M</v>
          </cell>
          <cell r="AD3534" t="str">
            <v>No</v>
          </cell>
          <cell r="AE3534" t="str">
            <v>NPI only</v>
          </cell>
          <cell r="AF3534" t="str">
            <v>karenhorney</v>
          </cell>
          <cell r="AG3534" t="str">
            <v>P</v>
          </cell>
        </row>
        <row r="3535">
          <cell r="C3535" t="str">
            <v>Green Wright, Linnie</v>
          </cell>
          <cell r="G3535" t="str">
            <v xml:space="preserve">Manjulika Chatterjee </v>
          </cell>
          <cell r="H3535" t="str">
            <v>(212) 838-4333</v>
          </cell>
          <cell r="I3535">
            <v>125</v>
          </cell>
          <cell r="J3535" t="str">
            <v>mchatterjee@karenhorneyclinic.org</v>
          </cell>
          <cell r="K3535" t="str">
            <v>Unknown</v>
          </cell>
          <cell r="L3535" t="str">
            <v>CBO</v>
          </cell>
          <cell r="M3535" t="str">
            <v>No</v>
          </cell>
          <cell r="N3535" t="str">
            <v>329 E 62nd Street</v>
          </cell>
          <cell r="O3535" t="str">
            <v>New York</v>
          </cell>
          <cell r="P3535" t="str">
            <v>NY</v>
          </cell>
          <cell r="Q3535" t="str">
            <v>10065</v>
          </cell>
          <cell r="AC3535" t="str">
            <v>M</v>
          </cell>
          <cell r="AD3535" t="str">
            <v>No</v>
          </cell>
          <cell r="AE3535" t="str">
            <v>No NPI or MMIS</v>
          </cell>
          <cell r="AF3535" t="str">
            <v>karenhorney</v>
          </cell>
          <cell r="AG3535" t="str">
            <v>P</v>
          </cell>
        </row>
        <row r="3536">
          <cell r="A3536" t="str">
            <v>1801125489</v>
          </cell>
          <cell r="B3536" t="str">
            <v>03741137</v>
          </cell>
          <cell r="C3536" t="str">
            <v>Fuller, Craig</v>
          </cell>
          <cell r="D3536" t="str">
            <v>E0364846</v>
          </cell>
          <cell r="E3536" t="str">
            <v>FULLER CRAIG BENJAMIN</v>
          </cell>
          <cell r="G3536" t="str">
            <v xml:space="preserve">Manjulika Chatterjee </v>
          </cell>
          <cell r="H3536" t="str">
            <v>(212) 838-4333</v>
          </cell>
          <cell r="I3536">
            <v>125</v>
          </cell>
          <cell r="J3536" t="str">
            <v>mchatterjee@karenhorneyclinic.org</v>
          </cell>
          <cell r="L3536" t="str">
            <v>Mental Health:: Practitioner - Non-Primary Care Provider (PCP)</v>
          </cell>
          <cell r="M3536" t="str">
            <v>No</v>
          </cell>
          <cell r="R3536" t="str">
            <v>FULLER CRAIG MR.</v>
          </cell>
          <cell r="W3536" t="str">
            <v>FULLER CRAIG BENJAMIN</v>
          </cell>
          <cell r="X3536" t="str">
            <v>329 E 62ND ST</v>
          </cell>
          <cell r="Y3536" t="str">
            <v>NEW YORK</v>
          </cell>
          <cell r="Z3536" t="str">
            <v>NY</v>
          </cell>
          <cell r="AA3536" t="str">
            <v>10065-7769</v>
          </cell>
          <cell r="AB3536" t="str">
            <v>CLINICAL PSYCHOLOGIST</v>
          </cell>
          <cell r="AC3536" t="str">
            <v>M</v>
          </cell>
          <cell r="AD3536" t="str">
            <v>No</v>
          </cell>
          <cell r="AE3536" t="str">
            <v>MMIS</v>
          </cell>
          <cell r="AF3536" t="str">
            <v>karenhorney</v>
          </cell>
          <cell r="AG3536" t="str">
            <v>P</v>
          </cell>
        </row>
        <row r="3537">
          <cell r="C3537" t="str">
            <v>Doherty, Laura Gay</v>
          </cell>
          <cell r="G3537" t="str">
            <v xml:space="preserve">Manjulika Chatterjee </v>
          </cell>
          <cell r="H3537" t="str">
            <v>(212) 838-4333</v>
          </cell>
          <cell r="I3537">
            <v>125</v>
          </cell>
          <cell r="J3537" t="str">
            <v>mchatterjee@karenhorneyclinic.org</v>
          </cell>
          <cell r="K3537" t="str">
            <v>Unknown</v>
          </cell>
          <cell r="L3537" t="str">
            <v>CBO</v>
          </cell>
          <cell r="M3537" t="str">
            <v>No</v>
          </cell>
          <cell r="N3537" t="str">
            <v>329 E 62nd Street</v>
          </cell>
          <cell r="O3537" t="str">
            <v>New York</v>
          </cell>
          <cell r="P3537" t="str">
            <v>NY</v>
          </cell>
          <cell r="Q3537" t="str">
            <v>10065</v>
          </cell>
          <cell r="AC3537" t="str">
            <v>M</v>
          </cell>
          <cell r="AD3537" t="str">
            <v>No</v>
          </cell>
          <cell r="AE3537" t="str">
            <v>No NPI or MMIS</v>
          </cell>
          <cell r="AF3537" t="str">
            <v>karenhorney</v>
          </cell>
          <cell r="AG3537" t="str">
            <v>P</v>
          </cell>
        </row>
        <row r="3538">
          <cell r="A3538" t="str">
            <v>1073678728</v>
          </cell>
          <cell r="C3538" t="str">
            <v>Cassell, Jason</v>
          </cell>
          <cell r="G3538" t="str">
            <v xml:space="preserve">Manjulika Chatterjee </v>
          </cell>
          <cell r="H3538" t="str">
            <v>(212) 838-4333</v>
          </cell>
          <cell r="I3538">
            <v>125</v>
          </cell>
          <cell r="J3538" t="str">
            <v>mchatterjee@karenhorneyclinic.org</v>
          </cell>
          <cell r="K3538" t="str">
            <v>Unknown</v>
          </cell>
          <cell r="L3538" t="str">
            <v>Practitioner - Non-Primary Care Provider (PCP)</v>
          </cell>
          <cell r="M3538" t="str">
            <v>No</v>
          </cell>
          <cell r="R3538" t="str">
            <v>CASSELL JASON MR.</v>
          </cell>
          <cell r="S3538" t="str">
            <v>26 W 9TH ST, SUITE #7D</v>
          </cell>
          <cell r="T3538" t="str">
            <v>NEW YORK</v>
          </cell>
          <cell r="U3538" t="str">
            <v>NY</v>
          </cell>
          <cell r="V3538" t="str">
            <v>100118971</v>
          </cell>
          <cell r="AC3538" t="str">
            <v>M</v>
          </cell>
          <cell r="AD3538" t="str">
            <v>No</v>
          </cell>
          <cell r="AE3538" t="str">
            <v>NPI only</v>
          </cell>
          <cell r="AF3538" t="str">
            <v>karenhorney</v>
          </cell>
          <cell r="AG3538" t="str">
            <v>P</v>
          </cell>
        </row>
        <row r="3539">
          <cell r="A3539" t="str">
            <v>1760502538</v>
          </cell>
          <cell r="B3539" t="str">
            <v>02895292</v>
          </cell>
          <cell r="C3539" t="str">
            <v>Biegen, Tivona</v>
          </cell>
          <cell r="D3539" t="str">
            <v>E0010677</v>
          </cell>
          <cell r="E3539" t="str">
            <v>BIEGEN TIVONE</v>
          </cell>
          <cell r="G3539" t="str">
            <v xml:space="preserve">Manjulika Chatterjee </v>
          </cell>
          <cell r="H3539" t="str">
            <v>(212) 838-4333</v>
          </cell>
          <cell r="I3539">
            <v>125</v>
          </cell>
          <cell r="J3539" t="str">
            <v>mchatterjee@karenhorneyclinic.org</v>
          </cell>
          <cell r="L3539" t="str">
            <v>Mental Health:: Practitioner - Non-Primary Care Provider (PCP)</v>
          </cell>
          <cell r="M3539" t="str">
            <v>No</v>
          </cell>
          <cell r="R3539" t="str">
            <v>BIEGEN TIVONA</v>
          </cell>
          <cell r="W3539" t="str">
            <v>BIEGEN TIVONA ELIZABETH</v>
          </cell>
          <cell r="X3539" t="str">
            <v>329 E 62ND ST</v>
          </cell>
          <cell r="Y3539" t="str">
            <v>NEW YORK</v>
          </cell>
          <cell r="Z3539" t="str">
            <v>NY</v>
          </cell>
          <cell r="AA3539" t="str">
            <v>10065-7769</v>
          </cell>
          <cell r="AB3539" t="str">
            <v>CLINICAL SOCIAL WORKER (CSW)</v>
          </cell>
          <cell r="AC3539" t="str">
            <v>M</v>
          </cell>
          <cell r="AD3539" t="str">
            <v>No</v>
          </cell>
          <cell r="AE3539" t="str">
            <v>MMIS</v>
          </cell>
          <cell r="AF3539" t="str">
            <v>karenhorney</v>
          </cell>
          <cell r="AG3539" t="str">
            <v>P</v>
          </cell>
        </row>
        <row r="3540">
          <cell r="A3540" t="str">
            <v>1093141707</v>
          </cell>
          <cell r="C3540" t="str">
            <v>Gillett, Irina</v>
          </cell>
          <cell r="G3540" t="str">
            <v xml:space="preserve">Manjulika Chatterjee </v>
          </cell>
          <cell r="H3540" t="str">
            <v>(212) 838-4333</v>
          </cell>
          <cell r="I3540">
            <v>125</v>
          </cell>
          <cell r="J3540" t="str">
            <v>mchatterjee@karenhorneyclinic.org</v>
          </cell>
          <cell r="K3540" t="str">
            <v>Unknown</v>
          </cell>
          <cell r="L3540" t="str">
            <v>Practitioner - Non-Primary Care Provider (PCP)</v>
          </cell>
          <cell r="M3540" t="str">
            <v>No</v>
          </cell>
          <cell r="R3540" t="str">
            <v>GILLETT IRINA MS.</v>
          </cell>
          <cell r="S3540" t="str">
            <v>329 E 62ND ST</v>
          </cell>
          <cell r="T3540" t="str">
            <v>NEW YORK</v>
          </cell>
          <cell r="U3540" t="str">
            <v>NY</v>
          </cell>
          <cell r="V3540" t="str">
            <v>100657769</v>
          </cell>
          <cell r="AC3540" t="str">
            <v>M</v>
          </cell>
          <cell r="AD3540" t="str">
            <v>No</v>
          </cell>
          <cell r="AE3540" t="str">
            <v>NPI only</v>
          </cell>
          <cell r="AF3540" t="str">
            <v>karenhorney</v>
          </cell>
          <cell r="AG3540" t="str">
            <v>P</v>
          </cell>
        </row>
        <row r="3541">
          <cell r="A3541" t="str">
            <v>1043644669</v>
          </cell>
          <cell r="C3541" t="str">
            <v>German, Shanna</v>
          </cell>
          <cell r="G3541" t="str">
            <v xml:space="preserve">Manjulika Chatterjee </v>
          </cell>
          <cell r="H3541" t="str">
            <v>(212) 838-4333</v>
          </cell>
          <cell r="I3541">
            <v>125</v>
          </cell>
          <cell r="J3541" t="str">
            <v>mchatterjee@karenhorneyclinic.org</v>
          </cell>
          <cell r="K3541" t="str">
            <v>Unknown</v>
          </cell>
          <cell r="L3541" t="str">
            <v>Practitioner - Non-Primary Care Provider (PCP)</v>
          </cell>
          <cell r="M3541" t="str">
            <v>No</v>
          </cell>
          <cell r="R3541" t="str">
            <v>GERMAN SHANNA DR.</v>
          </cell>
          <cell r="S3541" t="str">
            <v>30 WEST 63RD STREET, APARTMENT 28 S</v>
          </cell>
          <cell r="T3541" t="str">
            <v>NEW YORK</v>
          </cell>
          <cell r="U3541" t="str">
            <v>NY</v>
          </cell>
          <cell r="V3541" t="str">
            <v>10023</v>
          </cell>
          <cell r="AC3541" t="str">
            <v>M</v>
          </cell>
          <cell r="AD3541" t="str">
            <v>No</v>
          </cell>
          <cell r="AE3541" t="str">
            <v>NPI only</v>
          </cell>
          <cell r="AF3541" t="str">
            <v>karenhorney</v>
          </cell>
          <cell r="AG3541" t="str">
            <v>P</v>
          </cell>
        </row>
        <row r="3542">
          <cell r="A3542" t="str">
            <v>1801943295</v>
          </cell>
          <cell r="B3542" t="str">
            <v>00244028</v>
          </cell>
          <cell r="C3542" t="str">
            <v>Karen Horney Clinic</v>
          </cell>
          <cell r="D3542" t="str">
            <v>E0274017</v>
          </cell>
          <cell r="E3542" t="str">
            <v>KAREN HORNEY CLINIC,INC</v>
          </cell>
          <cell r="G3542" t="str">
            <v xml:space="preserve">Manjulika Chatterjee </v>
          </cell>
          <cell r="H3542" t="str">
            <v>(212) 838-4333</v>
          </cell>
          <cell r="I3542">
            <v>125</v>
          </cell>
          <cell r="J3542" t="str">
            <v>mchatterjee@karenhorneyclinic.org</v>
          </cell>
          <cell r="L3542" t="str">
            <v>All Other:: Mental Health</v>
          </cell>
          <cell r="M3542" t="str">
            <v>Yes</v>
          </cell>
          <cell r="R3542" t="str">
            <v>KAREN HORNEY CLINIC, INC.</v>
          </cell>
          <cell r="W3542" t="str">
            <v>KAREN HORNEY CLINIC,INC</v>
          </cell>
          <cell r="X3542" t="str">
            <v>329 E 62ND ST</v>
          </cell>
          <cell r="Y3542" t="str">
            <v>NEW YORK</v>
          </cell>
          <cell r="Z3542" t="str">
            <v>NY</v>
          </cell>
          <cell r="AA3542" t="str">
            <v>10065-7705</v>
          </cell>
          <cell r="AB3542" t="str">
            <v>DIAGNOSTIC AND TREATMENT CENTER</v>
          </cell>
          <cell r="AC3542" t="str">
            <v>M</v>
          </cell>
          <cell r="AD3542" t="str">
            <v>No</v>
          </cell>
          <cell r="AE3542" t="str">
            <v>MMIS</v>
          </cell>
          <cell r="AF3542" t="str">
            <v>karenhorney</v>
          </cell>
          <cell r="AG3542" t="str">
            <v>P</v>
          </cell>
        </row>
        <row r="3543">
          <cell r="A3543" t="str">
            <v>1881086601</v>
          </cell>
          <cell r="C3543" t="str">
            <v>Zaguri, Shira</v>
          </cell>
          <cell r="G3543" t="str">
            <v xml:space="preserve">Manjulika Chatterjee </v>
          </cell>
          <cell r="H3543" t="str">
            <v>(212) 838-4333</v>
          </cell>
          <cell r="I3543">
            <v>125</v>
          </cell>
          <cell r="J3543" t="str">
            <v>mchatterjee@karenhorneyclinic.org</v>
          </cell>
          <cell r="K3543" t="str">
            <v>Unknown</v>
          </cell>
          <cell r="L3543" t="str">
            <v>Practitioner - Non-Primary Care Provider (PCP)</v>
          </cell>
          <cell r="M3543" t="str">
            <v>No</v>
          </cell>
          <cell r="R3543" t="str">
            <v>ZAGURI SHIRA</v>
          </cell>
          <cell r="S3543" t="str">
            <v>329 E 62ND ST</v>
          </cell>
          <cell r="T3543" t="str">
            <v>NEW YORK</v>
          </cell>
          <cell r="U3543" t="str">
            <v>NY</v>
          </cell>
          <cell r="V3543" t="str">
            <v>100657769</v>
          </cell>
          <cell r="AC3543" t="str">
            <v>M</v>
          </cell>
          <cell r="AD3543" t="str">
            <v>No</v>
          </cell>
          <cell r="AE3543" t="str">
            <v>NPI only</v>
          </cell>
          <cell r="AF3543" t="str">
            <v>karenhorney</v>
          </cell>
          <cell r="AG3543" t="str">
            <v>P</v>
          </cell>
        </row>
        <row r="3544">
          <cell r="A3544" t="str">
            <v>1801019237</v>
          </cell>
          <cell r="C3544" t="str">
            <v>Abrams, Joyce</v>
          </cell>
          <cell r="G3544" t="str">
            <v xml:space="preserve">Manjulika Chatterjee </v>
          </cell>
          <cell r="H3544" t="str">
            <v>(212) 838-4333</v>
          </cell>
          <cell r="I3544">
            <v>125</v>
          </cell>
          <cell r="J3544" t="str">
            <v>mchatterjee@karenhorneyclinic.org</v>
          </cell>
          <cell r="K3544" t="str">
            <v>Unknown</v>
          </cell>
          <cell r="L3544" t="str">
            <v>Uncategorized</v>
          </cell>
          <cell r="M3544" t="str">
            <v>No</v>
          </cell>
          <cell r="R3544" t="str">
            <v>ABRAMS JOYCE MS.</v>
          </cell>
          <cell r="S3544" t="str">
            <v>60 W 76TH ST APT 7H</v>
          </cell>
          <cell r="T3544" t="str">
            <v>NEW YORK</v>
          </cell>
          <cell r="U3544" t="str">
            <v>NY</v>
          </cell>
          <cell r="V3544" t="str">
            <v>100231513</v>
          </cell>
          <cell r="AC3544" t="str">
            <v>M</v>
          </cell>
          <cell r="AD3544" t="str">
            <v>No</v>
          </cell>
          <cell r="AE3544" t="str">
            <v>NPI only</v>
          </cell>
          <cell r="AF3544" t="str">
            <v>karenhorney</v>
          </cell>
          <cell r="AG3544" t="str">
            <v>P</v>
          </cell>
        </row>
        <row r="3545">
          <cell r="C3545" t="str">
            <v>Bernstein, Jenny</v>
          </cell>
          <cell r="G3545" t="str">
            <v xml:space="preserve">Manjulika Chatterjee </v>
          </cell>
          <cell r="H3545" t="str">
            <v>(212) 838-4333</v>
          </cell>
          <cell r="I3545">
            <v>125</v>
          </cell>
          <cell r="J3545" t="str">
            <v>mchatterjee@karenhorneyclinic.org</v>
          </cell>
          <cell r="K3545" t="str">
            <v>Unknown</v>
          </cell>
          <cell r="L3545" t="str">
            <v>CBO</v>
          </cell>
          <cell r="M3545" t="str">
            <v>No</v>
          </cell>
          <cell r="N3545" t="str">
            <v>329 E 62nd Street</v>
          </cell>
          <cell r="O3545" t="str">
            <v>New York</v>
          </cell>
          <cell r="P3545" t="str">
            <v>NY</v>
          </cell>
          <cell r="Q3545" t="str">
            <v>10065</v>
          </cell>
          <cell r="AC3545" t="str">
            <v>M</v>
          </cell>
          <cell r="AD3545" t="str">
            <v>No</v>
          </cell>
          <cell r="AE3545" t="str">
            <v>No NPI or MMIS</v>
          </cell>
          <cell r="AF3545" t="str">
            <v>karenhorney</v>
          </cell>
          <cell r="AG3545" t="str">
            <v>P</v>
          </cell>
        </row>
        <row r="3546">
          <cell r="A3546" t="str">
            <v>1316240385</v>
          </cell>
          <cell r="B3546" t="str">
            <v>03517104</v>
          </cell>
          <cell r="C3546" t="str">
            <v>Bergnes, Monica</v>
          </cell>
          <cell r="D3546" t="str">
            <v>E0341408</v>
          </cell>
          <cell r="E3546" t="str">
            <v>BLOOM MICHELLE</v>
          </cell>
          <cell r="G3546" t="str">
            <v xml:space="preserve">Manjulika Chatterjee </v>
          </cell>
          <cell r="H3546" t="str">
            <v>(212) 838-4333</v>
          </cell>
          <cell r="I3546">
            <v>125</v>
          </cell>
          <cell r="J3546" t="str">
            <v>mchatterjee@karenhorneyclinic.org</v>
          </cell>
          <cell r="L3546" t="str">
            <v>Mental Health:: Practitioner - Non-Primary Care Provider (PCP)</v>
          </cell>
          <cell r="M3546" t="str">
            <v>No</v>
          </cell>
          <cell r="R3546" t="str">
            <v>BLOOM MICHELLE MS.</v>
          </cell>
          <cell r="W3546" t="str">
            <v>BLOOM MICHELLE</v>
          </cell>
          <cell r="X3546" t="str">
            <v>329 E 62ND ST</v>
          </cell>
          <cell r="Y3546" t="str">
            <v>NEW YORK</v>
          </cell>
          <cell r="Z3546" t="str">
            <v>NY</v>
          </cell>
          <cell r="AA3546" t="str">
            <v>10065-7769</v>
          </cell>
          <cell r="AB3546" t="str">
            <v>CLINICAL SOCIAL WORKER (CSW)</v>
          </cell>
          <cell r="AC3546" t="str">
            <v>M</v>
          </cell>
          <cell r="AD3546" t="str">
            <v>No</v>
          </cell>
          <cell r="AE3546" t="str">
            <v>MMIS</v>
          </cell>
          <cell r="AF3546" t="str">
            <v>karenhorney</v>
          </cell>
          <cell r="AG3546" t="str">
            <v>P</v>
          </cell>
        </row>
        <row r="3547">
          <cell r="C3547" t="str">
            <v>YM &amp; YWHA of Washington Heights &amp; Inwood</v>
          </cell>
          <cell r="G3547" t="str">
            <v>Martin G Enrlisher</v>
          </cell>
          <cell r="H3547" t="str">
            <v>(212) 569-6200</v>
          </cell>
          <cell r="I3547">
            <v>212</v>
          </cell>
          <cell r="K3547" t="str">
            <v>Community Center</v>
          </cell>
          <cell r="L3547" t="str">
            <v>CBO</v>
          </cell>
          <cell r="M3547" t="str">
            <v>No</v>
          </cell>
          <cell r="N3547" t="str">
            <v>54 Nagle Ave</v>
          </cell>
          <cell r="O3547" t="str">
            <v>New York</v>
          </cell>
          <cell r="P3547" t="str">
            <v>NY</v>
          </cell>
          <cell r="Q3547" t="str">
            <v>10040</v>
          </cell>
          <cell r="AC3547" t="str">
            <v>M</v>
          </cell>
          <cell r="AD3547" t="str">
            <v>No</v>
          </cell>
          <cell r="AE3547" t="str">
            <v>No NPI or MMIS</v>
          </cell>
          <cell r="AG3547" t="str">
            <v>P</v>
          </cell>
          <cell r="AI3547" t="str">
            <v>Missing Contact Email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tabSelected="1" workbookViewId="0">
      <selection activeCell="C8" sqref="C8"/>
    </sheetView>
  </sheetViews>
  <sheetFormatPr defaultRowHeight="15" x14ac:dyDescent="0.25"/>
  <cols>
    <col min="1" max="1" width="50.140625" bestFit="1" customWidth="1"/>
    <col min="2" max="2" width="1.140625" customWidth="1"/>
    <col min="3" max="5" width="14.140625" bestFit="1" customWidth="1"/>
    <col min="6" max="6" width="1.140625" customWidth="1"/>
    <col min="7" max="9" width="13.42578125" customWidth="1"/>
    <col min="11" max="12" width="12.140625" bestFit="1" customWidth="1"/>
  </cols>
  <sheetData>
    <row r="1" spans="1:9" x14ac:dyDescent="0.25">
      <c r="A1" s="1" t="s">
        <v>13765</v>
      </c>
    </row>
    <row r="3" spans="1:9" x14ac:dyDescent="0.25">
      <c r="A3" s="25" t="s">
        <v>8</v>
      </c>
      <c r="B3" s="9"/>
      <c r="C3" s="24" t="s">
        <v>13770</v>
      </c>
      <c r="D3" s="24"/>
      <c r="E3" s="24"/>
      <c r="F3" s="24"/>
      <c r="G3" s="24"/>
      <c r="H3" s="24"/>
      <c r="I3" s="24"/>
    </row>
    <row r="4" spans="1:9" ht="60" x14ac:dyDescent="0.25">
      <c r="A4" s="25"/>
      <c r="B4" s="9"/>
      <c r="C4" s="4" t="s">
        <v>0</v>
      </c>
      <c r="D4" s="4" t="s">
        <v>1</v>
      </c>
      <c r="E4" s="4" t="s">
        <v>2</v>
      </c>
      <c r="F4" s="9"/>
      <c r="G4" s="4" t="s">
        <v>22</v>
      </c>
      <c r="H4" s="4" t="s">
        <v>23</v>
      </c>
      <c r="I4" s="4" t="s">
        <v>24</v>
      </c>
    </row>
    <row r="5" spans="1:9" x14ac:dyDescent="0.25">
      <c r="A5" s="2" t="s">
        <v>4</v>
      </c>
      <c r="B5" s="9"/>
      <c r="C5" s="5">
        <f>'Funds Flow - Partner Detail'!H12</f>
        <v>0</v>
      </c>
      <c r="D5" s="5">
        <f>'Funds Flow - Partner Detail'!I12</f>
        <v>0</v>
      </c>
      <c r="E5" s="5">
        <f>C5+D5</f>
        <v>0</v>
      </c>
      <c r="F5" s="9"/>
      <c r="G5" s="6">
        <f t="shared" ref="G5:G23" si="0">IF(C5&gt;0,C5/$C$24,0)</f>
        <v>0</v>
      </c>
      <c r="H5" s="6">
        <f t="shared" ref="H5:H23" si="1">IF(D5&gt;0,D5/$D$24,0)</f>
        <v>0</v>
      </c>
      <c r="I5" s="6">
        <f t="shared" ref="I5:I23" si="2">IF(E5&gt;0,E5/$E$24,0)</f>
        <v>0</v>
      </c>
    </row>
    <row r="6" spans="1:9" x14ac:dyDescent="0.25">
      <c r="A6" s="2" t="s">
        <v>5</v>
      </c>
      <c r="B6" s="9"/>
      <c r="C6" s="5">
        <f>'Funds Flow - Partner Detail'!H20</f>
        <v>0</v>
      </c>
      <c r="D6" s="5">
        <f>'Funds Flow - Partner Detail'!I20</f>
        <v>0</v>
      </c>
      <c r="E6" s="5">
        <f t="shared" ref="E6:E23" si="3">C6+D6</f>
        <v>0</v>
      </c>
      <c r="F6" s="9"/>
      <c r="G6" s="6">
        <f t="shared" si="0"/>
        <v>0</v>
      </c>
      <c r="H6" s="6">
        <f t="shared" si="1"/>
        <v>0</v>
      </c>
      <c r="I6" s="6">
        <f t="shared" si="2"/>
        <v>0</v>
      </c>
    </row>
    <row r="7" spans="1:9" x14ac:dyDescent="0.25">
      <c r="A7" s="2" t="s">
        <v>6</v>
      </c>
      <c r="B7" s="9"/>
      <c r="C7" s="5">
        <f>'Funds Flow - Partner Detail'!H28</f>
        <v>322019.38179767621</v>
      </c>
      <c r="D7" s="5">
        <f>'Funds Flow - Partner Detail'!I28</f>
        <v>260083.44720232367</v>
      </c>
      <c r="E7" s="5">
        <f t="shared" si="3"/>
        <v>582102.82899999991</v>
      </c>
      <c r="F7" s="9"/>
      <c r="G7" s="6">
        <f t="shared" si="0"/>
        <v>0.19165379911584809</v>
      </c>
      <c r="H7" s="6">
        <f t="shared" si="1"/>
        <v>0.19165379911584818</v>
      </c>
      <c r="I7" s="6">
        <f t="shared" si="2"/>
        <v>0.19165379911584812</v>
      </c>
    </row>
    <row r="8" spans="1:9" x14ac:dyDescent="0.25">
      <c r="A8" s="2" t="s">
        <v>7</v>
      </c>
      <c r="B8" s="9"/>
      <c r="C8" s="5">
        <f>'Funds Flow - Partner Detail'!H36</f>
        <v>819466.11571975367</v>
      </c>
      <c r="D8" s="5">
        <f>'Funds Flow - Partner Detail'!I36</f>
        <v>661853.24328024604</v>
      </c>
      <c r="E8" s="5">
        <f t="shared" si="3"/>
        <v>1481319.3589999997</v>
      </c>
      <c r="F8" s="9"/>
      <c r="G8" s="6">
        <f t="shared" si="0"/>
        <v>0.48771534634854502</v>
      </c>
      <c r="H8" s="6">
        <f t="shared" si="1"/>
        <v>0.48771534634854524</v>
      </c>
      <c r="I8" s="6">
        <f t="shared" si="2"/>
        <v>0.48771534634854508</v>
      </c>
    </row>
    <row r="9" spans="1:9" x14ac:dyDescent="0.25">
      <c r="A9" s="2" t="s">
        <v>9</v>
      </c>
      <c r="B9" s="9"/>
      <c r="C9" s="5">
        <f>'Funds Flow - Partner Detail'!H44</f>
        <v>215842.60675950599</v>
      </c>
      <c r="D9" s="5">
        <f>'Funds Flow - Partner Detail'!I44</f>
        <v>174328.29324049398</v>
      </c>
      <c r="E9" s="5">
        <f t="shared" si="3"/>
        <v>390170.89999999997</v>
      </c>
      <c r="F9" s="9"/>
      <c r="G9" s="6">
        <f t="shared" si="0"/>
        <v>0.12846138442225241</v>
      </c>
      <c r="H9" s="6">
        <f t="shared" si="1"/>
        <v>0.12846138442225247</v>
      </c>
      <c r="I9" s="6">
        <f t="shared" si="2"/>
        <v>0.12846138442225244</v>
      </c>
    </row>
    <row r="10" spans="1:9" x14ac:dyDescent="0.25">
      <c r="A10" s="2" t="s">
        <v>10</v>
      </c>
      <c r="B10" s="9"/>
      <c r="C10" s="5">
        <f>'Funds Flow - Partner Detail'!H52</f>
        <v>14050.731023468672</v>
      </c>
      <c r="D10" s="5">
        <f>'Funds Flow - Partner Detail'!I52</f>
        <v>11348.268976531326</v>
      </c>
      <c r="E10" s="5">
        <f t="shared" si="3"/>
        <v>25399</v>
      </c>
      <c r="F10" s="9"/>
      <c r="G10" s="6">
        <f t="shared" si="0"/>
        <v>8.3624655322598104E-3</v>
      </c>
      <c r="H10" s="6">
        <f t="shared" si="1"/>
        <v>8.3624655322598138E-3</v>
      </c>
      <c r="I10" s="6">
        <f t="shared" si="2"/>
        <v>8.3624655322598121E-3</v>
      </c>
    </row>
    <row r="11" spans="1:9" x14ac:dyDescent="0.25">
      <c r="A11" s="2" t="s">
        <v>11</v>
      </c>
      <c r="B11" s="9"/>
      <c r="C11" s="5">
        <f>'Funds Flow - Partner Detail'!H60</f>
        <v>0</v>
      </c>
      <c r="D11" s="5">
        <f>'Funds Flow - Partner Detail'!I60</f>
        <v>0</v>
      </c>
      <c r="E11" s="5">
        <f t="shared" si="3"/>
        <v>0</v>
      </c>
      <c r="F11" s="9"/>
      <c r="G11" s="6">
        <f t="shared" si="0"/>
        <v>0</v>
      </c>
      <c r="H11" s="6">
        <f t="shared" si="1"/>
        <v>0</v>
      </c>
      <c r="I11" s="6">
        <f t="shared" si="2"/>
        <v>0</v>
      </c>
    </row>
    <row r="12" spans="1:9" x14ac:dyDescent="0.25">
      <c r="A12" s="2" t="s">
        <v>12</v>
      </c>
      <c r="B12" s="9"/>
      <c r="C12" s="5">
        <f>'Funds Flow - Partner Detail'!H68</f>
        <v>71294.777830291423</v>
      </c>
      <c r="D12" s="5">
        <f>'Funds Flow - Partner Detail'!I68</f>
        <v>57582.222169708562</v>
      </c>
      <c r="E12" s="5">
        <f t="shared" si="3"/>
        <v>128876.99999999999</v>
      </c>
      <c r="F12" s="9"/>
      <c r="G12" s="6">
        <f t="shared" si="0"/>
        <v>4.2431964660067233E-2</v>
      </c>
      <c r="H12" s="6">
        <f t="shared" si="1"/>
        <v>4.2431964660067246E-2</v>
      </c>
      <c r="I12" s="6">
        <f t="shared" si="2"/>
        <v>4.2431964660067233E-2</v>
      </c>
    </row>
    <row r="13" spans="1:9" x14ac:dyDescent="0.25">
      <c r="A13" s="2" t="s">
        <v>13</v>
      </c>
      <c r="B13" s="9"/>
      <c r="C13" s="5">
        <f>'Funds Flow - Partner Detail'!H76</f>
        <v>0</v>
      </c>
      <c r="D13" s="5">
        <f>'Funds Flow - Partner Detail'!I76</f>
        <v>0</v>
      </c>
      <c r="E13" s="5">
        <f t="shared" si="3"/>
        <v>0</v>
      </c>
      <c r="F13" s="9"/>
      <c r="G13" s="6">
        <f t="shared" si="0"/>
        <v>0</v>
      </c>
      <c r="H13" s="6">
        <f t="shared" si="1"/>
        <v>0</v>
      </c>
      <c r="I13" s="6">
        <f t="shared" si="2"/>
        <v>0</v>
      </c>
    </row>
    <row r="14" spans="1:9" x14ac:dyDescent="0.25">
      <c r="A14" s="2" t="s">
        <v>14</v>
      </c>
      <c r="B14" s="9"/>
      <c r="C14" s="5">
        <f>'Funds Flow - Partner Detail'!H87</f>
        <v>95575.933572893933</v>
      </c>
      <c r="D14" s="5">
        <f>'Funds Flow - Partner Detail'!I87</f>
        <v>77193.236427106065</v>
      </c>
      <c r="E14" s="5">
        <f t="shared" si="3"/>
        <v>172769.16999999998</v>
      </c>
      <c r="F14" s="9"/>
      <c r="G14" s="6">
        <f t="shared" si="0"/>
        <v>5.6883193399824235E-2</v>
      </c>
      <c r="H14" s="6">
        <f t="shared" si="1"/>
        <v>5.6883193399824263E-2</v>
      </c>
      <c r="I14" s="6">
        <f t="shared" si="2"/>
        <v>5.6883193399824242E-2</v>
      </c>
    </row>
    <row r="15" spans="1:9" x14ac:dyDescent="0.25">
      <c r="A15" s="2" t="s">
        <v>15</v>
      </c>
      <c r="B15" s="9"/>
      <c r="C15" s="5">
        <f>'Funds Flow - Partner Detail'!H95</f>
        <v>0</v>
      </c>
      <c r="D15" s="5">
        <f>'Funds Flow - Partner Detail'!I95</f>
        <v>0</v>
      </c>
      <c r="E15" s="5">
        <f t="shared" si="3"/>
        <v>0</v>
      </c>
      <c r="F15" s="9"/>
      <c r="G15" s="6">
        <f t="shared" si="0"/>
        <v>0</v>
      </c>
      <c r="H15" s="6">
        <f t="shared" si="1"/>
        <v>0</v>
      </c>
      <c r="I15" s="6">
        <f t="shared" si="2"/>
        <v>0</v>
      </c>
    </row>
    <row r="16" spans="1:9" x14ac:dyDescent="0.25">
      <c r="A16" s="2" t="s">
        <v>16</v>
      </c>
      <c r="B16" s="9"/>
      <c r="C16" s="5">
        <f>'Funds Flow - Partner Detail'!H103</f>
        <v>0</v>
      </c>
      <c r="D16" s="5">
        <f>'Funds Flow - Partner Detail'!I103</f>
        <v>0</v>
      </c>
      <c r="E16" s="5">
        <f t="shared" si="3"/>
        <v>0</v>
      </c>
      <c r="F16" s="9"/>
      <c r="G16" s="6">
        <f t="shared" si="0"/>
        <v>0</v>
      </c>
      <c r="H16" s="6">
        <f t="shared" si="1"/>
        <v>0</v>
      </c>
      <c r="I16" s="6">
        <f t="shared" si="2"/>
        <v>0</v>
      </c>
    </row>
    <row r="17" spans="1:12" x14ac:dyDescent="0.25">
      <c r="A17" s="2" t="s">
        <v>17</v>
      </c>
      <c r="B17" s="9"/>
      <c r="C17" s="5">
        <f>'Funds Flow - Partner Detail'!H111</f>
        <v>0</v>
      </c>
      <c r="D17" s="5">
        <f>'Funds Flow - Partner Detail'!I111</f>
        <v>0</v>
      </c>
      <c r="E17" s="5">
        <f t="shared" si="3"/>
        <v>0</v>
      </c>
      <c r="F17" s="9"/>
      <c r="G17" s="6">
        <f t="shared" si="0"/>
        <v>0</v>
      </c>
      <c r="H17" s="6">
        <f t="shared" si="1"/>
        <v>0</v>
      </c>
      <c r="I17" s="6">
        <f t="shared" si="2"/>
        <v>0</v>
      </c>
    </row>
    <row r="18" spans="1:12" x14ac:dyDescent="0.25">
      <c r="A18" s="2" t="s">
        <v>18</v>
      </c>
      <c r="B18" s="9"/>
      <c r="C18" s="5">
        <f>'Funds Flow - Partner Detail'!H119</f>
        <v>0</v>
      </c>
      <c r="D18" s="5">
        <f>'Funds Flow - Partner Detail'!I119</f>
        <v>0</v>
      </c>
      <c r="E18" s="5">
        <f t="shared" si="3"/>
        <v>0</v>
      </c>
      <c r="F18" s="9"/>
      <c r="G18" s="6">
        <f t="shared" si="0"/>
        <v>0</v>
      </c>
      <c r="H18" s="6">
        <f t="shared" si="1"/>
        <v>0</v>
      </c>
      <c r="I18" s="6">
        <f t="shared" si="2"/>
        <v>0</v>
      </c>
    </row>
    <row r="19" spans="1:12" x14ac:dyDescent="0.25">
      <c r="A19" s="2" t="s">
        <v>21</v>
      </c>
      <c r="B19" s="9"/>
      <c r="C19" s="5">
        <v>141964.3769610622</v>
      </c>
      <c r="D19" s="5">
        <v>114659.51003893778</v>
      </c>
      <c r="E19" s="5">
        <f t="shared" si="3"/>
        <v>256623.88699999999</v>
      </c>
      <c r="F19" s="9"/>
      <c r="G19" s="6">
        <f t="shared" si="0"/>
        <v>8.4491846521203062E-2</v>
      </c>
      <c r="H19" s="6">
        <f t="shared" si="1"/>
        <v>8.449184652120309E-2</v>
      </c>
      <c r="I19" s="6">
        <f t="shared" si="2"/>
        <v>8.4491846521203076E-2</v>
      </c>
      <c r="K19" s="22"/>
      <c r="L19" s="22"/>
    </row>
    <row r="20" spans="1:12" x14ac:dyDescent="0.25">
      <c r="A20" s="2" t="s">
        <v>237</v>
      </c>
      <c r="B20" s="9"/>
      <c r="C20" s="5">
        <f>'Funds Flow - Partner Detail'!H127</f>
        <v>0</v>
      </c>
      <c r="D20" s="5">
        <f>'Funds Flow - Partner Detail'!I127</f>
        <v>0</v>
      </c>
      <c r="E20" s="5">
        <f t="shared" si="3"/>
        <v>0</v>
      </c>
      <c r="F20" s="9"/>
      <c r="G20" s="6">
        <f t="shared" si="0"/>
        <v>0</v>
      </c>
      <c r="H20" s="6">
        <f t="shared" si="1"/>
        <v>0</v>
      </c>
      <c r="I20" s="6">
        <f t="shared" si="2"/>
        <v>0</v>
      </c>
      <c r="K20" s="22"/>
      <c r="L20" s="22"/>
    </row>
    <row r="21" spans="1:12" x14ac:dyDescent="0.25">
      <c r="A21" s="2" t="s">
        <v>19</v>
      </c>
      <c r="B21" s="9"/>
      <c r="C21" s="5">
        <f>'Funds Flow - Partner Detail'!H135</f>
        <v>0</v>
      </c>
      <c r="D21" s="5">
        <f>'Funds Flow - Partner Detail'!I135</f>
        <v>0</v>
      </c>
      <c r="E21" s="5">
        <f t="shared" ref="E21" si="4">C21+D21</f>
        <v>0</v>
      </c>
      <c r="F21" s="9"/>
      <c r="G21" s="6">
        <f t="shared" si="0"/>
        <v>0</v>
      </c>
      <c r="H21" s="6">
        <f t="shared" si="1"/>
        <v>0</v>
      </c>
      <c r="I21" s="6">
        <f t="shared" si="2"/>
        <v>0</v>
      </c>
    </row>
    <row r="22" spans="1:12" x14ac:dyDescent="0.25">
      <c r="A22" s="2" t="s">
        <v>19</v>
      </c>
      <c r="B22" s="9"/>
      <c r="C22" s="5">
        <f>'Funds Flow - Partner Detail'!H143</f>
        <v>0</v>
      </c>
      <c r="D22" s="5">
        <f>'Funds Flow - Partner Detail'!I143</f>
        <v>0</v>
      </c>
      <c r="E22" s="5">
        <f t="shared" si="3"/>
        <v>0</v>
      </c>
      <c r="F22" s="9"/>
      <c r="G22" s="6">
        <f t="shared" si="0"/>
        <v>0</v>
      </c>
      <c r="H22" s="6">
        <f t="shared" si="1"/>
        <v>0</v>
      </c>
      <c r="I22" s="6">
        <f t="shared" si="2"/>
        <v>0</v>
      </c>
    </row>
    <row r="23" spans="1:12" x14ac:dyDescent="0.25">
      <c r="A23" s="2" t="s">
        <v>19</v>
      </c>
      <c r="B23" s="9"/>
      <c r="C23" s="5">
        <f>'Funds Flow - Partner Detail'!H151</f>
        <v>0</v>
      </c>
      <c r="D23" s="5">
        <f>'Funds Flow - Partner Detail'!I151</f>
        <v>0</v>
      </c>
      <c r="E23" s="5">
        <f t="shared" si="3"/>
        <v>0</v>
      </c>
      <c r="F23" s="9"/>
      <c r="G23" s="6">
        <f t="shared" si="0"/>
        <v>0</v>
      </c>
      <c r="H23" s="6">
        <f t="shared" si="1"/>
        <v>0</v>
      </c>
      <c r="I23" s="6">
        <f t="shared" si="2"/>
        <v>0</v>
      </c>
    </row>
    <row r="24" spans="1:12" x14ac:dyDescent="0.25">
      <c r="A24" s="3" t="s">
        <v>20</v>
      </c>
      <c r="B24" s="9"/>
      <c r="C24" s="7">
        <f>SUM(C5:C23)</f>
        <v>1680213.9236646523</v>
      </c>
      <c r="D24" s="7">
        <f t="shared" ref="D24:E24" si="5">SUM(D5:D23)</f>
        <v>1357048.221335347</v>
      </c>
      <c r="E24" s="7">
        <f t="shared" si="5"/>
        <v>3037262.1449999996</v>
      </c>
      <c r="F24" s="9"/>
      <c r="G24" s="8">
        <f>SUM(G5:G23)</f>
        <v>1</v>
      </c>
      <c r="H24" s="8">
        <f t="shared" ref="H24:I24" si="6">SUM(H5:H23)</f>
        <v>1.0000000000000004</v>
      </c>
      <c r="I24" s="8">
        <f t="shared" si="6"/>
        <v>1</v>
      </c>
    </row>
  </sheetData>
  <mergeCells count="2">
    <mergeCell ref="C3:I3"/>
    <mergeCell ref="A3:A4"/>
  </mergeCell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1"/>
  <sheetViews>
    <sheetView topLeftCell="A10" workbookViewId="0">
      <selection activeCell="B10" sqref="B1:C1048576"/>
    </sheetView>
  </sheetViews>
  <sheetFormatPr defaultRowHeight="15" x14ac:dyDescent="0.25"/>
  <cols>
    <col min="1" max="1" width="31.85546875" bestFit="1" customWidth="1"/>
    <col min="2" max="3" width="13.42578125" hidden="1" customWidth="1"/>
    <col min="4" max="4" width="65" bestFit="1" customWidth="1"/>
    <col min="5" max="6" width="13.42578125" customWidth="1"/>
    <col min="7" max="7" width="1.140625" customWidth="1"/>
    <col min="8" max="10" width="13.42578125" customWidth="1"/>
  </cols>
  <sheetData>
    <row r="1" spans="1:10" x14ac:dyDescent="0.25">
      <c r="A1" s="1" t="s">
        <v>37</v>
      </c>
    </row>
    <row r="3" spans="1:10" x14ac:dyDescent="0.25">
      <c r="A3" s="2"/>
      <c r="B3" s="27" t="s">
        <v>28</v>
      </c>
      <c r="C3" s="28"/>
      <c r="D3" s="28"/>
      <c r="E3" s="28"/>
      <c r="F3" s="29"/>
      <c r="G3" s="2"/>
      <c r="H3" s="27" t="s">
        <v>29</v>
      </c>
      <c r="I3" s="28"/>
      <c r="J3" s="29"/>
    </row>
    <row r="4" spans="1:10" ht="45" x14ac:dyDescent="0.25">
      <c r="A4" s="4"/>
      <c r="B4" s="4" t="s">
        <v>25</v>
      </c>
      <c r="C4" s="11" t="s">
        <v>42</v>
      </c>
      <c r="D4" s="4" t="s">
        <v>13753</v>
      </c>
      <c r="E4" s="4" t="s">
        <v>26</v>
      </c>
      <c r="F4" s="4" t="s">
        <v>27</v>
      </c>
      <c r="G4" s="2"/>
      <c r="H4" s="4" t="s">
        <v>0</v>
      </c>
      <c r="I4" s="4" t="s">
        <v>1</v>
      </c>
      <c r="J4" s="4" t="s">
        <v>2</v>
      </c>
    </row>
    <row r="5" spans="1:10" x14ac:dyDescent="0.25">
      <c r="A5" s="26" t="s">
        <v>4</v>
      </c>
      <c r="B5" s="2"/>
      <c r="C5" s="2"/>
      <c r="D5" s="12" t="str">
        <f>_xlfn.IFNA(VLOOKUP($B5,'NYP Perf Network 032017'!$A$2:$AI$3547,18,FALSE),"")</f>
        <v/>
      </c>
      <c r="E5" s="12" t="str">
        <f>_xlfn.IFNA(VLOOKUP($B5,'NYP Perf Network 032017'!$A$2:$AI$3547,13,FALSE),"")</f>
        <v/>
      </c>
      <c r="F5" s="12" t="str">
        <f>_xlfn.IFNA(VLOOKUP($B5,'NYP Perf Network 032017'!$A$2:$AI$3547,12,FALSE),"")</f>
        <v/>
      </c>
      <c r="G5" s="2"/>
      <c r="H5" s="2"/>
      <c r="I5" s="2"/>
      <c r="J5" s="5">
        <f>H5+I5</f>
        <v>0</v>
      </c>
    </row>
    <row r="6" spans="1:10" x14ac:dyDescent="0.25">
      <c r="A6" s="26"/>
      <c r="B6" s="2"/>
      <c r="C6" s="2"/>
      <c r="D6" s="12" t="str">
        <f>_xlfn.IFNA(VLOOKUP($B6,'NYP Perf Network 032017'!$A$2:$AI$3547,18,FALSE),"")</f>
        <v/>
      </c>
      <c r="E6" s="12" t="str">
        <f>_xlfn.IFNA(VLOOKUP($B6,'NYP Perf Network 032017'!$A$2:$AI$3547,13,FALSE),"")</f>
        <v/>
      </c>
      <c r="F6" s="12" t="str">
        <f>_xlfn.IFNA(VLOOKUP($B6,'NYP Perf Network 032017'!$A$2:$AI$3547,12,FALSE),"")</f>
        <v/>
      </c>
      <c r="G6" s="2"/>
      <c r="H6" s="2"/>
      <c r="I6" s="2"/>
      <c r="J6" s="5">
        <f t="shared" ref="J6:J10" si="0">H6+I6</f>
        <v>0</v>
      </c>
    </row>
    <row r="7" spans="1:10" x14ac:dyDescent="0.25">
      <c r="A7" s="26"/>
      <c r="B7" s="2"/>
      <c r="C7" s="2"/>
      <c r="D7" s="12" t="str">
        <f>_xlfn.IFNA(VLOOKUP($B7,'NYP Perf Network 032017'!$A$2:$AI$3547,18,FALSE),"")</f>
        <v/>
      </c>
      <c r="E7" s="12" t="str">
        <f>_xlfn.IFNA(VLOOKUP($B7,'NYP Perf Network 032017'!$A$2:$AI$3547,13,FALSE),"")</f>
        <v/>
      </c>
      <c r="F7" s="12" t="str">
        <f>_xlfn.IFNA(VLOOKUP($B7,'NYP Perf Network 032017'!$A$2:$AI$3547,12,FALSE),"")</f>
        <v/>
      </c>
      <c r="G7" s="2"/>
      <c r="H7" s="2"/>
      <c r="I7" s="2"/>
      <c r="J7" s="5">
        <f t="shared" si="0"/>
        <v>0</v>
      </c>
    </row>
    <row r="8" spans="1:10" x14ac:dyDescent="0.25">
      <c r="A8" s="26"/>
      <c r="B8" s="2"/>
      <c r="C8" s="2"/>
      <c r="D8" s="12" t="str">
        <f>_xlfn.IFNA(VLOOKUP($B8,'NYP Perf Network 032017'!$A$2:$AI$3547,18,FALSE),"")</f>
        <v/>
      </c>
      <c r="E8" s="12" t="str">
        <f>_xlfn.IFNA(VLOOKUP($B8,'NYP Perf Network 032017'!$A$2:$AI$3547,13,FALSE),"")</f>
        <v/>
      </c>
      <c r="F8" s="12" t="str">
        <f>_xlfn.IFNA(VLOOKUP($B8,'NYP Perf Network 032017'!$A$2:$AI$3547,12,FALSE),"")</f>
        <v/>
      </c>
      <c r="G8" s="2"/>
      <c r="H8" s="2"/>
      <c r="I8" s="2"/>
      <c r="J8" s="5">
        <f t="shared" si="0"/>
        <v>0</v>
      </c>
    </row>
    <row r="9" spans="1:10" x14ac:dyDescent="0.25">
      <c r="A9" s="26"/>
      <c r="B9" s="2"/>
      <c r="C9" s="2"/>
      <c r="D9" s="12" t="str">
        <f>_xlfn.IFNA(VLOOKUP($B9,'NYP Perf Network 032017'!$A$2:$AI$3547,18,FALSE),"")</f>
        <v/>
      </c>
      <c r="E9" s="12" t="str">
        <f>_xlfn.IFNA(VLOOKUP($B9,'NYP Perf Network 032017'!$A$2:$AI$3547,13,FALSE),"")</f>
        <v/>
      </c>
      <c r="F9" s="12" t="str">
        <f>_xlfn.IFNA(VLOOKUP($B9,'NYP Perf Network 032017'!$A$2:$AI$3547,12,FALSE),"")</f>
        <v/>
      </c>
      <c r="G9" s="2"/>
      <c r="H9" s="2"/>
      <c r="I9" s="2"/>
      <c r="J9" s="5">
        <f t="shared" si="0"/>
        <v>0</v>
      </c>
    </row>
    <row r="10" spans="1:10" x14ac:dyDescent="0.25">
      <c r="A10" s="26"/>
      <c r="B10" s="2"/>
      <c r="C10" s="2"/>
      <c r="D10" s="12" t="str">
        <f>_xlfn.IFNA(VLOOKUP($B10,'NYP Perf Network 032017'!$A$2:$AI$3547,18,FALSE),"")</f>
        <v/>
      </c>
      <c r="E10" s="12" t="str">
        <f>_xlfn.IFNA(VLOOKUP($B10,'NYP Perf Network 032017'!$A$2:$AI$3547,13,FALSE),"")</f>
        <v/>
      </c>
      <c r="F10" s="12" t="str">
        <f>_xlfn.IFNA(VLOOKUP($B10,'NYP Perf Network 032017'!$A$2:$AI$3547,12,FALSE),"")</f>
        <v/>
      </c>
      <c r="G10" s="2"/>
      <c r="H10" s="2"/>
      <c r="I10" s="2"/>
      <c r="J10" s="5">
        <f t="shared" si="0"/>
        <v>0</v>
      </c>
    </row>
    <row r="11" spans="1:10" x14ac:dyDescent="0.25">
      <c r="A11" s="26"/>
      <c r="B11" s="27" t="s">
        <v>30</v>
      </c>
      <c r="C11" s="28"/>
      <c r="D11" s="28"/>
      <c r="E11" s="28"/>
      <c r="F11" s="28"/>
      <c r="G11" s="28"/>
      <c r="H11" s="28"/>
      <c r="I11" s="28"/>
      <c r="J11" s="28"/>
    </row>
    <row r="12" spans="1:10" x14ac:dyDescent="0.25">
      <c r="A12" s="9"/>
      <c r="B12" s="10"/>
      <c r="C12" s="10"/>
      <c r="D12" s="10"/>
      <c r="E12" s="10"/>
      <c r="F12" s="10"/>
      <c r="G12" s="10"/>
      <c r="H12" s="13">
        <f t="shared" ref="H12:I12" si="1">SUM(H5:H10)</f>
        <v>0</v>
      </c>
      <c r="I12" s="13">
        <f t="shared" si="1"/>
        <v>0</v>
      </c>
      <c r="J12" s="13">
        <f>SUM(J5:J10)</f>
        <v>0</v>
      </c>
    </row>
    <row r="13" spans="1:10" ht="14.25" customHeight="1" x14ac:dyDescent="0.25">
      <c r="A13" s="26" t="s">
        <v>5</v>
      </c>
      <c r="B13" s="2"/>
      <c r="C13" s="2"/>
      <c r="D13" s="12" t="str">
        <f>_xlfn.IFNA(VLOOKUP($B13,'NYP Perf Network 032017'!$A$2:$AI$3547,18,FALSE),"")</f>
        <v/>
      </c>
      <c r="E13" s="12" t="str">
        <f>_xlfn.IFNA(VLOOKUP($B13,'NYP Perf Network 032017'!$A$2:$AI$3547,13,FALSE),"")</f>
        <v/>
      </c>
      <c r="F13" s="12" t="str">
        <f>_xlfn.IFNA(VLOOKUP($B13,'NYP Perf Network 032017'!$A$2:$AI$3547,12,FALSE),"")</f>
        <v/>
      </c>
      <c r="G13" s="2"/>
      <c r="H13" s="2"/>
      <c r="I13" s="2"/>
      <c r="J13" s="5">
        <f>H13+I13</f>
        <v>0</v>
      </c>
    </row>
    <row r="14" spans="1:10" x14ac:dyDescent="0.25">
      <c r="A14" s="26"/>
      <c r="B14" s="2"/>
      <c r="C14" s="2"/>
      <c r="D14" s="12" t="str">
        <f>_xlfn.IFNA(VLOOKUP($B14,'NYP Perf Network 032017'!$A$2:$AI$3547,18,FALSE),"")</f>
        <v/>
      </c>
      <c r="E14" s="12" t="str">
        <f>_xlfn.IFNA(VLOOKUP($B14,'NYP Perf Network 032017'!$A$2:$AI$3547,13,FALSE),"")</f>
        <v/>
      </c>
      <c r="F14" s="12" t="str">
        <f>_xlfn.IFNA(VLOOKUP($B14,'NYP Perf Network 032017'!$A$2:$AI$3547,12,FALSE),"")</f>
        <v/>
      </c>
      <c r="G14" s="2"/>
      <c r="H14" s="2"/>
      <c r="I14" s="2"/>
      <c r="J14" s="5">
        <f t="shared" ref="J14:J18" si="2">H14+I14</f>
        <v>0</v>
      </c>
    </row>
    <row r="15" spans="1:10" x14ac:dyDescent="0.25">
      <c r="A15" s="26"/>
      <c r="B15" s="2"/>
      <c r="C15" s="2"/>
      <c r="D15" s="12" t="str">
        <f>_xlfn.IFNA(VLOOKUP($B15,'NYP Perf Network 032017'!$A$2:$AI$3547,18,FALSE),"")</f>
        <v/>
      </c>
      <c r="E15" s="12" t="str">
        <f>_xlfn.IFNA(VLOOKUP($B15,'NYP Perf Network 032017'!$A$2:$AI$3547,13,FALSE),"")</f>
        <v/>
      </c>
      <c r="F15" s="12" t="str">
        <f>_xlfn.IFNA(VLOOKUP($B15,'NYP Perf Network 032017'!$A$2:$AI$3547,12,FALSE),"")</f>
        <v/>
      </c>
      <c r="G15" s="2"/>
      <c r="H15" s="2"/>
      <c r="I15" s="2"/>
      <c r="J15" s="5">
        <f t="shared" si="2"/>
        <v>0</v>
      </c>
    </row>
    <row r="16" spans="1:10" x14ac:dyDescent="0.25">
      <c r="A16" s="26"/>
      <c r="B16" s="2"/>
      <c r="C16" s="2"/>
      <c r="D16" s="12" t="str">
        <f>_xlfn.IFNA(VLOOKUP($B16,'NYP Perf Network 032017'!$A$2:$AI$3547,18,FALSE),"")</f>
        <v/>
      </c>
      <c r="E16" s="12" t="str">
        <f>_xlfn.IFNA(VLOOKUP($B16,'NYP Perf Network 032017'!$A$2:$AI$3547,13,FALSE),"")</f>
        <v/>
      </c>
      <c r="F16" s="12" t="str">
        <f>_xlfn.IFNA(VLOOKUP($B16,'NYP Perf Network 032017'!$A$2:$AI$3547,12,FALSE),"")</f>
        <v/>
      </c>
      <c r="G16" s="2"/>
      <c r="H16" s="2"/>
      <c r="I16" s="2"/>
      <c r="J16" s="5">
        <f t="shared" si="2"/>
        <v>0</v>
      </c>
    </row>
    <row r="17" spans="1:10" x14ac:dyDescent="0.25">
      <c r="A17" s="26"/>
      <c r="B17" s="2"/>
      <c r="C17" s="2"/>
      <c r="D17" s="12" t="str">
        <f>_xlfn.IFNA(VLOOKUP($B17,'NYP Perf Network 032017'!$A$2:$AI$3547,18,FALSE),"")</f>
        <v/>
      </c>
      <c r="E17" s="12" t="str">
        <f>_xlfn.IFNA(VLOOKUP($B17,'NYP Perf Network 032017'!$A$2:$AI$3547,13,FALSE),"")</f>
        <v/>
      </c>
      <c r="F17" s="12" t="str">
        <f>_xlfn.IFNA(VLOOKUP($B17,'NYP Perf Network 032017'!$A$2:$AI$3547,12,FALSE),"")</f>
        <v/>
      </c>
      <c r="G17" s="2"/>
      <c r="H17" s="2"/>
      <c r="I17" s="2"/>
      <c r="J17" s="5">
        <f t="shared" si="2"/>
        <v>0</v>
      </c>
    </row>
    <row r="18" spans="1:10" x14ac:dyDescent="0.25">
      <c r="A18" s="26"/>
      <c r="B18" s="2"/>
      <c r="C18" s="2"/>
      <c r="D18" s="12" t="str">
        <f>_xlfn.IFNA(VLOOKUP($B18,'NYP Perf Network 032017'!$A$2:$AI$3547,18,FALSE),"")</f>
        <v/>
      </c>
      <c r="E18" s="12" t="str">
        <f>_xlfn.IFNA(VLOOKUP($B18,'NYP Perf Network 032017'!$A$2:$AI$3547,13,FALSE),"")</f>
        <v/>
      </c>
      <c r="F18" s="12" t="str">
        <f>_xlfn.IFNA(VLOOKUP($B18,'NYP Perf Network 032017'!$A$2:$AI$3547,12,FALSE),"")</f>
        <v/>
      </c>
      <c r="G18" s="2"/>
      <c r="H18" s="2"/>
      <c r="I18" s="2"/>
      <c r="J18" s="5">
        <f t="shared" si="2"/>
        <v>0</v>
      </c>
    </row>
    <row r="19" spans="1:10" x14ac:dyDescent="0.25">
      <c r="A19" s="26"/>
      <c r="B19" s="27" t="s">
        <v>30</v>
      </c>
      <c r="C19" s="28"/>
      <c r="D19" s="28"/>
      <c r="E19" s="28"/>
      <c r="F19" s="28"/>
      <c r="G19" s="28"/>
      <c r="H19" s="28"/>
      <c r="I19" s="28"/>
      <c r="J19" s="28"/>
    </row>
    <row r="20" spans="1:10" x14ac:dyDescent="0.25">
      <c r="A20" s="9"/>
      <c r="B20" s="10"/>
      <c r="C20" s="10"/>
      <c r="D20" s="10"/>
      <c r="E20" s="10"/>
      <c r="F20" s="10"/>
      <c r="G20" s="10"/>
      <c r="H20" s="13">
        <f t="shared" ref="H20:I20" si="3">SUM(H13:H18)</f>
        <v>0</v>
      </c>
      <c r="I20" s="13">
        <f t="shared" si="3"/>
        <v>0</v>
      </c>
      <c r="J20" s="13">
        <f>SUM(J13:J18)</f>
        <v>0</v>
      </c>
    </row>
    <row r="21" spans="1:10" ht="14.25" customHeight="1" x14ac:dyDescent="0.25">
      <c r="A21" s="26" t="s">
        <v>6</v>
      </c>
      <c r="B21" t="str">
        <f>"1194832477"</f>
        <v>1194832477</v>
      </c>
      <c r="C21" s="2"/>
      <c r="D21" s="12" t="str">
        <f>_xlfn.IFNA(VLOOKUP($B21,'NYP Perf Network 032017'!$A$2:$AI$3547,18,FALSE),"")</f>
        <v>THE NEW YORK AND PRESBYTERIAN HOSPITAL</v>
      </c>
      <c r="E21" s="12" t="str">
        <f>_xlfn.IFNA(VLOOKUP($B21,'NYP Perf Network 032017'!$A$2:$AI$3547,13,FALSE),"")</f>
        <v>Yes</v>
      </c>
      <c r="F21" s="12" t="str">
        <f>_xlfn.IFNA(VLOOKUP($B21,'NYP Perf Network 032017'!$A$2:$AI$3547,12,FALSE),"")</f>
        <v>All Other:: Case Management / Health Home:: Clinic:: Hospital:: Mental Health:: Pharmacy:: Substance Abuse</v>
      </c>
      <c r="G21" s="2"/>
      <c r="H21" s="2">
        <v>322019.38179767621</v>
      </c>
      <c r="I21" s="2">
        <v>260083.44720232367</v>
      </c>
      <c r="J21" s="5">
        <f>H21+I21</f>
        <v>582102.82899999991</v>
      </c>
    </row>
    <row r="22" spans="1:10" x14ac:dyDescent="0.25">
      <c r="A22" s="26"/>
      <c r="B22" s="2"/>
      <c r="C22" s="2"/>
      <c r="D22" s="12" t="str">
        <f>_xlfn.IFNA(VLOOKUP($B22,'NYP Perf Network 032017'!$A$2:$AI$3547,18,FALSE),"")</f>
        <v/>
      </c>
      <c r="E22" s="12" t="str">
        <f>_xlfn.IFNA(VLOOKUP($B22,'NYP Perf Network 032017'!$A$2:$AI$3547,13,FALSE),"")</f>
        <v/>
      </c>
      <c r="F22" s="12" t="str">
        <f>_xlfn.IFNA(VLOOKUP($B22,'NYP Perf Network 032017'!$A$2:$AI$3547,12,FALSE),"")</f>
        <v/>
      </c>
      <c r="G22" s="2"/>
      <c r="H22" s="2"/>
      <c r="I22" s="2"/>
      <c r="J22" s="5">
        <f t="shared" ref="J22:J26" si="4">H22+I22</f>
        <v>0</v>
      </c>
    </row>
    <row r="23" spans="1:10" x14ac:dyDescent="0.25">
      <c r="A23" s="26"/>
      <c r="B23" s="2"/>
      <c r="C23" s="2"/>
      <c r="D23" s="12" t="str">
        <f>_xlfn.IFNA(VLOOKUP($B23,'NYP Perf Network 032017'!$A$2:$AI$3547,18,FALSE),"")</f>
        <v/>
      </c>
      <c r="E23" s="12" t="str">
        <f>_xlfn.IFNA(VLOOKUP($B23,'NYP Perf Network 032017'!$A$2:$AI$3547,13,FALSE),"")</f>
        <v/>
      </c>
      <c r="F23" s="12" t="str">
        <f>_xlfn.IFNA(VLOOKUP($B23,'NYP Perf Network 032017'!$A$2:$AI$3547,12,FALSE),"")</f>
        <v/>
      </c>
      <c r="G23" s="2"/>
      <c r="H23" s="2"/>
      <c r="I23" s="2"/>
      <c r="J23" s="5">
        <f t="shared" si="4"/>
        <v>0</v>
      </c>
    </row>
    <row r="24" spans="1:10" x14ac:dyDescent="0.25">
      <c r="A24" s="26"/>
      <c r="B24" s="2"/>
      <c r="C24" s="2"/>
      <c r="D24" s="12" t="str">
        <f>_xlfn.IFNA(VLOOKUP($B24,'NYP Perf Network 032017'!$A$2:$AI$3547,18,FALSE),"")</f>
        <v/>
      </c>
      <c r="E24" s="12" t="str">
        <f>_xlfn.IFNA(VLOOKUP($B24,'NYP Perf Network 032017'!$A$2:$AI$3547,13,FALSE),"")</f>
        <v/>
      </c>
      <c r="F24" s="12" t="str">
        <f>_xlfn.IFNA(VLOOKUP($B24,'NYP Perf Network 032017'!$A$2:$AI$3547,12,FALSE),"")</f>
        <v/>
      </c>
      <c r="G24" s="2"/>
      <c r="H24" s="2"/>
      <c r="I24" s="2"/>
      <c r="J24" s="5">
        <f t="shared" si="4"/>
        <v>0</v>
      </c>
    </row>
    <row r="25" spans="1:10" x14ac:dyDescent="0.25">
      <c r="A25" s="26"/>
      <c r="B25" s="2"/>
      <c r="C25" s="2"/>
      <c r="D25" s="12" t="str">
        <f>_xlfn.IFNA(VLOOKUP($B25,'NYP Perf Network 032017'!$A$2:$AI$3547,18,FALSE),"")</f>
        <v/>
      </c>
      <c r="E25" s="12" t="str">
        <f>_xlfn.IFNA(VLOOKUP($B25,'NYP Perf Network 032017'!$A$2:$AI$3547,13,FALSE),"")</f>
        <v/>
      </c>
      <c r="F25" s="12" t="str">
        <f>_xlfn.IFNA(VLOOKUP($B25,'NYP Perf Network 032017'!$A$2:$AI$3547,12,FALSE),"")</f>
        <v/>
      </c>
      <c r="G25" s="2"/>
      <c r="H25" s="2"/>
      <c r="I25" s="2"/>
      <c r="J25" s="5">
        <f t="shared" si="4"/>
        <v>0</v>
      </c>
    </row>
    <row r="26" spans="1:10" x14ac:dyDescent="0.25">
      <c r="A26" s="26"/>
      <c r="B26" s="2"/>
      <c r="C26" s="2"/>
      <c r="D26" s="12" t="str">
        <f>_xlfn.IFNA(VLOOKUP($B26,'NYP Perf Network 032017'!$A$2:$AI$3547,18,FALSE),"")</f>
        <v/>
      </c>
      <c r="E26" s="12" t="str">
        <f>_xlfn.IFNA(VLOOKUP($B26,'NYP Perf Network 032017'!$A$2:$AI$3547,13,FALSE),"")</f>
        <v/>
      </c>
      <c r="F26" s="12" t="str">
        <f>_xlfn.IFNA(VLOOKUP($B26,'NYP Perf Network 032017'!$A$2:$AI$3547,12,FALSE),"")</f>
        <v/>
      </c>
      <c r="G26" s="2"/>
      <c r="H26" s="2"/>
      <c r="I26" s="2"/>
      <c r="J26" s="5">
        <f t="shared" si="4"/>
        <v>0</v>
      </c>
    </row>
    <row r="27" spans="1:10" x14ac:dyDescent="0.25">
      <c r="A27" s="26"/>
      <c r="B27" s="27" t="s">
        <v>30</v>
      </c>
      <c r="C27" s="28"/>
      <c r="D27" s="28"/>
      <c r="E27" s="28"/>
      <c r="F27" s="28"/>
      <c r="G27" s="28"/>
      <c r="H27" s="28"/>
      <c r="I27" s="28"/>
      <c r="J27" s="28"/>
    </row>
    <row r="28" spans="1:10" x14ac:dyDescent="0.25">
      <c r="A28" s="9"/>
      <c r="B28" s="10"/>
      <c r="C28" s="10"/>
      <c r="D28" s="10"/>
      <c r="E28" s="10"/>
      <c r="F28" s="10"/>
      <c r="G28" s="10"/>
      <c r="H28" s="13">
        <f t="shared" ref="H28:I28" si="5">SUM(H21:H26)</f>
        <v>322019.38179767621</v>
      </c>
      <c r="I28" s="13">
        <f t="shared" si="5"/>
        <v>260083.44720232367</v>
      </c>
      <c r="J28" s="13">
        <f>SUM(J21:J26)</f>
        <v>582102.82899999991</v>
      </c>
    </row>
    <row r="29" spans="1:10" ht="14.25" customHeight="1" x14ac:dyDescent="0.25">
      <c r="A29" s="26" t="s">
        <v>7</v>
      </c>
      <c r="B29" t="str">
        <f>"1194832477"</f>
        <v>1194832477</v>
      </c>
      <c r="C29" s="2"/>
      <c r="D29" s="12" t="str">
        <f>_xlfn.IFNA(VLOOKUP($B29,'NYP Perf Network 032017'!$A$2:$AI$3547,18,FALSE),"")</f>
        <v>THE NEW YORK AND PRESBYTERIAN HOSPITAL</v>
      </c>
      <c r="E29" s="12" t="str">
        <f>_xlfn.IFNA(VLOOKUP($B29,'NYP Perf Network 032017'!$A$2:$AI$3547,13,FALSE),"")</f>
        <v>Yes</v>
      </c>
      <c r="F29" s="12" t="str">
        <f>_xlfn.IFNA(VLOOKUP($B29,'NYP Perf Network 032017'!$A$2:$AI$3547,12,FALSE),"")</f>
        <v>All Other:: Case Management / Health Home:: Clinic:: Hospital:: Mental Health:: Pharmacy:: Substance Abuse</v>
      </c>
      <c r="G29" s="2"/>
      <c r="H29" s="2">
        <v>819466.11571975367</v>
      </c>
      <c r="I29" s="2">
        <v>661853.24328024604</v>
      </c>
      <c r="J29" s="5">
        <f>H29+I29</f>
        <v>1481319.3589999997</v>
      </c>
    </row>
    <row r="30" spans="1:10" x14ac:dyDescent="0.25">
      <c r="A30" s="26"/>
      <c r="B30" s="2"/>
      <c r="C30" s="2"/>
      <c r="D30" s="12" t="str">
        <f>_xlfn.IFNA(VLOOKUP($B30,'NYP Perf Network 032017'!$A$2:$AI$3547,18,FALSE),"")</f>
        <v/>
      </c>
      <c r="E30" s="12" t="str">
        <f>_xlfn.IFNA(VLOOKUP($B30,'NYP Perf Network 032017'!$A$2:$AI$3547,13,FALSE),"")</f>
        <v/>
      </c>
      <c r="F30" s="12" t="str">
        <f>_xlfn.IFNA(VLOOKUP($B30,'NYP Perf Network 032017'!$A$2:$AI$3547,12,FALSE),"")</f>
        <v/>
      </c>
      <c r="G30" s="2"/>
      <c r="H30" s="2"/>
      <c r="I30" s="2"/>
      <c r="J30" s="5">
        <f t="shared" ref="J30:J34" si="6">H30+I30</f>
        <v>0</v>
      </c>
    </row>
    <row r="31" spans="1:10" x14ac:dyDescent="0.25">
      <c r="A31" s="26"/>
      <c r="B31" s="2"/>
      <c r="C31" s="2"/>
      <c r="D31" s="12" t="str">
        <f>_xlfn.IFNA(VLOOKUP($B31,'NYP Perf Network 032017'!$A$2:$AI$3547,18,FALSE),"")</f>
        <v/>
      </c>
      <c r="E31" s="12" t="str">
        <f>_xlfn.IFNA(VLOOKUP($B31,'NYP Perf Network 032017'!$A$2:$AI$3547,13,FALSE),"")</f>
        <v/>
      </c>
      <c r="F31" s="12" t="str">
        <f>_xlfn.IFNA(VLOOKUP($B31,'NYP Perf Network 032017'!$A$2:$AI$3547,12,FALSE),"")</f>
        <v/>
      </c>
      <c r="G31" s="2"/>
      <c r="H31" s="2"/>
      <c r="I31" s="2"/>
      <c r="J31" s="5">
        <f t="shared" si="6"/>
        <v>0</v>
      </c>
    </row>
    <row r="32" spans="1:10" x14ac:dyDescent="0.25">
      <c r="A32" s="26"/>
      <c r="B32" s="2"/>
      <c r="C32" s="2"/>
      <c r="D32" s="12" t="str">
        <f>_xlfn.IFNA(VLOOKUP($B32,'NYP Perf Network 032017'!$A$2:$AI$3547,18,FALSE),"")</f>
        <v/>
      </c>
      <c r="E32" s="12" t="str">
        <f>_xlfn.IFNA(VLOOKUP($B32,'NYP Perf Network 032017'!$A$2:$AI$3547,13,FALSE),"")</f>
        <v/>
      </c>
      <c r="F32" s="12" t="str">
        <f>_xlfn.IFNA(VLOOKUP($B32,'NYP Perf Network 032017'!$A$2:$AI$3547,12,FALSE),"")</f>
        <v/>
      </c>
      <c r="G32" s="2"/>
      <c r="H32" s="2"/>
      <c r="I32" s="2"/>
      <c r="J32" s="5">
        <f t="shared" si="6"/>
        <v>0</v>
      </c>
    </row>
    <row r="33" spans="1:10" x14ac:dyDescent="0.25">
      <c r="A33" s="26"/>
      <c r="B33" s="2"/>
      <c r="C33" s="2"/>
      <c r="D33" s="12" t="str">
        <f>_xlfn.IFNA(VLOOKUP($B33,'NYP Perf Network 032017'!$A$2:$AI$3547,18,FALSE),"")</f>
        <v/>
      </c>
      <c r="E33" s="12" t="str">
        <f>_xlfn.IFNA(VLOOKUP($B33,'NYP Perf Network 032017'!$A$2:$AI$3547,13,FALSE),"")</f>
        <v/>
      </c>
      <c r="F33" s="12" t="str">
        <f>_xlfn.IFNA(VLOOKUP($B33,'NYP Perf Network 032017'!$A$2:$AI$3547,12,FALSE),"")</f>
        <v/>
      </c>
      <c r="G33" s="2"/>
      <c r="H33" s="2"/>
      <c r="I33" s="2"/>
      <c r="J33" s="5">
        <f t="shared" si="6"/>
        <v>0</v>
      </c>
    </row>
    <row r="34" spans="1:10" x14ac:dyDescent="0.25">
      <c r="A34" s="26"/>
      <c r="B34" s="2"/>
      <c r="C34" s="2"/>
      <c r="D34" s="12" t="str">
        <f>_xlfn.IFNA(VLOOKUP($B34,'NYP Perf Network 032017'!$A$2:$AI$3547,18,FALSE),"")</f>
        <v/>
      </c>
      <c r="E34" s="12" t="str">
        <f>_xlfn.IFNA(VLOOKUP($B34,'NYP Perf Network 032017'!$A$2:$AI$3547,13,FALSE),"")</f>
        <v/>
      </c>
      <c r="F34" s="12" t="str">
        <f>_xlfn.IFNA(VLOOKUP($B34,'NYP Perf Network 032017'!$A$2:$AI$3547,12,FALSE),"")</f>
        <v/>
      </c>
      <c r="G34" s="2"/>
      <c r="H34" s="2"/>
      <c r="I34" s="2"/>
      <c r="J34" s="5">
        <f t="shared" si="6"/>
        <v>0</v>
      </c>
    </row>
    <row r="35" spans="1:10" x14ac:dyDescent="0.25">
      <c r="A35" s="26"/>
      <c r="B35" s="27" t="s">
        <v>30</v>
      </c>
      <c r="C35" s="28"/>
      <c r="D35" s="28"/>
      <c r="E35" s="28"/>
      <c r="F35" s="28"/>
      <c r="G35" s="28"/>
      <c r="H35" s="28"/>
      <c r="I35" s="28"/>
      <c r="J35" s="28"/>
    </row>
    <row r="36" spans="1:10" x14ac:dyDescent="0.25">
      <c r="A36" s="9"/>
      <c r="B36" s="10"/>
      <c r="C36" s="10"/>
      <c r="D36" s="10"/>
      <c r="E36" s="10"/>
      <c r="F36" s="10"/>
      <c r="G36" s="10"/>
      <c r="H36" s="13">
        <f t="shared" ref="H36:I36" si="7">SUM(H29:H34)</f>
        <v>819466.11571975367</v>
      </c>
      <c r="I36" s="13">
        <f t="shared" si="7"/>
        <v>661853.24328024604</v>
      </c>
      <c r="J36" s="13">
        <f>SUM(J29:J34)</f>
        <v>1481319.3589999997</v>
      </c>
    </row>
    <row r="37" spans="1:10" x14ac:dyDescent="0.25">
      <c r="A37" s="26" t="s">
        <v>9</v>
      </c>
      <c r="B37" t="str">
        <f>"1154436855"</f>
        <v>1154436855</v>
      </c>
      <c r="C37" s="2"/>
      <c r="D37" s="12" t="str">
        <f>_xlfn.IFNA(VLOOKUP($B37,'[1]NYP Perf Network 032017'!$A$2:$AI$3547,18,FALSE),"")</f>
        <v>COLUMBIA UNIVERSITY HEALTH CARE</v>
      </c>
      <c r="E37" s="12"/>
      <c r="F37" s="12"/>
      <c r="G37" s="2"/>
      <c r="H37" s="2">
        <v>205584.9867201976</v>
      </c>
      <c r="I37" s="2">
        <v>166043.58327980238</v>
      </c>
      <c r="J37" s="5">
        <f>H37+I37</f>
        <v>371628.56999999995</v>
      </c>
    </row>
    <row r="38" spans="1:10" x14ac:dyDescent="0.25">
      <c r="A38" s="26"/>
      <c r="B38" t="str">
        <f>"1689844458"</f>
        <v>1689844458</v>
      </c>
      <c r="C38" s="2"/>
      <c r="D38" s="12" t="str">
        <f>_xlfn.IFNA(VLOOKUP($B38,'NYP Perf Network 032017'!$A$2:$AI$3547,18,FALSE),"")</f>
        <v>WEILL CORNELL MEDICAL COLLEGE</v>
      </c>
      <c r="E38" s="12" t="str">
        <f>_xlfn.IFNA(VLOOKUP($B38,'NYP Perf Network 032017'!$A$2:$AI$3547,13,FALSE),"")</f>
        <v>No</v>
      </c>
      <c r="F38" s="12" t="str">
        <f>_xlfn.IFNA(VLOOKUP($B38,'NYP Perf Network 032017'!$A$2:$AI$3547,12,FALSE),"")</f>
        <v>Uncategorized</v>
      </c>
      <c r="G38" s="2"/>
      <c r="H38" s="2">
        <v>10257.620039308393</v>
      </c>
      <c r="I38" s="2">
        <v>8284.7099606916072</v>
      </c>
      <c r="J38" s="5">
        <f t="shared" ref="J38:J42" si="8">H38+I38</f>
        <v>18542.330000000002</v>
      </c>
    </row>
    <row r="39" spans="1:10" x14ac:dyDescent="0.25">
      <c r="A39" s="26"/>
      <c r="B39" s="2"/>
      <c r="C39" s="2"/>
      <c r="D39" s="12" t="str">
        <f>_xlfn.IFNA(VLOOKUP($B39,'NYP Perf Network 032017'!$A$2:$AI$3547,18,FALSE),"")</f>
        <v/>
      </c>
      <c r="E39" s="12" t="str">
        <f>_xlfn.IFNA(VLOOKUP($B39,'NYP Perf Network 032017'!$A$2:$AI$3547,13,FALSE),"")</f>
        <v/>
      </c>
      <c r="F39" s="12" t="str">
        <f>_xlfn.IFNA(VLOOKUP($B39,'NYP Perf Network 032017'!$A$2:$AI$3547,12,FALSE),"")</f>
        <v/>
      </c>
      <c r="G39" s="2"/>
      <c r="H39" s="2"/>
      <c r="I39" s="2"/>
      <c r="J39" s="5">
        <f t="shared" si="8"/>
        <v>0</v>
      </c>
    </row>
    <row r="40" spans="1:10" x14ac:dyDescent="0.25">
      <c r="A40" s="26"/>
      <c r="B40" s="2"/>
      <c r="C40" s="2"/>
      <c r="D40" s="12" t="str">
        <f>_xlfn.IFNA(VLOOKUP($B40,'NYP Perf Network 032017'!$A$2:$AI$3547,18,FALSE),"")</f>
        <v/>
      </c>
      <c r="E40" s="12" t="str">
        <f>_xlfn.IFNA(VLOOKUP($B40,'NYP Perf Network 032017'!$A$2:$AI$3547,13,FALSE),"")</f>
        <v/>
      </c>
      <c r="F40" s="12" t="str">
        <f>_xlfn.IFNA(VLOOKUP($B40,'NYP Perf Network 032017'!$A$2:$AI$3547,12,FALSE),"")</f>
        <v/>
      </c>
      <c r="G40" s="2"/>
      <c r="H40" s="2"/>
      <c r="I40" s="2"/>
      <c r="J40" s="5">
        <f t="shared" si="8"/>
        <v>0</v>
      </c>
    </row>
    <row r="41" spans="1:10" x14ac:dyDescent="0.25">
      <c r="A41" s="26"/>
      <c r="B41" s="2"/>
      <c r="C41" s="2"/>
      <c r="D41" s="12" t="str">
        <f>_xlfn.IFNA(VLOOKUP($B41,'NYP Perf Network 032017'!$A$2:$AI$3547,18,FALSE),"")</f>
        <v/>
      </c>
      <c r="E41" s="12" t="str">
        <f>_xlfn.IFNA(VLOOKUP($B41,'NYP Perf Network 032017'!$A$2:$AI$3547,13,FALSE),"")</f>
        <v/>
      </c>
      <c r="F41" s="12" t="str">
        <f>_xlfn.IFNA(VLOOKUP($B41,'NYP Perf Network 032017'!$A$2:$AI$3547,12,FALSE),"")</f>
        <v/>
      </c>
      <c r="G41" s="2"/>
      <c r="H41" s="2"/>
      <c r="I41" s="2"/>
      <c r="J41" s="5">
        <f t="shared" si="8"/>
        <v>0</v>
      </c>
    </row>
    <row r="42" spans="1:10" x14ac:dyDescent="0.25">
      <c r="A42" s="26"/>
      <c r="B42" s="2"/>
      <c r="C42" s="2"/>
      <c r="D42" s="12" t="str">
        <f>_xlfn.IFNA(VLOOKUP($B42,'NYP Perf Network 032017'!$A$2:$AI$3547,18,FALSE),"")</f>
        <v/>
      </c>
      <c r="E42" s="12" t="str">
        <f>_xlfn.IFNA(VLOOKUP($B42,'NYP Perf Network 032017'!$A$2:$AI$3547,13,FALSE),"")</f>
        <v/>
      </c>
      <c r="F42" s="12" t="str">
        <f>_xlfn.IFNA(VLOOKUP($B42,'NYP Perf Network 032017'!$A$2:$AI$3547,12,FALSE),"")</f>
        <v/>
      </c>
      <c r="G42" s="2"/>
      <c r="H42" s="2"/>
      <c r="I42" s="2"/>
      <c r="J42" s="5">
        <f t="shared" si="8"/>
        <v>0</v>
      </c>
    </row>
    <row r="43" spans="1:10" x14ac:dyDescent="0.25">
      <c r="A43" s="26"/>
      <c r="B43" s="27" t="s">
        <v>30</v>
      </c>
      <c r="C43" s="28"/>
      <c r="D43" s="28"/>
      <c r="E43" s="28"/>
      <c r="F43" s="28"/>
      <c r="G43" s="28"/>
      <c r="H43" s="28"/>
      <c r="I43" s="28"/>
      <c r="J43" s="28"/>
    </row>
    <row r="44" spans="1:10" x14ac:dyDescent="0.25">
      <c r="A44" s="9"/>
      <c r="B44" s="10"/>
      <c r="C44" s="10"/>
      <c r="D44" s="10"/>
      <c r="E44" s="10"/>
      <c r="F44" s="10"/>
      <c r="G44" s="10"/>
      <c r="H44" s="13">
        <f t="shared" ref="H44:I44" si="9">SUM(H37:H42)</f>
        <v>215842.60675950599</v>
      </c>
      <c r="I44" s="13">
        <f t="shared" si="9"/>
        <v>174328.29324049398</v>
      </c>
      <c r="J44" s="13">
        <f>SUM(J37:J42)</f>
        <v>390170.89999999997</v>
      </c>
    </row>
    <row r="45" spans="1:10" x14ac:dyDescent="0.25">
      <c r="A45" s="26" t="s">
        <v>10</v>
      </c>
      <c r="B45" t="str">
        <f>"1588815302"</f>
        <v>1588815302</v>
      </c>
      <c r="C45" s="2"/>
      <c r="D45" s="12" t="str">
        <f>_xlfn.IFNA(VLOOKUP($B45,'NYP Perf Network 032017'!$A$2:$AI$3547,18,FALSE),"")</f>
        <v>THE ASSOCIATION FOR REHABILITATIVE CASE MANAGEMENT AND HOUSING</v>
      </c>
      <c r="E45" s="12" t="str">
        <f>_xlfn.IFNA(VLOOKUP($B45,'NYP Perf Network 032017'!$A$2:$AI$3547,13,FALSE),"")</f>
        <v>Yes</v>
      </c>
      <c r="F45" s="12" t="str">
        <f>_xlfn.IFNA(VLOOKUP($B45,'NYP Perf Network 032017'!$A$2:$AI$3547,12,FALSE),"")</f>
        <v>Mental Health</v>
      </c>
      <c r="G45" s="2"/>
      <c r="H45" s="2">
        <v>14050.731023468672</v>
      </c>
      <c r="I45" s="2">
        <v>11348.268976531326</v>
      </c>
      <c r="J45" s="5">
        <f>H45+I45</f>
        <v>25399</v>
      </c>
    </row>
    <row r="46" spans="1:10" x14ac:dyDescent="0.25">
      <c r="A46" s="26"/>
      <c r="B46" s="2"/>
      <c r="C46" s="2"/>
      <c r="D46" s="12" t="str">
        <f>_xlfn.IFNA(VLOOKUP($B46,'NYP Perf Network 032017'!$A$2:$AI$3547,18,FALSE),"")</f>
        <v/>
      </c>
      <c r="E46" s="12" t="str">
        <f>_xlfn.IFNA(VLOOKUP($B46,'NYP Perf Network 032017'!$A$2:$AI$3547,13,FALSE),"")</f>
        <v/>
      </c>
      <c r="F46" s="12" t="str">
        <f>_xlfn.IFNA(VLOOKUP($B46,'NYP Perf Network 032017'!$A$2:$AI$3547,12,FALSE),"")</f>
        <v/>
      </c>
      <c r="G46" s="2"/>
      <c r="H46" s="2"/>
      <c r="I46" s="2"/>
      <c r="J46" s="5">
        <f t="shared" ref="J46:J50" si="10">H46+I46</f>
        <v>0</v>
      </c>
    </row>
    <row r="47" spans="1:10" x14ac:dyDescent="0.25">
      <c r="A47" s="26"/>
      <c r="B47" s="2"/>
      <c r="C47" s="2"/>
      <c r="D47" s="12" t="str">
        <f>_xlfn.IFNA(VLOOKUP($B47,'NYP Perf Network 032017'!$A$2:$AI$3547,18,FALSE),"")</f>
        <v/>
      </c>
      <c r="E47" s="12" t="str">
        <f>_xlfn.IFNA(VLOOKUP($B47,'NYP Perf Network 032017'!$A$2:$AI$3547,13,FALSE),"")</f>
        <v/>
      </c>
      <c r="F47" s="12" t="str">
        <f>_xlfn.IFNA(VLOOKUP($B47,'NYP Perf Network 032017'!$A$2:$AI$3547,12,FALSE),"")</f>
        <v/>
      </c>
      <c r="G47" s="2"/>
      <c r="H47" s="2"/>
      <c r="I47" s="2"/>
      <c r="J47" s="5">
        <f t="shared" si="10"/>
        <v>0</v>
      </c>
    </row>
    <row r="48" spans="1:10" x14ac:dyDescent="0.25">
      <c r="A48" s="26"/>
      <c r="B48" s="2"/>
      <c r="C48" s="2"/>
      <c r="D48" s="12" t="str">
        <f>_xlfn.IFNA(VLOOKUP($B48,'NYP Perf Network 032017'!$A$2:$AI$3547,18,FALSE),"")</f>
        <v/>
      </c>
      <c r="E48" s="12" t="str">
        <f>_xlfn.IFNA(VLOOKUP($B48,'NYP Perf Network 032017'!$A$2:$AI$3547,13,FALSE),"")</f>
        <v/>
      </c>
      <c r="F48" s="12" t="str">
        <f>_xlfn.IFNA(VLOOKUP($B48,'NYP Perf Network 032017'!$A$2:$AI$3547,12,FALSE),"")</f>
        <v/>
      </c>
      <c r="G48" s="2"/>
      <c r="H48" s="2"/>
      <c r="I48" s="2"/>
      <c r="J48" s="5">
        <f t="shared" si="10"/>
        <v>0</v>
      </c>
    </row>
    <row r="49" spans="1:10" x14ac:dyDescent="0.25">
      <c r="A49" s="26"/>
      <c r="B49" s="2"/>
      <c r="C49" s="2"/>
      <c r="D49" s="12" t="str">
        <f>_xlfn.IFNA(VLOOKUP($B49,'NYP Perf Network 032017'!$A$2:$AI$3547,18,FALSE),"")</f>
        <v/>
      </c>
      <c r="E49" s="12" t="str">
        <f>_xlfn.IFNA(VLOOKUP($B49,'NYP Perf Network 032017'!$A$2:$AI$3547,13,FALSE),"")</f>
        <v/>
      </c>
      <c r="F49" s="12" t="str">
        <f>_xlfn.IFNA(VLOOKUP($B49,'NYP Perf Network 032017'!$A$2:$AI$3547,12,FALSE),"")</f>
        <v/>
      </c>
      <c r="G49" s="2"/>
      <c r="H49" s="2"/>
      <c r="I49" s="2"/>
      <c r="J49" s="5">
        <f t="shared" si="10"/>
        <v>0</v>
      </c>
    </row>
    <row r="50" spans="1:10" x14ac:dyDescent="0.25">
      <c r="A50" s="26"/>
      <c r="B50" s="2"/>
      <c r="C50" s="2"/>
      <c r="D50" s="12" t="str">
        <f>_xlfn.IFNA(VLOOKUP($B50,'NYP Perf Network 032017'!$A$2:$AI$3547,18,FALSE),"")</f>
        <v/>
      </c>
      <c r="E50" s="12" t="str">
        <f>_xlfn.IFNA(VLOOKUP($B50,'NYP Perf Network 032017'!$A$2:$AI$3547,13,FALSE),"")</f>
        <v/>
      </c>
      <c r="F50" s="12" t="str">
        <f>_xlfn.IFNA(VLOOKUP($B50,'NYP Perf Network 032017'!$A$2:$AI$3547,12,FALSE),"")</f>
        <v/>
      </c>
      <c r="G50" s="2"/>
      <c r="H50" s="2"/>
      <c r="I50" s="2"/>
      <c r="J50" s="5">
        <f t="shared" si="10"/>
        <v>0</v>
      </c>
    </row>
    <row r="51" spans="1:10" x14ac:dyDescent="0.25">
      <c r="A51" s="26"/>
      <c r="B51" s="27" t="s">
        <v>30</v>
      </c>
      <c r="C51" s="28"/>
      <c r="D51" s="28"/>
      <c r="E51" s="28"/>
      <c r="F51" s="28"/>
      <c r="G51" s="28"/>
      <c r="H51" s="28"/>
      <c r="I51" s="28"/>
      <c r="J51" s="28"/>
    </row>
    <row r="52" spans="1:10" x14ac:dyDescent="0.25">
      <c r="A52" s="9"/>
      <c r="B52" s="10"/>
      <c r="C52" s="10"/>
      <c r="D52" s="10"/>
      <c r="E52" s="10"/>
      <c r="F52" s="10"/>
      <c r="G52" s="10"/>
      <c r="H52" s="13">
        <f t="shared" ref="H52:I52" si="11">SUM(H45:H50)</f>
        <v>14050.731023468672</v>
      </c>
      <c r="I52" s="13">
        <f t="shared" si="11"/>
        <v>11348.268976531326</v>
      </c>
      <c r="J52" s="13">
        <f>SUM(J45:J50)</f>
        <v>25399</v>
      </c>
    </row>
    <row r="53" spans="1:10" x14ac:dyDescent="0.25">
      <c r="A53" s="26" t="s">
        <v>11</v>
      </c>
      <c r="B53" s="2"/>
      <c r="C53" s="2"/>
      <c r="D53" s="12" t="str">
        <f>_xlfn.IFNA(VLOOKUP($B53,'NYP Perf Network 032017'!$A$2:$AI$3547,18,FALSE),"")</f>
        <v/>
      </c>
      <c r="E53" s="12" t="str">
        <f>_xlfn.IFNA(VLOOKUP($B53,'NYP Perf Network 032017'!$A$2:$AI$3547,13,FALSE),"")</f>
        <v/>
      </c>
      <c r="F53" s="12" t="str">
        <f>_xlfn.IFNA(VLOOKUP($B53,'NYP Perf Network 032017'!$A$2:$AI$3547,12,FALSE),"")</f>
        <v/>
      </c>
      <c r="G53" s="2"/>
      <c r="H53" s="2"/>
      <c r="I53" s="2"/>
      <c r="J53" s="5">
        <f>H53+I53</f>
        <v>0</v>
      </c>
    </row>
    <row r="54" spans="1:10" x14ac:dyDescent="0.25">
      <c r="A54" s="26"/>
      <c r="B54" s="2"/>
      <c r="C54" s="2"/>
      <c r="D54" s="12" t="str">
        <f>_xlfn.IFNA(VLOOKUP($B54,'NYP Perf Network 032017'!$A$2:$AI$3547,18,FALSE),"")</f>
        <v/>
      </c>
      <c r="E54" s="12" t="str">
        <f>_xlfn.IFNA(VLOOKUP($B54,'NYP Perf Network 032017'!$A$2:$AI$3547,13,FALSE),"")</f>
        <v/>
      </c>
      <c r="F54" s="12" t="str">
        <f>_xlfn.IFNA(VLOOKUP($B54,'NYP Perf Network 032017'!$A$2:$AI$3547,12,FALSE),"")</f>
        <v/>
      </c>
      <c r="G54" s="2"/>
      <c r="H54" s="2"/>
      <c r="I54" s="2"/>
      <c r="J54" s="5">
        <f t="shared" ref="J54:J58" si="12">H54+I54</f>
        <v>0</v>
      </c>
    </row>
    <row r="55" spans="1:10" x14ac:dyDescent="0.25">
      <c r="A55" s="26"/>
      <c r="B55" s="2"/>
      <c r="C55" s="2"/>
      <c r="D55" s="12" t="str">
        <f>_xlfn.IFNA(VLOOKUP($B55,'NYP Perf Network 032017'!$A$2:$AI$3547,18,FALSE),"")</f>
        <v/>
      </c>
      <c r="E55" s="12" t="str">
        <f>_xlfn.IFNA(VLOOKUP($B55,'NYP Perf Network 032017'!$A$2:$AI$3547,13,FALSE),"")</f>
        <v/>
      </c>
      <c r="F55" s="12" t="str">
        <f>_xlfn.IFNA(VLOOKUP($B55,'NYP Perf Network 032017'!$A$2:$AI$3547,12,FALSE),"")</f>
        <v/>
      </c>
      <c r="G55" s="2"/>
      <c r="H55" s="2"/>
      <c r="I55" s="2"/>
      <c r="J55" s="5">
        <f t="shared" si="12"/>
        <v>0</v>
      </c>
    </row>
    <row r="56" spans="1:10" x14ac:dyDescent="0.25">
      <c r="A56" s="26"/>
      <c r="B56" s="2"/>
      <c r="C56" s="2"/>
      <c r="D56" s="12" t="str">
        <f>_xlfn.IFNA(VLOOKUP($B56,'NYP Perf Network 032017'!$A$2:$AI$3547,18,FALSE),"")</f>
        <v/>
      </c>
      <c r="E56" s="12" t="str">
        <f>_xlfn.IFNA(VLOOKUP($B56,'NYP Perf Network 032017'!$A$2:$AI$3547,13,FALSE),"")</f>
        <v/>
      </c>
      <c r="F56" s="12" t="str">
        <f>_xlfn.IFNA(VLOOKUP($B56,'NYP Perf Network 032017'!$A$2:$AI$3547,12,FALSE),"")</f>
        <v/>
      </c>
      <c r="G56" s="2"/>
      <c r="H56" s="2"/>
      <c r="I56" s="2"/>
      <c r="J56" s="5">
        <f t="shared" si="12"/>
        <v>0</v>
      </c>
    </row>
    <row r="57" spans="1:10" x14ac:dyDescent="0.25">
      <c r="A57" s="26"/>
      <c r="B57" s="2"/>
      <c r="C57" s="2"/>
      <c r="D57" s="12" t="str">
        <f>_xlfn.IFNA(VLOOKUP($B57,'NYP Perf Network 032017'!$A$2:$AI$3547,18,FALSE),"")</f>
        <v/>
      </c>
      <c r="E57" s="12" t="str">
        <f>_xlfn.IFNA(VLOOKUP($B57,'NYP Perf Network 032017'!$A$2:$AI$3547,13,FALSE),"")</f>
        <v/>
      </c>
      <c r="F57" s="12" t="str">
        <f>_xlfn.IFNA(VLOOKUP($B57,'NYP Perf Network 032017'!$A$2:$AI$3547,12,FALSE),"")</f>
        <v/>
      </c>
      <c r="G57" s="2"/>
      <c r="H57" s="2"/>
      <c r="I57" s="2"/>
      <c r="J57" s="5">
        <f t="shared" si="12"/>
        <v>0</v>
      </c>
    </row>
    <row r="58" spans="1:10" x14ac:dyDescent="0.25">
      <c r="A58" s="26"/>
      <c r="B58" s="2"/>
      <c r="C58" s="2"/>
      <c r="D58" s="12" t="str">
        <f>_xlfn.IFNA(VLOOKUP($B58,'NYP Perf Network 032017'!$A$2:$AI$3547,18,FALSE),"")</f>
        <v/>
      </c>
      <c r="E58" s="12" t="str">
        <f>_xlfn.IFNA(VLOOKUP($B58,'NYP Perf Network 032017'!$A$2:$AI$3547,13,FALSE),"")</f>
        <v/>
      </c>
      <c r="F58" s="12" t="str">
        <f>_xlfn.IFNA(VLOOKUP($B58,'NYP Perf Network 032017'!$A$2:$AI$3547,12,FALSE),"")</f>
        <v/>
      </c>
      <c r="G58" s="2"/>
      <c r="H58" s="2"/>
      <c r="I58" s="2"/>
      <c r="J58" s="5">
        <f t="shared" si="12"/>
        <v>0</v>
      </c>
    </row>
    <row r="59" spans="1:10" x14ac:dyDescent="0.25">
      <c r="A59" s="26"/>
      <c r="B59" s="27" t="s">
        <v>30</v>
      </c>
      <c r="C59" s="28"/>
      <c r="D59" s="28"/>
      <c r="E59" s="28"/>
      <c r="F59" s="28"/>
      <c r="G59" s="28"/>
      <c r="H59" s="28"/>
      <c r="I59" s="28"/>
      <c r="J59" s="28"/>
    </row>
    <row r="60" spans="1:10" x14ac:dyDescent="0.25">
      <c r="A60" s="9"/>
      <c r="B60" s="10"/>
      <c r="C60" s="10"/>
      <c r="D60" s="10"/>
      <c r="E60" s="10"/>
      <c r="F60" s="10"/>
      <c r="G60" s="10"/>
      <c r="H60" s="13">
        <f t="shared" ref="H60:I60" si="13">SUM(H53:H58)</f>
        <v>0</v>
      </c>
      <c r="I60" s="13">
        <f t="shared" si="13"/>
        <v>0</v>
      </c>
      <c r="J60" s="13">
        <f>SUM(J53:J58)</f>
        <v>0</v>
      </c>
    </row>
    <row r="61" spans="1:10" x14ac:dyDescent="0.25">
      <c r="A61" s="26" t="s">
        <v>12</v>
      </c>
      <c r="B61" t="str">
        <f>"1710109947"</f>
        <v>1710109947</v>
      </c>
      <c r="C61" s="2"/>
      <c r="D61" s="12" t="str">
        <f>_xlfn.IFNA(VLOOKUP($B61,'NYP Perf Network 032017'!$A$2:$AI$3547,18,FALSE),"")</f>
        <v>AIDS SERVICE CENTER OF LOWER MANHATTAN, INC</v>
      </c>
      <c r="E61" s="12" t="str">
        <f>_xlfn.IFNA(VLOOKUP($B61,'NYP Perf Network 032017'!$A$2:$AI$3547,13,FALSE),"")</f>
        <v>Yes</v>
      </c>
      <c r="F61" s="12" t="str">
        <f>_xlfn.IFNA(VLOOKUP($B61,'NYP Perf Network 032017'!$A$2:$AI$3547,12,FALSE),"")</f>
        <v>Case Management / Health Home</v>
      </c>
      <c r="G61" s="2"/>
      <c r="H61" s="2">
        <v>45798.335366389401</v>
      </c>
      <c r="I61" s="2">
        <v>36989.664633610591</v>
      </c>
      <c r="J61" s="5">
        <f>H61+I61</f>
        <v>82788</v>
      </c>
    </row>
    <row r="62" spans="1:10" x14ac:dyDescent="0.25">
      <c r="A62" s="26"/>
      <c r="B62" t="str">
        <f>"1063573152"</f>
        <v>1063573152</v>
      </c>
      <c r="C62" s="2"/>
      <c r="D62" s="12" t="str">
        <f>_xlfn.IFNA(VLOOKUP($B62,'NYP Perf Network 032017'!$A$2:$AI$3547,18,FALSE),"")</f>
        <v>VILLAGE CENTER FOR CARE</v>
      </c>
      <c r="E62" s="12" t="str">
        <f>_xlfn.IFNA(VLOOKUP($B62,'NYP Perf Network 032017'!$A$2:$AI$3547,13,FALSE),"")</f>
        <v>Yes</v>
      </c>
      <c r="F62" s="12" t="str">
        <f>_xlfn.IFNA(VLOOKUP($B62,'NYP Perf Network 032017'!$A$2:$AI$3547,12,FALSE),"")</f>
        <v>Case Management / Health Home</v>
      </c>
      <c r="G62" s="2"/>
      <c r="H62" s="2">
        <v>25496.442463902029</v>
      </c>
      <c r="I62" s="2">
        <v>20592.557536097971</v>
      </c>
      <c r="J62" s="5">
        <f t="shared" ref="J62:J66" si="14">H62+I62</f>
        <v>46089</v>
      </c>
    </row>
    <row r="63" spans="1:10" x14ac:dyDescent="0.25">
      <c r="A63" s="26"/>
      <c r="B63" s="2"/>
      <c r="C63" s="2"/>
      <c r="D63" s="12" t="str">
        <f>_xlfn.IFNA(VLOOKUP($B63,'NYP Perf Network 032017'!$A$2:$AI$3547,18,FALSE),"")</f>
        <v/>
      </c>
      <c r="E63" s="12" t="str">
        <f>_xlfn.IFNA(VLOOKUP($B63,'NYP Perf Network 032017'!$A$2:$AI$3547,13,FALSE),"")</f>
        <v/>
      </c>
      <c r="F63" s="12" t="str">
        <f>_xlfn.IFNA(VLOOKUP($B63,'NYP Perf Network 032017'!$A$2:$AI$3547,12,FALSE),"")</f>
        <v/>
      </c>
      <c r="G63" s="2"/>
      <c r="H63" s="2"/>
      <c r="I63" s="2"/>
      <c r="J63" s="5">
        <f t="shared" si="14"/>
        <v>0</v>
      </c>
    </row>
    <row r="64" spans="1:10" x14ac:dyDescent="0.25">
      <c r="A64" s="26"/>
      <c r="B64" s="2"/>
      <c r="C64" s="2"/>
      <c r="D64" s="12" t="str">
        <f>_xlfn.IFNA(VLOOKUP($B64,'NYP Perf Network 032017'!$A$2:$AI$3547,18,FALSE),"")</f>
        <v/>
      </c>
      <c r="E64" s="12" t="str">
        <f>_xlfn.IFNA(VLOOKUP($B64,'NYP Perf Network 032017'!$A$2:$AI$3547,13,FALSE),"")</f>
        <v/>
      </c>
      <c r="F64" s="12" t="str">
        <f>_xlfn.IFNA(VLOOKUP($B64,'NYP Perf Network 032017'!$A$2:$AI$3547,12,FALSE),"")</f>
        <v/>
      </c>
      <c r="G64" s="2"/>
      <c r="H64" s="2"/>
      <c r="I64" s="2"/>
      <c r="J64" s="5">
        <f t="shared" si="14"/>
        <v>0</v>
      </c>
    </row>
    <row r="65" spans="1:10" x14ac:dyDescent="0.25">
      <c r="A65" s="26"/>
      <c r="B65" s="2"/>
      <c r="C65" s="2"/>
      <c r="D65" s="12" t="str">
        <f>_xlfn.IFNA(VLOOKUP($B65,'NYP Perf Network 032017'!$A$2:$AI$3547,18,FALSE),"")</f>
        <v/>
      </c>
      <c r="E65" s="12" t="str">
        <f>_xlfn.IFNA(VLOOKUP($B65,'NYP Perf Network 032017'!$A$2:$AI$3547,13,FALSE),"")</f>
        <v/>
      </c>
      <c r="F65" s="12" t="str">
        <f>_xlfn.IFNA(VLOOKUP($B65,'NYP Perf Network 032017'!$A$2:$AI$3547,12,FALSE),"")</f>
        <v/>
      </c>
      <c r="G65" s="2"/>
      <c r="H65" s="2"/>
      <c r="I65" s="2"/>
      <c r="J65" s="5">
        <f t="shared" si="14"/>
        <v>0</v>
      </c>
    </row>
    <row r="66" spans="1:10" x14ac:dyDescent="0.25">
      <c r="A66" s="26"/>
      <c r="B66" s="2"/>
      <c r="C66" s="2"/>
      <c r="D66" s="12" t="str">
        <f>_xlfn.IFNA(VLOOKUP($B66,'NYP Perf Network 032017'!$A$2:$AI$3547,18,FALSE),"")</f>
        <v/>
      </c>
      <c r="E66" s="12" t="str">
        <f>_xlfn.IFNA(VLOOKUP($B66,'NYP Perf Network 032017'!$A$2:$AI$3547,13,FALSE),"")</f>
        <v/>
      </c>
      <c r="F66" s="12" t="str">
        <f>_xlfn.IFNA(VLOOKUP($B66,'NYP Perf Network 032017'!$A$2:$AI$3547,12,FALSE),"")</f>
        <v/>
      </c>
      <c r="G66" s="2"/>
      <c r="H66" s="2"/>
      <c r="I66" s="2"/>
      <c r="J66" s="5">
        <f t="shared" si="14"/>
        <v>0</v>
      </c>
    </row>
    <row r="67" spans="1:10" x14ac:dyDescent="0.25">
      <c r="A67" s="26"/>
      <c r="B67" s="27" t="s">
        <v>30</v>
      </c>
      <c r="C67" s="28"/>
      <c r="D67" s="28"/>
      <c r="E67" s="28"/>
      <c r="F67" s="28"/>
      <c r="G67" s="28"/>
      <c r="H67" s="28"/>
      <c r="I67" s="28"/>
      <c r="J67" s="28"/>
    </row>
    <row r="68" spans="1:10" x14ac:dyDescent="0.25">
      <c r="A68" s="9"/>
      <c r="B68" s="10"/>
      <c r="C68" s="10"/>
      <c r="D68" s="10"/>
      <c r="E68" s="10"/>
      <c r="F68" s="10"/>
      <c r="G68" s="10"/>
      <c r="H68" s="13">
        <f t="shared" ref="H68:I68" si="15">SUM(H61:H66)</f>
        <v>71294.777830291423</v>
      </c>
      <c r="I68" s="13">
        <f t="shared" si="15"/>
        <v>57582.222169708562</v>
      </c>
      <c r="J68" s="13">
        <f>SUM(J61:J66)</f>
        <v>128877</v>
      </c>
    </row>
    <row r="69" spans="1:10" x14ac:dyDescent="0.25">
      <c r="A69" s="26" t="s">
        <v>13</v>
      </c>
      <c r="B69" s="2"/>
      <c r="C69" s="2"/>
      <c r="D69" s="12" t="str">
        <f>_xlfn.IFNA(VLOOKUP($B69,'NYP Perf Network 032017'!$A$2:$AI$3547,18,FALSE),"")</f>
        <v/>
      </c>
      <c r="E69" s="12" t="str">
        <f>_xlfn.IFNA(VLOOKUP($B69,'NYP Perf Network 032017'!$A$2:$AI$3547,13,FALSE),"")</f>
        <v/>
      </c>
      <c r="F69" s="12" t="str">
        <f>_xlfn.IFNA(VLOOKUP($B69,'NYP Perf Network 032017'!$A$2:$AI$3547,12,FALSE),"")</f>
        <v/>
      </c>
      <c r="G69" s="2"/>
      <c r="H69" s="2"/>
      <c r="I69" s="2"/>
      <c r="J69" s="5">
        <f>H69+I69</f>
        <v>0</v>
      </c>
    </row>
    <row r="70" spans="1:10" x14ac:dyDescent="0.25">
      <c r="A70" s="26"/>
      <c r="B70" s="2"/>
      <c r="C70" s="2"/>
      <c r="D70" s="12" t="str">
        <f>_xlfn.IFNA(VLOOKUP($B70,'NYP Perf Network 032017'!$A$2:$AI$3547,18,FALSE),"")</f>
        <v/>
      </c>
      <c r="E70" s="12" t="str">
        <f>_xlfn.IFNA(VLOOKUP($B70,'NYP Perf Network 032017'!$A$2:$AI$3547,13,FALSE),"")</f>
        <v/>
      </c>
      <c r="F70" s="12" t="str">
        <f>_xlfn.IFNA(VLOOKUP($B70,'NYP Perf Network 032017'!$A$2:$AI$3547,12,FALSE),"")</f>
        <v/>
      </c>
      <c r="G70" s="2"/>
      <c r="H70" s="2"/>
      <c r="I70" s="2"/>
      <c r="J70" s="5">
        <f t="shared" ref="J70:J74" si="16">H70+I70</f>
        <v>0</v>
      </c>
    </row>
    <row r="71" spans="1:10" x14ac:dyDescent="0.25">
      <c r="A71" s="26"/>
      <c r="B71" s="2"/>
      <c r="C71" s="2"/>
      <c r="D71" s="12" t="str">
        <f>_xlfn.IFNA(VLOOKUP($B71,'NYP Perf Network 032017'!$A$2:$AI$3547,18,FALSE),"")</f>
        <v/>
      </c>
      <c r="E71" s="12" t="str">
        <f>_xlfn.IFNA(VLOOKUP($B71,'NYP Perf Network 032017'!$A$2:$AI$3547,13,FALSE),"")</f>
        <v/>
      </c>
      <c r="F71" s="12" t="str">
        <f>_xlfn.IFNA(VLOOKUP($B71,'NYP Perf Network 032017'!$A$2:$AI$3547,12,FALSE),"")</f>
        <v/>
      </c>
      <c r="G71" s="2"/>
      <c r="H71" s="2"/>
      <c r="I71" s="2"/>
      <c r="J71" s="5">
        <f t="shared" si="16"/>
        <v>0</v>
      </c>
    </row>
    <row r="72" spans="1:10" x14ac:dyDescent="0.25">
      <c r="A72" s="26"/>
      <c r="B72" s="2"/>
      <c r="C72" s="2"/>
      <c r="D72" s="12" t="str">
        <f>_xlfn.IFNA(VLOOKUP($B72,'NYP Perf Network 032017'!$A$2:$AI$3547,18,FALSE),"")</f>
        <v/>
      </c>
      <c r="E72" s="12" t="str">
        <f>_xlfn.IFNA(VLOOKUP($B72,'NYP Perf Network 032017'!$A$2:$AI$3547,13,FALSE),"")</f>
        <v/>
      </c>
      <c r="F72" s="12" t="str">
        <f>_xlfn.IFNA(VLOOKUP($B72,'NYP Perf Network 032017'!$A$2:$AI$3547,12,FALSE),"")</f>
        <v/>
      </c>
      <c r="G72" s="2"/>
      <c r="H72" s="2"/>
      <c r="I72" s="2"/>
      <c r="J72" s="5">
        <f t="shared" si="16"/>
        <v>0</v>
      </c>
    </row>
    <row r="73" spans="1:10" x14ac:dyDescent="0.25">
      <c r="A73" s="26"/>
      <c r="B73" s="2"/>
      <c r="C73" s="2"/>
      <c r="D73" s="12" t="str">
        <f>_xlfn.IFNA(VLOOKUP($B73,'NYP Perf Network 032017'!$A$2:$AI$3547,18,FALSE),"")</f>
        <v/>
      </c>
      <c r="E73" s="12" t="str">
        <f>_xlfn.IFNA(VLOOKUP($B73,'NYP Perf Network 032017'!$A$2:$AI$3547,13,FALSE),"")</f>
        <v/>
      </c>
      <c r="F73" s="12" t="str">
        <f>_xlfn.IFNA(VLOOKUP($B73,'NYP Perf Network 032017'!$A$2:$AI$3547,12,FALSE),"")</f>
        <v/>
      </c>
      <c r="G73" s="2"/>
      <c r="H73" s="2"/>
      <c r="I73" s="2"/>
      <c r="J73" s="5">
        <f t="shared" si="16"/>
        <v>0</v>
      </c>
    </row>
    <row r="74" spans="1:10" x14ac:dyDescent="0.25">
      <c r="A74" s="26"/>
      <c r="B74" s="2"/>
      <c r="C74" s="2"/>
      <c r="D74" s="12" t="str">
        <f>_xlfn.IFNA(VLOOKUP($B74,'NYP Perf Network 032017'!$A$2:$AI$3547,18,FALSE),"")</f>
        <v/>
      </c>
      <c r="E74" s="12" t="str">
        <f>_xlfn.IFNA(VLOOKUP($B74,'NYP Perf Network 032017'!$A$2:$AI$3547,13,FALSE),"")</f>
        <v/>
      </c>
      <c r="F74" s="12" t="str">
        <f>_xlfn.IFNA(VLOOKUP($B74,'NYP Perf Network 032017'!$A$2:$AI$3547,12,FALSE),"")</f>
        <v/>
      </c>
      <c r="G74" s="2"/>
      <c r="H74" s="2"/>
      <c r="I74" s="2"/>
      <c r="J74" s="5">
        <f t="shared" si="16"/>
        <v>0</v>
      </c>
    </row>
    <row r="75" spans="1:10" x14ac:dyDescent="0.25">
      <c r="A75" s="26"/>
      <c r="B75" s="27" t="s">
        <v>30</v>
      </c>
      <c r="C75" s="28"/>
      <c r="D75" s="28"/>
      <c r="E75" s="28"/>
      <c r="F75" s="28"/>
      <c r="G75" s="28"/>
      <c r="H75" s="28"/>
      <c r="I75" s="28"/>
      <c r="J75" s="28"/>
    </row>
    <row r="76" spans="1:10" x14ac:dyDescent="0.25">
      <c r="A76" s="9"/>
      <c r="B76" s="10"/>
      <c r="C76" s="10"/>
      <c r="D76" s="10"/>
      <c r="E76" s="10"/>
      <c r="F76" s="10"/>
      <c r="G76" s="10"/>
      <c r="H76" s="13">
        <f t="shared" ref="H76:I76" si="17">SUM(H69:H74)</f>
        <v>0</v>
      </c>
      <c r="I76" s="13">
        <f t="shared" si="17"/>
        <v>0</v>
      </c>
      <c r="J76" s="13">
        <f>SUM(J69:J74)</f>
        <v>0</v>
      </c>
    </row>
    <row r="77" spans="1:10" x14ac:dyDescent="0.25">
      <c r="A77" s="26" t="s">
        <v>14</v>
      </c>
      <c r="B77" s="2"/>
      <c r="C77" s="2"/>
      <c r="D77" s="23" t="s">
        <v>10450</v>
      </c>
      <c r="E77" s="12"/>
      <c r="F77" s="12"/>
      <c r="G77" s="2"/>
      <c r="H77" s="2">
        <v>13191.057965062029</v>
      </c>
      <c r="I77" s="2">
        <v>10653.942034937969</v>
      </c>
      <c r="J77" s="5">
        <f>H77+I77</f>
        <v>23845</v>
      </c>
    </row>
    <row r="78" spans="1:10" x14ac:dyDescent="0.25">
      <c r="A78" s="26"/>
      <c r="B78" s="2"/>
      <c r="C78" s="2"/>
      <c r="D78" s="23" t="s">
        <v>12283</v>
      </c>
      <c r="E78" s="12"/>
      <c r="F78" s="12"/>
      <c r="G78" s="2"/>
      <c r="H78" s="2">
        <v>6320.9591439988599</v>
      </c>
      <c r="I78" s="2">
        <v>5105.2108560011402</v>
      </c>
      <c r="J78" s="5">
        <f t="shared" ref="J78:J85" si="18">H78+I78</f>
        <v>11426.17</v>
      </c>
    </row>
    <row r="79" spans="1:10" x14ac:dyDescent="0.25">
      <c r="A79" s="26"/>
      <c r="B79" s="2"/>
      <c r="C79" s="2"/>
      <c r="D79" s="23" t="s">
        <v>13766</v>
      </c>
      <c r="E79" s="12"/>
      <c r="F79" s="12"/>
      <c r="G79" s="2"/>
      <c r="H79" s="2">
        <v>2451.2299368081294</v>
      </c>
      <c r="I79" s="2">
        <v>1979.7700631918701</v>
      </c>
      <c r="J79" s="5">
        <f t="shared" si="18"/>
        <v>4431</v>
      </c>
    </row>
    <row r="80" spans="1:10" x14ac:dyDescent="0.25">
      <c r="A80" s="26"/>
      <c r="B80" s="2"/>
      <c r="C80" s="2"/>
      <c r="D80" s="23" t="s">
        <v>13767</v>
      </c>
      <c r="E80" s="12"/>
      <c r="F80" s="12"/>
      <c r="G80" s="2"/>
      <c r="H80" s="2">
        <v>13592.681285784824</v>
      </c>
      <c r="I80" s="2">
        <v>10978.318714215175</v>
      </c>
      <c r="J80" s="5">
        <f t="shared" si="18"/>
        <v>24571</v>
      </c>
    </row>
    <row r="81" spans="1:10" x14ac:dyDescent="0.25">
      <c r="A81" s="26"/>
      <c r="B81" s="2"/>
      <c r="C81" s="2"/>
      <c r="D81" s="23" t="s">
        <v>13768</v>
      </c>
      <c r="E81" s="12"/>
      <c r="F81" s="12"/>
      <c r="G81" s="2"/>
      <c r="H81" s="2">
        <v>12333.044507154242</v>
      </c>
      <c r="I81" s="2">
        <v>9960.9554928457583</v>
      </c>
      <c r="J81" s="5">
        <f t="shared" si="18"/>
        <v>22294</v>
      </c>
    </row>
    <row r="82" spans="1:10" x14ac:dyDescent="0.25">
      <c r="A82" s="26"/>
      <c r="B82" s="2"/>
      <c r="C82" s="2"/>
      <c r="D82" s="23" t="s">
        <v>12286</v>
      </c>
      <c r="E82" s="12"/>
      <c r="F82" s="12"/>
      <c r="G82" s="2"/>
      <c r="H82" s="2">
        <v>21553.231678623684</v>
      </c>
      <c r="I82" s="2">
        <v>17407.768321376316</v>
      </c>
      <c r="J82" s="5">
        <f t="shared" si="18"/>
        <v>38961</v>
      </c>
    </row>
    <row r="83" spans="1:10" x14ac:dyDescent="0.25">
      <c r="A83" s="26"/>
      <c r="B83" s="2"/>
      <c r="C83" s="2"/>
      <c r="D83" s="23" t="s">
        <v>2105</v>
      </c>
      <c r="E83" s="12"/>
      <c r="F83" s="12"/>
      <c r="G83" s="2"/>
      <c r="H83" s="2">
        <v>16544.557373080734</v>
      </c>
      <c r="I83" s="2">
        <v>13362.442626919265</v>
      </c>
      <c r="J83" s="5">
        <f t="shared" si="18"/>
        <v>29907</v>
      </c>
    </row>
    <row r="84" spans="1:10" x14ac:dyDescent="0.25">
      <c r="A84" s="26"/>
      <c r="C84" s="2"/>
      <c r="D84" s="23" t="s">
        <v>13769</v>
      </c>
      <c r="E84" s="12"/>
      <c r="F84" s="12"/>
      <c r="G84" s="2"/>
      <c r="H84" s="2">
        <v>9589.1716823814313</v>
      </c>
      <c r="I84" s="2">
        <v>7744.8283176185687</v>
      </c>
      <c r="J84" s="5">
        <f t="shared" ref="J84" si="19">H84+I84</f>
        <v>17334</v>
      </c>
    </row>
    <row r="85" spans="1:10" x14ac:dyDescent="0.25">
      <c r="A85" s="26"/>
      <c r="B85" s="2"/>
      <c r="C85" s="2"/>
      <c r="D85" s="12"/>
      <c r="E85" s="12"/>
      <c r="F85" s="12"/>
      <c r="G85" s="2"/>
      <c r="H85" s="2"/>
      <c r="I85" s="2"/>
      <c r="J85" s="5">
        <f t="shared" si="18"/>
        <v>0</v>
      </c>
    </row>
    <row r="86" spans="1:10" x14ac:dyDescent="0.25">
      <c r="A86" s="26"/>
      <c r="B86" s="27" t="s">
        <v>30</v>
      </c>
      <c r="C86" s="28"/>
      <c r="D86" s="28"/>
      <c r="E86" s="28"/>
      <c r="F86" s="28"/>
      <c r="G86" s="28"/>
      <c r="H86" s="28"/>
      <c r="I86" s="28"/>
      <c r="J86" s="28"/>
    </row>
    <row r="87" spans="1:10" x14ac:dyDescent="0.25">
      <c r="A87" s="9"/>
      <c r="B87" s="10"/>
      <c r="C87" s="10"/>
      <c r="D87" s="10"/>
      <c r="E87" s="10"/>
      <c r="F87" s="10"/>
      <c r="G87" s="10"/>
      <c r="H87" s="13">
        <f t="shared" ref="H87:I87" si="20">SUM(H77:H85)</f>
        <v>95575.933572893933</v>
      </c>
      <c r="I87" s="13">
        <f t="shared" si="20"/>
        <v>77193.236427106065</v>
      </c>
      <c r="J87" s="13">
        <f>SUM(J77:J85)</f>
        <v>172769.16999999998</v>
      </c>
    </row>
    <row r="88" spans="1:10" x14ac:dyDescent="0.25">
      <c r="A88" s="26" t="s">
        <v>15</v>
      </c>
      <c r="B88" s="2"/>
      <c r="C88" s="2"/>
      <c r="D88" s="12" t="str">
        <f>_xlfn.IFNA(VLOOKUP($B88,'NYP Perf Network 032017'!$A$2:$AI$3547,18,FALSE),"")</f>
        <v/>
      </c>
      <c r="E88" s="12" t="str">
        <f>_xlfn.IFNA(VLOOKUP($B88,'NYP Perf Network 032017'!$A$2:$AI$3547,13,FALSE),"")</f>
        <v/>
      </c>
      <c r="F88" s="12" t="str">
        <f>_xlfn.IFNA(VLOOKUP($B88,'NYP Perf Network 032017'!$A$2:$AI$3547,12,FALSE),"")</f>
        <v/>
      </c>
      <c r="G88" s="2"/>
      <c r="H88" s="2"/>
      <c r="I88" s="2"/>
      <c r="J88" s="5">
        <f>H88+I88</f>
        <v>0</v>
      </c>
    </row>
    <row r="89" spans="1:10" x14ac:dyDescent="0.25">
      <c r="A89" s="26"/>
      <c r="B89" s="2"/>
      <c r="C89" s="2"/>
      <c r="D89" s="12" t="str">
        <f>_xlfn.IFNA(VLOOKUP($B89,'NYP Perf Network 032017'!$A$2:$AI$3547,18,FALSE),"")</f>
        <v/>
      </c>
      <c r="E89" s="12" t="str">
        <f>_xlfn.IFNA(VLOOKUP($B89,'NYP Perf Network 032017'!$A$2:$AI$3547,13,FALSE),"")</f>
        <v/>
      </c>
      <c r="F89" s="12" t="str">
        <f>_xlfn.IFNA(VLOOKUP($B89,'NYP Perf Network 032017'!$A$2:$AI$3547,12,FALSE),"")</f>
        <v/>
      </c>
      <c r="G89" s="2"/>
      <c r="H89" s="2"/>
      <c r="I89" s="2"/>
      <c r="J89" s="5">
        <f t="shared" ref="J89:J93" si="21">H89+I89</f>
        <v>0</v>
      </c>
    </row>
    <row r="90" spans="1:10" x14ac:dyDescent="0.25">
      <c r="A90" s="26"/>
      <c r="B90" s="2"/>
      <c r="C90" s="2"/>
      <c r="D90" s="12" t="str">
        <f>_xlfn.IFNA(VLOOKUP($B90,'NYP Perf Network 032017'!$A$2:$AI$3547,18,FALSE),"")</f>
        <v/>
      </c>
      <c r="E90" s="12" t="str">
        <f>_xlfn.IFNA(VLOOKUP($B90,'NYP Perf Network 032017'!$A$2:$AI$3547,13,FALSE),"")</f>
        <v/>
      </c>
      <c r="F90" s="12" t="str">
        <f>_xlfn.IFNA(VLOOKUP($B90,'NYP Perf Network 032017'!$A$2:$AI$3547,12,FALSE),"")</f>
        <v/>
      </c>
      <c r="G90" s="2"/>
      <c r="H90" s="2"/>
      <c r="I90" s="2"/>
      <c r="J90" s="5">
        <f t="shared" si="21"/>
        <v>0</v>
      </c>
    </row>
    <row r="91" spans="1:10" x14ac:dyDescent="0.25">
      <c r="A91" s="26"/>
      <c r="B91" s="2"/>
      <c r="C91" s="2"/>
      <c r="D91" s="12" t="str">
        <f>_xlfn.IFNA(VLOOKUP($B91,'NYP Perf Network 032017'!$A$2:$AI$3547,18,FALSE),"")</f>
        <v/>
      </c>
      <c r="E91" s="12" t="str">
        <f>_xlfn.IFNA(VLOOKUP($B91,'NYP Perf Network 032017'!$A$2:$AI$3547,13,FALSE),"")</f>
        <v/>
      </c>
      <c r="F91" s="12" t="str">
        <f>_xlfn.IFNA(VLOOKUP($B91,'NYP Perf Network 032017'!$A$2:$AI$3547,12,FALSE),"")</f>
        <v/>
      </c>
      <c r="G91" s="2"/>
      <c r="H91" s="2"/>
      <c r="I91" s="2"/>
      <c r="J91" s="5">
        <f t="shared" si="21"/>
        <v>0</v>
      </c>
    </row>
    <row r="92" spans="1:10" x14ac:dyDescent="0.25">
      <c r="A92" s="26"/>
      <c r="B92" s="2"/>
      <c r="C92" s="2"/>
      <c r="D92" s="12" t="str">
        <f>_xlfn.IFNA(VLOOKUP($B92,'NYP Perf Network 032017'!$A$2:$AI$3547,18,FALSE),"")</f>
        <v/>
      </c>
      <c r="E92" s="12" t="str">
        <f>_xlfn.IFNA(VLOOKUP($B92,'NYP Perf Network 032017'!$A$2:$AI$3547,13,FALSE),"")</f>
        <v/>
      </c>
      <c r="F92" s="12" t="str">
        <f>_xlfn.IFNA(VLOOKUP($B92,'NYP Perf Network 032017'!$A$2:$AI$3547,12,FALSE),"")</f>
        <v/>
      </c>
      <c r="G92" s="2"/>
      <c r="H92" s="2"/>
      <c r="I92" s="2"/>
      <c r="J92" s="5">
        <f t="shared" si="21"/>
        <v>0</v>
      </c>
    </row>
    <row r="93" spans="1:10" x14ac:dyDescent="0.25">
      <c r="A93" s="26"/>
      <c r="B93" s="2"/>
      <c r="C93" s="2"/>
      <c r="D93" s="12" t="str">
        <f>_xlfn.IFNA(VLOOKUP($B93,'NYP Perf Network 032017'!$A$2:$AI$3547,18,FALSE),"")</f>
        <v/>
      </c>
      <c r="E93" s="12" t="str">
        <f>_xlfn.IFNA(VLOOKUP($B93,'NYP Perf Network 032017'!$A$2:$AI$3547,13,FALSE),"")</f>
        <v/>
      </c>
      <c r="F93" s="12" t="str">
        <f>_xlfn.IFNA(VLOOKUP($B93,'NYP Perf Network 032017'!$A$2:$AI$3547,12,FALSE),"")</f>
        <v/>
      </c>
      <c r="G93" s="2"/>
      <c r="H93" s="2"/>
      <c r="I93" s="2"/>
      <c r="J93" s="5">
        <f t="shared" si="21"/>
        <v>0</v>
      </c>
    </row>
    <row r="94" spans="1:10" x14ac:dyDescent="0.25">
      <c r="A94" s="26"/>
      <c r="B94" s="27" t="s">
        <v>30</v>
      </c>
      <c r="C94" s="28"/>
      <c r="D94" s="28"/>
      <c r="E94" s="28"/>
      <c r="F94" s="28"/>
      <c r="G94" s="28"/>
      <c r="H94" s="28"/>
      <c r="I94" s="28"/>
      <c r="J94" s="28"/>
    </row>
    <row r="95" spans="1:10" x14ac:dyDescent="0.25">
      <c r="A95" s="9"/>
      <c r="B95" s="10"/>
      <c r="C95" s="10"/>
      <c r="D95" s="10"/>
      <c r="E95" s="10"/>
      <c r="F95" s="10"/>
      <c r="G95" s="10"/>
      <c r="H95" s="13">
        <f t="shared" ref="H95:I95" si="22">SUM(H88:H93)</f>
        <v>0</v>
      </c>
      <c r="I95" s="13">
        <f t="shared" si="22"/>
        <v>0</v>
      </c>
      <c r="J95" s="13">
        <f>SUM(J88:J93)</f>
        <v>0</v>
      </c>
    </row>
    <row r="96" spans="1:10" x14ac:dyDescent="0.25">
      <c r="A96" s="26" t="s">
        <v>16</v>
      </c>
      <c r="B96" s="2"/>
      <c r="C96" s="2"/>
      <c r="D96" s="12" t="str">
        <f>_xlfn.IFNA(VLOOKUP($B96,'NYP Perf Network 032017'!$A$2:$AI$3547,18,FALSE),"")</f>
        <v/>
      </c>
      <c r="E96" s="12" t="str">
        <f>_xlfn.IFNA(VLOOKUP($B96,'NYP Perf Network 032017'!$A$2:$AI$3547,13,FALSE),"")</f>
        <v/>
      </c>
      <c r="F96" s="12" t="str">
        <f>_xlfn.IFNA(VLOOKUP($B96,'NYP Perf Network 032017'!$A$2:$AI$3547,12,FALSE),"")</f>
        <v/>
      </c>
      <c r="G96" s="2"/>
      <c r="H96" s="2"/>
      <c r="I96" s="2"/>
      <c r="J96" s="5">
        <f>H96+I96</f>
        <v>0</v>
      </c>
    </row>
    <row r="97" spans="1:10" x14ac:dyDescent="0.25">
      <c r="A97" s="26"/>
      <c r="B97" s="2"/>
      <c r="C97" s="2"/>
      <c r="D97" s="12" t="str">
        <f>_xlfn.IFNA(VLOOKUP($B97,'NYP Perf Network 032017'!$A$2:$AI$3547,18,FALSE),"")</f>
        <v/>
      </c>
      <c r="E97" s="12" t="str">
        <f>_xlfn.IFNA(VLOOKUP($B97,'NYP Perf Network 032017'!$A$2:$AI$3547,13,FALSE),"")</f>
        <v/>
      </c>
      <c r="F97" s="12" t="str">
        <f>_xlfn.IFNA(VLOOKUP($B97,'NYP Perf Network 032017'!$A$2:$AI$3547,12,FALSE),"")</f>
        <v/>
      </c>
      <c r="G97" s="2"/>
      <c r="H97" s="2"/>
      <c r="I97" s="2"/>
      <c r="J97" s="5">
        <f t="shared" ref="J97:J101" si="23">H97+I97</f>
        <v>0</v>
      </c>
    </row>
    <row r="98" spans="1:10" x14ac:dyDescent="0.25">
      <c r="A98" s="26"/>
      <c r="B98" s="2"/>
      <c r="C98" s="2"/>
      <c r="D98" s="12" t="str">
        <f>_xlfn.IFNA(VLOOKUP($B98,'NYP Perf Network 032017'!$A$2:$AI$3547,18,FALSE),"")</f>
        <v/>
      </c>
      <c r="E98" s="12" t="str">
        <f>_xlfn.IFNA(VLOOKUP($B98,'NYP Perf Network 032017'!$A$2:$AI$3547,13,FALSE),"")</f>
        <v/>
      </c>
      <c r="F98" s="12" t="str">
        <f>_xlfn.IFNA(VLOOKUP($B98,'NYP Perf Network 032017'!$A$2:$AI$3547,12,FALSE),"")</f>
        <v/>
      </c>
      <c r="G98" s="2"/>
      <c r="H98" s="2"/>
      <c r="I98" s="2"/>
      <c r="J98" s="5">
        <f t="shared" si="23"/>
        <v>0</v>
      </c>
    </row>
    <row r="99" spans="1:10" x14ac:dyDescent="0.25">
      <c r="A99" s="26"/>
      <c r="B99" s="2"/>
      <c r="C99" s="2"/>
      <c r="D99" s="12" t="str">
        <f>_xlfn.IFNA(VLOOKUP($B99,'NYP Perf Network 032017'!$A$2:$AI$3547,18,FALSE),"")</f>
        <v/>
      </c>
      <c r="E99" s="12" t="str">
        <f>_xlfn.IFNA(VLOOKUP($B99,'NYP Perf Network 032017'!$A$2:$AI$3547,13,FALSE),"")</f>
        <v/>
      </c>
      <c r="F99" s="12" t="str">
        <f>_xlfn.IFNA(VLOOKUP($B99,'NYP Perf Network 032017'!$A$2:$AI$3547,12,FALSE),"")</f>
        <v/>
      </c>
      <c r="G99" s="2"/>
      <c r="H99" s="2"/>
      <c r="I99" s="2"/>
      <c r="J99" s="5">
        <f t="shared" si="23"/>
        <v>0</v>
      </c>
    </row>
    <row r="100" spans="1:10" x14ac:dyDescent="0.25">
      <c r="A100" s="26"/>
      <c r="B100" s="2"/>
      <c r="C100" s="2"/>
      <c r="D100" s="12" t="str">
        <f>_xlfn.IFNA(VLOOKUP($B100,'NYP Perf Network 032017'!$A$2:$AI$3547,18,FALSE),"")</f>
        <v/>
      </c>
      <c r="E100" s="12" t="str">
        <f>_xlfn.IFNA(VLOOKUP($B100,'NYP Perf Network 032017'!$A$2:$AI$3547,13,FALSE),"")</f>
        <v/>
      </c>
      <c r="F100" s="12" t="str">
        <f>_xlfn.IFNA(VLOOKUP($B100,'NYP Perf Network 032017'!$A$2:$AI$3547,12,FALSE),"")</f>
        <v/>
      </c>
      <c r="G100" s="2"/>
      <c r="H100" s="2"/>
      <c r="I100" s="2"/>
      <c r="J100" s="5">
        <f t="shared" si="23"/>
        <v>0</v>
      </c>
    </row>
    <row r="101" spans="1:10" x14ac:dyDescent="0.25">
      <c r="A101" s="26"/>
      <c r="B101" s="2"/>
      <c r="C101" s="2"/>
      <c r="D101" s="12" t="str">
        <f>_xlfn.IFNA(VLOOKUP($B101,'NYP Perf Network 032017'!$A$2:$AI$3547,18,FALSE),"")</f>
        <v/>
      </c>
      <c r="E101" s="12" t="str">
        <f>_xlfn.IFNA(VLOOKUP($B101,'NYP Perf Network 032017'!$A$2:$AI$3547,13,FALSE),"")</f>
        <v/>
      </c>
      <c r="F101" s="12" t="str">
        <f>_xlfn.IFNA(VLOOKUP($B101,'NYP Perf Network 032017'!$A$2:$AI$3547,12,FALSE),"")</f>
        <v/>
      </c>
      <c r="G101" s="2"/>
      <c r="H101" s="2"/>
      <c r="I101" s="2"/>
      <c r="J101" s="5">
        <f t="shared" si="23"/>
        <v>0</v>
      </c>
    </row>
    <row r="102" spans="1:10" x14ac:dyDescent="0.25">
      <c r="A102" s="26"/>
      <c r="B102" s="27" t="s">
        <v>30</v>
      </c>
      <c r="C102" s="28"/>
      <c r="D102" s="28"/>
      <c r="E102" s="28"/>
      <c r="F102" s="28"/>
      <c r="G102" s="28"/>
      <c r="H102" s="28"/>
      <c r="I102" s="28"/>
      <c r="J102" s="28"/>
    </row>
    <row r="103" spans="1:10" x14ac:dyDescent="0.25">
      <c r="A103" s="9"/>
      <c r="B103" s="10"/>
      <c r="C103" s="10"/>
      <c r="D103" s="10"/>
      <c r="E103" s="10"/>
      <c r="F103" s="10"/>
      <c r="G103" s="10"/>
      <c r="H103" s="13">
        <f t="shared" ref="H103:I103" si="24">SUM(H96:H101)</f>
        <v>0</v>
      </c>
      <c r="I103" s="13">
        <f t="shared" si="24"/>
        <v>0</v>
      </c>
      <c r="J103" s="13">
        <f>SUM(J96:J101)</f>
        <v>0</v>
      </c>
    </row>
    <row r="104" spans="1:10" x14ac:dyDescent="0.25">
      <c r="A104" s="26" t="s">
        <v>17</v>
      </c>
      <c r="B104" s="2"/>
      <c r="C104" s="2"/>
      <c r="D104" s="12" t="str">
        <f>_xlfn.IFNA(VLOOKUP($B104,'NYP Perf Network 032017'!$A$2:$AI$3547,18,FALSE),"")</f>
        <v/>
      </c>
      <c r="E104" s="12" t="str">
        <f>_xlfn.IFNA(VLOOKUP($B104,'NYP Perf Network 032017'!$A$2:$AI$3547,13,FALSE),"")</f>
        <v/>
      </c>
      <c r="F104" s="12" t="str">
        <f>_xlfn.IFNA(VLOOKUP($B104,'NYP Perf Network 032017'!$A$2:$AI$3547,12,FALSE),"")</f>
        <v/>
      </c>
      <c r="G104" s="2"/>
      <c r="H104" s="2"/>
      <c r="I104" s="2"/>
      <c r="J104" s="5">
        <f>H104+I104</f>
        <v>0</v>
      </c>
    </row>
    <row r="105" spans="1:10" x14ac:dyDescent="0.25">
      <c r="A105" s="26"/>
      <c r="B105" s="2"/>
      <c r="C105" s="2"/>
      <c r="D105" s="12" t="str">
        <f>_xlfn.IFNA(VLOOKUP($B105,'NYP Perf Network 032017'!$A$2:$AI$3547,18,FALSE),"")</f>
        <v/>
      </c>
      <c r="E105" s="12" t="str">
        <f>_xlfn.IFNA(VLOOKUP($B105,'NYP Perf Network 032017'!$A$2:$AI$3547,13,FALSE),"")</f>
        <v/>
      </c>
      <c r="F105" s="12" t="str">
        <f>_xlfn.IFNA(VLOOKUP($B105,'NYP Perf Network 032017'!$A$2:$AI$3547,12,FALSE),"")</f>
        <v/>
      </c>
      <c r="G105" s="2"/>
      <c r="H105" s="2"/>
      <c r="I105" s="2"/>
      <c r="J105" s="5">
        <f t="shared" ref="J105:J109" si="25">H105+I105</f>
        <v>0</v>
      </c>
    </row>
    <row r="106" spans="1:10" x14ac:dyDescent="0.25">
      <c r="A106" s="26"/>
      <c r="B106" s="2"/>
      <c r="C106" s="2"/>
      <c r="D106" s="12" t="str">
        <f>_xlfn.IFNA(VLOOKUP($B106,'NYP Perf Network 032017'!$A$2:$AI$3547,18,FALSE),"")</f>
        <v/>
      </c>
      <c r="E106" s="12" t="str">
        <f>_xlfn.IFNA(VLOOKUP($B106,'NYP Perf Network 032017'!$A$2:$AI$3547,13,FALSE),"")</f>
        <v/>
      </c>
      <c r="F106" s="12" t="str">
        <f>_xlfn.IFNA(VLOOKUP($B106,'NYP Perf Network 032017'!$A$2:$AI$3547,12,FALSE),"")</f>
        <v/>
      </c>
      <c r="G106" s="2"/>
      <c r="H106" s="2"/>
      <c r="I106" s="2"/>
      <c r="J106" s="5">
        <f t="shared" si="25"/>
        <v>0</v>
      </c>
    </row>
    <row r="107" spans="1:10" x14ac:dyDescent="0.25">
      <c r="A107" s="26"/>
      <c r="B107" s="2"/>
      <c r="C107" s="2"/>
      <c r="D107" s="12" t="str">
        <f>_xlfn.IFNA(VLOOKUP($B107,'NYP Perf Network 032017'!$A$2:$AI$3547,18,FALSE),"")</f>
        <v/>
      </c>
      <c r="E107" s="12" t="str">
        <f>_xlfn.IFNA(VLOOKUP($B107,'NYP Perf Network 032017'!$A$2:$AI$3547,13,FALSE),"")</f>
        <v/>
      </c>
      <c r="F107" s="12" t="str">
        <f>_xlfn.IFNA(VLOOKUP($B107,'NYP Perf Network 032017'!$A$2:$AI$3547,12,FALSE),"")</f>
        <v/>
      </c>
      <c r="G107" s="2"/>
      <c r="H107" s="2"/>
      <c r="I107" s="2"/>
      <c r="J107" s="5">
        <f t="shared" si="25"/>
        <v>0</v>
      </c>
    </row>
    <row r="108" spans="1:10" x14ac:dyDescent="0.25">
      <c r="A108" s="26"/>
      <c r="B108" s="2"/>
      <c r="C108" s="2"/>
      <c r="D108" s="12" t="str">
        <f>_xlfn.IFNA(VLOOKUP($B108,'NYP Perf Network 032017'!$A$2:$AI$3547,18,FALSE),"")</f>
        <v/>
      </c>
      <c r="E108" s="12" t="str">
        <f>_xlfn.IFNA(VLOOKUP($B108,'NYP Perf Network 032017'!$A$2:$AI$3547,13,FALSE),"")</f>
        <v/>
      </c>
      <c r="F108" s="12" t="str">
        <f>_xlfn.IFNA(VLOOKUP($B108,'NYP Perf Network 032017'!$A$2:$AI$3547,12,FALSE),"")</f>
        <v/>
      </c>
      <c r="G108" s="2"/>
      <c r="H108" s="2"/>
      <c r="I108" s="2"/>
      <c r="J108" s="5">
        <f t="shared" si="25"/>
        <v>0</v>
      </c>
    </row>
    <row r="109" spans="1:10" x14ac:dyDescent="0.25">
      <c r="A109" s="26"/>
      <c r="B109" s="2"/>
      <c r="C109" s="2"/>
      <c r="D109" s="12" t="str">
        <f>_xlfn.IFNA(VLOOKUP($B109,'NYP Perf Network 032017'!$A$2:$AI$3547,18,FALSE),"")</f>
        <v/>
      </c>
      <c r="E109" s="12" t="str">
        <f>_xlfn.IFNA(VLOOKUP($B109,'NYP Perf Network 032017'!$A$2:$AI$3547,13,FALSE),"")</f>
        <v/>
      </c>
      <c r="F109" s="12" t="str">
        <f>_xlfn.IFNA(VLOOKUP($B109,'NYP Perf Network 032017'!$A$2:$AI$3547,12,FALSE),"")</f>
        <v/>
      </c>
      <c r="G109" s="2"/>
      <c r="H109" s="2"/>
      <c r="I109" s="2"/>
      <c r="J109" s="5">
        <f t="shared" si="25"/>
        <v>0</v>
      </c>
    </row>
    <row r="110" spans="1:10" x14ac:dyDescent="0.25">
      <c r="A110" s="26"/>
      <c r="B110" s="27" t="s">
        <v>30</v>
      </c>
      <c r="C110" s="28"/>
      <c r="D110" s="28"/>
      <c r="E110" s="28"/>
      <c r="F110" s="28"/>
      <c r="G110" s="28"/>
      <c r="H110" s="28"/>
      <c r="I110" s="28"/>
      <c r="J110" s="28"/>
    </row>
    <row r="111" spans="1:10" x14ac:dyDescent="0.25">
      <c r="A111" s="9"/>
      <c r="B111" s="10"/>
      <c r="C111" s="10"/>
      <c r="D111" s="10"/>
      <c r="E111" s="10"/>
      <c r="F111" s="10"/>
      <c r="G111" s="10"/>
      <c r="H111" s="13">
        <f t="shared" ref="H111:I111" si="26">SUM(H104:H109)</f>
        <v>0</v>
      </c>
      <c r="I111" s="13">
        <f t="shared" si="26"/>
        <v>0</v>
      </c>
      <c r="J111" s="13">
        <f>SUM(J104:J109)</f>
        <v>0</v>
      </c>
    </row>
    <row r="112" spans="1:10" x14ac:dyDescent="0.25">
      <c r="A112" s="26" t="s">
        <v>18</v>
      </c>
      <c r="B112" s="2"/>
      <c r="C112" s="2"/>
      <c r="D112" s="12" t="str">
        <f>_xlfn.IFNA(VLOOKUP($B112,'NYP Perf Network 032017'!$A$2:$AI$3547,18,FALSE),"")</f>
        <v/>
      </c>
      <c r="E112" s="12" t="str">
        <f>_xlfn.IFNA(VLOOKUP($B112,'NYP Perf Network 032017'!$A$2:$AI$3547,13,FALSE),"")</f>
        <v/>
      </c>
      <c r="F112" s="12" t="str">
        <f>_xlfn.IFNA(VLOOKUP($B112,'NYP Perf Network 032017'!$A$2:$AI$3547,12,FALSE),"")</f>
        <v/>
      </c>
      <c r="G112" s="2"/>
      <c r="H112" s="2"/>
      <c r="I112" s="2"/>
      <c r="J112" s="5">
        <f>H112+I112</f>
        <v>0</v>
      </c>
    </row>
    <row r="113" spans="1:10" x14ac:dyDescent="0.25">
      <c r="A113" s="26"/>
      <c r="B113" s="2"/>
      <c r="C113" s="2"/>
      <c r="D113" s="12" t="str">
        <f>_xlfn.IFNA(VLOOKUP($B113,'NYP Perf Network 032017'!$A$2:$AI$3547,18,FALSE),"")</f>
        <v/>
      </c>
      <c r="E113" s="12" t="str">
        <f>_xlfn.IFNA(VLOOKUP($B113,'NYP Perf Network 032017'!$A$2:$AI$3547,13,FALSE),"")</f>
        <v/>
      </c>
      <c r="F113" s="12" t="str">
        <f>_xlfn.IFNA(VLOOKUP($B113,'NYP Perf Network 032017'!$A$2:$AI$3547,12,FALSE),"")</f>
        <v/>
      </c>
      <c r="G113" s="2"/>
      <c r="H113" s="2"/>
      <c r="I113" s="2"/>
      <c r="J113" s="5">
        <f t="shared" ref="J113:J117" si="27">H113+I113</f>
        <v>0</v>
      </c>
    </row>
    <row r="114" spans="1:10" x14ac:dyDescent="0.25">
      <c r="A114" s="26"/>
      <c r="B114" s="2"/>
      <c r="C114" s="2"/>
      <c r="D114" s="12" t="str">
        <f>_xlfn.IFNA(VLOOKUP($B114,'NYP Perf Network 032017'!$A$2:$AI$3547,18,FALSE),"")</f>
        <v/>
      </c>
      <c r="E114" s="12" t="str">
        <f>_xlfn.IFNA(VLOOKUP($B114,'NYP Perf Network 032017'!$A$2:$AI$3547,13,FALSE),"")</f>
        <v/>
      </c>
      <c r="F114" s="12" t="str">
        <f>_xlfn.IFNA(VLOOKUP($B114,'NYP Perf Network 032017'!$A$2:$AI$3547,12,FALSE),"")</f>
        <v/>
      </c>
      <c r="G114" s="2"/>
      <c r="H114" s="2"/>
      <c r="I114" s="2"/>
      <c r="J114" s="5">
        <f t="shared" si="27"/>
        <v>0</v>
      </c>
    </row>
    <row r="115" spans="1:10" x14ac:dyDescent="0.25">
      <c r="A115" s="26"/>
      <c r="B115" s="2"/>
      <c r="C115" s="2"/>
      <c r="D115" s="12" t="str">
        <f>_xlfn.IFNA(VLOOKUP($B115,'NYP Perf Network 032017'!$A$2:$AI$3547,18,FALSE),"")</f>
        <v/>
      </c>
      <c r="E115" s="12" t="str">
        <f>_xlfn.IFNA(VLOOKUP($B115,'NYP Perf Network 032017'!$A$2:$AI$3547,13,FALSE),"")</f>
        <v/>
      </c>
      <c r="F115" s="12" t="str">
        <f>_xlfn.IFNA(VLOOKUP($B115,'NYP Perf Network 032017'!$A$2:$AI$3547,12,FALSE),"")</f>
        <v/>
      </c>
      <c r="G115" s="2"/>
      <c r="H115" s="2"/>
      <c r="I115" s="2"/>
      <c r="J115" s="5">
        <f t="shared" si="27"/>
        <v>0</v>
      </c>
    </row>
    <row r="116" spans="1:10" x14ac:dyDescent="0.25">
      <c r="A116" s="26"/>
      <c r="B116" s="2"/>
      <c r="C116" s="2"/>
      <c r="D116" s="12" t="str">
        <f>_xlfn.IFNA(VLOOKUP($B116,'NYP Perf Network 032017'!$A$2:$AI$3547,18,FALSE),"")</f>
        <v/>
      </c>
      <c r="E116" s="12" t="str">
        <f>_xlfn.IFNA(VLOOKUP($B116,'NYP Perf Network 032017'!$A$2:$AI$3547,13,FALSE),"")</f>
        <v/>
      </c>
      <c r="F116" s="12" t="str">
        <f>_xlfn.IFNA(VLOOKUP($B116,'NYP Perf Network 032017'!$A$2:$AI$3547,12,FALSE),"")</f>
        <v/>
      </c>
      <c r="G116" s="2"/>
      <c r="H116" s="2"/>
      <c r="I116" s="2"/>
      <c r="J116" s="5">
        <f t="shared" si="27"/>
        <v>0</v>
      </c>
    </row>
    <row r="117" spans="1:10" x14ac:dyDescent="0.25">
      <c r="A117" s="26"/>
      <c r="B117" s="2"/>
      <c r="C117" s="2"/>
      <c r="D117" s="12" t="str">
        <f>_xlfn.IFNA(VLOOKUP($B117,'NYP Perf Network 032017'!$A$2:$AI$3547,18,FALSE),"")</f>
        <v/>
      </c>
      <c r="E117" s="12" t="str">
        <f>_xlfn.IFNA(VLOOKUP($B117,'NYP Perf Network 032017'!$A$2:$AI$3547,13,FALSE),"")</f>
        <v/>
      </c>
      <c r="F117" s="12" t="str">
        <f>_xlfn.IFNA(VLOOKUP($B117,'NYP Perf Network 032017'!$A$2:$AI$3547,12,FALSE),"")</f>
        <v/>
      </c>
      <c r="G117" s="2"/>
      <c r="H117" s="2"/>
      <c r="I117" s="2"/>
      <c r="J117" s="5">
        <f t="shared" si="27"/>
        <v>0</v>
      </c>
    </row>
    <row r="118" spans="1:10" x14ac:dyDescent="0.25">
      <c r="A118" s="26"/>
      <c r="B118" s="27" t="s">
        <v>30</v>
      </c>
      <c r="C118" s="28"/>
      <c r="D118" s="28"/>
      <c r="E118" s="28"/>
      <c r="F118" s="28"/>
      <c r="G118" s="28"/>
      <c r="H118" s="28"/>
      <c r="I118" s="28"/>
      <c r="J118" s="28"/>
    </row>
    <row r="119" spans="1:10" x14ac:dyDescent="0.25">
      <c r="A119" s="9"/>
      <c r="B119" s="10"/>
      <c r="C119" s="10"/>
      <c r="D119" s="10"/>
      <c r="E119" s="10"/>
      <c r="F119" s="10"/>
      <c r="G119" s="10"/>
      <c r="H119" s="13">
        <f t="shared" ref="H119:I119" si="28">SUM(H112:H117)</f>
        <v>0</v>
      </c>
      <c r="I119" s="13">
        <f t="shared" si="28"/>
        <v>0</v>
      </c>
      <c r="J119" s="13">
        <f>SUM(J112:J117)</f>
        <v>0</v>
      </c>
    </row>
    <row r="120" spans="1:10" x14ac:dyDescent="0.25">
      <c r="A120" s="26" t="s">
        <v>237</v>
      </c>
      <c r="B120" s="2"/>
      <c r="C120" s="2"/>
      <c r="D120" s="12"/>
      <c r="E120" s="12"/>
      <c r="F120" s="12"/>
      <c r="G120" s="2"/>
      <c r="H120" s="2"/>
      <c r="I120" s="2"/>
      <c r="J120" s="5">
        <f>H120+I120</f>
        <v>0</v>
      </c>
    </row>
    <row r="121" spans="1:10" x14ac:dyDescent="0.25">
      <c r="A121" s="26"/>
      <c r="B121" s="2"/>
      <c r="C121" s="2"/>
      <c r="D121" s="12"/>
      <c r="E121" s="12"/>
      <c r="F121" s="12"/>
      <c r="G121" s="2"/>
      <c r="H121" s="2"/>
      <c r="I121" s="2"/>
      <c r="J121" s="5">
        <f t="shared" ref="J121:J125" si="29">H121+I121</f>
        <v>0</v>
      </c>
    </row>
    <row r="122" spans="1:10" x14ac:dyDescent="0.25">
      <c r="A122" s="26"/>
      <c r="B122" s="2"/>
      <c r="C122" s="2"/>
      <c r="D122" s="12"/>
      <c r="E122" s="12"/>
      <c r="F122" s="12"/>
      <c r="G122" s="2"/>
      <c r="H122" s="2"/>
      <c r="I122" s="2"/>
      <c r="J122" s="5">
        <f t="shared" si="29"/>
        <v>0</v>
      </c>
    </row>
    <row r="123" spans="1:10" x14ac:dyDescent="0.25">
      <c r="A123" s="26"/>
      <c r="B123" s="2"/>
      <c r="C123" s="2"/>
      <c r="D123" s="12"/>
      <c r="E123" s="12"/>
      <c r="F123" s="12"/>
      <c r="G123" s="2"/>
      <c r="H123" s="2"/>
      <c r="I123" s="2"/>
      <c r="J123" s="5">
        <f t="shared" si="29"/>
        <v>0</v>
      </c>
    </row>
    <row r="124" spans="1:10" x14ac:dyDescent="0.25">
      <c r="A124" s="26"/>
      <c r="B124" s="2"/>
      <c r="C124" s="2"/>
      <c r="D124" s="12"/>
      <c r="E124" s="12"/>
      <c r="F124" s="12"/>
      <c r="G124" s="2"/>
      <c r="H124" s="2"/>
      <c r="I124" s="2"/>
      <c r="J124" s="5">
        <f t="shared" si="29"/>
        <v>0</v>
      </c>
    </row>
    <row r="125" spans="1:10" x14ac:dyDescent="0.25">
      <c r="A125" s="26"/>
      <c r="B125" s="2"/>
      <c r="C125" s="2"/>
      <c r="D125" s="12"/>
      <c r="E125" s="12"/>
      <c r="F125" s="12"/>
      <c r="G125" s="2"/>
      <c r="H125" s="2"/>
      <c r="I125" s="2"/>
      <c r="J125" s="5">
        <f t="shared" si="29"/>
        <v>0</v>
      </c>
    </row>
    <row r="126" spans="1:10" x14ac:dyDescent="0.25">
      <c r="A126" s="26"/>
      <c r="B126" s="27" t="s">
        <v>30</v>
      </c>
      <c r="C126" s="28"/>
      <c r="D126" s="28"/>
      <c r="E126" s="28"/>
      <c r="F126" s="28"/>
      <c r="G126" s="28"/>
      <c r="H126" s="28"/>
      <c r="I126" s="28"/>
      <c r="J126" s="28"/>
    </row>
    <row r="127" spans="1:10" x14ac:dyDescent="0.25">
      <c r="A127" s="9"/>
      <c r="B127" s="10"/>
      <c r="C127" s="10"/>
      <c r="D127" s="10"/>
      <c r="E127" s="10"/>
      <c r="F127" s="10"/>
      <c r="G127" s="10"/>
      <c r="H127" s="13">
        <f t="shared" ref="H127:I127" si="30">SUM(H120:H125)</f>
        <v>0</v>
      </c>
      <c r="I127" s="13">
        <f t="shared" si="30"/>
        <v>0</v>
      </c>
      <c r="J127" s="13">
        <f>SUM(J120:J125)</f>
        <v>0</v>
      </c>
    </row>
    <row r="128" spans="1:10" x14ac:dyDescent="0.25">
      <c r="A128" s="26" t="s">
        <v>19</v>
      </c>
      <c r="B128" s="2"/>
      <c r="C128" s="2"/>
      <c r="D128" s="12" t="str">
        <f>_xlfn.IFNA(VLOOKUP($B128,'NYP Perf Network 032017'!$A$2:$AI$3547,18,FALSE),"")</f>
        <v/>
      </c>
      <c r="E128" s="12" t="str">
        <f>_xlfn.IFNA(VLOOKUP($B128,'NYP Perf Network 032017'!$A$2:$AI$3547,13,FALSE),"")</f>
        <v/>
      </c>
      <c r="F128" s="12" t="str">
        <f>_xlfn.IFNA(VLOOKUP($B128,'NYP Perf Network 032017'!$A$2:$AI$3547,12,FALSE),"")</f>
        <v/>
      </c>
      <c r="G128" s="2"/>
      <c r="H128" s="2"/>
      <c r="I128" s="2"/>
      <c r="J128" s="5">
        <f>H128+I128</f>
        <v>0</v>
      </c>
    </row>
    <row r="129" spans="1:10" x14ac:dyDescent="0.25">
      <c r="A129" s="26"/>
      <c r="B129" s="2"/>
      <c r="C129" s="2"/>
      <c r="D129" s="12" t="str">
        <f>_xlfn.IFNA(VLOOKUP($B129,'NYP Perf Network 032017'!$A$2:$AI$3547,18,FALSE),"")</f>
        <v/>
      </c>
      <c r="E129" s="12" t="str">
        <f>_xlfn.IFNA(VLOOKUP($B129,'NYP Perf Network 032017'!$A$2:$AI$3547,13,FALSE),"")</f>
        <v/>
      </c>
      <c r="F129" s="12" t="str">
        <f>_xlfn.IFNA(VLOOKUP($B129,'NYP Perf Network 032017'!$A$2:$AI$3547,12,FALSE),"")</f>
        <v/>
      </c>
      <c r="G129" s="2"/>
      <c r="H129" s="2"/>
      <c r="I129" s="2"/>
      <c r="J129" s="5">
        <f t="shared" ref="J129:J133" si="31">H129+I129</f>
        <v>0</v>
      </c>
    </row>
    <row r="130" spans="1:10" x14ac:dyDescent="0.25">
      <c r="A130" s="26"/>
      <c r="B130" s="2"/>
      <c r="C130" s="2"/>
      <c r="D130" s="12" t="str">
        <f>_xlfn.IFNA(VLOOKUP($B130,'NYP Perf Network 032017'!$A$2:$AI$3547,18,FALSE),"")</f>
        <v/>
      </c>
      <c r="E130" s="12" t="str">
        <f>_xlfn.IFNA(VLOOKUP($B130,'NYP Perf Network 032017'!$A$2:$AI$3547,13,FALSE),"")</f>
        <v/>
      </c>
      <c r="F130" s="12" t="str">
        <f>_xlfn.IFNA(VLOOKUP($B130,'NYP Perf Network 032017'!$A$2:$AI$3547,12,FALSE),"")</f>
        <v/>
      </c>
      <c r="G130" s="2"/>
      <c r="H130" s="2"/>
      <c r="I130" s="2"/>
      <c r="J130" s="5">
        <f t="shared" si="31"/>
        <v>0</v>
      </c>
    </row>
    <row r="131" spans="1:10" x14ac:dyDescent="0.25">
      <c r="A131" s="26"/>
      <c r="B131" s="2"/>
      <c r="C131" s="2"/>
      <c r="D131" s="12" t="str">
        <f>_xlfn.IFNA(VLOOKUP($B131,'NYP Perf Network 032017'!$A$2:$AI$3547,18,FALSE),"")</f>
        <v/>
      </c>
      <c r="E131" s="12" t="str">
        <f>_xlfn.IFNA(VLOOKUP($B131,'NYP Perf Network 032017'!$A$2:$AI$3547,13,FALSE),"")</f>
        <v/>
      </c>
      <c r="F131" s="12" t="str">
        <f>_xlfn.IFNA(VLOOKUP($B131,'NYP Perf Network 032017'!$A$2:$AI$3547,12,FALSE),"")</f>
        <v/>
      </c>
      <c r="G131" s="2"/>
      <c r="H131" s="2"/>
      <c r="I131" s="2"/>
      <c r="J131" s="5">
        <f t="shared" si="31"/>
        <v>0</v>
      </c>
    </row>
    <row r="132" spans="1:10" x14ac:dyDescent="0.25">
      <c r="A132" s="26"/>
      <c r="B132" s="2"/>
      <c r="C132" s="2"/>
      <c r="D132" s="12" t="str">
        <f>_xlfn.IFNA(VLOOKUP($B132,'NYP Perf Network 032017'!$A$2:$AI$3547,18,FALSE),"")</f>
        <v/>
      </c>
      <c r="E132" s="12" t="str">
        <f>_xlfn.IFNA(VLOOKUP($B132,'NYP Perf Network 032017'!$A$2:$AI$3547,13,FALSE),"")</f>
        <v/>
      </c>
      <c r="F132" s="12" t="str">
        <f>_xlfn.IFNA(VLOOKUP($B132,'NYP Perf Network 032017'!$A$2:$AI$3547,12,FALSE),"")</f>
        <v/>
      </c>
      <c r="G132" s="2"/>
      <c r="H132" s="2"/>
      <c r="I132" s="2"/>
      <c r="J132" s="5">
        <f t="shared" si="31"/>
        <v>0</v>
      </c>
    </row>
    <row r="133" spans="1:10" x14ac:dyDescent="0.25">
      <c r="A133" s="26"/>
      <c r="B133" s="2"/>
      <c r="C133" s="2"/>
      <c r="D133" s="12" t="str">
        <f>_xlfn.IFNA(VLOOKUP($B133,'NYP Perf Network 032017'!$A$2:$AI$3547,18,FALSE),"")</f>
        <v/>
      </c>
      <c r="E133" s="12" t="str">
        <f>_xlfn.IFNA(VLOOKUP($B133,'NYP Perf Network 032017'!$A$2:$AI$3547,13,FALSE),"")</f>
        <v/>
      </c>
      <c r="F133" s="12" t="str">
        <f>_xlfn.IFNA(VLOOKUP($B133,'NYP Perf Network 032017'!$A$2:$AI$3547,12,FALSE),"")</f>
        <v/>
      </c>
      <c r="G133" s="2"/>
      <c r="H133" s="2"/>
      <c r="I133" s="2"/>
      <c r="J133" s="5">
        <f t="shared" si="31"/>
        <v>0</v>
      </c>
    </row>
    <row r="134" spans="1:10" x14ac:dyDescent="0.25">
      <c r="A134" s="26"/>
      <c r="B134" s="27" t="s">
        <v>30</v>
      </c>
      <c r="C134" s="28"/>
      <c r="D134" s="28"/>
      <c r="E134" s="28"/>
      <c r="F134" s="28"/>
      <c r="G134" s="28"/>
      <c r="H134" s="28"/>
      <c r="I134" s="28"/>
      <c r="J134" s="28"/>
    </row>
    <row r="135" spans="1:10" x14ac:dyDescent="0.25">
      <c r="A135" s="9"/>
      <c r="B135" s="10"/>
      <c r="C135" s="10"/>
      <c r="D135" s="10"/>
      <c r="E135" s="10"/>
      <c r="F135" s="10"/>
      <c r="G135" s="10"/>
      <c r="H135" s="13">
        <f t="shared" ref="H135:I135" si="32">SUM(H128:H133)</f>
        <v>0</v>
      </c>
      <c r="I135" s="13">
        <f t="shared" si="32"/>
        <v>0</v>
      </c>
      <c r="J135" s="13">
        <f>SUM(J128:J133)</f>
        <v>0</v>
      </c>
    </row>
    <row r="136" spans="1:10" x14ac:dyDescent="0.25">
      <c r="A136" s="26" t="s">
        <v>19</v>
      </c>
      <c r="B136" s="2"/>
      <c r="C136" s="2"/>
      <c r="D136" s="12" t="str">
        <f>_xlfn.IFNA(VLOOKUP($B136,'NYP Perf Network 032017'!$A$2:$AI$3547,18,FALSE),"")</f>
        <v/>
      </c>
      <c r="E136" s="12" t="str">
        <f>_xlfn.IFNA(VLOOKUP($B136,'NYP Perf Network 032017'!$A$2:$AI$3547,13,FALSE),"")</f>
        <v/>
      </c>
      <c r="F136" s="12" t="str">
        <f>_xlfn.IFNA(VLOOKUP($B136,'NYP Perf Network 032017'!$A$2:$AI$3547,12,FALSE),"")</f>
        <v/>
      </c>
      <c r="G136" s="2"/>
      <c r="H136" s="2"/>
      <c r="I136" s="2"/>
      <c r="J136" s="5">
        <f>H136+I136</f>
        <v>0</v>
      </c>
    </row>
    <row r="137" spans="1:10" x14ac:dyDescent="0.25">
      <c r="A137" s="26"/>
      <c r="B137" s="2"/>
      <c r="C137" s="2"/>
      <c r="D137" s="12" t="str">
        <f>_xlfn.IFNA(VLOOKUP($B137,'NYP Perf Network 032017'!$A$2:$AI$3547,18,FALSE),"")</f>
        <v/>
      </c>
      <c r="E137" s="12" t="str">
        <f>_xlfn.IFNA(VLOOKUP($B137,'NYP Perf Network 032017'!$A$2:$AI$3547,13,FALSE),"")</f>
        <v/>
      </c>
      <c r="F137" s="12" t="str">
        <f>_xlfn.IFNA(VLOOKUP($B137,'NYP Perf Network 032017'!$A$2:$AI$3547,12,FALSE),"")</f>
        <v/>
      </c>
      <c r="G137" s="2"/>
      <c r="H137" s="2"/>
      <c r="I137" s="2"/>
      <c r="J137" s="5">
        <f t="shared" ref="J137:J141" si="33">H137+I137</f>
        <v>0</v>
      </c>
    </row>
    <row r="138" spans="1:10" x14ac:dyDescent="0.25">
      <c r="A138" s="26"/>
      <c r="B138" s="2"/>
      <c r="C138" s="2"/>
      <c r="D138" s="12" t="str">
        <f>_xlfn.IFNA(VLOOKUP($B138,'NYP Perf Network 032017'!$A$2:$AI$3547,18,FALSE),"")</f>
        <v/>
      </c>
      <c r="E138" s="12" t="str">
        <f>_xlfn.IFNA(VLOOKUP($B138,'NYP Perf Network 032017'!$A$2:$AI$3547,13,FALSE),"")</f>
        <v/>
      </c>
      <c r="F138" s="12" t="str">
        <f>_xlfn.IFNA(VLOOKUP($B138,'NYP Perf Network 032017'!$A$2:$AI$3547,12,FALSE),"")</f>
        <v/>
      </c>
      <c r="G138" s="2"/>
      <c r="H138" s="2"/>
      <c r="I138" s="2"/>
      <c r="J138" s="5">
        <f t="shared" si="33"/>
        <v>0</v>
      </c>
    </row>
    <row r="139" spans="1:10" x14ac:dyDescent="0.25">
      <c r="A139" s="26"/>
      <c r="B139" s="2"/>
      <c r="C139" s="2"/>
      <c r="D139" s="12" t="str">
        <f>_xlfn.IFNA(VLOOKUP($B139,'NYP Perf Network 032017'!$A$2:$AI$3547,18,FALSE),"")</f>
        <v/>
      </c>
      <c r="E139" s="12" t="str">
        <f>_xlfn.IFNA(VLOOKUP($B139,'NYP Perf Network 032017'!$A$2:$AI$3547,13,FALSE),"")</f>
        <v/>
      </c>
      <c r="F139" s="12" t="str">
        <f>_xlfn.IFNA(VLOOKUP($B139,'NYP Perf Network 032017'!$A$2:$AI$3547,12,FALSE),"")</f>
        <v/>
      </c>
      <c r="G139" s="2"/>
      <c r="H139" s="2"/>
      <c r="I139" s="2"/>
      <c r="J139" s="5">
        <f t="shared" si="33"/>
        <v>0</v>
      </c>
    </row>
    <row r="140" spans="1:10" x14ac:dyDescent="0.25">
      <c r="A140" s="26"/>
      <c r="B140" s="2"/>
      <c r="C140" s="2"/>
      <c r="D140" s="12" t="str">
        <f>_xlfn.IFNA(VLOOKUP($B140,'NYP Perf Network 032017'!$A$2:$AI$3547,18,FALSE),"")</f>
        <v/>
      </c>
      <c r="E140" s="12" t="str">
        <f>_xlfn.IFNA(VLOOKUP($B140,'NYP Perf Network 032017'!$A$2:$AI$3547,13,FALSE),"")</f>
        <v/>
      </c>
      <c r="F140" s="12" t="str">
        <f>_xlfn.IFNA(VLOOKUP($B140,'NYP Perf Network 032017'!$A$2:$AI$3547,12,FALSE),"")</f>
        <v/>
      </c>
      <c r="G140" s="2"/>
      <c r="H140" s="2"/>
      <c r="I140" s="2"/>
      <c r="J140" s="5">
        <f t="shared" si="33"/>
        <v>0</v>
      </c>
    </row>
    <row r="141" spans="1:10" x14ac:dyDescent="0.25">
      <c r="A141" s="26"/>
      <c r="B141" s="2"/>
      <c r="C141" s="2"/>
      <c r="D141" s="12" t="str">
        <f>_xlfn.IFNA(VLOOKUP($B141,'NYP Perf Network 032017'!$A$2:$AI$3547,18,FALSE),"")</f>
        <v/>
      </c>
      <c r="E141" s="12" t="str">
        <f>_xlfn.IFNA(VLOOKUP($B141,'NYP Perf Network 032017'!$A$2:$AI$3547,13,FALSE),"")</f>
        <v/>
      </c>
      <c r="F141" s="12" t="str">
        <f>_xlfn.IFNA(VLOOKUP($B141,'NYP Perf Network 032017'!$A$2:$AI$3547,12,FALSE),"")</f>
        <v/>
      </c>
      <c r="G141" s="2"/>
      <c r="H141" s="2"/>
      <c r="I141" s="2"/>
      <c r="J141" s="5">
        <f t="shared" si="33"/>
        <v>0</v>
      </c>
    </row>
    <row r="142" spans="1:10" x14ac:dyDescent="0.25">
      <c r="A142" s="26"/>
      <c r="B142" s="27" t="s">
        <v>30</v>
      </c>
      <c r="C142" s="28"/>
      <c r="D142" s="28"/>
      <c r="E142" s="28"/>
      <c r="F142" s="28"/>
      <c r="G142" s="28"/>
      <c r="H142" s="28"/>
      <c r="I142" s="28"/>
      <c r="J142" s="28"/>
    </row>
    <row r="143" spans="1:10" x14ac:dyDescent="0.25">
      <c r="A143" s="9"/>
      <c r="B143" s="10"/>
      <c r="C143" s="10"/>
      <c r="D143" s="10"/>
      <c r="E143" s="10"/>
      <c r="F143" s="10"/>
      <c r="G143" s="10"/>
      <c r="H143" s="13">
        <f t="shared" ref="H143:I143" si="34">SUM(H136:H141)</f>
        <v>0</v>
      </c>
      <c r="I143" s="13">
        <f t="shared" si="34"/>
        <v>0</v>
      </c>
      <c r="J143" s="13">
        <f>SUM(J136:J141)</f>
        <v>0</v>
      </c>
    </row>
    <row r="144" spans="1:10" x14ac:dyDescent="0.25">
      <c r="A144" s="26" t="s">
        <v>19</v>
      </c>
      <c r="B144" s="2"/>
      <c r="C144" s="2"/>
      <c r="D144" s="12" t="str">
        <f>_xlfn.IFNA(VLOOKUP($B144,'NYP Perf Network 032017'!$A$2:$AI$3547,18,FALSE),"")</f>
        <v/>
      </c>
      <c r="E144" s="12" t="str">
        <f>_xlfn.IFNA(VLOOKUP($B144,'NYP Perf Network 032017'!$A$2:$AI$3547,13,FALSE),"")</f>
        <v/>
      </c>
      <c r="F144" s="12" t="str">
        <f>_xlfn.IFNA(VLOOKUP($B144,'NYP Perf Network 032017'!$A$2:$AI$3547,12,FALSE),"")</f>
        <v/>
      </c>
      <c r="G144" s="2"/>
      <c r="H144" s="2"/>
      <c r="I144" s="2"/>
      <c r="J144" s="5">
        <f>H144+I144</f>
        <v>0</v>
      </c>
    </row>
    <row r="145" spans="1:10" x14ac:dyDescent="0.25">
      <c r="A145" s="26"/>
      <c r="B145" s="2"/>
      <c r="C145" s="2"/>
      <c r="D145" s="12" t="str">
        <f>_xlfn.IFNA(VLOOKUP($B145,'NYP Perf Network 032017'!$A$2:$AI$3547,18,FALSE),"")</f>
        <v/>
      </c>
      <c r="E145" s="12" t="str">
        <f>_xlfn.IFNA(VLOOKUP($B145,'NYP Perf Network 032017'!$A$2:$AI$3547,13,FALSE),"")</f>
        <v/>
      </c>
      <c r="F145" s="12" t="str">
        <f>_xlfn.IFNA(VLOOKUP($B145,'NYP Perf Network 032017'!$A$2:$AI$3547,12,FALSE),"")</f>
        <v/>
      </c>
      <c r="G145" s="2"/>
      <c r="H145" s="2"/>
      <c r="I145" s="2"/>
      <c r="J145" s="5">
        <f t="shared" ref="J145:J149" si="35">H145+I145</f>
        <v>0</v>
      </c>
    </row>
    <row r="146" spans="1:10" x14ac:dyDescent="0.25">
      <c r="A146" s="26"/>
      <c r="B146" s="2"/>
      <c r="C146" s="2"/>
      <c r="D146" s="12" t="str">
        <f>_xlfn.IFNA(VLOOKUP($B146,'NYP Perf Network 032017'!$A$2:$AI$3547,18,FALSE),"")</f>
        <v/>
      </c>
      <c r="E146" s="12" t="str">
        <f>_xlfn.IFNA(VLOOKUP($B146,'NYP Perf Network 032017'!$A$2:$AI$3547,13,FALSE),"")</f>
        <v/>
      </c>
      <c r="F146" s="12" t="str">
        <f>_xlfn.IFNA(VLOOKUP($B146,'NYP Perf Network 032017'!$A$2:$AI$3547,12,FALSE),"")</f>
        <v/>
      </c>
      <c r="G146" s="2"/>
      <c r="H146" s="2"/>
      <c r="I146" s="2"/>
      <c r="J146" s="5">
        <f t="shared" si="35"/>
        <v>0</v>
      </c>
    </row>
    <row r="147" spans="1:10" x14ac:dyDescent="0.25">
      <c r="A147" s="26"/>
      <c r="B147" s="2"/>
      <c r="C147" s="2"/>
      <c r="D147" s="12" t="str">
        <f>_xlfn.IFNA(VLOOKUP($B147,'NYP Perf Network 032017'!$A$2:$AI$3547,18,FALSE),"")</f>
        <v/>
      </c>
      <c r="E147" s="12" t="str">
        <f>_xlfn.IFNA(VLOOKUP($B147,'NYP Perf Network 032017'!$A$2:$AI$3547,13,FALSE),"")</f>
        <v/>
      </c>
      <c r="F147" s="12" t="str">
        <f>_xlfn.IFNA(VLOOKUP($B147,'NYP Perf Network 032017'!$A$2:$AI$3547,12,FALSE),"")</f>
        <v/>
      </c>
      <c r="G147" s="2"/>
      <c r="H147" s="2"/>
      <c r="I147" s="2"/>
      <c r="J147" s="5">
        <f t="shared" si="35"/>
        <v>0</v>
      </c>
    </row>
    <row r="148" spans="1:10" x14ac:dyDescent="0.25">
      <c r="A148" s="26"/>
      <c r="B148" s="2"/>
      <c r="C148" s="2"/>
      <c r="D148" s="12" t="str">
        <f>_xlfn.IFNA(VLOOKUP($B148,'NYP Perf Network 032017'!$A$2:$AI$3547,18,FALSE),"")</f>
        <v/>
      </c>
      <c r="E148" s="12" t="str">
        <f>_xlfn.IFNA(VLOOKUP($B148,'NYP Perf Network 032017'!$A$2:$AI$3547,13,FALSE),"")</f>
        <v/>
      </c>
      <c r="F148" s="12" t="str">
        <f>_xlfn.IFNA(VLOOKUP($B148,'NYP Perf Network 032017'!$A$2:$AI$3547,12,FALSE),"")</f>
        <v/>
      </c>
      <c r="G148" s="2"/>
      <c r="H148" s="2"/>
      <c r="I148" s="2"/>
      <c r="J148" s="5">
        <f t="shared" si="35"/>
        <v>0</v>
      </c>
    </row>
    <row r="149" spans="1:10" x14ac:dyDescent="0.25">
      <c r="A149" s="26"/>
      <c r="B149" s="2"/>
      <c r="C149" s="2"/>
      <c r="D149" s="12" t="str">
        <f>_xlfn.IFNA(VLOOKUP($B149,'NYP Perf Network 032017'!$A$2:$AI$3547,18,FALSE),"")</f>
        <v/>
      </c>
      <c r="E149" s="12" t="str">
        <f>_xlfn.IFNA(VLOOKUP($B149,'NYP Perf Network 032017'!$A$2:$AI$3547,13,FALSE),"")</f>
        <v/>
      </c>
      <c r="F149" s="12" t="str">
        <f>_xlfn.IFNA(VLOOKUP($B149,'NYP Perf Network 032017'!$A$2:$AI$3547,12,FALSE),"")</f>
        <v/>
      </c>
      <c r="G149" s="2"/>
      <c r="H149" s="2"/>
      <c r="I149" s="2"/>
      <c r="J149" s="5">
        <f t="shared" si="35"/>
        <v>0</v>
      </c>
    </row>
    <row r="150" spans="1:10" x14ac:dyDescent="0.25">
      <c r="A150" s="26"/>
      <c r="B150" s="27" t="s">
        <v>30</v>
      </c>
      <c r="C150" s="28"/>
      <c r="D150" s="28"/>
      <c r="E150" s="28"/>
      <c r="F150" s="28"/>
      <c r="G150" s="28"/>
      <c r="H150" s="28"/>
      <c r="I150" s="28"/>
      <c r="J150" s="28"/>
    </row>
    <row r="151" spans="1:10" x14ac:dyDescent="0.25">
      <c r="A151" s="9"/>
      <c r="B151" s="10"/>
      <c r="C151" s="10"/>
      <c r="D151" s="10"/>
      <c r="E151" s="10"/>
      <c r="F151" s="10"/>
      <c r="G151" s="10"/>
      <c r="H151" s="13">
        <f t="shared" ref="H151:I151" si="36">SUM(H144:H149)</f>
        <v>0</v>
      </c>
      <c r="I151" s="13">
        <f t="shared" si="36"/>
        <v>0</v>
      </c>
      <c r="J151" s="13">
        <f>SUM(J144:J149)</f>
        <v>0</v>
      </c>
    </row>
  </sheetData>
  <sheetProtection algorithmName="SHA-512" hashValue="2mW6hDiKVEIcuOnHE9RSP9HE/TuNIZL3sVH1UkYEx4Z80RmZkifcAhTB5biUaoFQYus12yypxp8+yhH/yNhazg==" saltValue="DOqE9JxSBOADv8s/KOxTcw==" spinCount="100000" sheet="1" objects="1" scenarios="1"/>
  <mergeCells count="38">
    <mergeCell ref="B150:J150"/>
    <mergeCell ref="B94:J94"/>
    <mergeCell ref="B102:J102"/>
    <mergeCell ref="B110:J110"/>
    <mergeCell ref="B118:J118"/>
    <mergeCell ref="B126:J126"/>
    <mergeCell ref="B142:J142"/>
    <mergeCell ref="B134:J134"/>
    <mergeCell ref="B43:J43"/>
    <mergeCell ref="B51:J51"/>
    <mergeCell ref="B59:J59"/>
    <mergeCell ref="B67:J67"/>
    <mergeCell ref="B75:J75"/>
    <mergeCell ref="B86:J86"/>
    <mergeCell ref="A144:A150"/>
    <mergeCell ref="B3:F3"/>
    <mergeCell ref="H3:J3"/>
    <mergeCell ref="B11:J11"/>
    <mergeCell ref="B19:J19"/>
    <mergeCell ref="B27:J27"/>
    <mergeCell ref="B35:J35"/>
    <mergeCell ref="A96:A102"/>
    <mergeCell ref="A104:A110"/>
    <mergeCell ref="A112:A118"/>
    <mergeCell ref="A120:A126"/>
    <mergeCell ref="A128:A134"/>
    <mergeCell ref="A136:A142"/>
    <mergeCell ref="A45:A51"/>
    <mergeCell ref="A53:A59"/>
    <mergeCell ref="A61:A67"/>
    <mergeCell ref="A69:A75"/>
    <mergeCell ref="A77:A86"/>
    <mergeCell ref="A88:A94"/>
    <mergeCell ref="A5:A11"/>
    <mergeCell ref="A13:A19"/>
    <mergeCell ref="A21:A27"/>
    <mergeCell ref="A29:A35"/>
    <mergeCell ref="A37:A4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"/>
  <sheetViews>
    <sheetView zoomScaleNormal="100" workbookViewId="0">
      <selection activeCell="C25" sqref="C25"/>
    </sheetView>
  </sheetViews>
  <sheetFormatPr defaultRowHeight="15" x14ac:dyDescent="0.25"/>
  <cols>
    <col min="1" max="1" width="10.85546875" style="2" customWidth="1"/>
    <col min="2" max="2" width="23.140625" style="2" bestFit="1" customWidth="1"/>
    <col min="3" max="3" width="23.140625" style="2" customWidth="1"/>
    <col min="4" max="4" width="2.85546875" style="20" customWidth="1"/>
    <col min="5" max="7" width="14.85546875" style="2" bestFit="1" customWidth="1"/>
    <col min="8" max="8" width="23.5703125" style="2" customWidth="1"/>
    <col min="9" max="9" width="2.85546875" style="20" customWidth="1"/>
    <col min="10" max="10" width="23.140625" style="2" customWidth="1"/>
    <col min="11" max="11" width="2.85546875" style="21" hidden="1" customWidth="1"/>
    <col min="12" max="12" width="11.85546875" hidden="1" customWidth="1"/>
    <col min="13" max="15" width="12.85546875" hidden="1" customWidth="1"/>
    <col min="16" max="16" width="11.85546875" hidden="1" customWidth="1"/>
    <col min="17" max="17" width="12.140625" hidden="1" customWidth="1"/>
    <col min="18" max="18" width="11.85546875" hidden="1" customWidth="1"/>
    <col min="19" max="19" width="12.85546875" hidden="1" customWidth="1"/>
    <col min="20" max="20" width="11.85546875" hidden="1" customWidth="1"/>
    <col min="21" max="21" width="12.140625" hidden="1" customWidth="1"/>
    <col min="23" max="23" width="28.42578125" bestFit="1" customWidth="1"/>
    <col min="24" max="24" width="17.85546875" bestFit="1" customWidth="1"/>
    <col min="25" max="25" width="23.5703125" bestFit="1" customWidth="1"/>
  </cols>
  <sheetData>
    <row r="1" spans="1:21" x14ac:dyDescent="0.25">
      <c r="A1" s="30" t="s">
        <v>13747</v>
      </c>
      <c r="B1" s="31"/>
      <c r="C1" s="32"/>
      <c r="D1" s="14"/>
      <c r="E1" s="33" t="s">
        <v>13748</v>
      </c>
      <c r="F1" s="33"/>
      <c r="G1" s="33"/>
      <c r="H1" s="33"/>
      <c r="I1" s="14"/>
      <c r="J1" s="15" t="s">
        <v>13749</v>
      </c>
      <c r="K1" s="16"/>
      <c r="L1" s="33" t="s">
        <v>13750</v>
      </c>
      <c r="M1" s="33"/>
      <c r="N1" s="33"/>
      <c r="O1" s="33"/>
      <c r="P1" s="33"/>
      <c r="Q1" s="33"/>
      <c r="R1" s="33"/>
      <c r="S1" s="33"/>
      <c r="T1" s="33"/>
      <c r="U1" s="33"/>
    </row>
    <row r="2" spans="1:21" ht="30" x14ac:dyDescent="0.25">
      <c r="A2" s="17" t="s">
        <v>13751</v>
      </c>
      <c r="B2" s="17" t="s">
        <v>13753</v>
      </c>
      <c r="C2" s="17" t="s">
        <v>13752</v>
      </c>
      <c r="D2" s="18"/>
      <c r="E2" s="17" t="s">
        <v>8</v>
      </c>
      <c r="F2" s="17" t="s">
        <v>25</v>
      </c>
      <c r="G2" s="17" t="s">
        <v>42</v>
      </c>
      <c r="H2" s="17" t="s">
        <v>13753</v>
      </c>
      <c r="I2" s="18"/>
      <c r="J2" s="17" t="s">
        <v>13754</v>
      </c>
      <c r="K2" s="19"/>
      <c r="L2" s="17" t="s">
        <v>13755</v>
      </c>
      <c r="M2" s="17" t="s">
        <v>13756</v>
      </c>
      <c r="N2" s="17" t="s">
        <v>13757</v>
      </c>
      <c r="O2" s="17" t="s">
        <v>13758</v>
      </c>
      <c r="P2" s="17" t="s">
        <v>13759</v>
      </c>
      <c r="Q2" s="17" t="s">
        <v>13760</v>
      </c>
      <c r="R2" s="17" t="s">
        <v>13761</v>
      </c>
      <c r="S2" s="17" t="s">
        <v>13762</v>
      </c>
      <c r="T2" s="17" t="s">
        <v>13763</v>
      </c>
      <c r="U2" s="17" t="s">
        <v>13764</v>
      </c>
    </row>
  </sheetData>
  <mergeCells count="3">
    <mergeCell ref="A1:C1"/>
    <mergeCell ref="E1:H1"/>
    <mergeCell ref="L1:U1"/>
  </mergeCells>
  <pageMargins left="0.7" right="0.7" top="0.75" bottom="0.75" header="0.3" footer="0.3"/>
  <pageSetup scale="63" orientation="landscape" r:id="rId1"/>
  <colBreaks count="1" manualBreakCount="1">
    <brk id="11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'C:\Users\jweber\Desktop\PAOP 2017\[PPS 2nd Tier Funds Flow Reporting Template.xlsx]Sheet2'!#REF!</xm:f>
          </x14:formula1>
          <xm:sqref>E3:E1048576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7" sqref="A7:A8"/>
    </sheetView>
  </sheetViews>
  <sheetFormatPr defaultRowHeight="15" x14ac:dyDescent="0.25"/>
  <cols>
    <col min="1" max="1" width="22" customWidth="1"/>
    <col min="2" max="2" width="10" customWidth="1"/>
    <col min="3" max="18" width="12" customWidth="1"/>
  </cols>
  <sheetData>
    <row r="1" spans="1:18" x14ac:dyDescent="0.25">
      <c r="A1" s="1" t="s">
        <v>141</v>
      </c>
    </row>
    <row r="3" spans="1:18" x14ac:dyDescent="0.25">
      <c r="A3" s="37" t="s">
        <v>3</v>
      </c>
      <c r="B3" s="38"/>
      <c r="C3" s="34" t="s">
        <v>13737</v>
      </c>
      <c r="D3" s="35"/>
      <c r="E3" s="34" t="s">
        <v>13738</v>
      </c>
      <c r="F3" s="35"/>
      <c r="G3" s="34" t="s">
        <v>13740</v>
      </c>
      <c r="H3" s="35"/>
      <c r="I3" s="34" t="s">
        <v>13741</v>
      </c>
      <c r="J3" s="35"/>
      <c r="K3" s="34" t="s">
        <v>13744</v>
      </c>
      <c r="L3" s="35"/>
      <c r="M3" s="34" t="s">
        <v>13743</v>
      </c>
      <c r="N3" s="35"/>
      <c r="O3" s="34" t="s">
        <v>13745</v>
      </c>
      <c r="P3" s="35"/>
      <c r="Q3" s="34" t="s">
        <v>13746</v>
      </c>
      <c r="R3" s="35"/>
    </row>
    <row r="4" spans="1:18" x14ac:dyDescent="0.25">
      <c r="A4" s="39"/>
      <c r="B4" s="40"/>
      <c r="C4" s="4" t="s">
        <v>31</v>
      </c>
      <c r="D4" s="4" t="s">
        <v>32</v>
      </c>
      <c r="E4" s="4" t="s">
        <v>31</v>
      </c>
      <c r="F4" s="4" t="s">
        <v>32</v>
      </c>
      <c r="G4" s="4" t="s">
        <v>31</v>
      </c>
      <c r="H4" s="4" t="s">
        <v>32</v>
      </c>
      <c r="I4" s="4" t="s">
        <v>31</v>
      </c>
      <c r="J4" s="4" t="s">
        <v>32</v>
      </c>
      <c r="K4" s="4" t="s">
        <v>31</v>
      </c>
      <c r="L4" s="4" t="s">
        <v>32</v>
      </c>
      <c r="M4" s="4" t="s">
        <v>31</v>
      </c>
      <c r="N4" s="4" t="s">
        <v>32</v>
      </c>
      <c r="O4" s="4" t="s">
        <v>31</v>
      </c>
      <c r="P4" s="4" t="s">
        <v>32</v>
      </c>
      <c r="Q4" s="4" t="s">
        <v>31</v>
      </c>
      <c r="R4" s="4" t="s">
        <v>32</v>
      </c>
    </row>
    <row r="5" spans="1:18" x14ac:dyDescent="0.25">
      <c r="A5" s="36" t="s">
        <v>4</v>
      </c>
      <c r="B5" s="3" t="s">
        <v>20</v>
      </c>
      <c r="C5" s="2">
        <v>329</v>
      </c>
      <c r="D5" s="2">
        <v>116</v>
      </c>
      <c r="E5" s="2">
        <v>0</v>
      </c>
      <c r="F5" s="2">
        <v>114</v>
      </c>
      <c r="G5" s="2">
        <v>0</v>
      </c>
      <c r="H5" s="2">
        <v>0</v>
      </c>
      <c r="I5" s="2">
        <v>329</v>
      </c>
      <c r="J5" s="2">
        <v>329</v>
      </c>
      <c r="K5" s="2">
        <v>164</v>
      </c>
      <c r="L5" s="2">
        <v>114</v>
      </c>
      <c r="M5" s="2">
        <v>0</v>
      </c>
      <c r="N5" s="2">
        <v>0</v>
      </c>
      <c r="O5" s="2">
        <v>21</v>
      </c>
      <c r="P5" s="2">
        <v>5</v>
      </c>
      <c r="Q5" s="2">
        <v>329</v>
      </c>
      <c r="R5" s="2">
        <v>329</v>
      </c>
    </row>
    <row r="6" spans="1:18" x14ac:dyDescent="0.25">
      <c r="A6" s="36"/>
      <c r="B6" s="3" t="s">
        <v>26</v>
      </c>
      <c r="C6" s="2">
        <v>114</v>
      </c>
      <c r="D6" s="2">
        <v>114</v>
      </c>
      <c r="E6" s="2">
        <v>114</v>
      </c>
      <c r="F6" s="2">
        <v>114</v>
      </c>
      <c r="G6" s="2">
        <v>114</v>
      </c>
      <c r="H6" s="2">
        <v>114</v>
      </c>
      <c r="I6" s="2">
        <v>114</v>
      </c>
      <c r="J6" s="2">
        <v>329</v>
      </c>
      <c r="K6" s="2">
        <v>57</v>
      </c>
      <c r="L6" s="2">
        <v>114</v>
      </c>
      <c r="M6" s="2">
        <v>57</v>
      </c>
      <c r="N6" s="2">
        <v>57</v>
      </c>
      <c r="O6" s="2">
        <v>14</v>
      </c>
      <c r="P6" s="2">
        <v>4</v>
      </c>
      <c r="Q6" s="2">
        <v>114</v>
      </c>
      <c r="R6" s="2">
        <v>114</v>
      </c>
    </row>
    <row r="7" spans="1:18" x14ac:dyDescent="0.25">
      <c r="A7" s="36" t="s">
        <v>5</v>
      </c>
      <c r="B7" s="3" t="s">
        <v>20</v>
      </c>
      <c r="C7" s="2">
        <v>1417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1417</v>
      </c>
      <c r="J7" s="2">
        <v>1417</v>
      </c>
      <c r="K7" s="2">
        <v>354</v>
      </c>
      <c r="L7" s="2">
        <v>0</v>
      </c>
      <c r="M7" s="2">
        <v>0</v>
      </c>
      <c r="N7" s="2">
        <v>0</v>
      </c>
      <c r="O7" s="2">
        <v>1417</v>
      </c>
      <c r="P7" s="2">
        <v>2</v>
      </c>
      <c r="Q7" s="2">
        <v>125</v>
      </c>
      <c r="R7" s="2">
        <v>125</v>
      </c>
    </row>
    <row r="8" spans="1:18" x14ac:dyDescent="0.25">
      <c r="A8" s="36"/>
      <c r="B8" s="3" t="s">
        <v>26</v>
      </c>
      <c r="C8" s="2">
        <v>130</v>
      </c>
      <c r="D8" s="2">
        <v>0</v>
      </c>
      <c r="E8" s="2">
        <v>130</v>
      </c>
      <c r="F8" s="2">
        <v>0</v>
      </c>
      <c r="G8" s="2">
        <v>0</v>
      </c>
      <c r="H8" s="2">
        <v>0</v>
      </c>
      <c r="I8" s="2">
        <v>130</v>
      </c>
      <c r="J8" s="2">
        <v>130</v>
      </c>
      <c r="K8" s="2">
        <v>33</v>
      </c>
      <c r="L8" s="2">
        <v>0</v>
      </c>
      <c r="M8" s="2">
        <v>33</v>
      </c>
      <c r="N8" s="2">
        <v>33</v>
      </c>
      <c r="O8" s="2">
        <v>130</v>
      </c>
      <c r="P8" s="2">
        <v>0</v>
      </c>
      <c r="Q8" s="2">
        <v>130</v>
      </c>
      <c r="R8" s="2">
        <v>130</v>
      </c>
    </row>
    <row r="9" spans="1:18" x14ac:dyDescent="0.25">
      <c r="A9" s="36" t="s">
        <v>33</v>
      </c>
      <c r="B9" s="3" t="s">
        <v>20</v>
      </c>
      <c r="C9" s="2">
        <v>2</v>
      </c>
      <c r="D9" s="2">
        <v>3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</row>
    <row r="10" spans="1:18" x14ac:dyDescent="0.25">
      <c r="A10" s="36"/>
      <c r="B10" s="3" t="s">
        <v>26</v>
      </c>
      <c r="C10" s="2">
        <v>3</v>
      </c>
      <c r="D10" s="2">
        <v>3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</row>
    <row r="11" spans="1:18" x14ac:dyDescent="0.25">
      <c r="A11" s="36" t="s">
        <v>9</v>
      </c>
      <c r="B11" s="3" t="s">
        <v>20</v>
      </c>
      <c r="C11" s="2">
        <v>11</v>
      </c>
      <c r="D11" s="2">
        <v>11</v>
      </c>
      <c r="E11" s="2">
        <v>0</v>
      </c>
      <c r="F11" s="2">
        <v>2</v>
      </c>
      <c r="G11" s="2">
        <v>0</v>
      </c>
      <c r="H11" s="2">
        <v>0</v>
      </c>
      <c r="I11" s="2">
        <v>0</v>
      </c>
      <c r="J11" s="2">
        <v>0</v>
      </c>
      <c r="K11" s="2">
        <v>1</v>
      </c>
      <c r="L11" s="2">
        <v>1</v>
      </c>
      <c r="M11" s="2">
        <v>0</v>
      </c>
      <c r="N11" s="2">
        <v>0</v>
      </c>
      <c r="O11" s="2">
        <v>1</v>
      </c>
      <c r="P11" s="2">
        <v>0</v>
      </c>
      <c r="Q11" s="2">
        <v>2</v>
      </c>
      <c r="R11" s="2">
        <v>2</v>
      </c>
    </row>
    <row r="12" spans="1:18" x14ac:dyDescent="0.25">
      <c r="A12" s="36"/>
      <c r="B12" s="3" t="s">
        <v>26</v>
      </c>
      <c r="C12" s="2">
        <v>11</v>
      </c>
      <c r="D12" s="2">
        <v>8</v>
      </c>
      <c r="E12" s="2">
        <v>2</v>
      </c>
      <c r="F12" s="2">
        <v>2</v>
      </c>
      <c r="G12" s="2">
        <v>11</v>
      </c>
      <c r="H12" s="2">
        <v>11</v>
      </c>
      <c r="I12" s="2">
        <v>0</v>
      </c>
      <c r="J12" s="2">
        <v>0</v>
      </c>
      <c r="K12" s="2">
        <v>1</v>
      </c>
      <c r="L12" s="2">
        <v>1</v>
      </c>
      <c r="M12" s="2">
        <v>11</v>
      </c>
      <c r="N12" s="2">
        <v>11</v>
      </c>
      <c r="O12" s="2">
        <v>1</v>
      </c>
      <c r="P12" s="2">
        <v>0</v>
      </c>
      <c r="Q12" s="2">
        <v>2</v>
      </c>
      <c r="R12" s="2">
        <v>2</v>
      </c>
    </row>
    <row r="13" spans="1:18" x14ac:dyDescent="0.25">
      <c r="A13" s="36" t="s">
        <v>34</v>
      </c>
      <c r="B13" s="3" t="s">
        <v>20</v>
      </c>
      <c r="C13" s="2">
        <v>7</v>
      </c>
      <c r="D13" s="2">
        <v>7</v>
      </c>
      <c r="E13" s="2">
        <v>0</v>
      </c>
      <c r="F13" s="2">
        <v>3</v>
      </c>
      <c r="G13" s="2">
        <v>0</v>
      </c>
      <c r="H13" s="2">
        <v>0</v>
      </c>
      <c r="I13" s="2">
        <v>7</v>
      </c>
      <c r="J13" s="2">
        <v>7</v>
      </c>
      <c r="K13" s="2">
        <v>0</v>
      </c>
      <c r="L13" s="2">
        <v>0</v>
      </c>
      <c r="M13" s="2">
        <v>0</v>
      </c>
      <c r="N13" s="2">
        <v>0</v>
      </c>
      <c r="O13" s="2">
        <v>7</v>
      </c>
      <c r="P13" s="2">
        <v>7</v>
      </c>
      <c r="Q13" s="2">
        <v>0</v>
      </c>
      <c r="R13" s="2">
        <v>0</v>
      </c>
    </row>
    <row r="14" spans="1:18" x14ac:dyDescent="0.25">
      <c r="A14" s="36"/>
      <c r="B14" s="3" t="s">
        <v>26</v>
      </c>
      <c r="C14" s="2">
        <v>3</v>
      </c>
      <c r="D14" s="2">
        <v>3</v>
      </c>
      <c r="E14" s="2">
        <v>3</v>
      </c>
      <c r="F14" s="2">
        <v>3</v>
      </c>
      <c r="G14" s="2">
        <v>3</v>
      </c>
      <c r="H14" s="2">
        <v>3</v>
      </c>
      <c r="I14" s="2">
        <v>3</v>
      </c>
      <c r="J14" s="2">
        <v>3</v>
      </c>
      <c r="K14" s="2">
        <v>0</v>
      </c>
      <c r="L14" s="2">
        <v>0</v>
      </c>
      <c r="M14" s="2">
        <v>3</v>
      </c>
      <c r="N14" s="2">
        <v>3</v>
      </c>
      <c r="O14" s="2">
        <v>3</v>
      </c>
      <c r="P14" s="2">
        <v>3</v>
      </c>
      <c r="Q14" s="2">
        <v>0</v>
      </c>
      <c r="R14" s="2">
        <v>0</v>
      </c>
    </row>
    <row r="15" spans="1:18" x14ac:dyDescent="0.25">
      <c r="A15" s="36" t="s">
        <v>10</v>
      </c>
      <c r="B15" s="3" t="s">
        <v>20</v>
      </c>
      <c r="C15" s="2">
        <v>55</v>
      </c>
      <c r="D15" s="2">
        <v>37</v>
      </c>
      <c r="E15" s="2">
        <v>0</v>
      </c>
      <c r="F15" s="2">
        <v>19</v>
      </c>
      <c r="G15" s="2">
        <v>0</v>
      </c>
      <c r="H15" s="2">
        <v>0</v>
      </c>
      <c r="I15" s="2">
        <v>0</v>
      </c>
      <c r="J15" s="2">
        <v>0</v>
      </c>
      <c r="K15" s="2">
        <v>3</v>
      </c>
      <c r="L15" s="2">
        <v>0</v>
      </c>
      <c r="M15" s="2">
        <v>0</v>
      </c>
      <c r="N15" s="2">
        <v>0</v>
      </c>
      <c r="O15" s="2">
        <v>55</v>
      </c>
      <c r="P15" s="2">
        <v>37</v>
      </c>
      <c r="Q15" s="2">
        <v>0</v>
      </c>
      <c r="R15" s="2">
        <v>0</v>
      </c>
    </row>
    <row r="16" spans="1:18" x14ac:dyDescent="0.25">
      <c r="A16" s="36"/>
      <c r="B16" s="3" t="s">
        <v>26</v>
      </c>
      <c r="C16" s="2">
        <v>25</v>
      </c>
      <c r="D16" s="2">
        <v>19</v>
      </c>
      <c r="E16" s="2">
        <v>25</v>
      </c>
      <c r="F16" s="2">
        <v>19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25</v>
      </c>
      <c r="N16" s="2">
        <v>25</v>
      </c>
      <c r="O16" s="2">
        <v>25</v>
      </c>
      <c r="P16" s="2">
        <v>19</v>
      </c>
      <c r="Q16" s="2">
        <v>0</v>
      </c>
      <c r="R16" s="2">
        <v>0</v>
      </c>
    </row>
    <row r="17" spans="1:18" x14ac:dyDescent="0.25">
      <c r="A17" s="36" t="s">
        <v>11</v>
      </c>
      <c r="B17" s="3" t="s">
        <v>20</v>
      </c>
      <c r="C17" s="2">
        <v>10</v>
      </c>
      <c r="D17" s="2">
        <v>10</v>
      </c>
      <c r="E17" s="2">
        <v>0</v>
      </c>
      <c r="F17" s="2">
        <v>10</v>
      </c>
      <c r="G17" s="2">
        <v>0</v>
      </c>
      <c r="H17" s="2">
        <v>0</v>
      </c>
      <c r="I17" s="2">
        <v>0</v>
      </c>
      <c r="J17" s="2">
        <v>0</v>
      </c>
      <c r="K17" s="2">
        <v>10</v>
      </c>
      <c r="L17" s="2">
        <v>10</v>
      </c>
      <c r="M17" s="2">
        <v>0</v>
      </c>
      <c r="N17" s="2">
        <v>0</v>
      </c>
      <c r="O17" s="2">
        <v>10</v>
      </c>
      <c r="P17" s="2">
        <v>10</v>
      </c>
      <c r="Q17" s="2">
        <v>0</v>
      </c>
      <c r="R17" s="2">
        <v>0</v>
      </c>
    </row>
    <row r="18" spans="1:18" x14ac:dyDescent="0.25">
      <c r="A18" s="36"/>
      <c r="B18" s="3" t="s">
        <v>26</v>
      </c>
      <c r="C18" s="2">
        <v>9</v>
      </c>
      <c r="D18" s="2">
        <v>9</v>
      </c>
      <c r="E18" s="2">
        <v>9</v>
      </c>
      <c r="F18" s="2">
        <v>9</v>
      </c>
      <c r="G18" s="2">
        <v>0</v>
      </c>
      <c r="H18" s="2">
        <v>0</v>
      </c>
      <c r="I18" s="2">
        <v>0</v>
      </c>
      <c r="J18" s="2">
        <v>0</v>
      </c>
      <c r="K18" s="2">
        <v>9</v>
      </c>
      <c r="L18" s="2">
        <v>9</v>
      </c>
      <c r="M18" s="2">
        <v>9</v>
      </c>
      <c r="N18" s="2">
        <v>9</v>
      </c>
      <c r="O18" s="2">
        <v>9</v>
      </c>
      <c r="P18" s="2">
        <v>9</v>
      </c>
      <c r="Q18" s="2">
        <v>0</v>
      </c>
      <c r="R18" s="2">
        <v>0</v>
      </c>
    </row>
    <row r="19" spans="1:18" x14ac:dyDescent="0.25">
      <c r="A19" s="36" t="s">
        <v>15</v>
      </c>
      <c r="B19" s="3" t="s">
        <v>20</v>
      </c>
      <c r="C19" s="2">
        <v>11</v>
      </c>
      <c r="D19" s="2">
        <v>11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</row>
    <row r="20" spans="1:18" x14ac:dyDescent="0.25">
      <c r="A20" s="36"/>
      <c r="B20" s="3" t="s">
        <v>26</v>
      </c>
      <c r="C20" s="2">
        <v>10</v>
      </c>
      <c r="D20" s="2">
        <v>11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</row>
    <row r="21" spans="1:18" x14ac:dyDescent="0.25">
      <c r="A21" s="36" t="s">
        <v>16</v>
      </c>
      <c r="B21" s="3" t="s">
        <v>20</v>
      </c>
      <c r="C21" s="2">
        <v>11</v>
      </c>
      <c r="D21" s="2">
        <v>10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11</v>
      </c>
      <c r="P21" s="2">
        <v>10</v>
      </c>
      <c r="Q21" s="2">
        <v>0</v>
      </c>
      <c r="R21" s="2">
        <v>0</v>
      </c>
    </row>
    <row r="22" spans="1:18" x14ac:dyDescent="0.25">
      <c r="A22" s="36"/>
      <c r="B22" s="3" t="s">
        <v>26</v>
      </c>
      <c r="C22" s="2">
        <v>8</v>
      </c>
      <c r="D22" s="2">
        <v>7</v>
      </c>
      <c r="E22" s="2">
        <v>8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8</v>
      </c>
      <c r="P22" s="2">
        <v>7</v>
      </c>
      <c r="Q22" s="2">
        <v>0</v>
      </c>
      <c r="R22" s="2">
        <v>0</v>
      </c>
    </row>
    <row r="23" spans="1:18" x14ac:dyDescent="0.25">
      <c r="A23" s="36" t="s">
        <v>17</v>
      </c>
      <c r="B23" s="3" t="s">
        <v>20</v>
      </c>
      <c r="C23" s="2">
        <v>3</v>
      </c>
      <c r="D23" s="2">
        <v>3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3</v>
      </c>
      <c r="R23" s="2">
        <v>3</v>
      </c>
    </row>
    <row r="24" spans="1:18" x14ac:dyDescent="0.25">
      <c r="A24" s="36"/>
      <c r="B24" s="3" t="s">
        <v>26</v>
      </c>
      <c r="C24" s="2">
        <v>1</v>
      </c>
      <c r="D24" s="2">
        <v>2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1</v>
      </c>
      <c r="R24" s="2">
        <v>1</v>
      </c>
    </row>
    <row r="25" spans="1:18" x14ac:dyDescent="0.25">
      <c r="A25" s="36" t="s">
        <v>35</v>
      </c>
      <c r="B25" s="3" t="s">
        <v>20</v>
      </c>
      <c r="C25" s="2">
        <v>18</v>
      </c>
      <c r="D25" s="2">
        <v>16</v>
      </c>
      <c r="E25" s="2">
        <v>0</v>
      </c>
      <c r="F25" s="2">
        <v>0</v>
      </c>
      <c r="G25" s="2">
        <v>0</v>
      </c>
      <c r="H25" s="2">
        <v>0</v>
      </c>
      <c r="I25" s="2">
        <v>18</v>
      </c>
      <c r="J25" s="2">
        <v>18</v>
      </c>
      <c r="K25" s="2">
        <v>9</v>
      </c>
      <c r="L25" s="2">
        <v>8</v>
      </c>
      <c r="M25" s="2">
        <v>0</v>
      </c>
      <c r="N25" s="2">
        <v>0</v>
      </c>
      <c r="O25" s="2">
        <v>18</v>
      </c>
      <c r="P25" s="2">
        <v>16</v>
      </c>
      <c r="Q25" s="2">
        <v>18</v>
      </c>
      <c r="R25" s="2">
        <v>18</v>
      </c>
    </row>
    <row r="26" spans="1:18" x14ac:dyDescent="0.25">
      <c r="A26" s="36"/>
      <c r="B26" s="3" t="s">
        <v>26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</row>
    <row r="27" spans="1:18" x14ac:dyDescent="0.25">
      <c r="A27" s="36" t="s">
        <v>36</v>
      </c>
      <c r="B27" s="3" t="s">
        <v>20</v>
      </c>
      <c r="C27" s="2">
        <v>768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768</v>
      </c>
      <c r="J27" s="2">
        <v>768</v>
      </c>
      <c r="K27" s="2">
        <v>384</v>
      </c>
      <c r="L27" s="2">
        <v>0</v>
      </c>
      <c r="M27" s="2">
        <v>0</v>
      </c>
      <c r="N27" s="2">
        <v>0</v>
      </c>
      <c r="O27" s="2">
        <v>768</v>
      </c>
      <c r="P27" s="2">
        <v>1</v>
      </c>
      <c r="Q27" s="2">
        <v>768</v>
      </c>
      <c r="R27" s="2">
        <v>768</v>
      </c>
    </row>
    <row r="28" spans="1:18" x14ac:dyDescent="0.25">
      <c r="A28" s="36"/>
      <c r="B28" s="3" t="s">
        <v>26</v>
      </c>
      <c r="C28" s="2">
        <v>174</v>
      </c>
      <c r="D28" s="2">
        <v>0</v>
      </c>
      <c r="E28" s="2">
        <v>174</v>
      </c>
      <c r="F28" s="2">
        <v>0</v>
      </c>
      <c r="G28" s="2">
        <v>0</v>
      </c>
      <c r="H28" s="2">
        <v>0</v>
      </c>
      <c r="I28" s="2">
        <v>174</v>
      </c>
      <c r="J28" s="2">
        <v>174</v>
      </c>
      <c r="K28" s="2">
        <v>87</v>
      </c>
      <c r="L28" s="2">
        <v>0</v>
      </c>
      <c r="M28" s="2">
        <v>87</v>
      </c>
      <c r="N28" s="2">
        <v>87</v>
      </c>
      <c r="O28" s="2">
        <v>174</v>
      </c>
      <c r="P28" s="2">
        <v>0</v>
      </c>
      <c r="Q28" s="2">
        <v>174</v>
      </c>
      <c r="R28" s="2">
        <v>174</v>
      </c>
    </row>
    <row r="30" spans="1:18" x14ac:dyDescent="0.25">
      <c r="A30" s="1" t="s">
        <v>13739</v>
      </c>
      <c r="G30">
        <v>5</v>
      </c>
      <c r="H30">
        <v>5</v>
      </c>
    </row>
    <row r="31" spans="1:18" x14ac:dyDescent="0.25">
      <c r="A31" s="1" t="s">
        <v>13742</v>
      </c>
      <c r="M31">
        <v>2</v>
      </c>
      <c r="N31">
        <v>2</v>
      </c>
    </row>
  </sheetData>
  <mergeCells count="21">
    <mergeCell ref="A23:A24"/>
    <mergeCell ref="A25:A26"/>
    <mergeCell ref="A27:A28"/>
    <mergeCell ref="A3:B4"/>
    <mergeCell ref="A11:A12"/>
    <mergeCell ref="A13:A14"/>
    <mergeCell ref="A15:A16"/>
    <mergeCell ref="A17:A18"/>
    <mergeCell ref="A19:A20"/>
    <mergeCell ref="A21:A22"/>
    <mergeCell ref="A9:A10"/>
    <mergeCell ref="O3:P3"/>
    <mergeCell ref="Q3:R3"/>
    <mergeCell ref="A5:A6"/>
    <mergeCell ref="A7:A8"/>
    <mergeCell ref="C3:D3"/>
    <mergeCell ref="E3:F3"/>
    <mergeCell ref="G3:H3"/>
    <mergeCell ref="I3:J3"/>
    <mergeCell ref="K3:L3"/>
    <mergeCell ref="M3:N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I3547"/>
  <sheetViews>
    <sheetView workbookViewId="0">
      <selection activeCell="A597" sqref="A597"/>
    </sheetView>
  </sheetViews>
  <sheetFormatPr defaultRowHeight="15" x14ac:dyDescent="0.25"/>
  <cols>
    <col min="1" max="1" width="11" bestFit="1" customWidth="1"/>
    <col min="2" max="2" width="9" bestFit="1" customWidth="1"/>
    <col min="3" max="3" width="90" bestFit="1" customWidth="1"/>
    <col min="4" max="4" width="9" bestFit="1" customWidth="1"/>
    <col min="5" max="5" width="37.5703125" bestFit="1" customWidth="1"/>
    <col min="6" max="6" width="13.140625" bestFit="1" customWidth="1"/>
    <col min="7" max="7" width="45.85546875" bestFit="1" customWidth="1"/>
    <col min="8" max="8" width="18.42578125" bestFit="1" customWidth="1"/>
    <col min="9" max="9" width="14.5703125" bestFit="1" customWidth="1"/>
    <col min="10" max="10" width="30.85546875" bestFit="1" customWidth="1"/>
    <col min="11" max="11" width="49.85546875" bestFit="1" customWidth="1"/>
    <col min="12" max="12" width="91.140625" bestFit="1" customWidth="1"/>
    <col min="13" max="13" width="9.5703125" bestFit="1" customWidth="1"/>
    <col min="14" max="14" width="22.140625" bestFit="1" customWidth="1"/>
    <col min="15" max="15" width="13.85546875" bestFit="1" customWidth="1"/>
    <col min="16" max="16" width="10.42578125" bestFit="1" customWidth="1"/>
    <col min="17" max="17" width="16" bestFit="1" customWidth="1"/>
    <col min="18" max="18" width="71.5703125" bestFit="1" customWidth="1"/>
    <col min="19" max="19" width="83.140625" bestFit="1" customWidth="1"/>
    <col min="20" max="20" width="20.42578125" bestFit="1" customWidth="1"/>
    <col min="21" max="21" width="8.5703125" bestFit="1" customWidth="1"/>
    <col min="22" max="22" width="14.140625" bestFit="1" customWidth="1"/>
    <col min="23" max="23" width="38.85546875" bestFit="1" customWidth="1"/>
    <col min="24" max="24" width="39.42578125" bestFit="1" customWidth="1"/>
    <col min="25" max="25" width="20.140625" bestFit="1" customWidth="1"/>
    <col min="26" max="26" width="10.42578125" bestFit="1" customWidth="1"/>
    <col min="27" max="27" width="16" bestFit="1" customWidth="1"/>
    <col min="28" max="28" width="33.85546875" bestFit="1" customWidth="1"/>
    <col min="29" max="29" width="16.85546875" bestFit="1" customWidth="1"/>
    <col min="30" max="30" width="12.85546875" bestFit="1" customWidth="1"/>
    <col min="31" max="31" width="14.140625" bestFit="1" customWidth="1"/>
    <col min="32" max="32" width="17" bestFit="1" customWidth="1"/>
    <col min="33" max="33" width="12.42578125" bestFit="1" customWidth="1"/>
    <col min="34" max="34" width="5.85546875" bestFit="1" customWidth="1"/>
    <col min="35" max="35" width="19" bestFit="1" customWidth="1"/>
  </cols>
  <sheetData>
    <row r="1" spans="1:35" x14ac:dyDescent="0.25">
      <c r="A1" t="s">
        <v>41</v>
      </c>
      <c r="B1" t="s">
        <v>42</v>
      </c>
      <c r="C1" t="s">
        <v>38</v>
      </c>
      <c r="D1" t="s">
        <v>39</v>
      </c>
      <c r="E1" t="s">
        <v>40</v>
      </c>
      <c r="F1" t="s">
        <v>43</v>
      </c>
      <c r="G1" t="s">
        <v>44</v>
      </c>
      <c r="H1" t="s">
        <v>45</v>
      </c>
      <c r="I1" t="s">
        <v>46</v>
      </c>
      <c r="J1" t="s">
        <v>47</v>
      </c>
      <c r="K1" t="s">
        <v>48</v>
      </c>
      <c r="L1" t="s">
        <v>49</v>
      </c>
      <c r="M1" t="s">
        <v>26</v>
      </c>
      <c r="N1" t="s">
        <v>50</v>
      </c>
      <c r="O1" t="s">
        <v>51</v>
      </c>
      <c r="P1" t="s">
        <v>52</v>
      </c>
      <c r="Q1" t="s">
        <v>53</v>
      </c>
      <c r="R1" t="s">
        <v>54</v>
      </c>
      <c r="S1" t="s">
        <v>55</v>
      </c>
      <c r="T1" t="s">
        <v>56</v>
      </c>
      <c r="U1" t="s">
        <v>57</v>
      </c>
      <c r="V1" t="s">
        <v>58</v>
      </c>
      <c r="W1" t="s">
        <v>59</v>
      </c>
      <c r="X1" t="s">
        <v>60</v>
      </c>
      <c r="Y1" t="s">
        <v>61</v>
      </c>
      <c r="Z1" t="s">
        <v>62</v>
      </c>
      <c r="AA1" t="s">
        <v>63</v>
      </c>
      <c r="AB1" t="s">
        <v>64</v>
      </c>
      <c r="AC1" t="s">
        <v>65</v>
      </c>
      <c r="AD1" t="s">
        <v>66</v>
      </c>
      <c r="AE1" t="s">
        <v>67</v>
      </c>
      <c r="AF1" t="s">
        <v>68</v>
      </c>
      <c r="AG1" t="s">
        <v>69</v>
      </c>
      <c r="AH1" t="s">
        <v>70</v>
      </c>
      <c r="AI1" t="s">
        <v>71</v>
      </c>
    </row>
    <row r="2" spans="1:35" hidden="1" x14ac:dyDescent="0.25">
      <c r="C2" t="s">
        <v>2217</v>
      </c>
      <c r="G2" t="s">
        <v>2218</v>
      </c>
      <c r="H2" t="s">
        <v>2219</v>
      </c>
      <c r="J2" t="s">
        <v>2220</v>
      </c>
      <c r="K2" t="s">
        <v>105</v>
      </c>
      <c r="L2" t="s">
        <v>94</v>
      </c>
      <c r="M2" t="s">
        <v>73</v>
      </c>
      <c r="AC2" t="s">
        <v>76</v>
      </c>
      <c r="AD2" t="s">
        <v>73</v>
      </c>
      <c r="AE2" t="s">
        <v>95</v>
      </c>
      <c r="AG2" t="s">
        <v>78</v>
      </c>
    </row>
    <row r="3" spans="1:35" hidden="1" x14ac:dyDescent="0.25">
      <c r="A3" t="str">
        <f>"1003969932"</f>
        <v>1003969932</v>
      </c>
      <c r="B3" t="str">
        <f>"02725868"</f>
        <v>02725868</v>
      </c>
      <c r="C3" t="s">
        <v>2221</v>
      </c>
      <c r="D3" t="s">
        <v>2222</v>
      </c>
      <c r="E3" t="s">
        <v>2223</v>
      </c>
      <c r="G3" t="s">
        <v>2224</v>
      </c>
      <c r="H3" t="s">
        <v>2225</v>
      </c>
      <c r="J3" t="s">
        <v>2226</v>
      </c>
      <c r="L3" t="s">
        <v>72</v>
      </c>
      <c r="M3" t="s">
        <v>73</v>
      </c>
      <c r="R3" t="s">
        <v>2227</v>
      </c>
      <c r="W3" t="s">
        <v>2223</v>
      </c>
      <c r="X3" t="s">
        <v>167</v>
      </c>
      <c r="Y3" t="s">
        <v>91</v>
      </c>
      <c r="Z3" t="s">
        <v>74</v>
      </c>
      <c r="AA3" t="str">
        <f>"10032-3720"</f>
        <v>10032-3720</v>
      </c>
      <c r="AB3" t="s">
        <v>113</v>
      </c>
      <c r="AC3" t="s">
        <v>76</v>
      </c>
      <c r="AD3" t="s">
        <v>73</v>
      </c>
      <c r="AE3" t="s">
        <v>77</v>
      </c>
      <c r="AF3" t="s">
        <v>2228</v>
      </c>
      <c r="AG3" t="s">
        <v>78</v>
      </c>
    </row>
    <row r="4" spans="1:35" hidden="1" x14ac:dyDescent="0.25">
      <c r="A4" t="str">
        <f>"1225125396"</f>
        <v>1225125396</v>
      </c>
      <c r="B4" t="str">
        <f>"01765700"</f>
        <v>01765700</v>
      </c>
      <c r="C4" t="s">
        <v>2229</v>
      </c>
      <c r="D4" t="s">
        <v>2230</v>
      </c>
      <c r="E4" t="s">
        <v>2231</v>
      </c>
      <c r="G4" t="s">
        <v>2224</v>
      </c>
      <c r="H4" t="s">
        <v>2225</v>
      </c>
      <c r="J4" t="s">
        <v>2226</v>
      </c>
      <c r="L4" t="s">
        <v>80</v>
      </c>
      <c r="M4" t="s">
        <v>73</v>
      </c>
      <c r="R4" t="s">
        <v>2232</v>
      </c>
      <c r="W4" t="s">
        <v>2231</v>
      </c>
      <c r="X4" t="s">
        <v>2233</v>
      </c>
      <c r="Y4" t="s">
        <v>91</v>
      </c>
      <c r="Z4" t="s">
        <v>74</v>
      </c>
      <c r="AA4" t="str">
        <f>"10065-4870"</f>
        <v>10065-4870</v>
      </c>
      <c r="AB4" t="s">
        <v>75</v>
      </c>
      <c r="AC4" t="s">
        <v>76</v>
      </c>
      <c r="AD4" t="s">
        <v>73</v>
      </c>
      <c r="AE4" t="s">
        <v>77</v>
      </c>
      <c r="AF4" t="s">
        <v>2234</v>
      </c>
      <c r="AG4" t="s">
        <v>78</v>
      </c>
    </row>
    <row r="5" spans="1:35" hidden="1" x14ac:dyDescent="0.25">
      <c r="A5" t="str">
        <f>"1003156225"</f>
        <v>1003156225</v>
      </c>
      <c r="B5" t="str">
        <f>"03932758"</f>
        <v>03932758</v>
      </c>
      <c r="C5" t="s">
        <v>1854</v>
      </c>
      <c r="D5" t="s">
        <v>1855</v>
      </c>
      <c r="E5" t="s">
        <v>1856</v>
      </c>
      <c r="G5" t="s">
        <v>2235</v>
      </c>
      <c r="H5" t="s">
        <v>2236</v>
      </c>
      <c r="J5" t="s">
        <v>2237</v>
      </c>
      <c r="L5" t="s">
        <v>36</v>
      </c>
      <c r="M5" t="s">
        <v>82</v>
      </c>
      <c r="R5" t="s">
        <v>1856</v>
      </c>
      <c r="W5" t="s">
        <v>1856</v>
      </c>
      <c r="X5" t="s">
        <v>1857</v>
      </c>
      <c r="Y5" t="s">
        <v>91</v>
      </c>
      <c r="Z5" t="s">
        <v>74</v>
      </c>
      <c r="AA5" t="str">
        <f>"10034-1131"</f>
        <v>10034-1131</v>
      </c>
      <c r="AB5" t="s">
        <v>92</v>
      </c>
      <c r="AC5" t="s">
        <v>76</v>
      </c>
      <c r="AD5" t="s">
        <v>73</v>
      </c>
      <c r="AE5" t="s">
        <v>77</v>
      </c>
      <c r="AG5" t="s">
        <v>78</v>
      </c>
    </row>
    <row r="6" spans="1:35" hidden="1" x14ac:dyDescent="0.25">
      <c r="A6" t="str">
        <f>"1902961816"</f>
        <v>1902961816</v>
      </c>
      <c r="B6" t="str">
        <f>"02976992"</f>
        <v>02976992</v>
      </c>
      <c r="C6" t="s">
        <v>2238</v>
      </c>
      <c r="D6" t="s">
        <v>2239</v>
      </c>
      <c r="E6" t="s">
        <v>2240</v>
      </c>
      <c r="G6" t="s">
        <v>2224</v>
      </c>
      <c r="H6" t="s">
        <v>2225</v>
      </c>
      <c r="J6" t="s">
        <v>2226</v>
      </c>
      <c r="L6" t="s">
        <v>532</v>
      </c>
      <c r="M6" t="s">
        <v>73</v>
      </c>
      <c r="R6" t="s">
        <v>2238</v>
      </c>
      <c r="W6" t="s">
        <v>2241</v>
      </c>
      <c r="X6" t="s">
        <v>272</v>
      </c>
      <c r="Y6" t="s">
        <v>91</v>
      </c>
      <c r="Z6" t="s">
        <v>74</v>
      </c>
      <c r="AA6" t="str">
        <f>"10038-2612"</f>
        <v>10038-2612</v>
      </c>
      <c r="AB6" t="s">
        <v>90</v>
      </c>
      <c r="AC6" t="s">
        <v>76</v>
      </c>
      <c r="AD6" t="s">
        <v>73</v>
      </c>
      <c r="AE6" t="s">
        <v>77</v>
      </c>
      <c r="AF6" t="s">
        <v>2242</v>
      </c>
      <c r="AG6" t="s">
        <v>78</v>
      </c>
    </row>
    <row r="7" spans="1:35" hidden="1" x14ac:dyDescent="0.25">
      <c r="A7" t="str">
        <f>"1083675292"</f>
        <v>1083675292</v>
      </c>
      <c r="B7" t="str">
        <f>"02443272"</f>
        <v>02443272</v>
      </c>
      <c r="C7" t="s">
        <v>2243</v>
      </c>
      <c r="D7" t="s">
        <v>2244</v>
      </c>
      <c r="E7" t="s">
        <v>2245</v>
      </c>
      <c r="G7" t="s">
        <v>2224</v>
      </c>
      <c r="H7" t="s">
        <v>2225</v>
      </c>
      <c r="J7" t="s">
        <v>2226</v>
      </c>
      <c r="L7" t="s">
        <v>80</v>
      </c>
      <c r="M7" t="s">
        <v>73</v>
      </c>
      <c r="R7" t="s">
        <v>2246</v>
      </c>
      <c r="W7" t="s">
        <v>2247</v>
      </c>
      <c r="X7" t="s">
        <v>201</v>
      </c>
      <c r="Y7" t="s">
        <v>91</v>
      </c>
      <c r="Z7" t="s">
        <v>74</v>
      </c>
      <c r="AA7" t="str">
        <f>"10029-6501"</f>
        <v>10029-6501</v>
      </c>
      <c r="AB7" t="s">
        <v>75</v>
      </c>
      <c r="AC7" t="s">
        <v>76</v>
      </c>
      <c r="AD7" t="s">
        <v>73</v>
      </c>
      <c r="AE7" t="s">
        <v>77</v>
      </c>
      <c r="AF7" t="s">
        <v>2242</v>
      </c>
      <c r="AG7" t="s">
        <v>78</v>
      </c>
    </row>
    <row r="8" spans="1:35" hidden="1" x14ac:dyDescent="0.25">
      <c r="A8" t="str">
        <f>"1851443535"</f>
        <v>1851443535</v>
      </c>
      <c r="B8" t="str">
        <f>"03159359"</f>
        <v>03159359</v>
      </c>
      <c r="C8" t="s">
        <v>2248</v>
      </c>
      <c r="D8" t="s">
        <v>2249</v>
      </c>
      <c r="E8" t="s">
        <v>2250</v>
      </c>
      <c r="L8" t="s">
        <v>72</v>
      </c>
      <c r="M8" t="s">
        <v>73</v>
      </c>
      <c r="R8" t="s">
        <v>2251</v>
      </c>
      <c r="W8" t="s">
        <v>2252</v>
      </c>
      <c r="X8" t="s">
        <v>2253</v>
      </c>
      <c r="Y8" t="s">
        <v>91</v>
      </c>
      <c r="Z8" t="s">
        <v>74</v>
      </c>
      <c r="AA8" t="str">
        <f>"10021-0000"</f>
        <v>10021-0000</v>
      </c>
      <c r="AB8" t="s">
        <v>75</v>
      </c>
      <c r="AC8" t="s">
        <v>76</v>
      </c>
      <c r="AD8" t="s">
        <v>73</v>
      </c>
      <c r="AE8" t="s">
        <v>77</v>
      </c>
      <c r="AF8" t="s">
        <v>2254</v>
      </c>
      <c r="AG8" t="s">
        <v>78</v>
      </c>
    </row>
    <row r="9" spans="1:35" hidden="1" x14ac:dyDescent="0.25">
      <c r="A9" t="str">
        <f>"1831356179"</f>
        <v>1831356179</v>
      </c>
      <c r="B9" t="str">
        <f>"03227901"</f>
        <v>03227901</v>
      </c>
      <c r="C9" t="s">
        <v>2255</v>
      </c>
      <c r="D9" t="s">
        <v>2256</v>
      </c>
      <c r="E9" t="s">
        <v>2257</v>
      </c>
      <c r="L9" t="s">
        <v>72</v>
      </c>
      <c r="M9" t="s">
        <v>73</v>
      </c>
      <c r="R9" t="s">
        <v>2258</v>
      </c>
      <c r="W9" t="s">
        <v>2257</v>
      </c>
      <c r="X9" t="s">
        <v>170</v>
      </c>
      <c r="Y9" t="s">
        <v>91</v>
      </c>
      <c r="Z9" t="s">
        <v>74</v>
      </c>
      <c r="AA9" t="str">
        <f>"10065-4870"</f>
        <v>10065-4870</v>
      </c>
      <c r="AB9" t="s">
        <v>75</v>
      </c>
      <c r="AC9" t="s">
        <v>76</v>
      </c>
      <c r="AD9" t="s">
        <v>73</v>
      </c>
      <c r="AE9" t="s">
        <v>77</v>
      </c>
      <c r="AF9" t="s">
        <v>2242</v>
      </c>
      <c r="AG9" t="s">
        <v>78</v>
      </c>
    </row>
    <row r="10" spans="1:35" hidden="1" x14ac:dyDescent="0.25">
      <c r="A10" t="str">
        <f>"1518096825"</f>
        <v>1518096825</v>
      </c>
      <c r="B10" t="str">
        <f>"01081034"</f>
        <v>01081034</v>
      </c>
      <c r="C10" t="s">
        <v>2259</v>
      </c>
      <c r="D10" t="s">
        <v>1591</v>
      </c>
      <c r="E10" t="s">
        <v>1592</v>
      </c>
      <c r="G10" t="s">
        <v>2260</v>
      </c>
      <c r="H10" t="s">
        <v>2261</v>
      </c>
      <c r="J10" t="s">
        <v>1512</v>
      </c>
      <c r="L10" t="s">
        <v>88</v>
      </c>
      <c r="M10" t="s">
        <v>73</v>
      </c>
      <c r="R10" t="s">
        <v>1593</v>
      </c>
      <c r="W10" t="s">
        <v>1592</v>
      </c>
      <c r="X10" t="s">
        <v>1594</v>
      </c>
      <c r="Y10" t="s">
        <v>91</v>
      </c>
      <c r="Z10" t="s">
        <v>74</v>
      </c>
      <c r="AA10" t="str">
        <f>"10014-6422"</f>
        <v>10014-6422</v>
      </c>
      <c r="AB10" t="s">
        <v>75</v>
      </c>
      <c r="AC10" t="s">
        <v>76</v>
      </c>
      <c r="AD10" t="s">
        <v>73</v>
      </c>
      <c r="AE10" t="s">
        <v>77</v>
      </c>
      <c r="AF10" t="s">
        <v>2242</v>
      </c>
      <c r="AG10" t="s">
        <v>78</v>
      </c>
    </row>
    <row r="11" spans="1:35" hidden="1" x14ac:dyDescent="0.25">
      <c r="A11" t="str">
        <f>"1417967670"</f>
        <v>1417967670</v>
      </c>
      <c r="B11" t="str">
        <f>"01484922"</f>
        <v>01484922</v>
      </c>
      <c r="C11" t="s">
        <v>2262</v>
      </c>
      <c r="D11" t="s">
        <v>2263</v>
      </c>
      <c r="E11" t="s">
        <v>2264</v>
      </c>
      <c r="G11" t="s">
        <v>2260</v>
      </c>
      <c r="H11" t="s">
        <v>2265</v>
      </c>
      <c r="J11" t="s">
        <v>1512</v>
      </c>
      <c r="L11" t="s">
        <v>80</v>
      </c>
      <c r="M11" t="s">
        <v>82</v>
      </c>
      <c r="R11" t="s">
        <v>2266</v>
      </c>
      <c r="W11" t="s">
        <v>2264</v>
      </c>
      <c r="X11" t="s">
        <v>2267</v>
      </c>
      <c r="Y11" t="s">
        <v>91</v>
      </c>
      <c r="Z11" t="s">
        <v>74</v>
      </c>
      <c r="AA11" t="str">
        <f>"10021-4707"</f>
        <v>10021-4707</v>
      </c>
      <c r="AB11" t="s">
        <v>75</v>
      </c>
      <c r="AC11" t="s">
        <v>76</v>
      </c>
      <c r="AD11" t="s">
        <v>73</v>
      </c>
      <c r="AE11" t="s">
        <v>77</v>
      </c>
      <c r="AF11" t="s">
        <v>2254</v>
      </c>
      <c r="AG11" t="s">
        <v>78</v>
      </c>
    </row>
    <row r="12" spans="1:35" hidden="1" x14ac:dyDescent="0.25">
      <c r="A12" t="str">
        <f>"1114026911"</f>
        <v>1114026911</v>
      </c>
      <c r="B12" t="str">
        <f>"01092575"</f>
        <v>01092575</v>
      </c>
      <c r="C12" t="s">
        <v>2268</v>
      </c>
      <c r="D12" t="s">
        <v>2269</v>
      </c>
      <c r="E12" t="s">
        <v>2270</v>
      </c>
      <c r="G12" t="s">
        <v>2260</v>
      </c>
      <c r="H12" t="s">
        <v>2271</v>
      </c>
      <c r="J12" t="s">
        <v>1512</v>
      </c>
      <c r="L12" t="s">
        <v>80</v>
      </c>
      <c r="M12" t="s">
        <v>73</v>
      </c>
      <c r="R12" t="s">
        <v>2272</v>
      </c>
      <c r="W12" t="s">
        <v>2273</v>
      </c>
      <c r="X12" t="s">
        <v>2274</v>
      </c>
      <c r="Y12" t="s">
        <v>91</v>
      </c>
      <c r="Z12" t="s">
        <v>74</v>
      </c>
      <c r="AA12" t="str">
        <f>"10010-5404"</f>
        <v>10010-5404</v>
      </c>
      <c r="AB12" t="s">
        <v>75</v>
      </c>
      <c r="AC12" t="s">
        <v>76</v>
      </c>
      <c r="AD12" t="s">
        <v>73</v>
      </c>
      <c r="AE12" t="s">
        <v>77</v>
      </c>
      <c r="AF12" t="s">
        <v>2254</v>
      </c>
      <c r="AG12" t="s">
        <v>78</v>
      </c>
    </row>
    <row r="13" spans="1:35" hidden="1" x14ac:dyDescent="0.25">
      <c r="A13" t="str">
        <f>"1598701963"</f>
        <v>1598701963</v>
      </c>
      <c r="B13" t="str">
        <f>"01755357"</f>
        <v>01755357</v>
      </c>
      <c r="C13" t="s">
        <v>2275</v>
      </c>
      <c r="D13" t="s">
        <v>1671</v>
      </c>
      <c r="E13" t="s">
        <v>1672</v>
      </c>
      <c r="G13" t="s">
        <v>2260</v>
      </c>
      <c r="H13" t="s">
        <v>2276</v>
      </c>
      <c r="J13" t="s">
        <v>1512</v>
      </c>
      <c r="L13" t="s">
        <v>72</v>
      </c>
      <c r="M13" t="s">
        <v>73</v>
      </c>
      <c r="R13" t="s">
        <v>1673</v>
      </c>
      <c r="W13" t="s">
        <v>1672</v>
      </c>
      <c r="X13" t="s">
        <v>1674</v>
      </c>
      <c r="Y13" t="s">
        <v>91</v>
      </c>
      <c r="Z13" t="s">
        <v>74</v>
      </c>
      <c r="AA13" t="str">
        <f>"10019-6301"</f>
        <v>10019-6301</v>
      </c>
      <c r="AB13" t="s">
        <v>75</v>
      </c>
      <c r="AC13" t="s">
        <v>76</v>
      </c>
      <c r="AD13" t="s">
        <v>73</v>
      </c>
      <c r="AE13" t="s">
        <v>77</v>
      </c>
      <c r="AF13" t="s">
        <v>2254</v>
      </c>
      <c r="AG13" t="s">
        <v>78</v>
      </c>
    </row>
    <row r="14" spans="1:35" hidden="1" x14ac:dyDescent="0.25">
      <c r="A14" t="str">
        <f>"1326190828"</f>
        <v>1326190828</v>
      </c>
      <c r="B14" t="str">
        <f>"00891121"</f>
        <v>00891121</v>
      </c>
      <c r="C14" t="s">
        <v>2277</v>
      </c>
      <c r="D14" t="s">
        <v>2278</v>
      </c>
      <c r="E14" t="s">
        <v>2279</v>
      </c>
      <c r="G14" t="s">
        <v>2260</v>
      </c>
      <c r="H14" t="s">
        <v>2280</v>
      </c>
      <c r="J14" t="s">
        <v>1512</v>
      </c>
      <c r="L14" t="s">
        <v>81</v>
      </c>
      <c r="M14" t="s">
        <v>73</v>
      </c>
      <c r="R14" t="s">
        <v>2281</v>
      </c>
      <c r="W14" t="s">
        <v>2279</v>
      </c>
      <c r="X14" t="s">
        <v>2282</v>
      </c>
      <c r="Y14" t="s">
        <v>91</v>
      </c>
      <c r="Z14" t="s">
        <v>74</v>
      </c>
      <c r="AA14" t="str">
        <f>"10011-9206"</f>
        <v>10011-9206</v>
      </c>
      <c r="AB14" t="s">
        <v>75</v>
      </c>
      <c r="AC14" t="s">
        <v>76</v>
      </c>
      <c r="AD14" t="s">
        <v>73</v>
      </c>
      <c r="AE14" t="s">
        <v>77</v>
      </c>
      <c r="AF14" t="s">
        <v>2242</v>
      </c>
      <c r="AG14" t="s">
        <v>78</v>
      </c>
    </row>
    <row r="15" spans="1:35" hidden="1" x14ac:dyDescent="0.25">
      <c r="A15" t="str">
        <f>"1992770630"</f>
        <v>1992770630</v>
      </c>
      <c r="B15" t="str">
        <f>"00711546"</f>
        <v>00711546</v>
      </c>
      <c r="C15" t="s">
        <v>2283</v>
      </c>
      <c r="D15" t="s">
        <v>2284</v>
      </c>
      <c r="E15" t="s">
        <v>2285</v>
      </c>
      <c r="G15" t="s">
        <v>2224</v>
      </c>
      <c r="H15" t="s">
        <v>2225</v>
      </c>
      <c r="J15" t="s">
        <v>2226</v>
      </c>
      <c r="L15" t="s">
        <v>80</v>
      </c>
      <c r="M15" t="s">
        <v>73</v>
      </c>
      <c r="R15" t="s">
        <v>2286</v>
      </c>
      <c r="W15" t="s">
        <v>2285</v>
      </c>
      <c r="X15" t="s">
        <v>2287</v>
      </c>
      <c r="Y15" t="s">
        <v>91</v>
      </c>
      <c r="Z15" t="s">
        <v>74</v>
      </c>
      <c r="AA15" t="str">
        <f>"10075-0385"</f>
        <v>10075-0385</v>
      </c>
      <c r="AB15" t="s">
        <v>75</v>
      </c>
      <c r="AC15" t="s">
        <v>76</v>
      </c>
      <c r="AD15" t="s">
        <v>73</v>
      </c>
      <c r="AE15" t="s">
        <v>77</v>
      </c>
      <c r="AF15" t="s">
        <v>2254</v>
      </c>
      <c r="AG15" t="s">
        <v>78</v>
      </c>
    </row>
    <row r="16" spans="1:35" hidden="1" x14ac:dyDescent="0.25">
      <c r="A16" t="str">
        <f>"1760507529"</f>
        <v>1760507529</v>
      </c>
      <c r="B16" t="str">
        <f>"03088511"</f>
        <v>03088511</v>
      </c>
      <c r="C16" t="s">
        <v>2288</v>
      </c>
      <c r="D16" t="s">
        <v>2289</v>
      </c>
      <c r="E16" t="s">
        <v>2290</v>
      </c>
      <c r="G16" t="s">
        <v>2224</v>
      </c>
      <c r="H16" t="s">
        <v>2225</v>
      </c>
      <c r="J16" t="s">
        <v>2226</v>
      </c>
      <c r="L16" t="s">
        <v>72</v>
      </c>
      <c r="M16" t="s">
        <v>73</v>
      </c>
      <c r="R16" t="s">
        <v>2290</v>
      </c>
      <c r="W16" t="s">
        <v>2291</v>
      </c>
      <c r="X16" t="s">
        <v>2292</v>
      </c>
      <c r="Y16" t="s">
        <v>91</v>
      </c>
      <c r="Z16" t="s">
        <v>74</v>
      </c>
      <c r="AA16" t="str">
        <f>"10032-1559"</f>
        <v>10032-1559</v>
      </c>
      <c r="AB16" t="s">
        <v>75</v>
      </c>
      <c r="AC16" t="s">
        <v>76</v>
      </c>
      <c r="AD16" t="s">
        <v>73</v>
      </c>
      <c r="AE16" t="s">
        <v>77</v>
      </c>
      <c r="AF16" t="s">
        <v>2242</v>
      </c>
      <c r="AG16" t="s">
        <v>78</v>
      </c>
    </row>
    <row r="17" spans="1:33" hidden="1" x14ac:dyDescent="0.25">
      <c r="A17" t="str">
        <f>"1760564710"</f>
        <v>1760564710</v>
      </c>
      <c r="B17" t="str">
        <f>"02526649"</f>
        <v>02526649</v>
      </c>
      <c r="C17" t="s">
        <v>2293</v>
      </c>
      <c r="D17" t="s">
        <v>2294</v>
      </c>
      <c r="E17" t="s">
        <v>2295</v>
      </c>
      <c r="G17" t="s">
        <v>2224</v>
      </c>
      <c r="H17" t="s">
        <v>2225</v>
      </c>
      <c r="J17" t="s">
        <v>2226</v>
      </c>
      <c r="L17" t="s">
        <v>80</v>
      </c>
      <c r="M17" t="s">
        <v>82</v>
      </c>
      <c r="R17" t="s">
        <v>2296</v>
      </c>
      <c r="W17" t="s">
        <v>2295</v>
      </c>
      <c r="X17" t="s">
        <v>2297</v>
      </c>
      <c r="Y17" t="s">
        <v>91</v>
      </c>
      <c r="Z17" t="s">
        <v>74</v>
      </c>
      <c r="AA17" t="str">
        <f>"10032-3720"</f>
        <v>10032-3720</v>
      </c>
      <c r="AB17" t="s">
        <v>75</v>
      </c>
      <c r="AC17" t="s">
        <v>76</v>
      </c>
      <c r="AD17" t="s">
        <v>73</v>
      </c>
      <c r="AE17" t="s">
        <v>77</v>
      </c>
      <c r="AF17" t="s">
        <v>2254</v>
      </c>
      <c r="AG17" t="s">
        <v>78</v>
      </c>
    </row>
    <row r="18" spans="1:33" hidden="1" x14ac:dyDescent="0.25">
      <c r="A18" t="str">
        <f>"1285721357"</f>
        <v>1285721357</v>
      </c>
      <c r="B18" t="str">
        <f>"01432948"</f>
        <v>01432948</v>
      </c>
      <c r="C18" t="s">
        <v>2298</v>
      </c>
      <c r="D18" t="s">
        <v>2299</v>
      </c>
      <c r="E18" t="s">
        <v>2300</v>
      </c>
      <c r="G18" t="s">
        <v>2224</v>
      </c>
      <c r="H18" t="s">
        <v>2225</v>
      </c>
      <c r="J18" t="s">
        <v>2226</v>
      </c>
      <c r="L18" t="s">
        <v>81</v>
      </c>
      <c r="M18" t="s">
        <v>73</v>
      </c>
      <c r="R18" t="s">
        <v>2301</v>
      </c>
      <c r="W18" t="s">
        <v>2300</v>
      </c>
      <c r="X18" t="s">
        <v>628</v>
      </c>
      <c r="Y18" t="s">
        <v>91</v>
      </c>
      <c r="Z18" t="s">
        <v>74</v>
      </c>
      <c r="AA18" t="str">
        <f>"10021-4872"</f>
        <v>10021-4872</v>
      </c>
      <c r="AB18" t="s">
        <v>75</v>
      </c>
      <c r="AC18" t="s">
        <v>76</v>
      </c>
      <c r="AD18" t="s">
        <v>73</v>
      </c>
      <c r="AE18" t="s">
        <v>77</v>
      </c>
      <c r="AF18" t="s">
        <v>2242</v>
      </c>
      <c r="AG18" t="s">
        <v>78</v>
      </c>
    </row>
    <row r="19" spans="1:33" hidden="1" x14ac:dyDescent="0.25">
      <c r="A19" t="str">
        <f>"1790796563"</f>
        <v>1790796563</v>
      </c>
      <c r="B19" t="str">
        <f>"00506794"</f>
        <v>00506794</v>
      </c>
      <c r="C19" t="s">
        <v>2302</v>
      </c>
      <c r="D19" t="s">
        <v>2303</v>
      </c>
      <c r="E19" t="s">
        <v>2304</v>
      </c>
      <c r="L19" t="s">
        <v>80</v>
      </c>
      <c r="M19" t="s">
        <v>73</v>
      </c>
      <c r="R19" t="s">
        <v>2305</v>
      </c>
      <c r="W19" t="s">
        <v>2306</v>
      </c>
      <c r="X19" t="s">
        <v>170</v>
      </c>
      <c r="Y19" t="s">
        <v>91</v>
      </c>
      <c r="Z19" t="s">
        <v>74</v>
      </c>
      <c r="AA19" t="str">
        <f>"10065-4870"</f>
        <v>10065-4870</v>
      </c>
      <c r="AB19" t="s">
        <v>75</v>
      </c>
      <c r="AC19" t="s">
        <v>76</v>
      </c>
      <c r="AD19" t="s">
        <v>73</v>
      </c>
      <c r="AE19" t="s">
        <v>77</v>
      </c>
      <c r="AF19" t="s">
        <v>2242</v>
      </c>
      <c r="AG19" t="s">
        <v>78</v>
      </c>
    </row>
    <row r="20" spans="1:33" hidden="1" x14ac:dyDescent="0.25">
      <c r="A20" t="str">
        <f>"1982995270"</f>
        <v>1982995270</v>
      </c>
      <c r="B20" t="str">
        <f>"03922350"</f>
        <v>03922350</v>
      </c>
      <c r="C20" t="s">
        <v>2307</v>
      </c>
      <c r="D20" t="s">
        <v>2308</v>
      </c>
      <c r="E20" t="s">
        <v>2309</v>
      </c>
      <c r="L20" t="s">
        <v>80</v>
      </c>
      <c r="M20" t="s">
        <v>73</v>
      </c>
      <c r="R20" t="s">
        <v>2309</v>
      </c>
      <c r="W20" t="s">
        <v>2310</v>
      </c>
      <c r="X20" t="s">
        <v>170</v>
      </c>
      <c r="Y20" t="s">
        <v>91</v>
      </c>
      <c r="Z20" t="s">
        <v>74</v>
      </c>
      <c r="AA20" t="str">
        <f>"10065-4870"</f>
        <v>10065-4870</v>
      </c>
      <c r="AB20" t="s">
        <v>75</v>
      </c>
      <c r="AC20" t="s">
        <v>76</v>
      </c>
      <c r="AD20" t="s">
        <v>73</v>
      </c>
      <c r="AE20" t="s">
        <v>77</v>
      </c>
      <c r="AF20" t="s">
        <v>2242</v>
      </c>
      <c r="AG20" t="s">
        <v>78</v>
      </c>
    </row>
    <row r="21" spans="1:33" hidden="1" x14ac:dyDescent="0.25">
      <c r="A21" t="str">
        <f>"1770814543"</f>
        <v>1770814543</v>
      </c>
      <c r="C21" t="s">
        <v>2311</v>
      </c>
      <c r="G21" t="s">
        <v>2224</v>
      </c>
      <c r="H21" t="s">
        <v>2312</v>
      </c>
      <c r="J21" t="s">
        <v>2226</v>
      </c>
      <c r="K21" t="s">
        <v>171</v>
      </c>
      <c r="L21" t="s">
        <v>72</v>
      </c>
      <c r="M21" t="s">
        <v>73</v>
      </c>
      <c r="R21" t="s">
        <v>2313</v>
      </c>
      <c r="S21" t="s">
        <v>2314</v>
      </c>
      <c r="T21" t="s">
        <v>91</v>
      </c>
      <c r="U21" t="s">
        <v>74</v>
      </c>
      <c r="V21" t="str">
        <f>"100654870"</f>
        <v>100654870</v>
      </c>
      <c r="AC21" t="s">
        <v>76</v>
      </c>
      <c r="AD21" t="s">
        <v>73</v>
      </c>
      <c r="AE21" t="s">
        <v>97</v>
      </c>
      <c r="AF21" t="s">
        <v>2242</v>
      </c>
      <c r="AG21" t="s">
        <v>78</v>
      </c>
    </row>
    <row r="22" spans="1:33" hidden="1" x14ac:dyDescent="0.25">
      <c r="A22" t="str">
        <f>"1427292879"</f>
        <v>1427292879</v>
      </c>
      <c r="B22" t="str">
        <f>"03117195"</f>
        <v>03117195</v>
      </c>
      <c r="C22" t="s">
        <v>2315</v>
      </c>
      <c r="D22" t="s">
        <v>2316</v>
      </c>
      <c r="E22" t="s">
        <v>2317</v>
      </c>
      <c r="G22" t="s">
        <v>282</v>
      </c>
      <c r="H22" t="s">
        <v>248</v>
      </c>
      <c r="I22">
        <v>2604</v>
      </c>
      <c r="J22" t="s">
        <v>283</v>
      </c>
      <c r="L22" t="s">
        <v>81</v>
      </c>
      <c r="M22" t="s">
        <v>82</v>
      </c>
      <c r="R22" t="s">
        <v>2317</v>
      </c>
      <c r="W22" t="s">
        <v>2318</v>
      </c>
      <c r="X22" t="s">
        <v>285</v>
      </c>
      <c r="Y22" t="s">
        <v>91</v>
      </c>
      <c r="Z22" t="s">
        <v>74</v>
      </c>
      <c r="AA22" t="str">
        <f>"10013-4135"</f>
        <v>10013-4135</v>
      </c>
      <c r="AB22" t="s">
        <v>75</v>
      </c>
      <c r="AC22" t="s">
        <v>76</v>
      </c>
      <c r="AD22" t="s">
        <v>73</v>
      </c>
      <c r="AE22" t="s">
        <v>77</v>
      </c>
      <c r="AF22" t="s">
        <v>2319</v>
      </c>
      <c r="AG22" t="s">
        <v>78</v>
      </c>
    </row>
    <row r="23" spans="1:33" hidden="1" x14ac:dyDescent="0.25">
      <c r="A23" t="str">
        <f>"1942580030"</f>
        <v>1942580030</v>
      </c>
      <c r="B23" t="str">
        <f>"03700736"</f>
        <v>03700736</v>
      </c>
      <c r="C23" t="s">
        <v>2320</v>
      </c>
      <c r="D23" t="s">
        <v>2321</v>
      </c>
      <c r="E23" t="s">
        <v>2322</v>
      </c>
      <c r="G23" t="s">
        <v>2224</v>
      </c>
      <c r="H23" t="s">
        <v>2225</v>
      </c>
      <c r="J23" t="s">
        <v>2226</v>
      </c>
      <c r="L23" t="s">
        <v>72</v>
      </c>
      <c r="M23" t="s">
        <v>73</v>
      </c>
      <c r="R23" t="s">
        <v>2323</v>
      </c>
      <c r="W23" t="s">
        <v>2322</v>
      </c>
      <c r="X23" t="s">
        <v>2324</v>
      </c>
      <c r="Y23" t="s">
        <v>91</v>
      </c>
      <c r="Z23" t="s">
        <v>74</v>
      </c>
      <c r="AA23" t="str">
        <f>"10032-4655"</f>
        <v>10032-4655</v>
      </c>
      <c r="AB23" t="s">
        <v>113</v>
      </c>
      <c r="AC23" t="s">
        <v>76</v>
      </c>
      <c r="AD23" t="s">
        <v>73</v>
      </c>
      <c r="AE23" t="s">
        <v>77</v>
      </c>
      <c r="AF23" t="s">
        <v>2254</v>
      </c>
      <c r="AG23" t="s">
        <v>78</v>
      </c>
    </row>
    <row r="24" spans="1:33" hidden="1" x14ac:dyDescent="0.25">
      <c r="A24" t="str">
        <f>"1780668764"</f>
        <v>1780668764</v>
      </c>
      <c r="B24" t="str">
        <f>"03094364"</f>
        <v>03094364</v>
      </c>
      <c r="C24" t="s">
        <v>2325</v>
      </c>
      <c r="D24" t="s">
        <v>2326</v>
      </c>
      <c r="E24" t="s">
        <v>2327</v>
      </c>
      <c r="G24" t="s">
        <v>2224</v>
      </c>
      <c r="H24" t="s">
        <v>2225</v>
      </c>
      <c r="J24" t="s">
        <v>2226</v>
      </c>
      <c r="L24" t="s">
        <v>80</v>
      </c>
      <c r="M24" t="s">
        <v>73</v>
      </c>
      <c r="R24" t="s">
        <v>2328</v>
      </c>
      <c r="W24" t="s">
        <v>2327</v>
      </c>
      <c r="X24" t="s">
        <v>1338</v>
      </c>
      <c r="Y24" t="s">
        <v>1339</v>
      </c>
      <c r="Z24" t="s">
        <v>74</v>
      </c>
      <c r="AA24" t="str">
        <f>"10954-1601"</f>
        <v>10954-1601</v>
      </c>
      <c r="AB24" t="s">
        <v>75</v>
      </c>
      <c r="AC24" t="s">
        <v>76</v>
      </c>
      <c r="AD24" t="s">
        <v>73</v>
      </c>
      <c r="AE24" t="s">
        <v>77</v>
      </c>
      <c r="AF24" t="s">
        <v>2228</v>
      </c>
      <c r="AG24" t="s">
        <v>78</v>
      </c>
    </row>
    <row r="25" spans="1:33" hidden="1" x14ac:dyDescent="0.25">
      <c r="A25" t="str">
        <f>"1780692426"</f>
        <v>1780692426</v>
      </c>
      <c r="B25" t="str">
        <f>"01598609"</f>
        <v>01598609</v>
      </c>
      <c r="C25" t="s">
        <v>2329</v>
      </c>
      <c r="D25" t="s">
        <v>2330</v>
      </c>
      <c r="E25" t="s">
        <v>2331</v>
      </c>
      <c r="G25" t="s">
        <v>2224</v>
      </c>
      <c r="H25" t="s">
        <v>2225</v>
      </c>
      <c r="J25" t="s">
        <v>2226</v>
      </c>
      <c r="L25" t="s">
        <v>80</v>
      </c>
      <c r="M25" t="s">
        <v>73</v>
      </c>
      <c r="R25" t="s">
        <v>2332</v>
      </c>
      <c r="W25" t="s">
        <v>2331</v>
      </c>
      <c r="X25" t="s">
        <v>2333</v>
      </c>
      <c r="Y25" t="s">
        <v>91</v>
      </c>
      <c r="Z25" t="s">
        <v>74</v>
      </c>
      <c r="AA25" t="str">
        <f>"10032-3726"</f>
        <v>10032-3726</v>
      </c>
      <c r="AB25" t="s">
        <v>75</v>
      </c>
      <c r="AC25" t="s">
        <v>76</v>
      </c>
      <c r="AD25" t="s">
        <v>73</v>
      </c>
      <c r="AE25" t="s">
        <v>77</v>
      </c>
      <c r="AF25" t="s">
        <v>2254</v>
      </c>
      <c r="AG25" t="s">
        <v>78</v>
      </c>
    </row>
    <row r="26" spans="1:33" hidden="1" x14ac:dyDescent="0.25">
      <c r="A26" t="str">
        <f>"1003920273"</f>
        <v>1003920273</v>
      </c>
      <c r="B26" t="str">
        <f>"01126998"</f>
        <v>01126998</v>
      </c>
      <c r="C26" t="s">
        <v>2334</v>
      </c>
      <c r="D26" t="s">
        <v>2335</v>
      </c>
      <c r="E26" t="s">
        <v>2336</v>
      </c>
      <c r="G26" t="s">
        <v>2224</v>
      </c>
      <c r="H26" t="s">
        <v>2337</v>
      </c>
      <c r="J26" t="s">
        <v>2226</v>
      </c>
      <c r="L26" t="s">
        <v>80</v>
      </c>
      <c r="M26" t="s">
        <v>73</v>
      </c>
      <c r="R26" t="s">
        <v>2338</v>
      </c>
      <c r="W26" t="s">
        <v>2336</v>
      </c>
      <c r="X26" t="s">
        <v>124</v>
      </c>
      <c r="Y26" t="s">
        <v>125</v>
      </c>
      <c r="Z26" t="s">
        <v>74</v>
      </c>
      <c r="AA26" t="str">
        <f>"11355-5045"</f>
        <v>11355-5045</v>
      </c>
      <c r="AB26" t="s">
        <v>75</v>
      </c>
      <c r="AC26" t="s">
        <v>76</v>
      </c>
      <c r="AD26" t="s">
        <v>73</v>
      </c>
      <c r="AE26" t="s">
        <v>77</v>
      </c>
      <c r="AF26" t="s">
        <v>2242</v>
      </c>
      <c r="AG26" t="s">
        <v>78</v>
      </c>
    </row>
    <row r="27" spans="1:33" hidden="1" x14ac:dyDescent="0.25">
      <c r="A27" t="str">
        <f>"1902095649"</f>
        <v>1902095649</v>
      </c>
      <c r="B27" t="str">
        <f>"03050951"</f>
        <v>03050951</v>
      </c>
      <c r="C27" t="s">
        <v>2339</v>
      </c>
      <c r="D27" t="s">
        <v>1609</v>
      </c>
      <c r="E27" t="s">
        <v>1610</v>
      </c>
      <c r="G27" t="s">
        <v>2260</v>
      </c>
      <c r="H27" t="s">
        <v>2340</v>
      </c>
      <c r="J27" t="s">
        <v>1512</v>
      </c>
      <c r="L27" t="s">
        <v>88</v>
      </c>
      <c r="M27" t="s">
        <v>82</v>
      </c>
      <c r="R27" t="s">
        <v>1611</v>
      </c>
      <c r="W27" t="s">
        <v>1612</v>
      </c>
      <c r="X27" t="s">
        <v>201</v>
      </c>
      <c r="Y27" t="s">
        <v>91</v>
      </c>
      <c r="Z27" t="s">
        <v>74</v>
      </c>
      <c r="AA27" t="str">
        <f>"10029-6501"</f>
        <v>10029-6501</v>
      </c>
      <c r="AB27" t="s">
        <v>75</v>
      </c>
      <c r="AC27" t="s">
        <v>76</v>
      </c>
      <c r="AD27" t="s">
        <v>73</v>
      </c>
      <c r="AE27" t="s">
        <v>77</v>
      </c>
      <c r="AF27" t="s">
        <v>2254</v>
      </c>
      <c r="AG27" t="s">
        <v>78</v>
      </c>
    </row>
    <row r="28" spans="1:33" hidden="1" x14ac:dyDescent="0.25">
      <c r="A28" t="str">
        <f>"1386762102"</f>
        <v>1386762102</v>
      </c>
      <c r="B28" t="str">
        <f>"03251067"</f>
        <v>03251067</v>
      </c>
      <c r="C28" t="s">
        <v>2341</v>
      </c>
      <c r="D28" t="s">
        <v>1799</v>
      </c>
      <c r="E28" t="s">
        <v>1800</v>
      </c>
      <c r="L28" t="s">
        <v>72</v>
      </c>
      <c r="M28" t="s">
        <v>73</v>
      </c>
      <c r="R28" t="s">
        <v>1801</v>
      </c>
      <c r="W28" t="s">
        <v>1800</v>
      </c>
      <c r="X28" t="s">
        <v>1379</v>
      </c>
      <c r="Y28" t="s">
        <v>91</v>
      </c>
      <c r="Z28" t="s">
        <v>74</v>
      </c>
      <c r="AA28" t="str">
        <f>"10032-3720"</f>
        <v>10032-3720</v>
      </c>
      <c r="AB28" t="s">
        <v>75</v>
      </c>
      <c r="AC28" t="s">
        <v>76</v>
      </c>
      <c r="AD28" t="s">
        <v>73</v>
      </c>
      <c r="AE28" t="s">
        <v>77</v>
      </c>
      <c r="AF28" t="s">
        <v>2228</v>
      </c>
      <c r="AG28" t="s">
        <v>78</v>
      </c>
    </row>
    <row r="29" spans="1:33" hidden="1" x14ac:dyDescent="0.25">
      <c r="A29" t="str">
        <f>"1942384128"</f>
        <v>1942384128</v>
      </c>
      <c r="B29" t="str">
        <f>"01959957"</f>
        <v>01959957</v>
      </c>
      <c r="C29" t="s">
        <v>2342</v>
      </c>
      <c r="D29" t="s">
        <v>2343</v>
      </c>
      <c r="E29" t="s">
        <v>2344</v>
      </c>
      <c r="L29" t="s">
        <v>72</v>
      </c>
      <c r="M29" t="s">
        <v>73</v>
      </c>
      <c r="R29" t="s">
        <v>2345</v>
      </c>
      <c r="W29" t="s">
        <v>2344</v>
      </c>
      <c r="X29" t="s">
        <v>2346</v>
      </c>
      <c r="Y29" t="s">
        <v>91</v>
      </c>
      <c r="Z29" t="s">
        <v>74</v>
      </c>
      <c r="AA29" t="str">
        <f>"10032-3720"</f>
        <v>10032-3720</v>
      </c>
      <c r="AB29" t="s">
        <v>75</v>
      </c>
      <c r="AC29" t="s">
        <v>76</v>
      </c>
      <c r="AD29" t="s">
        <v>73</v>
      </c>
      <c r="AE29" t="s">
        <v>77</v>
      </c>
      <c r="AF29" t="s">
        <v>2254</v>
      </c>
      <c r="AG29" t="s">
        <v>78</v>
      </c>
    </row>
    <row r="30" spans="1:33" hidden="1" x14ac:dyDescent="0.25">
      <c r="A30" t="str">
        <f>"1033259593"</f>
        <v>1033259593</v>
      </c>
      <c r="B30" t="str">
        <f>"02887534"</f>
        <v>02887534</v>
      </c>
      <c r="C30" t="s">
        <v>2347</v>
      </c>
      <c r="D30" t="s">
        <v>1765</v>
      </c>
      <c r="E30" t="s">
        <v>1766</v>
      </c>
      <c r="G30" t="s">
        <v>282</v>
      </c>
      <c r="H30" t="s">
        <v>248</v>
      </c>
      <c r="I30">
        <v>2604</v>
      </c>
      <c r="J30" t="s">
        <v>283</v>
      </c>
      <c r="L30" t="s">
        <v>100</v>
      </c>
      <c r="M30" t="s">
        <v>82</v>
      </c>
      <c r="R30" t="s">
        <v>1767</v>
      </c>
      <c r="W30" t="s">
        <v>1766</v>
      </c>
      <c r="X30" t="s">
        <v>220</v>
      </c>
      <c r="Y30" t="s">
        <v>91</v>
      </c>
      <c r="Z30" t="s">
        <v>74</v>
      </c>
      <c r="AA30" t="str">
        <f>"10029-6500"</f>
        <v>10029-6500</v>
      </c>
      <c r="AB30" t="s">
        <v>75</v>
      </c>
      <c r="AC30" t="s">
        <v>76</v>
      </c>
      <c r="AD30" t="s">
        <v>73</v>
      </c>
      <c r="AE30" t="s">
        <v>77</v>
      </c>
      <c r="AF30" t="s">
        <v>2319</v>
      </c>
      <c r="AG30" t="s">
        <v>78</v>
      </c>
    </row>
    <row r="31" spans="1:33" hidden="1" x14ac:dyDescent="0.25">
      <c r="A31" t="str">
        <f>"1497741425"</f>
        <v>1497741425</v>
      </c>
      <c r="B31" t="str">
        <f>"01863987"</f>
        <v>01863987</v>
      </c>
      <c r="C31" t="s">
        <v>2348</v>
      </c>
      <c r="D31" t="s">
        <v>2349</v>
      </c>
      <c r="E31" t="s">
        <v>2350</v>
      </c>
      <c r="G31" t="s">
        <v>282</v>
      </c>
      <c r="H31" t="s">
        <v>248</v>
      </c>
      <c r="I31">
        <v>2604</v>
      </c>
      <c r="J31" t="s">
        <v>283</v>
      </c>
      <c r="L31" t="s">
        <v>80</v>
      </c>
      <c r="M31" t="s">
        <v>82</v>
      </c>
      <c r="R31" t="s">
        <v>2351</v>
      </c>
      <c r="W31" t="s">
        <v>2352</v>
      </c>
      <c r="X31" t="s">
        <v>249</v>
      </c>
      <c r="Y31" t="s">
        <v>91</v>
      </c>
      <c r="Z31" t="s">
        <v>74</v>
      </c>
      <c r="AA31" t="str">
        <f>"10013-3599"</f>
        <v>10013-3599</v>
      </c>
      <c r="AB31" t="s">
        <v>75</v>
      </c>
      <c r="AC31" t="s">
        <v>76</v>
      </c>
      <c r="AD31" t="s">
        <v>73</v>
      </c>
      <c r="AE31" t="s">
        <v>77</v>
      </c>
      <c r="AF31" t="s">
        <v>2319</v>
      </c>
      <c r="AG31" t="s">
        <v>78</v>
      </c>
    </row>
    <row r="32" spans="1:33" hidden="1" x14ac:dyDescent="0.25">
      <c r="A32" t="str">
        <f>"1831257708"</f>
        <v>1831257708</v>
      </c>
      <c r="C32" t="s">
        <v>2353</v>
      </c>
      <c r="G32" t="s">
        <v>2224</v>
      </c>
      <c r="H32" t="s">
        <v>2225</v>
      </c>
      <c r="J32" t="s">
        <v>2226</v>
      </c>
      <c r="K32" t="s">
        <v>171</v>
      </c>
      <c r="L32" t="s">
        <v>72</v>
      </c>
      <c r="M32" t="s">
        <v>73</v>
      </c>
      <c r="R32" t="s">
        <v>2354</v>
      </c>
      <c r="S32" t="s">
        <v>2355</v>
      </c>
      <c r="T32" t="s">
        <v>2356</v>
      </c>
      <c r="U32" t="s">
        <v>139</v>
      </c>
      <c r="V32" t="str">
        <f>"07428"</f>
        <v>07428</v>
      </c>
      <c r="AC32" t="s">
        <v>76</v>
      </c>
      <c r="AD32" t="s">
        <v>73</v>
      </c>
      <c r="AE32" t="s">
        <v>97</v>
      </c>
      <c r="AF32" t="s">
        <v>2242</v>
      </c>
      <c r="AG32" t="s">
        <v>78</v>
      </c>
    </row>
    <row r="33" spans="1:33" hidden="1" x14ac:dyDescent="0.25">
      <c r="A33" t="str">
        <f>"1922012236"</f>
        <v>1922012236</v>
      </c>
      <c r="B33" t="str">
        <f>"02064437"</f>
        <v>02064437</v>
      </c>
      <c r="C33" t="s">
        <v>2357</v>
      </c>
      <c r="D33" t="s">
        <v>2358</v>
      </c>
      <c r="E33" t="s">
        <v>2359</v>
      </c>
      <c r="L33" t="s">
        <v>80</v>
      </c>
      <c r="M33" t="s">
        <v>73</v>
      </c>
      <c r="R33" t="s">
        <v>2360</v>
      </c>
      <c r="W33" t="s">
        <v>2359</v>
      </c>
      <c r="X33" t="s">
        <v>2123</v>
      </c>
      <c r="Y33" t="s">
        <v>91</v>
      </c>
      <c r="Z33" t="s">
        <v>74</v>
      </c>
      <c r="AA33" t="str">
        <f>"10065-4870"</f>
        <v>10065-4870</v>
      </c>
      <c r="AB33" t="s">
        <v>75</v>
      </c>
      <c r="AC33" t="s">
        <v>76</v>
      </c>
      <c r="AD33" t="s">
        <v>73</v>
      </c>
      <c r="AE33" t="s">
        <v>77</v>
      </c>
      <c r="AF33" t="s">
        <v>2242</v>
      </c>
      <c r="AG33" t="s">
        <v>78</v>
      </c>
    </row>
    <row r="34" spans="1:33" hidden="1" x14ac:dyDescent="0.25">
      <c r="A34" t="str">
        <f>"1043226434"</f>
        <v>1043226434</v>
      </c>
      <c r="B34" t="str">
        <f>"01733311"</f>
        <v>01733311</v>
      </c>
      <c r="C34" t="s">
        <v>2361</v>
      </c>
      <c r="D34" t="s">
        <v>2362</v>
      </c>
      <c r="E34" t="s">
        <v>2363</v>
      </c>
      <c r="L34" t="s">
        <v>80</v>
      </c>
      <c r="M34" t="s">
        <v>73</v>
      </c>
      <c r="R34" t="s">
        <v>2364</v>
      </c>
      <c r="W34" t="s">
        <v>2363</v>
      </c>
      <c r="X34" t="s">
        <v>2365</v>
      </c>
      <c r="Y34" t="s">
        <v>91</v>
      </c>
      <c r="Z34" t="s">
        <v>74</v>
      </c>
      <c r="AA34" t="str">
        <f>"10065-4870"</f>
        <v>10065-4870</v>
      </c>
      <c r="AB34" t="s">
        <v>75</v>
      </c>
      <c r="AC34" t="s">
        <v>76</v>
      </c>
      <c r="AD34" t="s">
        <v>73</v>
      </c>
      <c r="AE34" t="s">
        <v>77</v>
      </c>
      <c r="AF34" t="s">
        <v>2242</v>
      </c>
      <c r="AG34" t="s">
        <v>78</v>
      </c>
    </row>
    <row r="35" spans="1:33" hidden="1" x14ac:dyDescent="0.25">
      <c r="A35" t="str">
        <f>"1932441151"</f>
        <v>1932441151</v>
      </c>
      <c r="C35" t="s">
        <v>2366</v>
      </c>
      <c r="G35" t="s">
        <v>2224</v>
      </c>
      <c r="H35" t="s">
        <v>2312</v>
      </c>
      <c r="J35" t="s">
        <v>2226</v>
      </c>
      <c r="K35" t="s">
        <v>171</v>
      </c>
      <c r="L35" t="s">
        <v>96</v>
      </c>
      <c r="M35" t="s">
        <v>73</v>
      </c>
      <c r="R35" t="s">
        <v>2367</v>
      </c>
      <c r="S35" t="s">
        <v>2368</v>
      </c>
      <c r="T35" t="s">
        <v>91</v>
      </c>
      <c r="U35" t="s">
        <v>74</v>
      </c>
      <c r="V35" t="str">
        <f>"100323720"</f>
        <v>100323720</v>
      </c>
      <c r="AC35" t="s">
        <v>76</v>
      </c>
      <c r="AD35" t="s">
        <v>73</v>
      </c>
      <c r="AE35" t="s">
        <v>97</v>
      </c>
      <c r="AF35" t="s">
        <v>2228</v>
      </c>
      <c r="AG35" t="s">
        <v>78</v>
      </c>
    </row>
    <row r="36" spans="1:33" hidden="1" x14ac:dyDescent="0.25">
      <c r="A36" t="str">
        <f>"1104244631"</f>
        <v>1104244631</v>
      </c>
      <c r="C36" t="s">
        <v>2369</v>
      </c>
      <c r="G36" t="s">
        <v>2224</v>
      </c>
      <c r="H36" t="s">
        <v>2312</v>
      </c>
      <c r="J36" t="s">
        <v>2226</v>
      </c>
      <c r="K36" t="s">
        <v>171</v>
      </c>
      <c r="L36" t="s">
        <v>96</v>
      </c>
      <c r="M36" t="s">
        <v>73</v>
      </c>
      <c r="R36" t="s">
        <v>2370</v>
      </c>
      <c r="S36" t="s">
        <v>2371</v>
      </c>
      <c r="T36" t="s">
        <v>91</v>
      </c>
      <c r="U36" t="s">
        <v>74</v>
      </c>
      <c r="V36" t="str">
        <f>"100654870"</f>
        <v>100654870</v>
      </c>
      <c r="AC36" t="s">
        <v>76</v>
      </c>
      <c r="AD36" t="s">
        <v>73</v>
      </c>
      <c r="AE36" t="s">
        <v>97</v>
      </c>
      <c r="AF36" t="s">
        <v>2242</v>
      </c>
      <c r="AG36" t="s">
        <v>78</v>
      </c>
    </row>
    <row r="37" spans="1:33" hidden="1" x14ac:dyDescent="0.25">
      <c r="A37" t="str">
        <f>"1659637882"</f>
        <v>1659637882</v>
      </c>
      <c r="C37" t="s">
        <v>2372</v>
      </c>
      <c r="G37" t="s">
        <v>2224</v>
      </c>
      <c r="H37" t="s">
        <v>2312</v>
      </c>
      <c r="J37" t="s">
        <v>2226</v>
      </c>
      <c r="K37" t="s">
        <v>171</v>
      </c>
      <c r="L37" t="s">
        <v>96</v>
      </c>
      <c r="M37" t="s">
        <v>73</v>
      </c>
      <c r="R37" t="s">
        <v>2373</v>
      </c>
      <c r="S37" t="s">
        <v>170</v>
      </c>
      <c r="T37" t="s">
        <v>91</v>
      </c>
      <c r="U37" t="s">
        <v>74</v>
      </c>
      <c r="V37" t="str">
        <f>"100654870"</f>
        <v>100654870</v>
      </c>
      <c r="AC37" t="s">
        <v>76</v>
      </c>
      <c r="AD37" t="s">
        <v>73</v>
      </c>
      <c r="AE37" t="s">
        <v>97</v>
      </c>
      <c r="AF37" t="s">
        <v>2242</v>
      </c>
      <c r="AG37" t="s">
        <v>78</v>
      </c>
    </row>
    <row r="38" spans="1:33" hidden="1" x14ac:dyDescent="0.25">
      <c r="A38" t="str">
        <f>"1265775837"</f>
        <v>1265775837</v>
      </c>
      <c r="C38" t="s">
        <v>2374</v>
      </c>
      <c r="G38" t="s">
        <v>2224</v>
      </c>
      <c r="H38" t="s">
        <v>2312</v>
      </c>
      <c r="J38" t="s">
        <v>2226</v>
      </c>
      <c r="K38" t="s">
        <v>171</v>
      </c>
      <c r="L38" t="s">
        <v>96</v>
      </c>
      <c r="M38" t="s">
        <v>73</v>
      </c>
      <c r="R38" t="s">
        <v>2375</v>
      </c>
      <c r="S38" t="s">
        <v>170</v>
      </c>
      <c r="T38" t="s">
        <v>91</v>
      </c>
      <c r="U38" t="s">
        <v>74</v>
      </c>
      <c r="V38" t="str">
        <f>"100654870"</f>
        <v>100654870</v>
      </c>
      <c r="AC38" t="s">
        <v>76</v>
      </c>
      <c r="AD38" t="s">
        <v>73</v>
      </c>
      <c r="AE38" t="s">
        <v>97</v>
      </c>
      <c r="AF38" t="s">
        <v>2242</v>
      </c>
      <c r="AG38" t="s">
        <v>78</v>
      </c>
    </row>
    <row r="39" spans="1:33" hidden="1" x14ac:dyDescent="0.25">
      <c r="A39" t="str">
        <f>"1558705301"</f>
        <v>1558705301</v>
      </c>
      <c r="C39" t="s">
        <v>2376</v>
      </c>
      <c r="G39" t="s">
        <v>2224</v>
      </c>
      <c r="H39" t="s">
        <v>2312</v>
      </c>
      <c r="J39" t="s">
        <v>2226</v>
      </c>
      <c r="K39" t="s">
        <v>171</v>
      </c>
      <c r="L39" t="s">
        <v>96</v>
      </c>
      <c r="M39" t="s">
        <v>73</v>
      </c>
      <c r="R39" t="s">
        <v>2377</v>
      </c>
      <c r="S39" t="s">
        <v>2378</v>
      </c>
      <c r="T39" t="s">
        <v>1746</v>
      </c>
      <c r="U39" t="s">
        <v>1161</v>
      </c>
      <c r="V39" t="str">
        <f>"483243273"</f>
        <v>483243273</v>
      </c>
      <c r="AC39" t="s">
        <v>76</v>
      </c>
      <c r="AD39" t="s">
        <v>73</v>
      </c>
      <c r="AE39" t="s">
        <v>97</v>
      </c>
      <c r="AF39" t="s">
        <v>2242</v>
      </c>
      <c r="AG39" t="s">
        <v>78</v>
      </c>
    </row>
    <row r="40" spans="1:33" hidden="1" x14ac:dyDescent="0.25">
      <c r="A40" t="str">
        <f>"1750649745"</f>
        <v>1750649745</v>
      </c>
      <c r="C40" t="s">
        <v>2379</v>
      </c>
      <c r="G40" t="s">
        <v>2224</v>
      </c>
      <c r="H40" t="s">
        <v>2312</v>
      </c>
      <c r="J40" t="s">
        <v>2226</v>
      </c>
      <c r="K40" t="s">
        <v>171</v>
      </c>
      <c r="L40" t="s">
        <v>96</v>
      </c>
      <c r="M40" t="s">
        <v>73</v>
      </c>
      <c r="R40" t="s">
        <v>2380</v>
      </c>
      <c r="S40" t="s">
        <v>2381</v>
      </c>
      <c r="T40" t="s">
        <v>91</v>
      </c>
      <c r="U40" t="s">
        <v>74</v>
      </c>
      <c r="V40" t="str">
        <f>"100654870"</f>
        <v>100654870</v>
      </c>
      <c r="AC40" t="s">
        <v>76</v>
      </c>
      <c r="AD40" t="s">
        <v>73</v>
      </c>
      <c r="AE40" t="s">
        <v>97</v>
      </c>
      <c r="AF40" t="s">
        <v>2242</v>
      </c>
      <c r="AG40" t="s">
        <v>78</v>
      </c>
    </row>
    <row r="41" spans="1:33" hidden="1" x14ac:dyDescent="0.25">
      <c r="A41" t="str">
        <f>"1205179850"</f>
        <v>1205179850</v>
      </c>
      <c r="C41" t="s">
        <v>2382</v>
      </c>
      <c r="G41" t="s">
        <v>2224</v>
      </c>
      <c r="H41" t="s">
        <v>2312</v>
      </c>
      <c r="J41" t="s">
        <v>2226</v>
      </c>
      <c r="K41" t="s">
        <v>171</v>
      </c>
      <c r="L41" t="s">
        <v>96</v>
      </c>
      <c r="M41" t="s">
        <v>73</v>
      </c>
      <c r="R41" t="s">
        <v>2383</v>
      </c>
      <c r="S41" t="s">
        <v>170</v>
      </c>
      <c r="T41" t="s">
        <v>91</v>
      </c>
      <c r="U41" t="s">
        <v>74</v>
      </c>
      <c r="V41" t="str">
        <f>"100654870"</f>
        <v>100654870</v>
      </c>
      <c r="AC41" t="s">
        <v>76</v>
      </c>
      <c r="AD41" t="s">
        <v>73</v>
      </c>
      <c r="AE41" t="s">
        <v>97</v>
      </c>
      <c r="AF41" t="s">
        <v>2242</v>
      </c>
      <c r="AG41" t="s">
        <v>78</v>
      </c>
    </row>
    <row r="42" spans="1:33" hidden="1" x14ac:dyDescent="0.25">
      <c r="A42" t="str">
        <f>"1386745883"</f>
        <v>1386745883</v>
      </c>
      <c r="B42" t="str">
        <f>"02757133"</f>
        <v>02757133</v>
      </c>
      <c r="C42" t="s">
        <v>930</v>
      </c>
      <c r="D42" t="s">
        <v>931</v>
      </c>
      <c r="E42" t="s">
        <v>932</v>
      </c>
      <c r="G42" t="s">
        <v>2384</v>
      </c>
      <c r="H42" t="s">
        <v>933</v>
      </c>
      <c r="J42" t="s">
        <v>934</v>
      </c>
      <c r="L42" t="s">
        <v>81</v>
      </c>
      <c r="M42" t="s">
        <v>82</v>
      </c>
      <c r="R42" t="s">
        <v>935</v>
      </c>
      <c r="W42" t="s">
        <v>932</v>
      </c>
      <c r="X42" t="s">
        <v>289</v>
      </c>
      <c r="Y42" t="s">
        <v>118</v>
      </c>
      <c r="Z42" t="s">
        <v>74</v>
      </c>
      <c r="AA42" t="str">
        <f>"10453-4303"</f>
        <v>10453-4303</v>
      </c>
      <c r="AB42" t="s">
        <v>75</v>
      </c>
      <c r="AC42" t="s">
        <v>76</v>
      </c>
      <c r="AD42" t="s">
        <v>73</v>
      </c>
      <c r="AE42" t="s">
        <v>77</v>
      </c>
      <c r="AF42" t="s">
        <v>2385</v>
      </c>
      <c r="AG42" t="s">
        <v>78</v>
      </c>
    </row>
    <row r="43" spans="1:33" hidden="1" x14ac:dyDescent="0.25">
      <c r="A43" t="str">
        <f>"1194153262"</f>
        <v>1194153262</v>
      </c>
      <c r="B43" t="str">
        <f>"03784278"</f>
        <v>03784278</v>
      </c>
      <c r="C43" t="s">
        <v>956</v>
      </c>
      <c r="D43" t="s">
        <v>957</v>
      </c>
      <c r="E43" t="s">
        <v>958</v>
      </c>
      <c r="G43" t="s">
        <v>2384</v>
      </c>
      <c r="H43" t="s">
        <v>2386</v>
      </c>
      <c r="J43" t="s">
        <v>934</v>
      </c>
      <c r="L43" t="s">
        <v>81</v>
      </c>
      <c r="M43" t="s">
        <v>73</v>
      </c>
      <c r="R43" t="s">
        <v>958</v>
      </c>
      <c r="W43" t="s">
        <v>958</v>
      </c>
      <c r="X43" t="s">
        <v>960</v>
      </c>
      <c r="Y43" t="s">
        <v>91</v>
      </c>
      <c r="Z43" t="s">
        <v>74</v>
      </c>
      <c r="AA43" t="str">
        <f>"10027-4920"</f>
        <v>10027-4920</v>
      </c>
      <c r="AB43" t="s">
        <v>75</v>
      </c>
      <c r="AC43" t="s">
        <v>76</v>
      </c>
      <c r="AD43" t="s">
        <v>73</v>
      </c>
      <c r="AE43" t="s">
        <v>77</v>
      </c>
      <c r="AF43" t="s">
        <v>2385</v>
      </c>
      <c r="AG43" t="s">
        <v>78</v>
      </c>
    </row>
    <row r="44" spans="1:33" hidden="1" x14ac:dyDescent="0.25">
      <c r="A44" t="str">
        <f>"1609805472"</f>
        <v>1609805472</v>
      </c>
      <c r="B44" t="str">
        <f>"01072962"</f>
        <v>01072962</v>
      </c>
      <c r="C44" t="s">
        <v>961</v>
      </c>
      <c r="D44" t="s">
        <v>962</v>
      </c>
      <c r="E44" t="s">
        <v>963</v>
      </c>
      <c r="G44" t="s">
        <v>2384</v>
      </c>
      <c r="H44" t="s">
        <v>959</v>
      </c>
      <c r="J44" t="s">
        <v>934</v>
      </c>
      <c r="L44" t="s">
        <v>81</v>
      </c>
      <c r="M44" t="s">
        <v>82</v>
      </c>
      <c r="R44" t="s">
        <v>965</v>
      </c>
      <c r="W44" t="s">
        <v>963</v>
      </c>
      <c r="X44" t="s">
        <v>966</v>
      </c>
      <c r="Y44" t="s">
        <v>91</v>
      </c>
      <c r="Z44" t="s">
        <v>74</v>
      </c>
      <c r="AA44" t="str">
        <f>"10037-1802"</f>
        <v>10037-1802</v>
      </c>
      <c r="AB44" t="s">
        <v>75</v>
      </c>
      <c r="AC44" t="s">
        <v>76</v>
      </c>
      <c r="AD44" t="s">
        <v>73</v>
      </c>
      <c r="AE44" t="s">
        <v>77</v>
      </c>
      <c r="AF44" t="s">
        <v>2385</v>
      </c>
      <c r="AG44" t="s">
        <v>78</v>
      </c>
    </row>
    <row r="45" spans="1:33" hidden="1" x14ac:dyDescent="0.25">
      <c r="A45" t="str">
        <f>"1780831669"</f>
        <v>1780831669</v>
      </c>
      <c r="B45" t="str">
        <f>"03525880"</f>
        <v>03525880</v>
      </c>
      <c r="C45" t="s">
        <v>967</v>
      </c>
      <c r="D45" t="s">
        <v>968</v>
      </c>
      <c r="E45" t="s">
        <v>969</v>
      </c>
      <c r="G45" t="s">
        <v>2384</v>
      </c>
      <c r="H45" t="s">
        <v>2387</v>
      </c>
      <c r="J45" t="s">
        <v>934</v>
      </c>
      <c r="L45" t="s">
        <v>100</v>
      </c>
      <c r="M45" t="s">
        <v>73</v>
      </c>
      <c r="R45" t="s">
        <v>971</v>
      </c>
      <c r="W45" t="s">
        <v>972</v>
      </c>
      <c r="X45" t="s">
        <v>973</v>
      </c>
      <c r="Y45" t="s">
        <v>91</v>
      </c>
      <c r="Z45" t="s">
        <v>74</v>
      </c>
      <c r="AA45" t="str">
        <f>"10027-4920"</f>
        <v>10027-4920</v>
      </c>
      <c r="AB45" t="s">
        <v>75</v>
      </c>
      <c r="AC45" t="s">
        <v>76</v>
      </c>
      <c r="AD45" t="s">
        <v>73</v>
      </c>
      <c r="AE45" t="s">
        <v>77</v>
      </c>
      <c r="AF45" t="s">
        <v>2385</v>
      </c>
      <c r="AG45" t="s">
        <v>78</v>
      </c>
    </row>
    <row r="46" spans="1:33" hidden="1" x14ac:dyDescent="0.25">
      <c r="A46" t="str">
        <f>"1306039623"</f>
        <v>1306039623</v>
      </c>
      <c r="B46" t="str">
        <f>"03461589"</f>
        <v>03461589</v>
      </c>
      <c r="C46" t="s">
        <v>974</v>
      </c>
      <c r="D46" t="s">
        <v>975</v>
      </c>
      <c r="E46" t="s">
        <v>976</v>
      </c>
      <c r="G46" t="s">
        <v>2384</v>
      </c>
      <c r="H46" t="s">
        <v>964</v>
      </c>
      <c r="J46" t="s">
        <v>934</v>
      </c>
      <c r="L46" t="s">
        <v>81</v>
      </c>
      <c r="M46" t="s">
        <v>82</v>
      </c>
      <c r="R46" t="s">
        <v>978</v>
      </c>
      <c r="W46" t="s">
        <v>976</v>
      </c>
      <c r="X46" t="s">
        <v>973</v>
      </c>
      <c r="Y46" t="s">
        <v>91</v>
      </c>
      <c r="Z46" t="s">
        <v>74</v>
      </c>
      <c r="AA46" t="str">
        <f>"10027-4920"</f>
        <v>10027-4920</v>
      </c>
      <c r="AB46" t="s">
        <v>75</v>
      </c>
      <c r="AC46" t="s">
        <v>76</v>
      </c>
      <c r="AD46" t="s">
        <v>73</v>
      </c>
      <c r="AE46" t="s">
        <v>77</v>
      </c>
      <c r="AF46" t="s">
        <v>2385</v>
      </c>
      <c r="AG46" t="s">
        <v>78</v>
      </c>
    </row>
    <row r="47" spans="1:33" hidden="1" x14ac:dyDescent="0.25">
      <c r="A47" t="str">
        <f>"1609884394"</f>
        <v>1609884394</v>
      </c>
      <c r="B47" t="str">
        <f>"01714332"</f>
        <v>01714332</v>
      </c>
      <c r="C47" t="s">
        <v>979</v>
      </c>
      <c r="D47" t="s">
        <v>980</v>
      </c>
      <c r="E47" t="s">
        <v>981</v>
      </c>
      <c r="G47" t="s">
        <v>2384</v>
      </c>
      <c r="H47" t="s">
        <v>970</v>
      </c>
      <c r="J47" t="s">
        <v>934</v>
      </c>
      <c r="L47" t="s">
        <v>81</v>
      </c>
      <c r="M47" t="s">
        <v>82</v>
      </c>
      <c r="R47" t="s">
        <v>983</v>
      </c>
      <c r="W47" t="s">
        <v>981</v>
      </c>
      <c r="X47" t="s">
        <v>665</v>
      </c>
      <c r="Y47" t="s">
        <v>91</v>
      </c>
      <c r="Z47" t="s">
        <v>74</v>
      </c>
      <c r="AA47" t="str">
        <f>"10003-3105"</f>
        <v>10003-3105</v>
      </c>
      <c r="AB47" t="s">
        <v>75</v>
      </c>
      <c r="AC47" t="s">
        <v>76</v>
      </c>
      <c r="AD47" t="s">
        <v>73</v>
      </c>
      <c r="AE47" t="s">
        <v>77</v>
      </c>
      <c r="AF47" t="s">
        <v>2385</v>
      </c>
      <c r="AG47" t="s">
        <v>78</v>
      </c>
    </row>
    <row r="48" spans="1:33" hidden="1" x14ac:dyDescent="0.25">
      <c r="A48" t="str">
        <f>"1205866571"</f>
        <v>1205866571</v>
      </c>
      <c r="B48" t="str">
        <f>"00335704"</f>
        <v>00335704</v>
      </c>
      <c r="C48" t="s">
        <v>984</v>
      </c>
      <c r="D48" t="s">
        <v>985</v>
      </c>
      <c r="E48" t="s">
        <v>986</v>
      </c>
      <c r="G48" t="s">
        <v>2384</v>
      </c>
      <c r="H48" t="s">
        <v>977</v>
      </c>
      <c r="J48" t="s">
        <v>934</v>
      </c>
      <c r="L48" t="s">
        <v>100</v>
      </c>
      <c r="M48" t="s">
        <v>73</v>
      </c>
      <c r="R48" t="s">
        <v>988</v>
      </c>
      <c r="W48" t="s">
        <v>986</v>
      </c>
      <c r="X48" t="s">
        <v>989</v>
      </c>
      <c r="Y48" t="s">
        <v>157</v>
      </c>
      <c r="Z48" t="s">
        <v>74</v>
      </c>
      <c r="AA48" t="str">
        <f>"11501-3893"</f>
        <v>11501-3893</v>
      </c>
      <c r="AB48" t="s">
        <v>75</v>
      </c>
      <c r="AC48" t="s">
        <v>76</v>
      </c>
      <c r="AD48" t="s">
        <v>73</v>
      </c>
      <c r="AE48" t="s">
        <v>77</v>
      </c>
      <c r="AF48" t="s">
        <v>2385</v>
      </c>
      <c r="AG48" t="s">
        <v>78</v>
      </c>
    </row>
    <row r="49" spans="1:33" hidden="1" x14ac:dyDescent="0.25">
      <c r="A49" t="str">
        <f>"1881883999"</f>
        <v>1881883999</v>
      </c>
      <c r="C49" t="s">
        <v>990</v>
      </c>
      <c r="G49" t="s">
        <v>2384</v>
      </c>
      <c r="H49" t="s">
        <v>982</v>
      </c>
      <c r="J49" t="s">
        <v>934</v>
      </c>
      <c r="K49" t="s">
        <v>93</v>
      </c>
      <c r="L49" t="s">
        <v>72</v>
      </c>
      <c r="M49" t="s">
        <v>73</v>
      </c>
      <c r="R49" t="s">
        <v>992</v>
      </c>
      <c r="S49" t="s">
        <v>487</v>
      </c>
      <c r="T49" t="s">
        <v>91</v>
      </c>
      <c r="U49" t="s">
        <v>74</v>
      </c>
      <c r="V49" t="str">
        <f>"100651850"</f>
        <v>100651850</v>
      </c>
      <c r="AC49" t="s">
        <v>76</v>
      </c>
      <c r="AD49" t="s">
        <v>73</v>
      </c>
      <c r="AE49" t="s">
        <v>97</v>
      </c>
      <c r="AF49" t="s">
        <v>2385</v>
      </c>
      <c r="AG49" t="s">
        <v>78</v>
      </c>
    </row>
    <row r="50" spans="1:33" hidden="1" x14ac:dyDescent="0.25">
      <c r="A50" t="str">
        <f>"1952316622"</f>
        <v>1952316622</v>
      </c>
      <c r="B50" t="str">
        <f>"00490400"</f>
        <v>00490400</v>
      </c>
      <c r="C50" t="s">
        <v>2388</v>
      </c>
      <c r="D50" t="s">
        <v>2389</v>
      </c>
      <c r="E50" t="s">
        <v>2390</v>
      </c>
      <c r="G50" t="s">
        <v>2224</v>
      </c>
      <c r="H50" t="s">
        <v>2225</v>
      </c>
      <c r="J50" t="s">
        <v>2226</v>
      </c>
      <c r="L50" t="s">
        <v>80</v>
      </c>
      <c r="M50" t="s">
        <v>73</v>
      </c>
      <c r="R50" t="s">
        <v>2391</v>
      </c>
      <c r="W50" t="s">
        <v>2392</v>
      </c>
      <c r="X50" t="s">
        <v>2393</v>
      </c>
      <c r="Y50" t="s">
        <v>91</v>
      </c>
      <c r="Z50" t="s">
        <v>74</v>
      </c>
      <c r="AA50" t="str">
        <f>"10032-1559"</f>
        <v>10032-1559</v>
      </c>
      <c r="AB50" t="s">
        <v>75</v>
      </c>
      <c r="AC50" t="s">
        <v>76</v>
      </c>
      <c r="AD50" t="s">
        <v>73</v>
      </c>
      <c r="AE50" t="s">
        <v>77</v>
      </c>
      <c r="AF50" t="s">
        <v>2228</v>
      </c>
      <c r="AG50" t="s">
        <v>78</v>
      </c>
    </row>
    <row r="51" spans="1:33" hidden="1" x14ac:dyDescent="0.25">
      <c r="A51" t="str">
        <f>"1952461063"</f>
        <v>1952461063</v>
      </c>
      <c r="B51" t="str">
        <f>"02969262"</f>
        <v>02969262</v>
      </c>
      <c r="C51" t="s">
        <v>2394</v>
      </c>
      <c r="D51" t="s">
        <v>2395</v>
      </c>
      <c r="E51" t="s">
        <v>2396</v>
      </c>
      <c r="G51" t="s">
        <v>2224</v>
      </c>
      <c r="H51" t="s">
        <v>2225</v>
      </c>
      <c r="J51" t="s">
        <v>2226</v>
      </c>
      <c r="L51" t="s">
        <v>100</v>
      </c>
      <c r="M51" t="s">
        <v>73</v>
      </c>
      <c r="R51" t="s">
        <v>2397</v>
      </c>
      <c r="W51" t="s">
        <v>2396</v>
      </c>
      <c r="X51" t="s">
        <v>193</v>
      </c>
      <c r="Y51" t="s">
        <v>118</v>
      </c>
      <c r="Z51" t="s">
        <v>74</v>
      </c>
      <c r="AA51" t="str">
        <f>"10467-2401"</f>
        <v>10467-2401</v>
      </c>
      <c r="AB51" t="s">
        <v>75</v>
      </c>
      <c r="AC51" t="s">
        <v>76</v>
      </c>
      <c r="AD51" t="s">
        <v>73</v>
      </c>
      <c r="AE51" t="s">
        <v>77</v>
      </c>
      <c r="AF51" t="s">
        <v>2398</v>
      </c>
      <c r="AG51" t="s">
        <v>78</v>
      </c>
    </row>
    <row r="52" spans="1:33" hidden="1" x14ac:dyDescent="0.25">
      <c r="A52" t="str">
        <f>"1588841381"</f>
        <v>1588841381</v>
      </c>
      <c r="C52" t="s">
        <v>2399</v>
      </c>
      <c r="G52" t="s">
        <v>2224</v>
      </c>
      <c r="H52" t="s">
        <v>2312</v>
      </c>
      <c r="J52" t="s">
        <v>2226</v>
      </c>
      <c r="K52" t="s">
        <v>171</v>
      </c>
      <c r="L52" t="s">
        <v>96</v>
      </c>
      <c r="M52" t="s">
        <v>73</v>
      </c>
      <c r="R52" t="s">
        <v>2400</v>
      </c>
      <c r="S52" t="s">
        <v>167</v>
      </c>
      <c r="T52" t="s">
        <v>91</v>
      </c>
      <c r="U52" t="s">
        <v>74</v>
      </c>
      <c r="V52" t="str">
        <f>"100323720"</f>
        <v>100323720</v>
      </c>
      <c r="AC52" t="s">
        <v>76</v>
      </c>
      <c r="AD52" t="s">
        <v>73</v>
      </c>
      <c r="AE52" t="s">
        <v>97</v>
      </c>
      <c r="AF52" t="s">
        <v>2228</v>
      </c>
      <c r="AG52" t="s">
        <v>78</v>
      </c>
    </row>
    <row r="53" spans="1:33" hidden="1" x14ac:dyDescent="0.25">
      <c r="A53" t="str">
        <f>"1861771263"</f>
        <v>1861771263</v>
      </c>
      <c r="C53" t="s">
        <v>2401</v>
      </c>
      <c r="G53" t="s">
        <v>2224</v>
      </c>
      <c r="H53" t="s">
        <v>2312</v>
      </c>
      <c r="J53" t="s">
        <v>2226</v>
      </c>
      <c r="K53" t="s">
        <v>171</v>
      </c>
      <c r="L53" t="s">
        <v>96</v>
      </c>
      <c r="M53" t="s">
        <v>73</v>
      </c>
      <c r="R53" t="s">
        <v>2402</v>
      </c>
      <c r="S53" t="s">
        <v>1707</v>
      </c>
      <c r="T53" t="s">
        <v>91</v>
      </c>
      <c r="U53" t="s">
        <v>74</v>
      </c>
      <c r="V53" t="str">
        <f>"10032"</f>
        <v>10032</v>
      </c>
      <c r="AC53" t="s">
        <v>76</v>
      </c>
      <c r="AD53" t="s">
        <v>73</v>
      </c>
      <c r="AE53" t="s">
        <v>97</v>
      </c>
      <c r="AF53" t="s">
        <v>2228</v>
      </c>
      <c r="AG53" t="s">
        <v>78</v>
      </c>
    </row>
    <row r="54" spans="1:33" hidden="1" x14ac:dyDescent="0.25">
      <c r="A54" t="str">
        <f>"1588821862"</f>
        <v>1588821862</v>
      </c>
      <c r="B54" t="str">
        <f>"03228333"</f>
        <v>03228333</v>
      </c>
      <c r="C54" t="s">
        <v>2403</v>
      </c>
      <c r="D54" t="s">
        <v>2404</v>
      </c>
      <c r="E54" t="s">
        <v>2405</v>
      </c>
      <c r="G54" t="s">
        <v>2224</v>
      </c>
      <c r="H54" t="s">
        <v>2225</v>
      </c>
      <c r="J54" t="s">
        <v>2226</v>
      </c>
      <c r="L54" t="s">
        <v>80</v>
      </c>
      <c r="M54" t="s">
        <v>73</v>
      </c>
      <c r="R54" t="s">
        <v>2406</v>
      </c>
      <c r="W54" t="s">
        <v>2407</v>
      </c>
      <c r="X54" t="s">
        <v>167</v>
      </c>
      <c r="Y54" t="s">
        <v>91</v>
      </c>
      <c r="Z54" t="s">
        <v>74</v>
      </c>
      <c r="AA54" t="str">
        <f>"10032-3720"</f>
        <v>10032-3720</v>
      </c>
      <c r="AB54" t="s">
        <v>75</v>
      </c>
      <c r="AC54" t="s">
        <v>76</v>
      </c>
      <c r="AD54" t="s">
        <v>73</v>
      </c>
      <c r="AE54" t="s">
        <v>77</v>
      </c>
      <c r="AF54" t="s">
        <v>2254</v>
      </c>
      <c r="AG54" t="s">
        <v>78</v>
      </c>
    </row>
    <row r="55" spans="1:33" hidden="1" x14ac:dyDescent="0.25">
      <c r="A55" t="str">
        <f>"1336325448"</f>
        <v>1336325448</v>
      </c>
      <c r="B55" t="str">
        <f>"00502396"</f>
        <v>00502396</v>
      </c>
      <c r="C55" t="s">
        <v>2408</v>
      </c>
      <c r="D55" t="s">
        <v>2409</v>
      </c>
      <c r="E55" t="s">
        <v>2410</v>
      </c>
      <c r="G55" t="s">
        <v>2224</v>
      </c>
      <c r="H55" t="s">
        <v>2225</v>
      </c>
      <c r="J55" t="s">
        <v>2226</v>
      </c>
      <c r="L55" t="s">
        <v>72</v>
      </c>
      <c r="M55" t="s">
        <v>73</v>
      </c>
      <c r="R55" t="s">
        <v>2411</v>
      </c>
      <c r="W55" t="s">
        <v>2410</v>
      </c>
      <c r="X55" t="s">
        <v>2412</v>
      </c>
      <c r="Y55" t="s">
        <v>2413</v>
      </c>
      <c r="Z55" t="s">
        <v>74</v>
      </c>
      <c r="AA55" t="str">
        <f>"10591"</f>
        <v>10591</v>
      </c>
      <c r="AB55" t="s">
        <v>75</v>
      </c>
      <c r="AC55" t="s">
        <v>76</v>
      </c>
      <c r="AD55" t="s">
        <v>73</v>
      </c>
      <c r="AE55" t="s">
        <v>77</v>
      </c>
      <c r="AF55" t="s">
        <v>2254</v>
      </c>
      <c r="AG55" t="s">
        <v>78</v>
      </c>
    </row>
    <row r="56" spans="1:33" hidden="1" x14ac:dyDescent="0.25">
      <c r="A56" t="str">
        <f>"1336351519"</f>
        <v>1336351519</v>
      </c>
      <c r="B56" t="str">
        <f>"00165146"</f>
        <v>00165146</v>
      </c>
      <c r="C56" t="s">
        <v>2414</v>
      </c>
      <c r="D56" t="s">
        <v>1933</v>
      </c>
      <c r="E56" t="s">
        <v>1934</v>
      </c>
      <c r="G56" t="s">
        <v>2224</v>
      </c>
      <c r="H56" t="s">
        <v>2225</v>
      </c>
      <c r="J56" t="s">
        <v>2226</v>
      </c>
      <c r="L56" t="s">
        <v>72</v>
      </c>
      <c r="M56" t="s">
        <v>73</v>
      </c>
      <c r="R56" t="s">
        <v>1935</v>
      </c>
      <c r="W56" t="s">
        <v>1934</v>
      </c>
      <c r="X56" t="s">
        <v>1488</v>
      </c>
      <c r="Y56" t="s">
        <v>153</v>
      </c>
      <c r="Z56" t="s">
        <v>74</v>
      </c>
      <c r="AA56" t="str">
        <f>"11021-5338"</f>
        <v>11021-5338</v>
      </c>
      <c r="AB56" t="s">
        <v>75</v>
      </c>
      <c r="AC56" t="s">
        <v>76</v>
      </c>
      <c r="AD56" t="s">
        <v>73</v>
      </c>
      <c r="AE56" t="s">
        <v>77</v>
      </c>
      <c r="AF56" t="s">
        <v>2228</v>
      </c>
      <c r="AG56" t="s">
        <v>78</v>
      </c>
    </row>
    <row r="57" spans="1:33" hidden="1" x14ac:dyDescent="0.25">
      <c r="A57" t="str">
        <f>"1649339912"</f>
        <v>1649339912</v>
      </c>
      <c r="B57" t="str">
        <f>"01260333"</f>
        <v>01260333</v>
      </c>
      <c r="C57" t="s">
        <v>2415</v>
      </c>
      <c r="D57" t="s">
        <v>2416</v>
      </c>
      <c r="E57" t="s">
        <v>2417</v>
      </c>
      <c r="G57" t="s">
        <v>2224</v>
      </c>
      <c r="H57" t="s">
        <v>2225</v>
      </c>
      <c r="J57" t="s">
        <v>2226</v>
      </c>
      <c r="L57" t="s">
        <v>72</v>
      </c>
      <c r="M57" t="s">
        <v>73</v>
      </c>
      <c r="R57" t="s">
        <v>2418</v>
      </c>
      <c r="W57" t="s">
        <v>2417</v>
      </c>
      <c r="X57" t="s">
        <v>201</v>
      </c>
      <c r="Y57" t="s">
        <v>91</v>
      </c>
      <c r="Z57" t="s">
        <v>74</v>
      </c>
      <c r="AA57" t="str">
        <f>"10029-6501"</f>
        <v>10029-6501</v>
      </c>
      <c r="AB57" t="s">
        <v>75</v>
      </c>
      <c r="AC57" t="s">
        <v>76</v>
      </c>
      <c r="AD57" t="s">
        <v>73</v>
      </c>
      <c r="AE57" t="s">
        <v>77</v>
      </c>
      <c r="AF57" t="s">
        <v>2228</v>
      </c>
      <c r="AG57" t="s">
        <v>78</v>
      </c>
    </row>
    <row r="58" spans="1:33" hidden="1" x14ac:dyDescent="0.25">
      <c r="A58" t="str">
        <f>"1649349010"</f>
        <v>1649349010</v>
      </c>
      <c r="B58" t="str">
        <f>"01169511"</f>
        <v>01169511</v>
      </c>
      <c r="C58" t="s">
        <v>2419</v>
      </c>
      <c r="D58" t="s">
        <v>2420</v>
      </c>
      <c r="E58" t="s">
        <v>2421</v>
      </c>
      <c r="G58" t="s">
        <v>2224</v>
      </c>
      <c r="H58" t="s">
        <v>2225</v>
      </c>
      <c r="J58" t="s">
        <v>2226</v>
      </c>
      <c r="L58" t="s">
        <v>80</v>
      </c>
      <c r="M58" t="s">
        <v>73</v>
      </c>
      <c r="R58" t="s">
        <v>2422</v>
      </c>
      <c r="W58" t="s">
        <v>2423</v>
      </c>
      <c r="X58" t="s">
        <v>170</v>
      </c>
      <c r="Y58" t="s">
        <v>91</v>
      </c>
      <c r="Z58" t="s">
        <v>74</v>
      </c>
      <c r="AA58" t="str">
        <f>"10065-4885"</f>
        <v>10065-4885</v>
      </c>
      <c r="AB58" t="s">
        <v>75</v>
      </c>
      <c r="AC58" t="s">
        <v>76</v>
      </c>
      <c r="AD58" t="s">
        <v>73</v>
      </c>
      <c r="AE58" t="s">
        <v>77</v>
      </c>
      <c r="AF58" t="s">
        <v>2398</v>
      </c>
      <c r="AG58" t="s">
        <v>78</v>
      </c>
    </row>
    <row r="59" spans="1:33" hidden="1" x14ac:dyDescent="0.25">
      <c r="A59" t="str">
        <f>"1649401134"</f>
        <v>1649401134</v>
      </c>
      <c r="B59" t="str">
        <f>"03141435"</f>
        <v>03141435</v>
      </c>
      <c r="C59" t="s">
        <v>2424</v>
      </c>
      <c r="D59" t="s">
        <v>2425</v>
      </c>
      <c r="E59" t="s">
        <v>2426</v>
      </c>
      <c r="G59" t="s">
        <v>2224</v>
      </c>
      <c r="H59" t="s">
        <v>2225</v>
      </c>
      <c r="J59" t="s">
        <v>2226</v>
      </c>
      <c r="L59" t="s">
        <v>72</v>
      </c>
      <c r="M59" t="s">
        <v>73</v>
      </c>
      <c r="R59" t="s">
        <v>2427</v>
      </c>
      <c r="W59" t="s">
        <v>2426</v>
      </c>
      <c r="AB59" t="s">
        <v>75</v>
      </c>
      <c r="AC59" t="s">
        <v>76</v>
      </c>
      <c r="AD59" t="s">
        <v>73</v>
      </c>
      <c r="AE59" t="s">
        <v>77</v>
      </c>
      <c r="AF59" t="s">
        <v>2242</v>
      </c>
      <c r="AG59" t="s">
        <v>78</v>
      </c>
    </row>
    <row r="60" spans="1:33" hidden="1" x14ac:dyDescent="0.25">
      <c r="A60" t="str">
        <f>"1336119759"</f>
        <v>1336119759</v>
      </c>
      <c r="B60" t="str">
        <f>"01376118"</f>
        <v>01376118</v>
      </c>
      <c r="C60" t="s">
        <v>2428</v>
      </c>
      <c r="D60" t="s">
        <v>2429</v>
      </c>
      <c r="E60" t="s">
        <v>2430</v>
      </c>
      <c r="G60" t="s">
        <v>2224</v>
      </c>
      <c r="H60" t="s">
        <v>2225</v>
      </c>
      <c r="J60" t="s">
        <v>2226</v>
      </c>
      <c r="L60" t="s">
        <v>72</v>
      </c>
      <c r="M60" t="s">
        <v>73</v>
      </c>
      <c r="R60" t="s">
        <v>2431</v>
      </c>
      <c r="W60" t="s">
        <v>2430</v>
      </c>
      <c r="X60" t="s">
        <v>354</v>
      </c>
      <c r="Y60" t="s">
        <v>91</v>
      </c>
      <c r="Z60" t="s">
        <v>74</v>
      </c>
      <c r="AA60" t="str">
        <f>"10032-3725"</f>
        <v>10032-3725</v>
      </c>
      <c r="AB60" t="s">
        <v>75</v>
      </c>
      <c r="AC60" t="s">
        <v>76</v>
      </c>
      <c r="AD60" t="s">
        <v>73</v>
      </c>
      <c r="AE60" t="s">
        <v>77</v>
      </c>
      <c r="AF60" t="s">
        <v>2228</v>
      </c>
      <c r="AG60" t="s">
        <v>78</v>
      </c>
    </row>
    <row r="61" spans="1:33" hidden="1" x14ac:dyDescent="0.25">
      <c r="A61" t="str">
        <f>"1346582707"</f>
        <v>1346582707</v>
      </c>
      <c r="C61" t="s">
        <v>2432</v>
      </c>
      <c r="G61" t="s">
        <v>2224</v>
      </c>
      <c r="H61" t="s">
        <v>2312</v>
      </c>
      <c r="J61" t="s">
        <v>2226</v>
      </c>
      <c r="K61" t="s">
        <v>171</v>
      </c>
      <c r="L61" t="s">
        <v>96</v>
      </c>
      <c r="M61" t="s">
        <v>73</v>
      </c>
      <c r="R61" t="s">
        <v>2433</v>
      </c>
      <c r="S61" t="s">
        <v>2434</v>
      </c>
      <c r="T61" t="s">
        <v>91</v>
      </c>
      <c r="U61" t="s">
        <v>74</v>
      </c>
      <c r="V61" t="str">
        <f>"10032"</f>
        <v>10032</v>
      </c>
      <c r="AC61" t="s">
        <v>76</v>
      </c>
      <c r="AD61" t="s">
        <v>73</v>
      </c>
      <c r="AE61" t="s">
        <v>97</v>
      </c>
      <c r="AF61" t="s">
        <v>2228</v>
      </c>
      <c r="AG61" t="s">
        <v>78</v>
      </c>
    </row>
    <row r="62" spans="1:33" hidden="1" x14ac:dyDescent="0.25">
      <c r="A62" t="str">
        <f>"1043577216"</f>
        <v>1043577216</v>
      </c>
      <c r="C62" t="s">
        <v>2435</v>
      </c>
      <c r="G62" t="s">
        <v>2224</v>
      </c>
      <c r="H62" t="s">
        <v>2312</v>
      </c>
      <c r="J62" t="s">
        <v>2226</v>
      </c>
      <c r="K62" t="s">
        <v>171</v>
      </c>
      <c r="L62" t="s">
        <v>96</v>
      </c>
      <c r="M62" t="s">
        <v>73</v>
      </c>
      <c r="R62" t="s">
        <v>2436</v>
      </c>
      <c r="S62" t="s">
        <v>354</v>
      </c>
      <c r="T62" t="s">
        <v>91</v>
      </c>
      <c r="U62" t="s">
        <v>74</v>
      </c>
      <c r="V62" t="str">
        <f>"100323725"</f>
        <v>100323725</v>
      </c>
      <c r="AC62" t="s">
        <v>76</v>
      </c>
      <c r="AD62" t="s">
        <v>73</v>
      </c>
      <c r="AE62" t="s">
        <v>97</v>
      </c>
      <c r="AF62" t="s">
        <v>2228</v>
      </c>
      <c r="AG62" t="s">
        <v>78</v>
      </c>
    </row>
    <row r="63" spans="1:33" hidden="1" x14ac:dyDescent="0.25">
      <c r="A63" t="str">
        <f>"1164715686"</f>
        <v>1164715686</v>
      </c>
      <c r="B63" t="str">
        <f>"04504665"</f>
        <v>04504665</v>
      </c>
      <c r="C63" t="s">
        <v>2437</v>
      </c>
      <c r="D63" t="s">
        <v>2438</v>
      </c>
      <c r="E63" t="s">
        <v>2439</v>
      </c>
      <c r="G63" t="s">
        <v>2224</v>
      </c>
      <c r="H63" t="s">
        <v>2312</v>
      </c>
      <c r="J63" t="s">
        <v>2226</v>
      </c>
      <c r="L63" t="s">
        <v>96</v>
      </c>
      <c r="M63" t="s">
        <v>73</v>
      </c>
      <c r="R63" t="s">
        <v>2439</v>
      </c>
      <c r="W63" t="s">
        <v>2439</v>
      </c>
      <c r="AB63" t="s">
        <v>75</v>
      </c>
      <c r="AC63" t="s">
        <v>76</v>
      </c>
      <c r="AD63" t="s">
        <v>73</v>
      </c>
      <c r="AE63" t="s">
        <v>77</v>
      </c>
      <c r="AF63" t="s">
        <v>2254</v>
      </c>
      <c r="AG63" t="s">
        <v>78</v>
      </c>
    </row>
    <row r="64" spans="1:33" hidden="1" x14ac:dyDescent="0.25">
      <c r="A64" t="str">
        <f>"1851711824"</f>
        <v>1851711824</v>
      </c>
      <c r="C64" t="s">
        <v>2440</v>
      </c>
      <c r="G64" t="s">
        <v>2224</v>
      </c>
      <c r="H64" t="s">
        <v>2312</v>
      </c>
      <c r="J64" t="s">
        <v>2226</v>
      </c>
      <c r="K64" t="s">
        <v>171</v>
      </c>
      <c r="L64" t="s">
        <v>96</v>
      </c>
      <c r="M64" t="s">
        <v>73</v>
      </c>
      <c r="R64" t="s">
        <v>2441</v>
      </c>
      <c r="S64" t="s">
        <v>2442</v>
      </c>
      <c r="T64" t="s">
        <v>91</v>
      </c>
      <c r="U64" t="s">
        <v>74</v>
      </c>
      <c r="V64" t="str">
        <f>"100323720"</f>
        <v>100323720</v>
      </c>
      <c r="AC64" t="s">
        <v>76</v>
      </c>
      <c r="AD64" t="s">
        <v>73</v>
      </c>
      <c r="AE64" t="s">
        <v>97</v>
      </c>
      <c r="AF64" t="s">
        <v>2228</v>
      </c>
      <c r="AG64" t="s">
        <v>78</v>
      </c>
    </row>
    <row r="65" spans="1:33" hidden="1" x14ac:dyDescent="0.25">
      <c r="A65" t="str">
        <f>"1083904247"</f>
        <v>1083904247</v>
      </c>
      <c r="C65" t="s">
        <v>2443</v>
      </c>
      <c r="G65" t="s">
        <v>2224</v>
      </c>
      <c r="H65" t="s">
        <v>2312</v>
      </c>
      <c r="J65" t="s">
        <v>2226</v>
      </c>
      <c r="K65" t="s">
        <v>171</v>
      </c>
      <c r="L65" t="s">
        <v>96</v>
      </c>
      <c r="M65" t="s">
        <v>73</v>
      </c>
      <c r="R65" t="s">
        <v>2444</v>
      </c>
      <c r="S65" t="s">
        <v>354</v>
      </c>
      <c r="T65" t="s">
        <v>91</v>
      </c>
      <c r="U65" t="s">
        <v>74</v>
      </c>
      <c r="V65" t="str">
        <f>"100323725"</f>
        <v>100323725</v>
      </c>
      <c r="AC65" t="s">
        <v>76</v>
      </c>
      <c r="AD65" t="s">
        <v>73</v>
      </c>
      <c r="AE65" t="s">
        <v>97</v>
      </c>
      <c r="AF65" t="s">
        <v>2254</v>
      </c>
      <c r="AG65" t="s">
        <v>78</v>
      </c>
    </row>
    <row r="66" spans="1:33" hidden="1" x14ac:dyDescent="0.25">
      <c r="A66" t="str">
        <f>"1477764496"</f>
        <v>1477764496</v>
      </c>
      <c r="B66" t="str">
        <f>"00695941"</f>
        <v>00695941</v>
      </c>
      <c r="C66" t="s">
        <v>2144</v>
      </c>
      <c r="D66" t="s">
        <v>915</v>
      </c>
      <c r="E66" t="s">
        <v>916</v>
      </c>
      <c r="G66" t="s">
        <v>749</v>
      </c>
      <c r="H66" t="s">
        <v>320</v>
      </c>
      <c r="J66" t="s">
        <v>750</v>
      </c>
      <c r="L66" t="s">
        <v>225</v>
      </c>
      <c r="M66" t="s">
        <v>82</v>
      </c>
      <c r="R66" t="s">
        <v>656</v>
      </c>
      <c r="W66" t="s">
        <v>916</v>
      </c>
      <c r="X66" t="s">
        <v>917</v>
      </c>
      <c r="Y66" t="s">
        <v>162</v>
      </c>
      <c r="Z66" t="s">
        <v>74</v>
      </c>
      <c r="AA66" t="str">
        <f>"11101-4213"</f>
        <v>11101-4213</v>
      </c>
      <c r="AB66" t="s">
        <v>87</v>
      </c>
      <c r="AC66" t="s">
        <v>76</v>
      </c>
      <c r="AD66" t="s">
        <v>73</v>
      </c>
      <c r="AE66" t="s">
        <v>77</v>
      </c>
      <c r="AF66" t="s">
        <v>2445</v>
      </c>
      <c r="AG66" t="s">
        <v>78</v>
      </c>
    </row>
    <row r="67" spans="1:33" hidden="1" x14ac:dyDescent="0.25">
      <c r="A67" t="str">
        <f>"1639158116"</f>
        <v>1639158116</v>
      </c>
      <c r="B67" t="str">
        <f>"02762729"</f>
        <v>02762729</v>
      </c>
      <c r="C67" t="s">
        <v>2446</v>
      </c>
      <c r="D67" t="s">
        <v>2447</v>
      </c>
      <c r="E67" t="s">
        <v>2448</v>
      </c>
      <c r="G67" t="s">
        <v>2224</v>
      </c>
      <c r="H67" t="s">
        <v>2225</v>
      </c>
      <c r="J67" t="s">
        <v>2226</v>
      </c>
      <c r="L67" t="s">
        <v>80</v>
      </c>
      <c r="M67" t="s">
        <v>73</v>
      </c>
      <c r="R67" t="s">
        <v>2449</v>
      </c>
      <c r="W67" t="s">
        <v>2448</v>
      </c>
      <c r="X67" t="s">
        <v>2450</v>
      </c>
      <c r="Y67" t="s">
        <v>527</v>
      </c>
      <c r="Z67" t="s">
        <v>74</v>
      </c>
      <c r="AA67" t="str">
        <f>"10941-4018"</f>
        <v>10941-4018</v>
      </c>
      <c r="AB67" t="s">
        <v>75</v>
      </c>
      <c r="AC67" t="s">
        <v>76</v>
      </c>
      <c r="AD67" t="s">
        <v>73</v>
      </c>
      <c r="AE67" t="s">
        <v>77</v>
      </c>
      <c r="AF67" t="s">
        <v>2254</v>
      </c>
      <c r="AG67" t="s">
        <v>78</v>
      </c>
    </row>
    <row r="68" spans="1:33" hidden="1" x14ac:dyDescent="0.25">
      <c r="A68" t="str">
        <f>"1639184161"</f>
        <v>1639184161</v>
      </c>
      <c r="B68" t="str">
        <f>"03534127"</f>
        <v>03534127</v>
      </c>
      <c r="C68" t="s">
        <v>2451</v>
      </c>
      <c r="D68" t="s">
        <v>2452</v>
      </c>
      <c r="E68" t="s">
        <v>2453</v>
      </c>
      <c r="G68" t="s">
        <v>2224</v>
      </c>
      <c r="H68" t="s">
        <v>2225</v>
      </c>
      <c r="J68" t="s">
        <v>2226</v>
      </c>
      <c r="L68" t="s">
        <v>72</v>
      </c>
      <c r="M68" t="s">
        <v>73</v>
      </c>
      <c r="R68" t="s">
        <v>2454</v>
      </c>
      <c r="W68" t="s">
        <v>2453</v>
      </c>
      <c r="X68" t="s">
        <v>496</v>
      </c>
      <c r="Y68" t="s">
        <v>91</v>
      </c>
      <c r="Z68" t="s">
        <v>74</v>
      </c>
      <c r="AA68" t="str">
        <f>"10032-3726"</f>
        <v>10032-3726</v>
      </c>
      <c r="AB68" t="s">
        <v>75</v>
      </c>
      <c r="AC68" t="s">
        <v>76</v>
      </c>
      <c r="AD68" t="s">
        <v>73</v>
      </c>
      <c r="AE68" t="s">
        <v>77</v>
      </c>
      <c r="AF68" t="s">
        <v>2254</v>
      </c>
      <c r="AG68" t="s">
        <v>78</v>
      </c>
    </row>
    <row r="69" spans="1:33" hidden="1" x14ac:dyDescent="0.25">
      <c r="A69" t="str">
        <f>"1205937927"</f>
        <v>1205937927</v>
      </c>
      <c r="B69" t="str">
        <f>"00783106"</f>
        <v>00783106</v>
      </c>
      <c r="C69" t="s">
        <v>2455</v>
      </c>
      <c r="D69" t="s">
        <v>2456</v>
      </c>
      <c r="E69" t="s">
        <v>2457</v>
      </c>
      <c r="G69" t="s">
        <v>2224</v>
      </c>
      <c r="H69" t="s">
        <v>2225</v>
      </c>
      <c r="J69" t="s">
        <v>2226</v>
      </c>
      <c r="L69" t="s">
        <v>72</v>
      </c>
      <c r="M69" t="s">
        <v>73</v>
      </c>
      <c r="R69" t="s">
        <v>2458</v>
      </c>
      <c r="W69" t="s">
        <v>2457</v>
      </c>
      <c r="Y69" t="s">
        <v>91</v>
      </c>
      <c r="Z69" t="s">
        <v>74</v>
      </c>
      <c r="AA69" t="str">
        <f>"10032-3720"</f>
        <v>10032-3720</v>
      </c>
      <c r="AB69" t="s">
        <v>75</v>
      </c>
      <c r="AC69" t="s">
        <v>76</v>
      </c>
      <c r="AD69" t="s">
        <v>73</v>
      </c>
      <c r="AE69" t="s">
        <v>77</v>
      </c>
      <c r="AF69" t="s">
        <v>2254</v>
      </c>
      <c r="AG69" t="s">
        <v>78</v>
      </c>
    </row>
    <row r="70" spans="1:33" hidden="1" x14ac:dyDescent="0.25">
      <c r="A70" t="str">
        <f>"1891945341"</f>
        <v>1891945341</v>
      </c>
      <c r="B70" t="str">
        <f>"03313191"</f>
        <v>03313191</v>
      </c>
      <c r="C70" t="s">
        <v>2459</v>
      </c>
      <c r="D70" t="s">
        <v>2460</v>
      </c>
      <c r="E70" t="s">
        <v>2461</v>
      </c>
      <c r="G70" t="s">
        <v>2224</v>
      </c>
      <c r="H70" t="s">
        <v>2225</v>
      </c>
      <c r="J70" t="s">
        <v>2226</v>
      </c>
      <c r="L70" t="s">
        <v>72</v>
      </c>
      <c r="M70" t="s">
        <v>73</v>
      </c>
      <c r="R70" t="s">
        <v>2462</v>
      </c>
      <c r="W70" t="s">
        <v>2461</v>
      </c>
      <c r="X70" t="s">
        <v>183</v>
      </c>
      <c r="Y70" t="s">
        <v>91</v>
      </c>
      <c r="Z70" t="s">
        <v>74</v>
      </c>
      <c r="AA70" t="str">
        <f>"10032-3729"</f>
        <v>10032-3729</v>
      </c>
      <c r="AB70" t="s">
        <v>75</v>
      </c>
      <c r="AC70" t="s">
        <v>76</v>
      </c>
      <c r="AD70" t="s">
        <v>73</v>
      </c>
      <c r="AE70" t="s">
        <v>77</v>
      </c>
      <c r="AF70" t="s">
        <v>2228</v>
      </c>
      <c r="AG70" t="s">
        <v>78</v>
      </c>
    </row>
    <row r="71" spans="1:33" hidden="1" x14ac:dyDescent="0.25">
      <c r="A71" t="str">
        <f>"1700178225"</f>
        <v>1700178225</v>
      </c>
      <c r="C71" t="s">
        <v>2463</v>
      </c>
      <c r="G71" t="s">
        <v>2224</v>
      </c>
      <c r="H71" t="s">
        <v>2312</v>
      </c>
      <c r="J71" t="s">
        <v>2226</v>
      </c>
      <c r="K71" t="s">
        <v>171</v>
      </c>
      <c r="L71" t="s">
        <v>96</v>
      </c>
      <c r="M71" t="s">
        <v>73</v>
      </c>
      <c r="R71" t="s">
        <v>2464</v>
      </c>
      <c r="S71" t="s">
        <v>2465</v>
      </c>
      <c r="T71" t="s">
        <v>1165</v>
      </c>
      <c r="U71" t="s">
        <v>311</v>
      </c>
      <c r="V71" t="str">
        <f>"452433413"</f>
        <v>452433413</v>
      </c>
      <c r="AC71" t="s">
        <v>76</v>
      </c>
      <c r="AD71" t="s">
        <v>73</v>
      </c>
      <c r="AE71" t="s">
        <v>97</v>
      </c>
      <c r="AF71" t="s">
        <v>2242</v>
      </c>
      <c r="AG71" t="s">
        <v>78</v>
      </c>
    </row>
    <row r="72" spans="1:33" hidden="1" x14ac:dyDescent="0.25">
      <c r="A72" t="str">
        <f>"1942354212"</f>
        <v>1942354212</v>
      </c>
      <c r="B72" t="str">
        <f>"02334283"</f>
        <v>02334283</v>
      </c>
      <c r="C72" t="s">
        <v>2466</v>
      </c>
      <c r="D72" t="s">
        <v>2467</v>
      </c>
      <c r="E72" t="s">
        <v>2468</v>
      </c>
      <c r="L72" t="s">
        <v>80</v>
      </c>
      <c r="M72" t="s">
        <v>73</v>
      </c>
      <c r="R72" t="s">
        <v>2469</v>
      </c>
      <c r="W72" t="s">
        <v>2468</v>
      </c>
      <c r="X72" t="s">
        <v>167</v>
      </c>
      <c r="Y72" t="s">
        <v>91</v>
      </c>
      <c r="Z72" t="s">
        <v>74</v>
      </c>
      <c r="AA72" t="str">
        <f t="shared" ref="AA72:AA78" si="0">"10032-3720"</f>
        <v>10032-3720</v>
      </c>
      <c r="AB72" t="s">
        <v>75</v>
      </c>
      <c r="AC72" t="s">
        <v>76</v>
      </c>
      <c r="AD72" t="s">
        <v>73</v>
      </c>
      <c r="AE72" t="s">
        <v>77</v>
      </c>
      <c r="AF72" t="s">
        <v>2228</v>
      </c>
      <c r="AG72" t="s">
        <v>78</v>
      </c>
    </row>
    <row r="73" spans="1:33" hidden="1" x14ac:dyDescent="0.25">
      <c r="A73" t="str">
        <f>"1760669501"</f>
        <v>1760669501</v>
      </c>
      <c r="B73" t="str">
        <f>"02598745"</f>
        <v>02598745</v>
      </c>
      <c r="C73" t="s">
        <v>2470</v>
      </c>
      <c r="D73" t="s">
        <v>2471</v>
      </c>
      <c r="E73" t="s">
        <v>2472</v>
      </c>
      <c r="L73" t="s">
        <v>80</v>
      </c>
      <c r="M73" t="s">
        <v>73</v>
      </c>
      <c r="R73" t="s">
        <v>2473</v>
      </c>
      <c r="W73" t="s">
        <v>2472</v>
      </c>
      <c r="X73" t="s">
        <v>167</v>
      </c>
      <c r="Y73" t="s">
        <v>91</v>
      </c>
      <c r="Z73" t="s">
        <v>74</v>
      </c>
      <c r="AA73" t="str">
        <f t="shared" si="0"/>
        <v>10032-3720</v>
      </c>
      <c r="AB73" t="s">
        <v>75</v>
      </c>
      <c r="AC73" t="s">
        <v>76</v>
      </c>
      <c r="AD73" t="s">
        <v>73</v>
      </c>
      <c r="AE73" t="s">
        <v>77</v>
      </c>
      <c r="AF73" t="s">
        <v>2228</v>
      </c>
      <c r="AG73" t="s">
        <v>78</v>
      </c>
    </row>
    <row r="74" spans="1:33" hidden="1" x14ac:dyDescent="0.25">
      <c r="A74" t="str">
        <f>"1033261359"</f>
        <v>1033261359</v>
      </c>
      <c r="B74" t="str">
        <f>"01417005"</f>
        <v>01417005</v>
      </c>
      <c r="C74" t="s">
        <v>2474</v>
      </c>
      <c r="D74" t="s">
        <v>2475</v>
      </c>
      <c r="E74" t="s">
        <v>2476</v>
      </c>
      <c r="L74" t="s">
        <v>72</v>
      </c>
      <c r="M74" t="s">
        <v>73</v>
      </c>
      <c r="R74" t="s">
        <v>2477</v>
      </c>
      <c r="W74" t="s">
        <v>2476</v>
      </c>
      <c r="Y74" t="s">
        <v>91</v>
      </c>
      <c r="Z74" t="s">
        <v>74</v>
      </c>
      <c r="AA74" t="str">
        <f t="shared" si="0"/>
        <v>10032-3720</v>
      </c>
      <c r="AB74" t="s">
        <v>75</v>
      </c>
      <c r="AC74" t="s">
        <v>76</v>
      </c>
      <c r="AD74" t="s">
        <v>73</v>
      </c>
      <c r="AE74" t="s">
        <v>77</v>
      </c>
      <c r="AF74" t="s">
        <v>2228</v>
      </c>
      <c r="AG74" t="s">
        <v>78</v>
      </c>
    </row>
    <row r="75" spans="1:33" hidden="1" x14ac:dyDescent="0.25">
      <c r="A75" t="str">
        <f>"1245382514"</f>
        <v>1245382514</v>
      </c>
      <c r="B75" t="str">
        <f>"00951611"</f>
        <v>00951611</v>
      </c>
      <c r="C75" t="s">
        <v>2478</v>
      </c>
      <c r="D75" t="s">
        <v>2479</v>
      </c>
      <c r="E75" t="s">
        <v>2480</v>
      </c>
      <c r="L75" t="s">
        <v>80</v>
      </c>
      <c r="M75" t="s">
        <v>73</v>
      </c>
      <c r="R75" t="s">
        <v>2481</v>
      </c>
      <c r="W75" t="s">
        <v>2480</v>
      </c>
      <c r="X75" t="s">
        <v>167</v>
      </c>
      <c r="Y75" t="s">
        <v>91</v>
      </c>
      <c r="Z75" t="s">
        <v>74</v>
      </c>
      <c r="AA75" t="str">
        <f t="shared" si="0"/>
        <v>10032-3720</v>
      </c>
      <c r="AB75" t="s">
        <v>75</v>
      </c>
      <c r="AC75" t="s">
        <v>76</v>
      </c>
      <c r="AD75" t="s">
        <v>73</v>
      </c>
      <c r="AE75" t="s">
        <v>77</v>
      </c>
      <c r="AF75" t="s">
        <v>2228</v>
      </c>
      <c r="AG75" t="s">
        <v>78</v>
      </c>
    </row>
    <row r="76" spans="1:33" hidden="1" x14ac:dyDescent="0.25">
      <c r="A76" t="str">
        <f>"1265584452"</f>
        <v>1265584452</v>
      </c>
      <c r="B76" t="str">
        <f>"02598007"</f>
        <v>02598007</v>
      </c>
      <c r="C76" t="s">
        <v>2482</v>
      </c>
      <c r="D76" t="s">
        <v>2483</v>
      </c>
      <c r="E76" t="s">
        <v>2484</v>
      </c>
      <c r="L76" t="s">
        <v>80</v>
      </c>
      <c r="M76" t="s">
        <v>73</v>
      </c>
      <c r="R76" t="s">
        <v>2485</v>
      </c>
      <c r="W76" t="s">
        <v>2484</v>
      </c>
      <c r="X76" t="s">
        <v>167</v>
      </c>
      <c r="Y76" t="s">
        <v>91</v>
      </c>
      <c r="Z76" t="s">
        <v>74</v>
      </c>
      <c r="AA76" t="str">
        <f t="shared" si="0"/>
        <v>10032-3720</v>
      </c>
      <c r="AB76" t="s">
        <v>75</v>
      </c>
      <c r="AC76" t="s">
        <v>76</v>
      </c>
      <c r="AD76" t="s">
        <v>73</v>
      </c>
      <c r="AE76" t="s">
        <v>77</v>
      </c>
      <c r="AF76" t="s">
        <v>2228</v>
      </c>
      <c r="AG76" t="s">
        <v>78</v>
      </c>
    </row>
    <row r="77" spans="1:33" hidden="1" x14ac:dyDescent="0.25">
      <c r="A77" t="str">
        <f>"1750606406"</f>
        <v>1750606406</v>
      </c>
      <c r="B77" t="str">
        <f>"03936101"</f>
        <v>03936101</v>
      </c>
      <c r="C77" t="s">
        <v>2486</v>
      </c>
      <c r="D77" t="s">
        <v>2487</v>
      </c>
      <c r="E77" t="s">
        <v>2488</v>
      </c>
      <c r="G77" t="s">
        <v>2224</v>
      </c>
      <c r="H77" t="s">
        <v>2312</v>
      </c>
      <c r="J77" t="s">
        <v>2226</v>
      </c>
      <c r="L77" t="s">
        <v>80</v>
      </c>
      <c r="M77" t="s">
        <v>73</v>
      </c>
      <c r="R77" t="s">
        <v>2489</v>
      </c>
      <c r="W77" t="s">
        <v>2488</v>
      </c>
      <c r="X77" t="s">
        <v>167</v>
      </c>
      <c r="Y77" t="s">
        <v>91</v>
      </c>
      <c r="Z77" t="s">
        <v>74</v>
      </c>
      <c r="AA77" t="str">
        <f t="shared" si="0"/>
        <v>10032-3720</v>
      </c>
      <c r="AB77" t="s">
        <v>75</v>
      </c>
      <c r="AC77" t="s">
        <v>76</v>
      </c>
      <c r="AD77" t="s">
        <v>73</v>
      </c>
      <c r="AE77" t="s">
        <v>77</v>
      </c>
      <c r="AF77" t="s">
        <v>2398</v>
      </c>
      <c r="AG77" t="s">
        <v>78</v>
      </c>
    </row>
    <row r="78" spans="1:33" hidden="1" x14ac:dyDescent="0.25">
      <c r="A78" t="str">
        <f>"1104068725"</f>
        <v>1104068725</v>
      </c>
      <c r="B78" t="str">
        <f>"03360423"</f>
        <v>03360423</v>
      </c>
      <c r="C78" t="s">
        <v>2490</v>
      </c>
      <c r="D78" t="s">
        <v>2491</v>
      </c>
      <c r="E78" t="s">
        <v>2492</v>
      </c>
      <c r="L78" t="s">
        <v>80</v>
      </c>
      <c r="M78" t="s">
        <v>73</v>
      </c>
      <c r="R78" t="s">
        <v>2493</v>
      </c>
      <c r="W78" t="s">
        <v>2492</v>
      </c>
      <c r="X78" t="s">
        <v>167</v>
      </c>
      <c r="Y78" t="s">
        <v>91</v>
      </c>
      <c r="Z78" t="s">
        <v>74</v>
      </c>
      <c r="AA78" t="str">
        <f t="shared" si="0"/>
        <v>10032-3720</v>
      </c>
      <c r="AB78" t="s">
        <v>75</v>
      </c>
      <c r="AC78" t="s">
        <v>76</v>
      </c>
      <c r="AD78" t="s">
        <v>73</v>
      </c>
      <c r="AE78" t="s">
        <v>77</v>
      </c>
      <c r="AF78" t="s">
        <v>2228</v>
      </c>
      <c r="AG78" t="s">
        <v>78</v>
      </c>
    </row>
    <row r="79" spans="1:33" hidden="1" x14ac:dyDescent="0.25">
      <c r="A79" t="str">
        <f>"1952543647"</f>
        <v>1952543647</v>
      </c>
      <c r="B79" t="str">
        <f>"03468628"</f>
        <v>03468628</v>
      </c>
      <c r="C79" t="s">
        <v>2494</v>
      </c>
      <c r="D79" t="s">
        <v>2495</v>
      </c>
      <c r="E79" t="s">
        <v>2496</v>
      </c>
      <c r="G79" t="s">
        <v>2224</v>
      </c>
      <c r="H79" t="s">
        <v>2225</v>
      </c>
      <c r="J79" t="s">
        <v>2226</v>
      </c>
      <c r="L79" t="s">
        <v>72</v>
      </c>
      <c r="M79" t="s">
        <v>73</v>
      </c>
      <c r="R79" t="s">
        <v>2497</v>
      </c>
      <c r="W79" t="s">
        <v>2498</v>
      </c>
      <c r="X79" t="s">
        <v>496</v>
      </c>
      <c r="Y79" t="s">
        <v>91</v>
      </c>
      <c r="Z79" t="s">
        <v>74</v>
      </c>
      <c r="AA79" t="str">
        <f>"10032-3726"</f>
        <v>10032-3726</v>
      </c>
      <c r="AB79" t="s">
        <v>75</v>
      </c>
      <c r="AC79" t="s">
        <v>76</v>
      </c>
      <c r="AD79" t="s">
        <v>73</v>
      </c>
      <c r="AE79" t="s">
        <v>77</v>
      </c>
      <c r="AF79" t="s">
        <v>2254</v>
      </c>
      <c r="AG79" t="s">
        <v>78</v>
      </c>
    </row>
    <row r="80" spans="1:33" hidden="1" x14ac:dyDescent="0.25">
      <c r="A80" t="str">
        <f>"1952544066"</f>
        <v>1952544066</v>
      </c>
      <c r="B80" t="str">
        <f>"03588763"</f>
        <v>03588763</v>
      </c>
      <c r="C80" t="s">
        <v>2499</v>
      </c>
      <c r="D80" t="s">
        <v>2500</v>
      </c>
      <c r="E80" t="s">
        <v>2501</v>
      </c>
      <c r="G80" t="s">
        <v>2224</v>
      </c>
      <c r="H80" t="s">
        <v>2225</v>
      </c>
      <c r="J80" t="s">
        <v>2226</v>
      </c>
      <c r="L80" t="s">
        <v>80</v>
      </c>
      <c r="M80" t="s">
        <v>73</v>
      </c>
      <c r="R80" t="s">
        <v>2502</v>
      </c>
      <c r="W80" t="s">
        <v>2501</v>
      </c>
      <c r="X80" t="s">
        <v>2503</v>
      </c>
      <c r="Y80" t="s">
        <v>91</v>
      </c>
      <c r="Z80" t="s">
        <v>74</v>
      </c>
      <c r="AA80" t="str">
        <f>"10065-4870"</f>
        <v>10065-4870</v>
      </c>
      <c r="AB80" t="s">
        <v>75</v>
      </c>
      <c r="AC80" t="s">
        <v>76</v>
      </c>
      <c r="AD80" t="s">
        <v>73</v>
      </c>
      <c r="AE80" t="s">
        <v>77</v>
      </c>
      <c r="AF80" t="s">
        <v>2398</v>
      </c>
      <c r="AG80" t="s">
        <v>78</v>
      </c>
    </row>
    <row r="81" spans="1:33" hidden="1" x14ac:dyDescent="0.25">
      <c r="A81" t="str">
        <f>"1043239452"</f>
        <v>1043239452</v>
      </c>
      <c r="B81" t="str">
        <f>"01252006"</f>
        <v>01252006</v>
      </c>
      <c r="C81" t="s">
        <v>2504</v>
      </c>
      <c r="D81" t="s">
        <v>1231</v>
      </c>
      <c r="E81" t="s">
        <v>1232</v>
      </c>
      <c r="G81" t="s">
        <v>2224</v>
      </c>
      <c r="H81" t="s">
        <v>2225</v>
      </c>
      <c r="J81" t="s">
        <v>2226</v>
      </c>
      <c r="L81" t="s">
        <v>80</v>
      </c>
      <c r="M81" t="s">
        <v>73</v>
      </c>
      <c r="R81" t="s">
        <v>1233</v>
      </c>
      <c r="W81" t="s">
        <v>1232</v>
      </c>
      <c r="X81" t="s">
        <v>1234</v>
      </c>
      <c r="Y81" t="s">
        <v>1150</v>
      </c>
      <c r="Z81" t="s">
        <v>74</v>
      </c>
      <c r="AA81" t="str">
        <f>"10708-3426"</f>
        <v>10708-3426</v>
      </c>
      <c r="AB81" t="s">
        <v>115</v>
      </c>
      <c r="AC81" t="s">
        <v>76</v>
      </c>
      <c r="AD81" t="s">
        <v>73</v>
      </c>
      <c r="AE81" t="s">
        <v>77</v>
      </c>
      <c r="AF81" t="s">
        <v>2228</v>
      </c>
      <c r="AG81" t="s">
        <v>78</v>
      </c>
    </row>
    <row r="82" spans="1:33" hidden="1" x14ac:dyDescent="0.25">
      <c r="A82" t="str">
        <f>"1902837602"</f>
        <v>1902837602</v>
      </c>
      <c r="B82" t="str">
        <f>"01424657"</f>
        <v>01424657</v>
      </c>
      <c r="C82" t="s">
        <v>2505</v>
      </c>
      <c r="D82" t="s">
        <v>2506</v>
      </c>
      <c r="E82" t="s">
        <v>2507</v>
      </c>
      <c r="L82" t="s">
        <v>80</v>
      </c>
      <c r="M82" t="s">
        <v>73</v>
      </c>
      <c r="R82" t="s">
        <v>2508</v>
      </c>
      <c r="W82" t="s">
        <v>2507</v>
      </c>
      <c r="X82" t="s">
        <v>2071</v>
      </c>
      <c r="Y82" t="s">
        <v>91</v>
      </c>
      <c r="Z82" t="s">
        <v>74</v>
      </c>
      <c r="AA82" t="str">
        <f>"10032-3720"</f>
        <v>10032-3720</v>
      </c>
      <c r="AB82" t="s">
        <v>75</v>
      </c>
      <c r="AC82" t="s">
        <v>76</v>
      </c>
      <c r="AD82" t="s">
        <v>73</v>
      </c>
      <c r="AE82" t="s">
        <v>77</v>
      </c>
      <c r="AF82" t="s">
        <v>2228</v>
      </c>
      <c r="AG82" t="s">
        <v>78</v>
      </c>
    </row>
    <row r="83" spans="1:33" hidden="1" x14ac:dyDescent="0.25">
      <c r="A83" t="str">
        <f>"1457582868"</f>
        <v>1457582868</v>
      </c>
      <c r="B83" t="str">
        <f>"03137111"</f>
        <v>03137111</v>
      </c>
      <c r="C83" t="s">
        <v>2509</v>
      </c>
      <c r="D83" t="s">
        <v>1099</v>
      </c>
      <c r="E83" t="s">
        <v>1100</v>
      </c>
      <c r="G83" t="s">
        <v>749</v>
      </c>
      <c r="H83" t="s">
        <v>320</v>
      </c>
      <c r="J83" t="s">
        <v>750</v>
      </c>
      <c r="L83" t="s">
        <v>81</v>
      </c>
      <c r="M83" t="s">
        <v>82</v>
      </c>
      <c r="R83" t="s">
        <v>1101</v>
      </c>
      <c r="W83" t="s">
        <v>1102</v>
      </c>
      <c r="X83" t="s">
        <v>1103</v>
      </c>
      <c r="Y83" t="s">
        <v>84</v>
      </c>
      <c r="Z83" t="s">
        <v>74</v>
      </c>
      <c r="AA83" t="str">
        <f>"12205-2505"</f>
        <v>12205-2505</v>
      </c>
      <c r="AB83" t="s">
        <v>75</v>
      </c>
      <c r="AC83" t="s">
        <v>76</v>
      </c>
      <c r="AD83" t="s">
        <v>73</v>
      </c>
      <c r="AE83" t="s">
        <v>77</v>
      </c>
      <c r="AF83" t="s">
        <v>2445</v>
      </c>
      <c r="AG83" t="s">
        <v>78</v>
      </c>
    </row>
    <row r="84" spans="1:33" hidden="1" x14ac:dyDescent="0.25">
      <c r="A84" t="str">
        <f>"1588895395"</f>
        <v>1588895395</v>
      </c>
      <c r="B84" t="str">
        <f>"03322456"</f>
        <v>03322456</v>
      </c>
      <c r="C84" t="s">
        <v>2173</v>
      </c>
      <c r="D84" t="s">
        <v>897</v>
      </c>
      <c r="E84" t="s">
        <v>898</v>
      </c>
      <c r="G84" t="s">
        <v>749</v>
      </c>
      <c r="H84" t="s">
        <v>320</v>
      </c>
      <c r="J84" t="s">
        <v>750</v>
      </c>
      <c r="L84" t="s">
        <v>81</v>
      </c>
      <c r="M84" t="s">
        <v>82</v>
      </c>
      <c r="R84" t="s">
        <v>899</v>
      </c>
      <c r="W84" t="s">
        <v>898</v>
      </c>
      <c r="X84" t="s">
        <v>624</v>
      </c>
      <c r="Y84" t="s">
        <v>91</v>
      </c>
      <c r="Z84" t="s">
        <v>74</v>
      </c>
      <c r="AA84" t="str">
        <f>"10032-5058"</f>
        <v>10032-5058</v>
      </c>
      <c r="AB84" t="s">
        <v>75</v>
      </c>
      <c r="AC84" t="s">
        <v>76</v>
      </c>
      <c r="AD84" t="s">
        <v>73</v>
      </c>
      <c r="AE84" t="s">
        <v>77</v>
      </c>
      <c r="AF84" t="s">
        <v>2445</v>
      </c>
      <c r="AG84" t="s">
        <v>78</v>
      </c>
    </row>
    <row r="85" spans="1:33" hidden="1" x14ac:dyDescent="0.25">
      <c r="A85" t="str">
        <f>"1649235516"</f>
        <v>1649235516</v>
      </c>
      <c r="B85" t="str">
        <f>"02733168"</f>
        <v>02733168</v>
      </c>
      <c r="C85" t="s">
        <v>2510</v>
      </c>
      <c r="D85" t="s">
        <v>1104</v>
      </c>
      <c r="E85" t="s">
        <v>1105</v>
      </c>
      <c r="G85" t="s">
        <v>749</v>
      </c>
      <c r="H85" t="s">
        <v>320</v>
      </c>
      <c r="J85" t="s">
        <v>750</v>
      </c>
      <c r="L85" t="s">
        <v>81</v>
      </c>
      <c r="M85" t="s">
        <v>82</v>
      </c>
      <c r="R85" t="s">
        <v>1106</v>
      </c>
      <c r="W85" t="s">
        <v>1105</v>
      </c>
      <c r="X85" t="s">
        <v>210</v>
      </c>
      <c r="Y85" t="s">
        <v>208</v>
      </c>
      <c r="Z85" t="s">
        <v>74</v>
      </c>
      <c r="AA85" t="str">
        <f>"11418-2618"</f>
        <v>11418-2618</v>
      </c>
      <c r="AB85" t="s">
        <v>75</v>
      </c>
      <c r="AC85" t="s">
        <v>76</v>
      </c>
      <c r="AD85" t="s">
        <v>73</v>
      </c>
      <c r="AE85" t="s">
        <v>77</v>
      </c>
      <c r="AF85" t="s">
        <v>2445</v>
      </c>
      <c r="AG85" t="s">
        <v>78</v>
      </c>
    </row>
    <row r="86" spans="1:33" hidden="1" x14ac:dyDescent="0.25">
      <c r="A86" t="str">
        <f>"1346490505"</f>
        <v>1346490505</v>
      </c>
      <c r="C86" t="s">
        <v>2511</v>
      </c>
      <c r="G86" t="s">
        <v>2224</v>
      </c>
      <c r="H86" t="s">
        <v>2312</v>
      </c>
      <c r="J86" t="s">
        <v>2226</v>
      </c>
      <c r="K86" t="s">
        <v>171</v>
      </c>
      <c r="L86" t="s">
        <v>72</v>
      </c>
      <c r="M86" t="s">
        <v>73</v>
      </c>
      <c r="R86" t="s">
        <v>2512</v>
      </c>
      <c r="S86" t="s">
        <v>1586</v>
      </c>
      <c r="T86" t="s">
        <v>84</v>
      </c>
      <c r="U86" t="s">
        <v>74</v>
      </c>
      <c r="V86" t="str">
        <f>"11215"</f>
        <v>11215</v>
      </c>
      <c r="AC86" t="s">
        <v>76</v>
      </c>
      <c r="AD86" t="s">
        <v>73</v>
      </c>
      <c r="AE86" t="s">
        <v>97</v>
      </c>
      <c r="AF86" t="s">
        <v>2242</v>
      </c>
      <c r="AG86" t="s">
        <v>78</v>
      </c>
    </row>
    <row r="87" spans="1:33" hidden="1" x14ac:dyDescent="0.25">
      <c r="A87" t="str">
        <f>"1255698973"</f>
        <v>1255698973</v>
      </c>
      <c r="C87" t="s">
        <v>2513</v>
      </c>
      <c r="G87" t="s">
        <v>2514</v>
      </c>
      <c r="H87" t="s">
        <v>2515</v>
      </c>
      <c r="J87" t="s">
        <v>2516</v>
      </c>
      <c r="K87" t="s">
        <v>507</v>
      </c>
      <c r="L87" t="s">
        <v>96</v>
      </c>
      <c r="M87" t="s">
        <v>73</v>
      </c>
      <c r="R87" t="s">
        <v>2517</v>
      </c>
      <c r="S87" t="s">
        <v>1929</v>
      </c>
      <c r="T87" t="s">
        <v>91</v>
      </c>
      <c r="U87" t="s">
        <v>74</v>
      </c>
      <c r="V87" t="str">
        <f>"100324207"</f>
        <v>100324207</v>
      </c>
      <c r="AC87" t="s">
        <v>76</v>
      </c>
      <c r="AD87" t="s">
        <v>73</v>
      </c>
      <c r="AE87" t="s">
        <v>97</v>
      </c>
      <c r="AF87" t="s">
        <v>2518</v>
      </c>
      <c r="AG87" t="s">
        <v>78</v>
      </c>
    </row>
    <row r="88" spans="1:33" hidden="1" x14ac:dyDescent="0.25">
      <c r="A88" t="str">
        <f>"1598923724"</f>
        <v>1598923724</v>
      </c>
      <c r="B88" t="str">
        <f>"03711039"</f>
        <v>03711039</v>
      </c>
      <c r="C88" t="s">
        <v>2519</v>
      </c>
      <c r="D88" t="s">
        <v>2520</v>
      </c>
      <c r="E88" t="s">
        <v>2521</v>
      </c>
      <c r="G88" t="s">
        <v>2514</v>
      </c>
      <c r="H88" t="s">
        <v>2522</v>
      </c>
      <c r="J88" t="s">
        <v>2516</v>
      </c>
      <c r="L88" t="s">
        <v>72</v>
      </c>
      <c r="M88" t="s">
        <v>73</v>
      </c>
      <c r="R88" t="s">
        <v>2523</v>
      </c>
      <c r="W88" t="s">
        <v>2521</v>
      </c>
      <c r="X88" t="s">
        <v>2524</v>
      </c>
      <c r="Y88" t="s">
        <v>91</v>
      </c>
      <c r="Z88" t="s">
        <v>74</v>
      </c>
      <c r="AA88" t="str">
        <f>"10032-4207"</f>
        <v>10032-4207</v>
      </c>
      <c r="AB88" t="s">
        <v>75</v>
      </c>
      <c r="AC88" t="s">
        <v>76</v>
      </c>
      <c r="AD88" t="s">
        <v>73</v>
      </c>
      <c r="AE88" t="s">
        <v>77</v>
      </c>
      <c r="AF88" t="s">
        <v>2518</v>
      </c>
      <c r="AG88" t="s">
        <v>78</v>
      </c>
    </row>
    <row r="89" spans="1:33" hidden="1" x14ac:dyDescent="0.25">
      <c r="A89" t="str">
        <f>"1487600953"</f>
        <v>1487600953</v>
      </c>
      <c r="B89" t="str">
        <f>"02375735"</f>
        <v>02375735</v>
      </c>
      <c r="C89" t="s">
        <v>2525</v>
      </c>
      <c r="D89" t="s">
        <v>2526</v>
      </c>
      <c r="E89" t="s">
        <v>2527</v>
      </c>
      <c r="G89" t="s">
        <v>2224</v>
      </c>
      <c r="H89" t="s">
        <v>2225</v>
      </c>
      <c r="J89" t="s">
        <v>2226</v>
      </c>
      <c r="L89" t="s">
        <v>72</v>
      </c>
      <c r="M89" t="s">
        <v>73</v>
      </c>
      <c r="R89" t="s">
        <v>2528</v>
      </c>
      <c r="W89" t="s">
        <v>2527</v>
      </c>
      <c r="X89" t="s">
        <v>1958</v>
      </c>
      <c r="Y89" t="s">
        <v>91</v>
      </c>
      <c r="Z89" t="s">
        <v>74</v>
      </c>
      <c r="AA89" t="str">
        <f>"10032-3722"</f>
        <v>10032-3722</v>
      </c>
      <c r="AB89" t="s">
        <v>75</v>
      </c>
      <c r="AC89" t="s">
        <v>76</v>
      </c>
      <c r="AD89" t="s">
        <v>73</v>
      </c>
      <c r="AE89" t="s">
        <v>77</v>
      </c>
      <c r="AF89" t="s">
        <v>2254</v>
      </c>
      <c r="AG89" t="s">
        <v>78</v>
      </c>
    </row>
    <row r="90" spans="1:33" hidden="1" x14ac:dyDescent="0.25">
      <c r="A90" t="str">
        <f>"1104197896"</f>
        <v>1104197896</v>
      </c>
      <c r="B90" t="str">
        <f>"03567993"</f>
        <v>03567993</v>
      </c>
      <c r="C90" t="s">
        <v>2529</v>
      </c>
      <c r="D90" t="s">
        <v>2530</v>
      </c>
      <c r="E90" t="s">
        <v>2531</v>
      </c>
      <c r="G90" t="s">
        <v>2224</v>
      </c>
      <c r="H90" t="s">
        <v>2225</v>
      </c>
      <c r="J90" t="s">
        <v>2226</v>
      </c>
      <c r="L90" t="s">
        <v>72</v>
      </c>
      <c r="M90" t="s">
        <v>73</v>
      </c>
      <c r="R90" t="s">
        <v>2532</v>
      </c>
      <c r="W90" t="s">
        <v>2531</v>
      </c>
      <c r="X90" t="s">
        <v>387</v>
      </c>
      <c r="Y90" t="s">
        <v>91</v>
      </c>
      <c r="Z90" t="s">
        <v>74</v>
      </c>
      <c r="AA90" t="str">
        <f>"10025-1737"</f>
        <v>10025-1737</v>
      </c>
      <c r="AB90" t="s">
        <v>113</v>
      </c>
      <c r="AC90" t="s">
        <v>76</v>
      </c>
      <c r="AD90" t="s">
        <v>73</v>
      </c>
      <c r="AE90" t="s">
        <v>77</v>
      </c>
      <c r="AF90" t="s">
        <v>2254</v>
      </c>
      <c r="AG90" t="s">
        <v>78</v>
      </c>
    </row>
    <row r="91" spans="1:33" hidden="1" x14ac:dyDescent="0.25">
      <c r="A91" t="str">
        <f>"1104807015"</f>
        <v>1104807015</v>
      </c>
      <c r="B91" t="str">
        <f>"00670053"</f>
        <v>00670053</v>
      </c>
      <c r="C91" t="s">
        <v>2533</v>
      </c>
      <c r="D91" t="s">
        <v>2534</v>
      </c>
      <c r="E91" t="s">
        <v>2535</v>
      </c>
      <c r="G91" t="s">
        <v>2224</v>
      </c>
      <c r="H91" t="s">
        <v>2225</v>
      </c>
      <c r="J91" t="s">
        <v>2226</v>
      </c>
      <c r="L91" t="s">
        <v>96</v>
      </c>
      <c r="M91" t="s">
        <v>73</v>
      </c>
      <c r="R91" t="s">
        <v>2536</v>
      </c>
      <c r="W91" t="s">
        <v>2535</v>
      </c>
      <c r="X91" t="s">
        <v>2537</v>
      </c>
      <c r="Y91" t="s">
        <v>91</v>
      </c>
      <c r="Z91" t="s">
        <v>74</v>
      </c>
      <c r="AA91" t="str">
        <f>"10032-3725"</f>
        <v>10032-3725</v>
      </c>
      <c r="AB91" t="s">
        <v>75</v>
      </c>
      <c r="AC91" t="s">
        <v>76</v>
      </c>
      <c r="AD91" t="s">
        <v>73</v>
      </c>
      <c r="AE91" t="s">
        <v>77</v>
      </c>
      <c r="AF91" t="s">
        <v>2398</v>
      </c>
      <c r="AG91" t="s">
        <v>78</v>
      </c>
    </row>
    <row r="92" spans="1:33" hidden="1" x14ac:dyDescent="0.25">
      <c r="A92" t="str">
        <f>"1083859391"</f>
        <v>1083859391</v>
      </c>
      <c r="B92" t="str">
        <f>"03152081"</f>
        <v>03152081</v>
      </c>
      <c r="C92" t="s">
        <v>2538</v>
      </c>
      <c r="D92" t="s">
        <v>2539</v>
      </c>
      <c r="E92" t="s">
        <v>2540</v>
      </c>
      <c r="G92" t="s">
        <v>2224</v>
      </c>
      <c r="H92" t="s">
        <v>2225</v>
      </c>
      <c r="J92" t="s">
        <v>2226</v>
      </c>
      <c r="L92" t="s">
        <v>72</v>
      </c>
      <c r="M92" t="s">
        <v>73</v>
      </c>
      <c r="R92" t="s">
        <v>2540</v>
      </c>
      <c r="W92" t="s">
        <v>2541</v>
      </c>
      <c r="X92" t="s">
        <v>2542</v>
      </c>
      <c r="Y92" t="s">
        <v>91</v>
      </c>
      <c r="Z92" t="s">
        <v>74</v>
      </c>
      <c r="AA92" t="str">
        <f>"10032-0000"</f>
        <v>10032-0000</v>
      </c>
      <c r="AB92" t="s">
        <v>113</v>
      </c>
      <c r="AC92" t="s">
        <v>76</v>
      </c>
      <c r="AD92" t="s">
        <v>73</v>
      </c>
      <c r="AE92" t="s">
        <v>77</v>
      </c>
      <c r="AF92" t="s">
        <v>2254</v>
      </c>
      <c r="AG92" t="s">
        <v>78</v>
      </c>
    </row>
    <row r="93" spans="1:33" hidden="1" x14ac:dyDescent="0.25">
      <c r="A93" t="str">
        <f>"1073718532"</f>
        <v>1073718532</v>
      </c>
      <c r="B93" t="str">
        <f>"03052724"</f>
        <v>03052724</v>
      </c>
      <c r="C93" t="s">
        <v>2543</v>
      </c>
      <c r="D93" t="s">
        <v>2544</v>
      </c>
      <c r="E93" t="s">
        <v>2545</v>
      </c>
      <c r="G93" t="s">
        <v>2224</v>
      </c>
      <c r="H93" t="s">
        <v>2225</v>
      </c>
      <c r="J93" t="s">
        <v>2226</v>
      </c>
      <c r="L93" t="s">
        <v>72</v>
      </c>
      <c r="M93" t="s">
        <v>73</v>
      </c>
      <c r="R93" t="s">
        <v>2545</v>
      </c>
      <c r="W93" t="s">
        <v>2545</v>
      </c>
      <c r="X93" t="s">
        <v>2057</v>
      </c>
      <c r="Y93" t="s">
        <v>91</v>
      </c>
      <c r="Z93" t="s">
        <v>74</v>
      </c>
      <c r="AA93" t="str">
        <f>"10032-3720"</f>
        <v>10032-3720</v>
      </c>
      <c r="AB93" t="s">
        <v>104</v>
      </c>
      <c r="AC93" t="s">
        <v>76</v>
      </c>
      <c r="AD93" t="s">
        <v>73</v>
      </c>
      <c r="AE93" t="s">
        <v>77</v>
      </c>
      <c r="AF93" t="s">
        <v>2254</v>
      </c>
      <c r="AG93" t="s">
        <v>78</v>
      </c>
    </row>
    <row r="94" spans="1:33" hidden="1" x14ac:dyDescent="0.25">
      <c r="A94" t="str">
        <f>"1730599259"</f>
        <v>1730599259</v>
      </c>
      <c r="C94" t="s">
        <v>2546</v>
      </c>
      <c r="G94" t="s">
        <v>2224</v>
      </c>
      <c r="H94" t="s">
        <v>2312</v>
      </c>
      <c r="J94" t="s">
        <v>2226</v>
      </c>
      <c r="K94" t="s">
        <v>171</v>
      </c>
      <c r="L94" t="s">
        <v>96</v>
      </c>
      <c r="M94" t="s">
        <v>73</v>
      </c>
      <c r="R94" t="s">
        <v>2547</v>
      </c>
      <c r="S94" t="s">
        <v>2314</v>
      </c>
      <c r="T94" t="s">
        <v>91</v>
      </c>
      <c r="U94" t="s">
        <v>74</v>
      </c>
      <c r="V94" t="str">
        <f>"100654870"</f>
        <v>100654870</v>
      </c>
      <c r="AC94" t="s">
        <v>76</v>
      </c>
      <c r="AD94" t="s">
        <v>73</v>
      </c>
      <c r="AE94" t="s">
        <v>97</v>
      </c>
      <c r="AF94" t="s">
        <v>2242</v>
      </c>
      <c r="AG94" t="s">
        <v>78</v>
      </c>
    </row>
    <row r="95" spans="1:33" hidden="1" x14ac:dyDescent="0.25">
      <c r="A95" t="str">
        <f>"1942567490"</f>
        <v>1942567490</v>
      </c>
      <c r="B95" t="str">
        <f>"04548005"</f>
        <v>04548005</v>
      </c>
      <c r="C95" t="s">
        <v>2548</v>
      </c>
      <c r="D95" t="s">
        <v>2549</v>
      </c>
      <c r="E95" t="s">
        <v>2550</v>
      </c>
      <c r="G95" t="s">
        <v>2224</v>
      </c>
      <c r="H95" t="s">
        <v>2312</v>
      </c>
      <c r="J95" t="s">
        <v>2226</v>
      </c>
      <c r="L95" t="s">
        <v>96</v>
      </c>
      <c r="M95" t="s">
        <v>73</v>
      </c>
      <c r="R95" t="s">
        <v>2550</v>
      </c>
      <c r="W95" t="s">
        <v>2550</v>
      </c>
      <c r="AB95" t="s">
        <v>75</v>
      </c>
      <c r="AC95" t="s">
        <v>76</v>
      </c>
      <c r="AD95" t="s">
        <v>73</v>
      </c>
      <c r="AE95" t="s">
        <v>77</v>
      </c>
      <c r="AF95" t="s">
        <v>2242</v>
      </c>
      <c r="AG95" t="s">
        <v>78</v>
      </c>
    </row>
    <row r="96" spans="1:33" hidden="1" x14ac:dyDescent="0.25">
      <c r="A96" t="str">
        <f>"1033207311"</f>
        <v>1033207311</v>
      </c>
      <c r="B96" t="str">
        <f>"00845661"</f>
        <v>00845661</v>
      </c>
      <c r="C96" t="s">
        <v>2551</v>
      </c>
      <c r="D96" t="s">
        <v>2552</v>
      </c>
      <c r="E96" t="s">
        <v>2553</v>
      </c>
      <c r="G96" t="s">
        <v>2224</v>
      </c>
      <c r="H96" t="s">
        <v>2225</v>
      </c>
      <c r="J96" t="s">
        <v>2226</v>
      </c>
      <c r="L96" t="s">
        <v>80</v>
      </c>
      <c r="M96" t="s">
        <v>73</v>
      </c>
      <c r="R96" t="s">
        <v>2554</v>
      </c>
      <c r="W96" t="s">
        <v>2553</v>
      </c>
      <c r="X96" t="s">
        <v>1583</v>
      </c>
      <c r="Y96" t="s">
        <v>91</v>
      </c>
      <c r="Z96" t="s">
        <v>74</v>
      </c>
      <c r="AA96" t="str">
        <f>"10021-9800"</f>
        <v>10021-9800</v>
      </c>
      <c r="AB96" t="s">
        <v>75</v>
      </c>
      <c r="AC96" t="s">
        <v>76</v>
      </c>
      <c r="AD96" t="s">
        <v>73</v>
      </c>
      <c r="AE96" t="s">
        <v>77</v>
      </c>
      <c r="AF96" t="s">
        <v>2254</v>
      </c>
      <c r="AG96" t="s">
        <v>78</v>
      </c>
    </row>
    <row r="97" spans="1:33" hidden="1" x14ac:dyDescent="0.25">
      <c r="A97" t="str">
        <f>"1033247770"</f>
        <v>1033247770</v>
      </c>
      <c r="B97" t="str">
        <f>"00480882"</f>
        <v>00480882</v>
      </c>
      <c r="C97" t="s">
        <v>2555</v>
      </c>
      <c r="D97" t="s">
        <v>2556</v>
      </c>
      <c r="E97" t="s">
        <v>2557</v>
      </c>
      <c r="G97" t="s">
        <v>2224</v>
      </c>
      <c r="H97" t="s">
        <v>2225</v>
      </c>
      <c r="J97" t="s">
        <v>2226</v>
      </c>
      <c r="L97" t="s">
        <v>100</v>
      </c>
      <c r="M97" t="s">
        <v>73</v>
      </c>
      <c r="R97" t="s">
        <v>2558</v>
      </c>
      <c r="W97" t="s">
        <v>2559</v>
      </c>
      <c r="X97" t="s">
        <v>2560</v>
      </c>
      <c r="Y97" t="s">
        <v>91</v>
      </c>
      <c r="Z97" t="s">
        <v>74</v>
      </c>
      <c r="AA97" t="str">
        <f>"10023-3419"</f>
        <v>10023-3419</v>
      </c>
      <c r="AB97" t="s">
        <v>75</v>
      </c>
      <c r="AC97" t="s">
        <v>76</v>
      </c>
      <c r="AD97" t="s">
        <v>73</v>
      </c>
      <c r="AE97" t="s">
        <v>77</v>
      </c>
      <c r="AF97" t="s">
        <v>2228</v>
      </c>
      <c r="AG97" t="s">
        <v>78</v>
      </c>
    </row>
    <row r="98" spans="1:33" hidden="1" x14ac:dyDescent="0.25">
      <c r="A98" t="str">
        <f>"1912033267"</f>
        <v>1912033267</v>
      </c>
      <c r="B98" t="str">
        <f>"03696173"</f>
        <v>03696173</v>
      </c>
      <c r="C98" t="s">
        <v>2561</v>
      </c>
      <c r="D98" t="s">
        <v>2178</v>
      </c>
      <c r="E98" t="s">
        <v>2179</v>
      </c>
      <c r="G98" t="s">
        <v>2224</v>
      </c>
      <c r="H98" t="s">
        <v>2225</v>
      </c>
      <c r="J98" t="s">
        <v>2226</v>
      </c>
      <c r="L98" t="s">
        <v>72</v>
      </c>
      <c r="M98" t="s">
        <v>73</v>
      </c>
      <c r="R98" t="s">
        <v>2179</v>
      </c>
      <c r="W98" t="s">
        <v>2179</v>
      </c>
      <c r="X98" t="s">
        <v>167</v>
      </c>
      <c r="Y98" t="s">
        <v>91</v>
      </c>
      <c r="Z98" t="s">
        <v>74</v>
      </c>
      <c r="AA98" t="str">
        <f>"10032-3720"</f>
        <v>10032-3720</v>
      </c>
      <c r="AB98" t="s">
        <v>75</v>
      </c>
      <c r="AC98" t="s">
        <v>76</v>
      </c>
      <c r="AD98" t="s">
        <v>73</v>
      </c>
      <c r="AE98" t="s">
        <v>77</v>
      </c>
      <c r="AF98" t="s">
        <v>2228</v>
      </c>
      <c r="AG98" t="s">
        <v>78</v>
      </c>
    </row>
    <row r="99" spans="1:33" hidden="1" x14ac:dyDescent="0.25">
      <c r="A99" t="str">
        <f>"1417254715"</f>
        <v>1417254715</v>
      </c>
      <c r="B99" t="str">
        <f>"03330834"</f>
        <v>03330834</v>
      </c>
      <c r="C99" t="s">
        <v>2562</v>
      </c>
      <c r="D99" t="s">
        <v>2563</v>
      </c>
      <c r="E99" t="s">
        <v>2564</v>
      </c>
      <c r="G99" t="s">
        <v>2224</v>
      </c>
      <c r="H99" t="s">
        <v>2225</v>
      </c>
      <c r="J99" t="s">
        <v>2226</v>
      </c>
      <c r="L99" t="s">
        <v>72</v>
      </c>
      <c r="M99" t="s">
        <v>73</v>
      </c>
      <c r="R99" t="s">
        <v>2565</v>
      </c>
      <c r="W99" t="s">
        <v>2566</v>
      </c>
      <c r="X99" t="s">
        <v>1784</v>
      </c>
      <c r="Y99" t="s">
        <v>91</v>
      </c>
      <c r="Z99" t="s">
        <v>74</v>
      </c>
      <c r="AA99" t="str">
        <f>"10032-3724"</f>
        <v>10032-3724</v>
      </c>
      <c r="AB99" t="s">
        <v>113</v>
      </c>
      <c r="AC99" t="s">
        <v>76</v>
      </c>
      <c r="AD99" t="s">
        <v>73</v>
      </c>
      <c r="AE99" t="s">
        <v>77</v>
      </c>
      <c r="AF99" t="s">
        <v>2228</v>
      </c>
      <c r="AG99" t="s">
        <v>78</v>
      </c>
    </row>
    <row r="100" spans="1:33" hidden="1" x14ac:dyDescent="0.25">
      <c r="A100" t="str">
        <f>"1417928037"</f>
        <v>1417928037</v>
      </c>
      <c r="B100" t="str">
        <f>"03047463"</f>
        <v>03047463</v>
      </c>
      <c r="C100" t="s">
        <v>2567</v>
      </c>
      <c r="D100" t="s">
        <v>2568</v>
      </c>
      <c r="E100" t="s">
        <v>2569</v>
      </c>
      <c r="G100" t="s">
        <v>2224</v>
      </c>
      <c r="H100" t="s">
        <v>2225</v>
      </c>
      <c r="J100" t="s">
        <v>2226</v>
      </c>
      <c r="L100" t="s">
        <v>72</v>
      </c>
      <c r="M100" t="s">
        <v>82</v>
      </c>
      <c r="R100" t="s">
        <v>2570</v>
      </c>
      <c r="W100" t="s">
        <v>2571</v>
      </c>
      <c r="X100" t="s">
        <v>183</v>
      </c>
      <c r="Y100" t="s">
        <v>91</v>
      </c>
      <c r="Z100" t="s">
        <v>74</v>
      </c>
      <c r="AA100" t="str">
        <f>"10032-3729"</f>
        <v>10032-3729</v>
      </c>
      <c r="AB100" t="s">
        <v>75</v>
      </c>
      <c r="AC100" t="s">
        <v>76</v>
      </c>
      <c r="AD100" t="s">
        <v>73</v>
      </c>
      <c r="AE100" t="s">
        <v>77</v>
      </c>
      <c r="AF100" t="s">
        <v>2254</v>
      </c>
      <c r="AG100" t="s">
        <v>78</v>
      </c>
    </row>
    <row r="101" spans="1:33" hidden="1" x14ac:dyDescent="0.25">
      <c r="A101" t="str">
        <f>"1730108903"</f>
        <v>1730108903</v>
      </c>
      <c r="B101" t="str">
        <f>"00498691"</f>
        <v>00498691</v>
      </c>
      <c r="C101" t="s">
        <v>2572</v>
      </c>
      <c r="D101" t="s">
        <v>2067</v>
      </c>
      <c r="E101" t="s">
        <v>2068</v>
      </c>
      <c r="G101" t="s">
        <v>2224</v>
      </c>
      <c r="H101" t="s">
        <v>2225</v>
      </c>
      <c r="J101" t="s">
        <v>2226</v>
      </c>
      <c r="L101" t="s">
        <v>80</v>
      </c>
      <c r="M101" t="s">
        <v>73</v>
      </c>
      <c r="R101" t="s">
        <v>2069</v>
      </c>
      <c r="W101" t="s">
        <v>2070</v>
      </c>
      <c r="Y101" t="s">
        <v>91</v>
      </c>
      <c r="Z101" t="s">
        <v>74</v>
      </c>
      <c r="AA101" t="str">
        <f>"10032-3720"</f>
        <v>10032-3720</v>
      </c>
      <c r="AB101" t="s">
        <v>75</v>
      </c>
      <c r="AC101" t="s">
        <v>76</v>
      </c>
      <c r="AD101" t="s">
        <v>73</v>
      </c>
      <c r="AE101" t="s">
        <v>77</v>
      </c>
      <c r="AF101" t="s">
        <v>2228</v>
      </c>
      <c r="AG101" t="s">
        <v>78</v>
      </c>
    </row>
    <row r="102" spans="1:33" hidden="1" x14ac:dyDescent="0.25">
      <c r="A102" t="str">
        <f>"1730220443"</f>
        <v>1730220443</v>
      </c>
      <c r="B102" t="str">
        <f>"01989808"</f>
        <v>01989808</v>
      </c>
      <c r="C102" t="s">
        <v>2573</v>
      </c>
      <c r="D102" t="s">
        <v>2574</v>
      </c>
      <c r="E102" t="s">
        <v>2575</v>
      </c>
      <c r="G102" t="s">
        <v>2224</v>
      </c>
      <c r="H102" t="s">
        <v>2225</v>
      </c>
      <c r="J102" t="s">
        <v>2226</v>
      </c>
      <c r="L102" t="s">
        <v>72</v>
      </c>
      <c r="M102" t="s">
        <v>73</v>
      </c>
      <c r="R102" t="s">
        <v>2576</v>
      </c>
      <c r="W102" t="s">
        <v>2575</v>
      </c>
      <c r="X102" t="s">
        <v>2575</v>
      </c>
      <c r="Y102" t="s">
        <v>118</v>
      </c>
      <c r="Z102" t="s">
        <v>74</v>
      </c>
      <c r="AA102" t="str">
        <f>"10461-1138"</f>
        <v>10461-1138</v>
      </c>
      <c r="AB102" t="s">
        <v>75</v>
      </c>
      <c r="AC102" t="s">
        <v>76</v>
      </c>
      <c r="AD102" t="s">
        <v>73</v>
      </c>
      <c r="AE102" t="s">
        <v>77</v>
      </c>
      <c r="AF102" t="s">
        <v>2228</v>
      </c>
      <c r="AG102" t="s">
        <v>78</v>
      </c>
    </row>
    <row r="103" spans="1:33" hidden="1" x14ac:dyDescent="0.25">
      <c r="A103" t="str">
        <f>"1013933290"</f>
        <v>1013933290</v>
      </c>
      <c r="B103" t="str">
        <f>"03133415"</f>
        <v>03133415</v>
      </c>
      <c r="C103" t="s">
        <v>2577</v>
      </c>
      <c r="D103" t="s">
        <v>1490</v>
      </c>
      <c r="E103" t="s">
        <v>1491</v>
      </c>
      <c r="G103" t="s">
        <v>2224</v>
      </c>
      <c r="H103" t="s">
        <v>2578</v>
      </c>
      <c r="J103" t="s">
        <v>2226</v>
      </c>
      <c r="L103" t="s">
        <v>72</v>
      </c>
      <c r="M103" t="s">
        <v>73</v>
      </c>
      <c r="R103" t="s">
        <v>1492</v>
      </c>
      <c r="W103" t="s">
        <v>1492</v>
      </c>
      <c r="X103" t="s">
        <v>183</v>
      </c>
      <c r="Y103" t="s">
        <v>91</v>
      </c>
      <c r="Z103" t="s">
        <v>74</v>
      </c>
      <c r="AA103" t="str">
        <f>"10032-3729"</f>
        <v>10032-3729</v>
      </c>
      <c r="AB103" t="s">
        <v>75</v>
      </c>
      <c r="AC103" t="s">
        <v>76</v>
      </c>
      <c r="AD103" t="s">
        <v>73</v>
      </c>
      <c r="AE103" t="s">
        <v>77</v>
      </c>
      <c r="AF103" t="s">
        <v>2254</v>
      </c>
      <c r="AG103" t="s">
        <v>78</v>
      </c>
    </row>
    <row r="104" spans="1:33" hidden="1" x14ac:dyDescent="0.25">
      <c r="A104" t="str">
        <f>"1083688196"</f>
        <v>1083688196</v>
      </c>
      <c r="B104" t="str">
        <f>"03708990"</f>
        <v>03708990</v>
      </c>
      <c r="C104" t="s">
        <v>2579</v>
      </c>
      <c r="D104" t="s">
        <v>2580</v>
      </c>
      <c r="E104" t="s">
        <v>2581</v>
      </c>
      <c r="G104" t="s">
        <v>2224</v>
      </c>
      <c r="H104" t="s">
        <v>2582</v>
      </c>
      <c r="J104" t="s">
        <v>2226</v>
      </c>
      <c r="L104" t="s">
        <v>72</v>
      </c>
      <c r="M104" t="s">
        <v>73</v>
      </c>
      <c r="R104" t="s">
        <v>2583</v>
      </c>
      <c r="W104" t="s">
        <v>2584</v>
      </c>
      <c r="X104" t="s">
        <v>2585</v>
      </c>
      <c r="Y104" t="s">
        <v>91</v>
      </c>
      <c r="Z104" t="s">
        <v>74</v>
      </c>
      <c r="AA104" t="str">
        <f>"10032-1559"</f>
        <v>10032-1559</v>
      </c>
      <c r="AB104" t="s">
        <v>75</v>
      </c>
      <c r="AC104" t="s">
        <v>76</v>
      </c>
      <c r="AD104" t="s">
        <v>73</v>
      </c>
      <c r="AE104" t="s">
        <v>77</v>
      </c>
      <c r="AF104" t="s">
        <v>2228</v>
      </c>
      <c r="AG104" t="s">
        <v>78</v>
      </c>
    </row>
    <row r="105" spans="1:33" hidden="1" x14ac:dyDescent="0.25">
      <c r="A105" t="str">
        <f>"1932483542"</f>
        <v>1932483542</v>
      </c>
      <c r="B105" t="str">
        <f>"03406237"</f>
        <v>03406237</v>
      </c>
      <c r="C105" t="s">
        <v>2586</v>
      </c>
      <c r="D105" t="s">
        <v>2587</v>
      </c>
      <c r="E105" t="s">
        <v>2588</v>
      </c>
      <c r="G105" t="s">
        <v>2224</v>
      </c>
      <c r="H105" t="s">
        <v>2589</v>
      </c>
      <c r="J105" t="s">
        <v>2226</v>
      </c>
      <c r="L105" t="s">
        <v>72</v>
      </c>
      <c r="M105" t="s">
        <v>73</v>
      </c>
      <c r="R105" t="s">
        <v>2590</v>
      </c>
      <c r="W105" t="s">
        <v>2588</v>
      </c>
      <c r="X105" t="s">
        <v>2591</v>
      </c>
      <c r="Y105" t="s">
        <v>91</v>
      </c>
      <c r="Z105" t="s">
        <v>74</v>
      </c>
      <c r="AA105" t="str">
        <f>"10021-9800"</f>
        <v>10021-9800</v>
      </c>
      <c r="AB105" t="s">
        <v>75</v>
      </c>
      <c r="AC105" t="s">
        <v>76</v>
      </c>
      <c r="AD105" t="s">
        <v>73</v>
      </c>
      <c r="AE105" t="s">
        <v>77</v>
      </c>
      <c r="AF105" t="s">
        <v>2242</v>
      </c>
      <c r="AG105" t="s">
        <v>78</v>
      </c>
    </row>
    <row r="106" spans="1:33" hidden="1" x14ac:dyDescent="0.25">
      <c r="A106" t="str">
        <f>"1093752263"</f>
        <v>1093752263</v>
      </c>
      <c r="B106" t="str">
        <f>"02779308"</f>
        <v>02779308</v>
      </c>
      <c r="C106" t="s">
        <v>2592</v>
      </c>
      <c r="D106" t="s">
        <v>2593</v>
      </c>
      <c r="E106" t="s">
        <v>2594</v>
      </c>
      <c r="G106" t="s">
        <v>2224</v>
      </c>
      <c r="H106" t="s">
        <v>2225</v>
      </c>
      <c r="J106" t="s">
        <v>2226</v>
      </c>
      <c r="L106" t="s">
        <v>88</v>
      </c>
      <c r="M106" t="s">
        <v>82</v>
      </c>
      <c r="R106" t="s">
        <v>2595</v>
      </c>
      <c r="W106" t="s">
        <v>2594</v>
      </c>
      <c r="X106" t="s">
        <v>410</v>
      </c>
      <c r="Y106" t="s">
        <v>91</v>
      </c>
      <c r="Z106" t="s">
        <v>74</v>
      </c>
      <c r="AA106" t="str">
        <f>"10032-1559"</f>
        <v>10032-1559</v>
      </c>
      <c r="AB106" t="s">
        <v>75</v>
      </c>
      <c r="AC106" t="s">
        <v>76</v>
      </c>
      <c r="AD106" t="s">
        <v>73</v>
      </c>
      <c r="AE106" t="s">
        <v>77</v>
      </c>
      <c r="AF106" t="s">
        <v>2228</v>
      </c>
      <c r="AG106" t="s">
        <v>78</v>
      </c>
    </row>
    <row r="107" spans="1:33" hidden="1" x14ac:dyDescent="0.25">
      <c r="A107" t="str">
        <f>"1558510669"</f>
        <v>1558510669</v>
      </c>
      <c r="B107" t="str">
        <f>"03498331"</f>
        <v>03498331</v>
      </c>
      <c r="C107" t="s">
        <v>2596</v>
      </c>
      <c r="D107" t="s">
        <v>2597</v>
      </c>
      <c r="E107" t="s">
        <v>2598</v>
      </c>
      <c r="G107" t="s">
        <v>2224</v>
      </c>
      <c r="H107" t="s">
        <v>2225</v>
      </c>
      <c r="J107" t="s">
        <v>2226</v>
      </c>
      <c r="L107" t="s">
        <v>72</v>
      </c>
      <c r="M107" t="s">
        <v>73</v>
      </c>
      <c r="R107" t="s">
        <v>2599</v>
      </c>
      <c r="W107" t="s">
        <v>2598</v>
      </c>
      <c r="X107" t="s">
        <v>1379</v>
      </c>
      <c r="Y107" t="s">
        <v>91</v>
      </c>
      <c r="Z107" t="s">
        <v>74</v>
      </c>
      <c r="AA107" t="str">
        <f>"10032-3720"</f>
        <v>10032-3720</v>
      </c>
      <c r="AB107" t="s">
        <v>75</v>
      </c>
      <c r="AC107" t="s">
        <v>76</v>
      </c>
      <c r="AD107" t="s">
        <v>73</v>
      </c>
      <c r="AE107" t="s">
        <v>77</v>
      </c>
      <c r="AF107" t="s">
        <v>2254</v>
      </c>
      <c r="AG107" t="s">
        <v>78</v>
      </c>
    </row>
    <row r="108" spans="1:33" hidden="1" x14ac:dyDescent="0.25">
      <c r="A108" t="str">
        <f>"1861600678"</f>
        <v>1861600678</v>
      </c>
      <c r="B108" t="str">
        <f>"03032331"</f>
        <v>03032331</v>
      </c>
      <c r="C108" t="s">
        <v>2600</v>
      </c>
      <c r="D108" t="s">
        <v>2601</v>
      </c>
      <c r="E108" t="s">
        <v>2602</v>
      </c>
      <c r="G108" t="s">
        <v>2224</v>
      </c>
      <c r="H108" t="s">
        <v>2225</v>
      </c>
      <c r="J108" t="s">
        <v>2226</v>
      </c>
      <c r="L108" t="s">
        <v>80</v>
      </c>
      <c r="M108" t="s">
        <v>73</v>
      </c>
      <c r="R108" t="s">
        <v>2603</v>
      </c>
      <c r="W108" t="s">
        <v>2602</v>
      </c>
      <c r="X108" t="s">
        <v>183</v>
      </c>
      <c r="Y108" t="s">
        <v>91</v>
      </c>
      <c r="Z108" t="s">
        <v>74</v>
      </c>
      <c r="AA108" t="str">
        <f>"10032-3729"</f>
        <v>10032-3729</v>
      </c>
      <c r="AB108" t="s">
        <v>75</v>
      </c>
      <c r="AC108" t="s">
        <v>76</v>
      </c>
      <c r="AD108" t="s">
        <v>73</v>
      </c>
      <c r="AE108" t="s">
        <v>77</v>
      </c>
      <c r="AF108" t="s">
        <v>2228</v>
      </c>
      <c r="AG108" t="s">
        <v>78</v>
      </c>
    </row>
    <row r="109" spans="1:33" hidden="1" x14ac:dyDescent="0.25">
      <c r="A109" t="str">
        <f>"1114181963"</f>
        <v>1114181963</v>
      </c>
      <c r="B109" t="str">
        <f>"03241710"</f>
        <v>03241710</v>
      </c>
      <c r="C109" t="s">
        <v>2604</v>
      </c>
      <c r="D109" t="s">
        <v>2605</v>
      </c>
      <c r="E109" t="s">
        <v>2606</v>
      </c>
      <c r="L109" t="s">
        <v>80</v>
      </c>
      <c r="M109" t="s">
        <v>73</v>
      </c>
      <c r="R109" t="s">
        <v>2607</v>
      </c>
      <c r="W109" t="s">
        <v>2606</v>
      </c>
      <c r="X109" t="s">
        <v>170</v>
      </c>
      <c r="Y109" t="s">
        <v>91</v>
      </c>
      <c r="Z109" t="s">
        <v>74</v>
      </c>
      <c r="AA109" t="str">
        <f>"10065-4870"</f>
        <v>10065-4870</v>
      </c>
      <c r="AB109" t="s">
        <v>75</v>
      </c>
      <c r="AC109" t="s">
        <v>76</v>
      </c>
      <c r="AD109" t="s">
        <v>73</v>
      </c>
      <c r="AE109" t="s">
        <v>77</v>
      </c>
      <c r="AF109" t="s">
        <v>2242</v>
      </c>
      <c r="AG109" t="s">
        <v>78</v>
      </c>
    </row>
    <row r="110" spans="1:33" hidden="1" x14ac:dyDescent="0.25">
      <c r="A110" t="str">
        <f>"1033361811"</f>
        <v>1033361811</v>
      </c>
      <c r="B110" t="str">
        <f>"03247454"</f>
        <v>03247454</v>
      </c>
      <c r="C110" t="s">
        <v>2608</v>
      </c>
      <c r="D110" t="s">
        <v>2609</v>
      </c>
      <c r="E110" t="s">
        <v>2610</v>
      </c>
      <c r="L110" t="s">
        <v>80</v>
      </c>
      <c r="M110" t="s">
        <v>73</v>
      </c>
      <c r="R110" t="s">
        <v>2611</v>
      </c>
      <c r="W110" t="s">
        <v>2612</v>
      </c>
      <c r="X110" t="s">
        <v>170</v>
      </c>
      <c r="Y110" t="s">
        <v>91</v>
      </c>
      <c r="Z110" t="s">
        <v>74</v>
      </c>
      <c r="AA110" t="str">
        <f>"10065-4870"</f>
        <v>10065-4870</v>
      </c>
      <c r="AB110" t="s">
        <v>75</v>
      </c>
      <c r="AC110" t="s">
        <v>76</v>
      </c>
      <c r="AD110" t="s">
        <v>73</v>
      </c>
      <c r="AE110" t="s">
        <v>77</v>
      </c>
      <c r="AF110" t="s">
        <v>2242</v>
      </c>
      <c r="AG110" t="s">
        <v>78</v>
      </c>
    </row>
    <row r="111" spans="1:33" hidden="1" x14ac:dyDescent="0.25">
      <c r="A111" t="str">
        <f>"1689988628"</f>
        <v>1689988628</v>
      </c>
      <c r="B111" t="str">
        <f>"03355213"</f>
        <v>03355213</v>
      </c>
      <c r="C111" t="s">
        <v>2613</v>
      </c>
      <c r="D111" t="s">
        <v>2614</v>
      </c>
      <c r="E111" t="s">
        <v>2615</v>
      </c>
      <c r="L111" t="s">
        <v>80</v>
      </c>
      <c r="M111" t="s">
        <v>73</v>
      </c>
      <c r="R111" t="s">
        <v>2616</v>
      </c>
      <c r="W111" t="s">
        <v>2617</v>
      </c>
      <c r="X111" t="s">
        <v>371</v>
      </c>
      <c r="Y111" t="s">
        <v>91</v>
      </c>
      <c r="Z111" t="s">
        <v>74</v>
      </c>
      <c r="AA111" t="str">
        <f>"10011-5903"</f>
        <v>10011-5903</v>
      </c>
      <c r="AB111" t="s">
        <v>75</v>
      </c>
      <c r="AC111" t="s">
        <v>76</v>
      </c>
      <c r="AD111" t="s">
        <v>73</v>
      </c>
      <c r="AE111" t="s">
        <v>77</v>
      </c>
      <c r="AF111" t="s">
        <v>2242</v>
      </c>
      <c r="AG111" t="s">
        <v>78</v>
      </c>
    </row>
    <row r="112" spans="1:33" hidden="1" x14ac:dyDescent="0.25">
      <c r="A112" t="str">
        <f>"1770595381"</f>
        <v>1770595381</v>
      </c>
      <c r="B112" t="str">
        <f>"01097525"</f>
        <v>01097525</v>
      </c>
      <c r="C112" t="s">
        <v>2618</v>
      </c>
      <c r="D112" t="s">
        <v>2619</v>
      </c>
      <c r="E112" t="s">
        <v>2620</v>
      </c>
      <c r="L112" t="s">
        <v>80</v>
      </c>
      <c r="M112" t="s">
        <v>73</v>
      </c>
      <c r="R112" t="s">
        <v>2621</v>
      </c>
      <c r="W112" t="s">
        <v>2620</v>
      </c>
      <c r="X112" t="s">
        <v>170</v>
      </c>
      <c r="Y112" t="s">
        <v>91</v>
      </c>
      <c r="Z112" t="s">
        <v>74</v>
      </c>
      <c r="AA112" t="str">
        <f>"10065-4870"</f>
        <v>10065-4870</v>
      </c>
      <c r="AB112" t="s">
        <v>75</v>
      </c>
      <c r="AC112" t="s">
        <v>76</v>
      </c>
      <c r="AD112" t="s">
        <v>73</v>
      </c>
      <c r="AE112" t="s">
        <v>77</v>
      </c>
      <c r="AF112" t="s">
        <v>2242</v>
      </c>
      <c r="AG112" t="s">
        <v>78</v>
      </c>
    </row>
    <row r="113" spans="1:33" hidden="1" x14ac:dyDescent="0.25">
      <c r="A113" t="str">
        <f>"1467527903"</f>
        <v>1467527903</v>
      </c>
      <c r="B113" t="str">
        <f>"01947662"</f>
        <v>01947662</v>
      </c>
      <c r="C113" t="s">
        <v>2622</v>
      </c>
      <c r="D113" t="s">
        <v>2623</v>
      </c>
      <c r="E113" t="s">
        <v>2624</v>
      </c>
      <c r="G113" t="s">
        <v>2224</v>
      </c>
      <c r="H113" t="s">
        <v>2625</v>
      </c>
      <c r="J113" t="s">
        <v>2226</v>
      </c>
      <c r="L113" t="s">
        <v>72</v>
      </c>
      <c r="M113" t="s">
        <v>73</v>
      </c>
      <c r="R113" t="s">
        <v>2626</v>
      </c>
      <c r="W113" t="s">
        <v>2624</v>
      </c>
      <c r="Y113" t="s">
        <v>91</v>
      </c>
      <c r="Z113" t="s">
        <v>74</v>
      </c>
      <c r="AA113" t="str">
        <f>"10032-3720"</f>
        <v>10032-3720</v>
      </c>
      <c r="AB113" t="s">
        <v>75</v>
      </c>
      <c r="AC113" t="s">
        <v>76</v>
      </c>
      <c r="AD113" t="s">
        <v>73</v>
      </c>
      <c r="AE113" t="s">
        <v>77</v>
      </c>
      <c r="AF113" t="s">
        <v>2228</v>
      </c>
      <c r="AG113" t="s">
        <v>78</v>
      </c>
    </row>
    <row r="114" spans="1:33" hidden="1" x14ac:dyDescent="0.25">
      <c r="A114" t="str">
        <f>"1730227125"</f>
        <v>1730227125</v>
      </c>
      <c r="B114" t="str">
        <f>"02985380"</f>
        <v>02985380</v>
      </c>
      <c r="C114" t="s">
        <v>2627</v>
      </c>
      <c r="D114" t="s">
        <v>2628</v>
      </c>
      <c r="E114" t="s">
        <v>2629</v>
      </c>
      <c r="G114" t="s">
        <v>2224</v>
      </c>
      <c r="H114" t="s">
        <v>2630</v>
      </c>
      <c r="J114" t="s">
        <v>2226</v>
      </c>
      <c r="L114" t="s">
        <v>80</v>
      </c>
      <c r="M114" t="s">
        <v>73</v>
      </c>
      <c r="R114" t="s">
        <v>2631</v>
      </c>
      <c r="W114" t="s">
        <v>1465</v>
      </c>
      <c r="X114" t="s">
        <v>2632</v>
      </c>
      <c r="Y114" t="s">
        <v>91</v>
      </c>
      <c r="Z114" t="s">
        <v>74</v>
      </c>
      <c r="AA114" t="str">
        <f>"10065-4870"</f>
        <v>10065-4870</v>
      </c>
      <c r="AB114" t="s">
        <v>75</v>
      </c>
      <c r="AC114" t="s">
        <v>76</v>
      </c>
      <c r="AD114" t="s">
        <v>73</v>
      </c>
      <c r="AE114" t="s">
        <v>77</v>
      </c>
      <c r="AF114" t="s">
        <v>2242</v>
      </c>
      <c r="AG114" t="s">
        <v>78</v>
      </c>
    </row>
    <row r="115" spans="1:33" hidden="1" x14ac:dyDescent="0.25">
      <c r="A115" t="str">
        <f>"1083832430"</f>
        <v>1083832430</v>
      </c>
      <c r="B115" t="str">
        <f>"02891761"</f>
        <v>02891761</v>
      </c>
      <c r="C115" t="s">
        <v>2633</v>
      </c>
      <c r="D115" t="s">
        <v>2634</v>
      </c>
      <c r="E115" t="s">
        <v>2635</v>
      </c>
      <c r="L115" t="s">
        <v>80</v>
      </c>
      <c r="M115" t="s">
        <v>73</v>
      </c>
      <c r="R115" t="s">
        <v>2636</v>
      </c>
      <c r="W115" t="s">
        <v>2635</v>
      </c>
      <c r="X115" t="s">
        <v>351</v>
      </c>
      <c r="Y115" t="s">
        <v>91</v>
      </c>
      <c r="Z115" t="s">
        <v>74</v>
      </c>
      <c r="AA115" t="str">
        <f>"10032"</f>
        <v>10032</v>
      </c>
      <c r="AB115" t="s">
        <v>75</v>
      </c>
      <c r="AC115" t="s">
        <v>76</v>
      </c>
      <c r="AD115" t="s">
        <v>73</v>
      </c>
      <c r="AE115" t="s">
        <v>77</v>
      </c>
      <c r="AF115" t="s">
        <v>2228</v>
      </c>
      <c r="AG115" t="s">
        <v>78</v>
      </c>
    </row>
    <row r="116" spans="1:33" hidden="1" x14ac:dyDescent="0.25">
      <c r="A116" t="str">
        <f>"1891720249"</f>
        <v>1891720249</v>
      </c>
      <c r="B116" t="str">
        <f>"02088099"</f>
        <v>02088099</v>
      </c>
      <c r="C116" t="s">
        <v>2637</v>
      </c>
      <c r="D116" t="s">
        <v>2638</v>
      </c>
      <c r="E116" t="s">
        <v>2639</v>
      </c>
      <c r="L116" t="s">
        <v>80</v>
      </c>
      <c r="M116" t="s">
        <v>73</v>
      </c>
      <c r="R116" t="s">
        <v>2640</v>
      </c>
      <c r="W116" t="s">
        <v>2639</v>
      </c>
      <c r="X116" t="s">
        <v>2641</v>
      </c>
      <c r="Y116" t="s">
        <v>91</v>
      </c>
      <c r="Z116" t="s">
        <v>74</v>
      </c>
      <c r="AA116" t="str">
        <f>"10032-3720"</f>
        <v>10032-3720</v>
      </c>
      <c r="AB116" t="s">
        <v>75</v>
      </c>
      <c r="AC116" t="s">
        <v>76</v>
      </c>
      <c r="AD116" t="s">
        <v>73</v>
      </c>
      <c r="AE116" t="s">
        <v>77</v>
      </c>
      <c r="AF116" t="s">
        <v>2228</v>
      </c>
      <c r="AG116" t="s">
        <v>78</v>
      </c>
    </row>
    <row r="117" spans="1:33" hidden="1" x14ac:dyDescent="0.25">
      <c r="A117" t="str">
        <f>"1376868406"</f>
        <v>1376868406</v>
      </c>
      <c r="B117" t="str">
        <f>"03923920"</f>
        <v>03923920</v>
      </c>
      <c r="C117" t="s">
        <v>2642</v>
      </c>
      <c r="D117" t="s">
        <v>2643</v>
      </c>
      <c r="E117" t="s">
        <v>2644</v>
      </c>
      <c r="L117" t="s">
        <v>80</v>
      </c>
      <c r="M117" t="s">
        <v>73</v>
      </c>
      <c r="R117" t="s">
        <v>2645</v>
      </c>
      <c r="W117" t="s">
        <v>2646</v>
      </c>
      <c r="X117" t="s">
        <v>117</v>
      </c>
      <c r="Y117" t="s">
        <v>118</v>
      </c>
      <c r="Z117" t="s">
        <v>74</v>
      </c>
      <c r="AA117" t="str">
        <f>"10461-1119"</f>
        <v>10461-1119</v>
      </c>
      <c r="AB117" t="s">
        <v>75</v>
      </c>
      <c r="AC117" t="s">
        <v>76</v>
      </c>
      <c r="AD117" t="s">
        <v>73</v>
      </c>
      <c r="AE117" t="s">
        <v>77</v>
      </c>
      <c r="AF117" t="s">
        <v>2228</v>
      </c>
      <c r="AG117" t="s">
        <v>78</v>
      </c>
    </row>
    <row r="118" spans="1:33" hidden="1" x14ac:dyDescent="0.25">
      <c r="A118" t="str">
        <f>"1790724953"</f>
        <v>1790724953</v>
      </c>
      <c r="B118" t="str">
        <f>"02353111"</f>
        <v>02353111</v>
      </c>
      <c r="C118" t="s">
        <v>2647</v>
      </c>
      <c r="D118" t="s">
        <v>1389</v>
      </c>
      <c r="E118" t="s">
        <v>1390</v>
      </c>
      <c r="L118" t="s">
        <v>72</v>
      </c>
      <c r="M118" t="s">
        <v>73</v>
      </c>
      <c r="R118" t="s">
        <v>1391</v>
      </c>
      <c r="W118" t="s">
        <v>1390</v>
      </c>
      <c r="X118" t="s">
        <v>158</v>
      </c>
      <c r="Y118" t="s">
        <v>91</v>
      </c>
      <c r="Z118" t="s">
        <v>74</v>
      </c>
      <c r="AA118" t="str">
        <f>"10035-2709"</f>
        <v>10035-2709</v>
      </c>
      <c r="AB118" t="s">
        <v>75</v>
      </c>
      <c r="AC118" t="s">
        <v>76</v>
      </c>
      <c r="AD118" t="s">
        <v>73</v>
      </c>
      <c r="AE118" t="s">
        <v>77</v>
      </c>
      <c r="AF118" t="s">
        <v>2228</v>
      </c>
      <c r="AG118" t="s">
        <v>78</v>
      </c>
    </row>
    <row r="119" spans="1:33" hidden="1" x14ac:dyDescent="0.25">
      <c r="A119" t="str">
        <f>"1427075407"</f>
        <v>1427075407</v>
      </c>
      <c r="B119" t="str">
        <f>"01690784"</f>
        <v>01690784</v>
      </c>
      <c r="C119" t="s">
        <v>2648</v>
      </c>
      <c r="D119" t="s">
        <v>2649</v>
      </c>
      <c r="E119" t="s">
        <v>2650</v>
      </c>
      <c r="G119" t="s">
        <v>2224</v>
      </c>
      <c r="H119" t="s">
        <v>2225</v>
      </c>
      <c r="J119" t="s">
        <v>2226</v>
      </c>
      <c r="L119" t="s">
        <v>80</v>
      </c>
      <c r="M119" t="s">
        <v>73</v>
      </c>
      <c r="R119" t="s">
        <v>2651</v>
      </c>
      <c r="W119" t="s">
        <v>2650</v>
      </c>
      <c r="X119" t="s">
        <v>2012</v>
      </c>
      <c r="Y119" t="s">
        <v>91</v>
      </c>
      <c r="Z119" t="s">
        <v>74</v>
      </c>
      <c r="AA119" t="str">
        <f>"10032-3724"</f>
        <v>10032-3724</v>
      </c>
      <c r="AB119" t="s">
        <v>75</v>
      </c>
      <c r="AC119" t="s">
        <v>76</v>
      </c>
      <c r="AD119" t="s">
        <v>73</v>
      </c>
      <c r="AE119" t="s">
        <v>77</v>
      </c>
      <c r="AF119" t="s">
        <v>2228</v>
      </c>
      <c r="AG119" t="s">
        <v>78</v>
      </c>
    </row>
    <row r="120" spans="1:33" hidden="1" x14ac:dyDescent="0.25">
      <c r="A120" t="str">
        <f>"1750334389"</f>
        <v>1750334389</v>
      </c>
      <c r="B120" t="str">
        <f>"02820262"</f>
        <v>02820262</v>
      </c>
      <c r="C120" t="s">
        <v>2652</v>
      </c>
      <c r="D120" t="s">
        <v>2653</v>
      </c>
      <c r="E120" t="s">
        <v>2654</v>
      </c>
      <c r="G120" t="s">
        <v>2224</v>
      </c>
      <c r="H120" t="s">
        <v>2225</v>
      </c>
      <c r="J120" t="s">
        <v>2226</v>
      </c>
      <c r="L120" t="s">
        <v>80</v>
      </c>
      <c r="M120" t="s">
        <v>73</v>
      </c>
      <c r="R120" t="s">
        <v>2655</v>
      </c>
      <c r="W120" t="s">
        <v>2654</v>
      </c>
      <c r="X120" t="s">
        <v>1583</v>
      </c>
      <c r="Y120" t="s">
        <v>91</v>
      </c>
      <c r="Z120" t="s">
        <v>74</v>
      </c>
      <c r="AA120" t="str">
        <f>"10021-9800"</f>
        <v>10021-9800</v>
      </c>
      <c r="AB120" t="s">
        <v>75</v>
      </c>
      <c r="AC120" t="s">
        <v>76</v>
      </c>
      <c r="AD120" t="s">
        <v>73</v>
      </c>
      <c r="AE120" t="s">
        <v>77</v>
      </c>
      <c r="AF120" t="s">
        <v>2242</v>
      </c>
      <c r="AG120" t="s">
        <v>78</v>
      </c>
    </row>
    <row r="121" spans="1:33" hidden="1" x14ac:dyDescent="0.25">
      <c r="A121" t="str">
        <f>"1750352209"</f>
        <v>1750352209</v>
      </c>
      <c r="B121" t="str">
        <f>"01452657"</f>
        <v>01452657</v>
      </c>
      <c r="C121" t="s">
        <v>2656</v>
      </c>
      <c r="D121" t="s">
        <v>2657</v>
      </c>
      <c r="E121" t="s">
        <v>2658</v>
      </c>
      <c r="G121" t="s">
        <v>2224</v>
      </c>
      <c r="H121" t="s">
        <v>2225</v>
      </c>
      <c r="J121" t="s">
        <v>2226</v>
      </c>
      <c r="L121" t="s">
        <v>72</v>
      </c>
      <c r="M121" t="s">
        <v>73</v>
      </c>
      <c r="R121" t="s">
        <v>2659</v>
      </c>
      <c r="W121" t="s">
        <v>2658</v>
      </c>
      <c r="X121" t="s">
        <v>2660</v>
      </c>
      <c r="Y121" t="s">
        <v>91</v>
      </c>
      <c r="Z121" t="s">
        <v>74</v>
      </c>
      <c r="AA121" t="str">
        <f>"10065-4870"</f>
        <v>10065-4870</v>
      </c>
      <c r="AB121" t="s">
        <v>75</v>
      </c>
      <c r="AC121" t="s">
        <v>76</v>
      </c>
      <c r="AD121" t="s">
        <v>73</v>
      </c>
      <c r="AE121" t="s">
        <v>77</v>
      </c>
      <c r="AF121" t="s">
        <v>2242</v>
      </c>
      <c r="AG121" t="s">
        <v>78</v>
      </c>
    </row>
    <row r="122" spans="1:33" hidden="1" x14ac:dyDescent="0.25">
      <c r="A122" t="str">
        <f>"1669797056"</f>
        <v>1669797056</v>
      </c>
      <c r="B122" t="str">
        <f>"03859730"</f>
        <v>03859730</v>
      </c>
      <c r="C122" t="s">
        <v>2661</v>
      </c>
      <c r="D122" t="s">
        <v>2662</v>
      </c>
      <c r="E122" t="s">
        <v>2663</v>
      </c>
      <c r="G122" t="s">
        <v>2224</v>
      </c>
      <c r="H122" t="s">
        <v>2225</v>
      </c>
      <c r="J122" t="s">
        <v>2226</v>
      </c>
      <c r="L122" t="s">
        <v>72</v>
      </c>
      <c r="M122" t="s">
        <v>73</v>
      </c>
      <c r="R122" t="s">
        <v>2664</v>
      </c>
      <c r="W122" t="s">
        <v>2663</v>
      </c>
      <c r="X122" t="s">
        <v>1397</v>
      </c>
      <c r="Y122" t="s">
        <v>91</v>
      </c>
      <c r="Z122" t="s">
        <v>74</v>
      </c>
      <c r="AA122" t="str">
        <f>"10032-3724"</f>
        <v>10032-3724</v>
      </c>
      <c r="AB122" t="s">
        <v>75</v>
      </c>
      <c r="AC122" t="s">
        <v>76</v>
      </c>
      <c r="AD122" t="s">
        <v>73</v>
      </c>
      <c r="AE122" t="s">
        <v>77</v>
      </c>
      <c r="AF122" t="s">
        <v>2254</v>
      </c>
      <c r="AG122" t="s">
        <v>78</v>
      </c>
    </row>
    <row r="123" spans="1:33" hidden="1" x14ac:dyDescent="0.25">
      <c r="A123" t="str">
        <f>"1619063690"</f>
        <v>1619063690</v>
      </c>
      <c r="B123" t="str">
        <f>"02253749"</f>
        <v>02253749</v>
      </c>
      <c r="C123" t="s">
        <v>2665</v>
      </c>
      <c r="D123" t="s">
        <v>2666</v>
      </c>
      <c r="E123" t="s">
        <v>2667</v>
      </c>
      <c r="L123" t="s">
        <v>72</v>
      </c>
      <c r="M123" t="s">
        <v>73</v>
      </c>
      <c r="R123" t="s">
        <v>2668</v>
      </c>
      <c r="W123" t="s">
        <v>2667</v>
      </c>
      <c r="X123" t="s">
        <v>167</v>
      </c>
      <c r="Y123" t="s">
        <v>91</v>
      </c>
      <c r="Z123" t="s">
        <v>74</v>
      </c>
      <c r="AA123" t="str">
        <f>"10032-3720"</f>
        <v>10032-3720</v>
      </c>
      <c r="AB123" t="s">
        <v>75</v>
      </c>
      <c r="AC123" t="s">
        <v>76</v>
      </c>
      <c r="AD123" t="s">
        <v>73</v>
      </c>
      <c r="AE123" t="s">
        <v>77</v>
      </c>
      <c r="AF123" t="s">
        <v>2242</v>
      </c>
      <c r="AG123" t="s">
        <v>78</v>
      </c>
    </row>
    <row r="124" spans="1:33" hidden="1" x14ac:dyDescent="0.25">
      <c r="A124" t="str">
        <f>"1194992446"</f>
        <v>1194992446</v>
      </c>
      <c r="B124" t="str">
        <f>"03234017"</f>
        <v>03234017</v>
      </c>
      <c r="C124" t="s">
        <v>2669</v>
      </c>
      <c r="D124" t="s">
        <v>2670</v>
      </c>
      <c r="E124" t="s">
        <v>2671</v>
      </c>
      <c r="L124" t="s">
        <v>80</v>
      </c>
      <c r="M124" t="s">
        <v>73</v>
      </c>
      <c r="R124" t="s">
        <v>2672</v>
      </c>
      <c r="W124" t="s">
        <v>2671</v>
      </c>
      <c r="X124" t="s">
        <v>170</v>
      </c>
      <c r="Y124" t="s">
        <v>91</v>
      </c>
      <c r="Z124" t="s">
        <v>74</v>
      </c>
      <c r="AA124" t="str">
        <f>"10065-4870"</f>
        <v>10065-4870</v>
      </c>
      <c r="AB124" t="s">
        <v>75</v>
      </c>
      <c r="AC124" t="s">
        <v>76</v>
      </c>
      <c r="AD124" t="s">
        <v>73</v>
      </c>
      <c r="AE124" t="s">
        <v>77</v>
      </c>
      <c r="AF124" t="s">
        <v>2242</v>
      </c>
      <c r="AG124" t="s">
        <v>78</v>
      </c>
    </row>
    <row r="125" spans="1:33" hidden="1" x14ac:dyDescent="0.25">
      <c r="A125" t="str">
        <f>"1821184839"</f>
        <v>1821184839</v>
      </c>
      <c r="B125" t="str">
        <f>"00321971"</f>
        <v>00321971</v>
      </c>
      <c r="C125" t="s">
        <v>819</v>
      </c>
      <c r="D125" t="s">
        <v>821</v>
      </c>
      <c r="E125" t="s">
        <v>822</v>
      </c>
      <c r="G125" t="s">
        <v>818</v>
      </c>
      <c r="L125" t="s">
        <v>134</v>
      </c>
      <c r="M125" t="s">
        <v>82</v>
      </c>
      <c r="R125" t="s">
        <v>819</v>
      </c>
      <c r="W125" t="s">
        <v>822</v>
      </c>
      <c r="X125" t="s">
        <v>823</v>
      </c>
      <c r="Y125" t="s">
        <v>820</v>
      </c>
      <c r="Z125" t="s">
        <v>74</v>
      </c>
      <c r="AA125" t="str">
        <f>"10562-2327"</f>
        <v>10562-2327</v>
      </c>
      <c r="AB125" t="s">
        <v>92</v>
      </c>
      <c r="AC125" t="s">
        <v>76</v>
      </c>
      <c r="AD125" t="s">
        <v>73</v>
      </c>
      <c r="AE125" t="s">
        <v>77</v>
      </c>
      <c r="AF125" t="s">
        <v>2254</v>
      </c>
      <c r="AG125" t="s">
        <v>78</v>
      </c>
    </row>
    <row r="126" spans="1:33" hidden="1" x14ac:dyDescent="0.25">
      <c r="A126" t="str">
        <f>"1568704054"</f>
        <v>1568704054</v>
      </c>
      <c r="C126" t="s">
        <v>2673</v>
      </c>
      <c r="G126" t="s">
        <v>2224</v>
      </c>
      <c r="H126" t="s">
        <v>2312</v>
      </c>
      <c r="J126" t="s">
        <v>2226</v>
      </c>
      <c r="K126" t="s">
        <v>171</v>
      </c>
      <c r="L126" t="s">
        <v>96</v>
      </c>
      <c r="M126" t="s">
        <v>73</v>
      </c>
      <c r="R126" t="s">
        <v>2674</v>
      </c>
      <c r="S126" t="s">
        <v>2442</v>
      </c>
      <c r="T126" t="s">
        <v>91</v>
      </c>
      <c r="U126" t="s">
        <v>74</v>
      </c>
      <c r="V126" t="str">
        <f>"100323720"</f>
        <v>100323720</v>
      </c>
      <c r="AC126" t="s">
        <v>76</v>
      </c>
      <c r="AD126" t="s">
        <v>73</v>
      </c>
      <c r="AE126" t="s">
        <v>97</v>
      </c>
      <c r="AF126" t="s">
        <v>2228</v>
      </c>
      <c r="AG126" t="s">
        <v>78</v>
      </c>
    </row>
    <row r="127" spans="1:33" hidden="1" x14ac:dyDescent="0.25">
      <c r="A127" t="str">
        <f>"1720105521"</f>
        <v>1720105521</v>
      </c>
      <c r="B127" t="str">
        <f>"03366814"</f>
        <v>03366814</v>
      </c>
      <c r="C127" t="s">
        <v>2675</v>
      </c>
      <c r="D127" t="s">
        <v>2676</v>
      </c>
      <c r="E127" t="s">
        <v>2677</v>
      </c>
      <c r="L127" t="s">
        <v>80</v>
      </c>
      <c r="M127" t="s">
        <v>73</v>
      </c>
      <c r="R127" t="s">
        <v>2677</v>
      </c>
      <c r="W127" t="s">
        <v>2678</v>
      </c>
      <c r="X127" t="s">
        <v>2679</v>
      </c>
      <c r="Y127" t="s">
        <v>91</v>
      </c>
      <c r="Z127" t="s">
        <v>74</v>
      </c>
      <c r="AA127" t="str">
        <f>"10065-4885"</f>
        <v>10065-4885</v>
      </c>
      <c r="AB127" t="s">
        <v>75</v>
      </c>
      <c r="AC127" t="s">
        <v>76</v>
      </c>
      <c r="AD127" t="s">
        <v>73</v>
      </c>
      <c r="AE127" t="s">
        <v>77</v>
      </c>
      <c r="AF127" t="s">
        <v>2242</v>
      </c>
      <c r="AG127" t="s">
        <v>78</v>
      </c>
    </row>
    <row r="128" spans="1:33" hidden="1" x14ac:dyDescent="0.25">
      <c r="A128" t="str">
        <f>"1689850489"</f>
        <v>1689850489</v>
      </c>
      <c r="B128" t="str">
        <f>"03475761"</f>
        <v>03475761</v>
      </c>
      <c r="C128" t="s">
        <v>2680</v>
      </c>
      <c r="D128" t="s">
        <v>2681</v>
      </c>
      <c r="E128" t="s">
        <v>2682</v>
      </c>
      <c r="L128" t="s">
        <v>80</v>
      </c>
      <c r="M128" t="s">
        <v>73</v>
      </c>
      <c r="R128" t="s">
        <v>2683</v>
      </c>
      <c r="W128" t="s">
        <v>2682</v>
      </c>
      <c r="X128" t="s">
        <v>1938</v>
      </c>
      <c r="Y128" t="s">
        <v>91</v>
      </c>
      <c r="Z128" t="s">
        <v>74</v>
      </c>
      <c r="AA128" t="str">
        <f>"10065-4870"</f>
        <v>10065-4870</v>
      </c>
      <c r="AB128" t="s">
        <v>75</v>
      </c>
      <c r="AC128" t="s">
        <v>76</v>
      </c>
      <c r="AD128" t="s">
        <v>73</v>
      </c>
      <c r="AE128" t="s">
        <v>77</v>
      </c>
      <c r="AF128" t="s">
        <v>2398</v>
      </c>
      <c r="AG128" t="s">
        <v>78</v>
      </c>
    </row>
    <row r="129" spans="1:33" hidden="1" x14ac:dyDescent="0.25">
      <c r="A129" t="str">
        <f>"1790929107"</f>
        <v>1790929107</v>
      </c>
      <c r="B129" t="str">
        <f>"03920409"</f>
        <v>03920409</v>
      </c>
      <c r="C129" t="s">
        <v>2684</v>
      </c>
      <c r="D129" t="s">
        <v>2685</v>
      </c>
      <c r="E129" t="s">
        <v>2686</v>
      </c>
      <c r="L129" t="s">
        <v>80</v>
      </c>
      <c r="M129" t="s">
        <v>73</v>
      </c>
      <c r="R129" t="s">
        <v>2687</v>
      </c>
      <c r="W129" t="s">
        <v>2686</v>
      </c>
      <c r="X129" t="s">
        <v>2688</v>
      </c>
      <c r="Y129" t="s">
        <v>91</v>
      </c>
      <c r="Z129" t="s">
        <v>74</v>
      </c>
      <c r="AA129" t="str">
        <f>"10024-4332"</f>
        <v>10024-4332</v>
      </c>
      <c r="AB129" t="s">
        <v>75</v>
      </c>
      <c r="AC129" t="s">
        <v>76</v>
      </c>
      <c r="AD129" t="s">
        <v>73</v>
      </c>
      <c r="AE129" t="s">
        <v>77</v>
      </c>
      <c r="AF129" t="s">
        <v>2398</v>
      </c>
      <c r="AG129" t="s">
        <v>78</v>
      </c>
    </row>
    <row r="130" spans="1:33" hidden="1" x14ac:dyDescent="0.25">
      <c r="A130" t="str">
        <f>"1386887594"</f>
        <v>1386887594</v>
      </c>
      <c r="B130" t="str">
        <f>"03918641"</f>
        <v>03918641</v>
      </c>
      <c r="C130" t="s">
        <v>2689</v>
      </c>
      <c r="D130" t="s">
        <v>2690</v>
      </c>
      <c r="E130" t="s">
        <v>2691</v>
      </c>
      <c r="L130" t="s">
        <v>80</v>
      </c>
      <c r="M130" t="s">
        <v>73</v>
      </c>
      <c r="R130" t="s">
        <v>2692</v>
      </c>
      <c r="W130" t="s">
        <v>2691</v>
      </c>
      <c r="X130" t="s">
        <v>2693</v>
      </c>
      <c r="Y130" t="s">
        <v>91</v>
      </c>
      <c r="Z130" t="s">
        <v>74</v>
      </c>
      <c r="AA130" t="str">
        <f>"10065-4870"</f>
        <v>10065-4870</v>
      </c>
      <c r="AB130" t="s">
        <v>75</v>
      </c>
      <c r="AC130" t="s">
        <v>76</v>
      </c>
      <c r="AD130" t="s">
        <v>73</v>
      </c>
      <c r="AE130" t="s">
        <v>77</v>
      </c>
      <c r="AF130" t="s">
        <v>2242</v>
      </c>
      <c r="AG130" t="s">
        <v>78</v>
      </c>
    </row>
    <row r="131" spans="1:33" hidden="1" x14ac:dyDescent="0.25">
      <c r="A131" t="str">
        <f>"1427330844"</f>
        <v>1427330844</v>
      </c>
      <c r="B131" t="str">
        <f>"03920243"</f>
        <v>03920243</v>
      </c>
      <c r="C131" t="s">
        <v>2694</v>
      </c>
      <c r="D131" t="s">
        <v>2695</v>
      </c>
      <c r="E131" t="s">
        <v>2696</v>
      </c>
      <c r="L131" t="s">
        <v>80</v>
      </c>
      <c r="M131" t="s">
        <v>73</v>
      </c>
      <c r="R131" t="s">
        <v>2697</v>
      </c>
      <c r="W131" t="s">
        <v>2698</v>
      </c>
      <c r="X131" t="s">
        <v>2688</v>
      </c>
      <c r="Y131" t="s">
        <v>91</v>
      </c>
      <c r="Z131" t="s">
        <v>74</v>
      </c>
      <c r="AA131" t="str">
        <f>"10024-4332"</f>
        <v>10024-4332</v>
      </c>
      <c r="AB131" t="s">
        <v>75</v>
      </c>
      <c r="AC131" t="s">
        <v>76</v>
      </c>
      <c r="AD131" t="s">
        <v>73</v>
      </c>
      <c r="AE131" t="s">
        <v>77</v>
      </c>
      <c r="AF131" t="s">
        <v>2254</v>
      </c>
      <c r="AG131" t="s">
        <v>78</v>
      </c>
    </row>
    <row r="132" spans="1:33" hidden="1" x14ac:dyDescent="0.25">
      <c r="A132" t="str">
        <f>"1033342886"</f>
        <v>1033342886</v>
      </c>
      <c r="B132" t="str">
        <f>"03969326"</f>
        <v>03969326</v>
      </c>
      <c r="C132" t="s">
        <v>2699</v>
      </c>
      <c r="D132" t="s">
        <v>2700</v>
      </c>
      <c r="E132" t="s">
        <v>2701</v>
      </c>
      <c r="G132" t="s">
        <v>2224</v>
      </c>
      <c r="H132" t="s">
        <v>2312</v>
      </c>
      <c r="J132" t="s">
        <v>2226</v>
      </c>
      <c r="L132" t="s">
        <v>80</v>
      </c>
      <c r="M132" t="s">
        <v>73</v>
      </c>
      <c r="R132" t="s">
        <v>2702</v>
      </c>
      <c r="W132" t="s">
        <v>2701</v>
      </c>
      <c r="X132" t="s">
        <v>2688</v>
      </c>
      <c r="Y132" t="s">
        <v>91</v>
      </c>
      <c r="Z132" t="s">
        <v>74</v>
      </c>
      <c r="AA132" t="str">
        <f>"10024-4332"</f>
        <v>10024-4332</v>
      </c>
      <c r="AB132" t="s">
        <v>75</v>
      </c>
      <c r="AC132" t="s">
        <v>76</v>
      </c>
      <c r="AD132" t="s">
        <v>73</v>
      </c>
      <c r="AE132" t="s">
        <v>77</v>
      </c>
      <c r="AF132" t="s">
        <v>2242</v>
      </c>
      <c r="AG132" t="s">
        <v>78</v>
      </c>
    </row>
    <row r="133" spans="1:33" hidden="1" x14ac:dyDescent="0.25">
      <c r="A133" t="str">
        <f>"1467684944"</f>
        <v>1467684944</v>
      </c>
      <c r="B133" t="str">
        <f>"03918834"</f>
        <v>03918834</v>
      </c>
      <c r="C133" t="s">
        <v>2703</v>
      </c>
      <c r="D133" t="s">
        <v>2704</v>
      </c>
      <c r="E133" t="s">
        <v>2705</v>
      </c>
      <c r="L133" t="s">
        <v>80</v>
      </c>
      <c r="M133" t="s">
        <v>73</v>
      </c>
      <c r="R133" t="s">
        <v>2705</v>
      </c>
      <c r="W133" t="s">
        <v>2706</v>
      </c>
      <c r="X133" t="s">
        <v>2693</v>
      </c>
      <c r="Y133" t="s">
        <v>91</v>
      </c>
      <c r="Z133" t="s">
        <v>74</v>
      </c>
      <c r="AA133" t="str">
        <f>"10065-4870"</f>
        <v>10065-4870</v>
      </c>
      <c r="AB133" t="s">
        <v>75</v>
      </c>
      <c r="AC133" t="s">
        <v>76</v>
      </c>
      <c r="AD133" t="s">
        <v>73</v>
      </c>
      <c r="AE133" t="s">
        <v>77</v>
      </c>
      <c r="AF133" t="s">
        <v>2242</v>
      </c>
      <c r="AG133" t="s">
        <v>78</v>
      </c>
    </row>
    <row r="134" spans="1:33" hidden="1" x14ac:dyDescent="0.25">
      <c r="A134" t="str">
        <f>"1699917229"</f>
        <v>1699917229</v>
      </c>
      <c r="B134" t="str">
        <f>"03921097"</f>
        <v>03921097</v>
      </c>
      <c r="C134" t="s">
        <v>2707</v>
      </c>
      <c r="D134" t="s">
        <v>2708</v>
      </c>
      <c r="E134" t="s">
        <v>2709</v>
      </c>
      <c r="L134" t="s">
        <v>80</v>
      </c>
      <c r="M134" t="s">
        <v>73</v>
      </c>
      <c r="R134" t="s">
        <v>2710</v>
      </c>
      <c r="W134" t="s">
        <v>2711</v>
      </c>
      <c r="X134" t="s">
        <v>2693</v>
      </c>
      <c r="Y134" t="s">
        <v>91</v>
      </c>
      <c r="Z134" t="s">
        <v>74</v>
      </c>
      <c r="AA134" t="str">
        <f>"10065-4885"</f>
        <v>10065-4885</v>
      </c>
      <c r="AB134" t="s">
        <v>75</v>
      </c>
      <c r="AC134" t="s">
        <v>76</v>
      </c>
      <c r="AD134" t="s">
        <v>73</v>
      </c>
      <c r="AE134" t="s">
        <v>77</v>
      </c>
      <c r="AF134" t="s">
        <v>2254</v>
      </c>
      <c r="AG134" t="s">
        <v>78</v>
      </c>
    </row>
    <row r="135" spans="1:33" hidden="1" x14ac:dyDescent="0.25">
      <c r="A135" t="str">
        <f>"1417147679"</f>
        <v>1417147679</v>
      </c>
      <c r="B135" t="str">
        <f>"03043950"</f>
        <v>03043950</v>
      </c>
      <c r="C135" t="s">
        <v>2712</v>
      </c>
      <c r="D135" t="s">
        <v>2713</v>
      </c>
      <c r="E135" t="s">
        <v>2714</v>
      </c>
      <c r="L135" t="s">
        <v>80</v>
      </c>
      <c r="M135" t="s">
        <v>73</v>
      </c>
      <c r="R135" t="s">
        <v>2715</v>
      </c>
      <c r="W135" t="s">
        <v>2714</v>
      </c>
      <c r="X135" t="s">
        <v>2716</v>
      </c>
      <c r="Y135" t="s">
        <v>518</v>
      </c>
      <c r="Z135" t="s">
        <v>519</v>
      </c>
      <c r="AA135" t="str">
        <f>"19104-4399"</f>
        <v>19104-4399</v>
      </c>
      <c r="AB135" t="s">
        <v>75</v>
      </c>
      <c r="AC135" t="s">
        <v>76</v>
      </c>
      <c r="AD135" t="s">
        <v>73</v>
      </c>
      <c r="AE135" t="s">
        <v>77</v>
      </c>
      <c r="AF135" t="s">
        <v>2242</v>
      </c>
      <c r="AG135" t="s">
        <v>78</v>
      </c>
    </row>
    <row r="136" spans="1:33" hidden="1" x14ac:dyDescent="0.25">
      <c r="A136" t="str">
        <f>"1083816607"</f>
        <v>1083816607</v>
      </c>
      <c r="C136" t="s">
        <v>2717</v>
      </c>
      <c r="G136" t="s">
        <v>2224</v>
      </c>
      <c r="H136" t="s">
        <v>2312</v>
      </c>
      <c r="J136" t="s">
        <v>2226</v>
      </c>
      <c r="K136" t="s">
        <v>171</v>
      </c>
      <c r="L136" t="s">
        <v>96</v>
      </c>
      <c r="M136" t="s">
        <v>73</v>
      </c>
      <c r="R136" t="s">
        <v>2718</v>
      </c>
      <c r="S136" t="s">
        <v>170</v>
      </c>
      <c r="T136" t="s">
        <v>91</v>
      </c>
      <c r="U136" t="s">
        <v>74</v>
      </c>
      <c r="V136" t="str">
        <f>"100214870"</f>
        <v>100214870</v>
      </c>
      <c r="AC136" t="s">
        <v>76</v>
      </c>
      <c r="AD136" t="s">
        <v>73</v>
      </c>
      <c r="AE136" t="s">
        <v>97</v>
      </c>
      <c r="AF136" t="s">
        <v>2242</v>
      </c>
      <c r="AG136" t="s">
        <v>78</v>
      </c>
    </row>
    <row r="137" spans="1:33" hidden="1" x14ac:dyDescent="0.25">
      <c r="A137" t="str">
        <f>"1417195215"</f>
        <v>1417195215</v>
      </c>
      <c r="B137" t="str">
        <f>"03267503"</f>
        <v>03267503</v>
      </c>
      <c r="C137" t="s">
        <v>2719</v>
      </c>
      <c r="D137" t="s">
        <v>2720</v>
      </c>
      <c r="E137" t="s">
        <v>2721</v>
      </c>
      <c r="L137" t="s">
        <v>80</v>
      </c>
      <c r="M137" t="s">
        <v>73</v>
      </c>
      <c r="R137" t="s">
        <v>2722</v>
      </c>
      <c r="W137" t="s">
        <v>2721</v>
      </c>
      <c r="X137" t="s">
        <v>170</v>
      </c>
      <c r="Y137" t="s">
        <v>91</v>
      </c>
      <c r="Z137" t="s">
        <v>74</v>
      </c>
      <c r="AA137" t="str">
        <f>"10065-4870"</f>
        <v>10065-4870</v>
      </c>
      <c r="AB137" t="s">
        <v>75</v>
      </c>
      <c r="AC137" t="s">
        <v>76</v>
      </c>
      <c r="AD137" t="s">
        <v>73</v>
      </c>
      <c r="AE137" t="s">
        <v>77</v>
      </c>
      <c r="AF137" t="s">
        <v>2254</v>
      </c>
      <c r="AG137" t="s">
        <v>78</v>
      </c>
    </row>
    <row r="138" spans="1:33" hidden="1" x14ac:dyDescent="0.25">
      <c r="A138" t="str">
        <f>"1669552261"</f>
        <v>1669552261</v>
      </c>
      <c r="C138" t="s">
        <v>2723</v>
      </c>
      <c r="G138" t="s">
        <v>2224</v>
      </c>
      <c r="H138" t="s">
        <v>2312</v>
      </c>
      <c r="J138" t="s">
        <v>2226</v>
      </c>
      <c r="K138" t="s">
        <v>171</v>
      </c>
      <c r="L138" t="s">
        <v>72</v>
      </c>
      <c r="M138" t="s">
        <v>73</v>
      </c>
      <c r="R138" t="s">
        <v>1681</v>
      </c>
      <c r="S138" t="s">
        <v>1682</v>
      </c>
      <c r="T138" t="s">
        <v>91</v>
      </c>
      <c r="U138" t="s">
        <v>74</v>
      </c>
      <c r="V138" t="str">
        <f>"100382612"</f>
        <v>100382612</v>
      </c>
      <c r="AC138" t="s">
        <v>76</v>
      </c>
      <c r="AD138" t="s">
        <v>73</v>
      </c>
      <c r="AE138" t="s">
        <v>97</v>
      </c>
      <c r="AF138" t="s">
        <v>2242</v>
      </c>
      <c r="AG138" t="s">
        <v>78</v>
      </c>
    </row>
    <row r="139" spans="1:33" hidden="1" x14ac:dyDescent="0.25">
      <c r="A139" t="str">
        <f>"1295953578"</f>
        <v>1295953578</v>
      </c>
      <c r="C139" t="s">
        <v>2724</v>
      </c>
      <c r="G139" t="s">
        <v>2224</v>
      </c>
      <c r="H139" t="s">
        <v>2312</v>
      </c>
      <c r="J139" t="s">
        <v>2226</v>
      </c>
      <c r="K139" t="s">
        <v>171</v>
      </c>
      <c r="L139" t="s">
        <v>72</v>
      </c>
      <c r="M139" t="s">
        <v>73</v>
      </c>
      <c r="R139" t="s">
        <v>2725</v>
      </c>
      <c r="S139" t="s">
        <v>2726</v>
      </c>
      <c r="T139" t="s">
        <v>2727</v>
      </c>
      <c r="U139" t="s">
        <v>139</v>
      </c>
      <c r="V139" t="str">
        <f>"078533327"</f>
        <v>078533327</v>
      </c>
      <c r="AC139" t="s">
        <v>76</v>
      </c>
      <c r="AD139" t="s">
        <v>73</v>
      </c>
      <c r="AE139" t="s">
        <v>97</v>
      </c>
      <c r="AF139" t="s">
        <v>2254</v>
      </c>
      <c r="AG139" t="s">
        <v>78</v>
      </c>
    </row>
    <row r="140" spans="1:33" hidden="1" x14ac:dyDescent="0.25">
      <c r="A140" t="str">
        <f>"1376756072"</f>
        <v>1376756072</v>
      </c>
      <c r="C140" t="s">
        <v>2728</v>
      </c>
      <c r="K140" t="s">
        <v>36</v>
      </c>
      <c r="L140" t="s">
        <v>96</v>
      </c>
      <c r="M140" t="s">
        <v>73</v>
      </c>
      <c r="R140" t="s">
        <v>2728</v>
      </c>
      <c r="S140" t="s">
        <v>2729</v>
      </c>
      <c r="T140" t="s">
        <v>91</v>
      </c>
      <c r="U140" t="s">
        <v>74</v>
      </c>
      <c r="V140" t="str">
        <f>"100323725"</f>
        <v>100323725</v>
      </c>
      <c r="AC140" t="s">
        <v>76</v>
      </c>
      <c r="AD140" t="s">
        <v>73</v>
      </c>
      <c r="AE140" t="s">
        <v>97</v>
      </c>
      <c r="AF140" t="s">
        <v>2254</v>
      </c>
      <c r="AG140" t="s">
        <v>78</v>
      </c>
    </row>
    <row r="141" spans="1:33" hidden="1" x14ac:dyDescent="0.25">
      <c r="A141" t="str">
        <f>"1023141660"</f>
        <v>1023141660</v>
      </c>
      <c r="B141" t="str">
        <f>"02706518"</f>
        <v>02706518</v>
      </c>
      <c r="C141" t="s">
        <v>2730</v>
      </c>
      <c r="D141" t="s">
        <v>2731</v>
      </c>
      <c r="E141" t="s">
        <v>2732</v>
      </c>
      <c r="G141" t="s">
        <v>2224</v>
      </c>
      <c r="H141" t="s">
        <v>2225</v>
      </c>
      <c r="J141" t="s">
        <v>2226</v>
      </c>
      <c r="L141" t="s">
        <v>72</v>
      </c>
      <c r="M141" t="s">
        <v>73</v>
      </c>
      <c r="R141" t="s">
        <v>2733</v>
      </c>
      <c r="W141" t="s">
        <v>2732</v>
      </c>
      <c r="X141" t="s">
        <v>2734</v>
      </c>
      <c r="Y141" t="s">
        <v>91</v>
      </c>
      <c r="Z141" t="s">
        <v>74</v>
      </c>
      <c r="AA141" t="str">
        <f>"10032-3724"</f>
        <v>10032-3724</v>
      </c>
      <c r="AB141" t="s">
        <v>75</v>
      </c>
      <c r="AC141" t="s">
        <v>76</v>
      </c>
      <c r="AD141" t="s">
        <v>73</v>
      </c>
      <c r="AE141" t="s">
        <v>77</v>
      </c>
      <c r="AF141" t="s">
        <v>2254</v>
      </c>
      <c r="AG141" t="s">
        <v>78</v>
      </c>
    </row>
    <row r="142" spans="1:33" hidden="1" x14ac:dyDescent="0.25">
      <c r="A142" t="str">
        <f>"1235351248"</f>
        <v>1235351248</v>
      </c>
      <c r="B142" t="str">
        <f>"03679756"</f>
        <v>03679756</v>
      </c>
      <c r="C142" t="s">
        <v>2735</v>
      </c>
      <c r="D142" t="s">
        <v>2736</v>
      </c>
      <c r="E142" t="s">
        <v>2737</v>
      </c>
      <c r="G142" t="s">
        <v>2514</v>
      </c>
      <c r="H142" t="s">
        <v>2738</v>
      </c>
      <c r="J142" t="s">
        <v>2516</v>
      </c>
      <c r="L142" t="s">
        <v>72</v>
      </c>
      <c r="M142" t="s">
        <v>73</v>
      </c>
      <c r="R142" t="s">
        <v>2739</v>
      </c>
      <c r="W142" t="s">
        <v>2740</v>
      </c>
      <c r="X142" t="s">
        <v>1377</v>
      </c>
      <c r="Y142" t="s">
        <v>91</v>
      </c>
      <c r="Z142" t="s">
        <v>74</v>
      </c>
      <c r="AA142" t="str">
        <f>"10040-1602"</f>
        <v>10040-1602</v>
      </c>
      <c r="AB142" t="s">
        <v>75</v>
      </c>
      <c r="AC142" t="s">
        <v>76</v>
      </c>
      <c r="AD142" t="s">
        <v>73</v>
      </c>
      <c r="AE142" t="s">
        <v>77</v>
      </c>
      <c r="AF142" t="s">
        <v>2518</v>
      </c>
      <c r="AG142" t="s">
        <v>78</v>
      </c>
    </row>
    <row r="143" spans="1:33" hidden="1" x14ac:dyDescent="0.25">
      <c r="A143" t="str">
        <f>"1003073172"</f>
        <v>1003073172</v>
      </c>
      <c r="B143" t="str">
        <f>"03052022"</f>
        <v>03052022</v>
      </c>
      <c r="C143" t="s">
        <v>2741</v>
      </c>
      <c r="D143" t="s">
        <v>2742</v>
      </c>
      <c r="E143" t="s">
        <v>2743</v>
      </c>
      <c r="G143" t="s">
        <v>2514</v>
      </c>
      <c r="H143" t="s">
        <v>2744</v>
      </c>
      <c r="J143" t="s">
        <v>2516</v>
      </c>
      <c r="L143" t="s">
        <v>72</v>
      </c>
      <c r="M143" t="s">
        <v>73</v>
      </c>
      <c r="R143" t="s">
        <v>2745</v>
      </c>
      <c r="W143" t="s">
        <v>2746</v>
      </c>
      <c r="X143" t="s">
        <v>1929</v>
      </c>
      <c r="Y143" t="s">
        <v>91</v>
      </c>
      <c r="Z143" t="s">
        <v>74</v>
      </c>
      <c r="AA143" t="str">
        <f>"10032-4207"</f>
        <v>10032-4207</v>
      </c>
      <c r="AB143" t="s">
        <v>75</v>
      </c>
      <c r="AC143" t="s">
        <v>76</v>
      </c>
      <c r="AD143" t="s">
        <v>73</v>
      </c>
      <c r="AE143" t="s">
        <v>77</v>
      </c>
      <c r="AF143" t="s">
        <v>2518</v>
      </c>
      <c r="AG143" t="s">
        <v>78</v>
      </c>
    </row>
    <row r="144" spans="1:33" hidden="1" x14ac:dyDescent="0.25">
      <c r="A144" t="str">
        <f>"1811974447"</f>
        <v>1811974447</v>
      </c>
      <c r="C144" t="s">
        <v>2747</v>
      </c>
      <c r="G144" t="s">
        <v>2514</v>
      </c>
      <c r="H144" t="s">
        <v>2748</v>
      </c>
      <c r="J144" t="s">
        <v>2516</v>
      </c>
      <c r="K144" t="s">
        <v>507</v>
      </c>
      <c r="L144" t="s">
        <v>96</v>
      </c>
      <c r="M144" t="s">
        <v>73</v>
      </c>
      <c r="R144" t="s">
        <v>2749</v>
      </c>
      <c r="S144" t="s">
        <v>2750</v>
      </c>
      <c r="T144" t="s">
        <v>91</v>
      </c>
      <c r="U144" t="s">
        <v>74</v>
      </c>
      <c r="V144" t="str">
        <f>"100246480"</f>
        <v>100246480</v>
      </c>
      <c r="AC144" t="s">
        <v>76</v>
      </c>
      <c r="AD144" t="s">
        <v>73</v>
      </c>
      <c r="AE144" t="s">
        <v>97</v>
      </c>
      <c r="AF144" t="s">
        <v>2518</v>
      </c>
      <c r="AG144" t="s">
        <v>78</v>
      </c>
    </row>
    <row r="145" spans="1:33" hidden="1" x14ac:dyDescent="0.25">
      <c r="A145" t="str">
        <f>"1457382061"</f>
        <v>1457382061</v>
      </c>
      <c r="B145" t="str">
        <f>"02441101"</f>
        <v>02441101</v>
      </c>
      <c r="C145" t="s">
        <v>2751</v>
      </c>
      <c r="D145" t="s">
        <v>2752</v>
      </c>
      <c r="E145" t="s">
        <v>2753</v>
      </c>
      <c r="G145" t="s">
        <v>2224</v>
      </c>
      <c r="H145" t="s">
        <v>2754</v>
      </c>
      <c r="J145" t="s">
        <v>2226</v>
      </c>
      <c r="L145" t="s">
        <v>80</v>
      </c>
      <c r="M145" t="s">
        <v>73</v>
      </c>
      <c r="R145" t="s">
        <v>2755</v>
      </c>
      <c r="W145" t="s">
        <v>2753</v>
      </c>
      <c r="X145" t="s">
        <v>2753</v>
      </c>
      <c r="Y145" t="s">
        <v>91</v>
      </c>
      <c r="Z145" t="s">
        <v>74</v>
      </c>
      <c r="AA145" t="str">
        <f>"10065-4870"</f>
        <v>10065-4870</v>
      </c>
      <c r="AB145" t="s">
        <v>75</v>
      </c>
      <c r="AC145" t="s">
        <v>76</v>
      </c>
      <c r="AD145" t="s">
        <v>73</v>
      </c>
      <c r="AE145" t="s">
        <v>77</v>
      </c>
      <c r="AF145" t="s">
        <v>2242</v>
      </c>
      <c r="AG145" t="s">
        <v>78</v>
      </c>
    </row>
    <row r="146" spans="1:33" hidden="1" x14ac:dyDescent="0.25">
      <c r="A146" t="str">
        <f>"1508904103"</f>
        <v>1508904103</v>
      </c>
      <c r="B146" t="str">
        <f>"01183251"</f>
        <v>01183251</v>
      </c>
      <c r="C146" t="s">
        <v>1914</v>
      </c>
      <c r="D146" t="s">
        <v>1265</v>
      </c>
      <c r="E146" t="s">
        <v>1266</v>
      </c>
      <c r="G146" t="s">
        <v>2260</v>
      </c>
      <c r="H146" t="s">
        <v>2756</v>
      </c>
      <c r="J146" t="s">
        <v>1512</v>
      </c>
      <c r="L146" t="s">
        <v>72</v>
      </c>
      <c r="M146" t="s">
        <v>73</v>
      </c>
      <c r="R146" t="s">
        <v>1267</v>
      </c>
      <c r="W146" t="s">
        <v>1266</v>
      </c>
      <c r="X146" t="s">
        <v>397</v>
      </c>
      <c r="Y146" t="s">
        <v>91</v>
      </c>
      <c r="Z146" t="s">
        <v>74</v>
      </c>
      <c r="AA146" t="str">
        <f>"10029-4413"</f>
        <v>10029-4413</v>
      </c>
      <c r="AB146" t="s">
        <v>75</v>
      </c>
      <c r="AC146" t="s">
        <v>76</v>
      </c>
      <c r="AD146" t="s">
        <v>73</v>
      </c>
      <c r="AE146" t="s">
        <v>77</v>
      </c>
      <c r="AF146" t="s">
        <v>2254</v>
      </c>
      <c r="AG146" t="s">
        <v>78</v>
      </c>
    </row>
    <row r="147" spans="1:33" hidden="1" x14ac:dyDescent="0.25">
      <c r="A147" t="str">
        <f>"1518139872"</f>
        <v>1518139872</v>
      </c>
      <c r="B147" t="str">
        <f>"02990590"</f>
        <v>02990590</v>
      </c>
      <c r="C147" t="s">
        <v>2757</v>
      </c>
      <c r="D147" t="s">
        <v>2758</v>
      </c>
      <c r="E147" t="s">
        <v>2759</v>
      </c>
      <c r="G147" t="s">
        <v>2224</v>
      </c>
      <c r="H147" t="s">
        <v>2225</v>
      </c>
      <c r="J147" t="s">
        <v>2226</v>
      </c>
      <c r="L147" t="s">
        <v>72</v>
      </c>
      <c r="M147" t="s">
        <v>73</v>
      </c>
      <c r="R147" t="s">
        <v>2759</v>
      </c>
      <c r="W147" t="s">
        <v>2759</v>
      </c>
      <c r="X147" t="s">
        <v>1784</v>
      </c>
      <c r="Y147" t="s">
        <v>91</v>
      </c>
      <c r="Z147" t="s">
        <v>74</v>
      </c>
      <c r="AA147" t="str">
        <f>"10032-3724"</f>
        <v>10032-3724</v>
      </c>
      <c r="AB147" t="s">
        <v>113</v>
      </c>
      <c r="AC147" t="s">
        <v>76</v>
      </c>
      <c r="AD147" t="s">
        <v>73</v>
      </c>
      <c r="AE147" t="s">
        <v>77</v>
      </c>
      <c r="AF147" t="s">
        <v>2254</v>
      </c>
      <c r="AG147" t="s">
        <v>78</v>
      </c>
    </row>
    <row r="148" spans="1:33" hidden="1" x14ac:dyDescent="0.25">
      <c r="A148" t="str">
        <f>"1295988970"</f>
        <v>1295988970</v>
      </c>
      <c r="C148" t="s">
        <v>2760</v>
      </c>
      <c r="G148" t="s">
        <v>2224</v>
      </c>
      <c r="H148" t="s">
        <v>2312</v>
      </c>
      <c r="J148" t="s">
        <v>2226</v>
      </c>
      <c r="K148" t="s">
        <v>171</v>
      </c>
      <c r="L148" t="s">
        <v>72</v>
      </c>
      <c r="M148" t="s">
        <v>73</v>
      </c>
      <c r="R148" t="s">
        <v>2761</v>
      </c>
      <c r="S148" t="s">
        <v>2762</v>
      </c>
      <c r="T148" t="s">
        <v>91</v>
      </c>
      <c r="U148" t="s">
        <v>74</v>
      </c>
      <c r="V148" t="str">
        <f>"100323725"</f>
        <v>100323725</v>
      </c>
      <c r="AC148" t="s">
        <v>76</v>
      </c>
      <c r="AD148" t="s">
        <v>73</v>
      </c>
      <c r="AE148" t="s">
        <v>97</v>
      </c>
      <c r="AF148" t="s">
        <v>2228</v>
      </c>
      <c r="AG148" t="s">
        <v>78</v>
      </c>
    </row>
    <row r="149" spans="1:33" hidden="1" x14ac:dyDescent="0.25">
      <c r="A149" t="str">
        <f>"1447387857"</f>
        <v>1447387857</v>
      </c>
      <c r="B149" t="str">
        <f>"02229312"</f>
        <v>02229312</v>
      </c>
      <c r="C149" t="s">
        <v>2763</v>
      </c>
      <c r="D149" t="s">
        <v>2764</v>
      </c>
      <c r="E149" t="s">
        <v>2765</v>
      </c>
      <c r="L149" t="s">
        <v>80</v>
      </c>
      <c r="M149" t="s">
        <v>73</v>
      </c>
      <c r="R149" t="s">
        <v>2766</v>
      </c>
      <c r="W149" t="s">
        <v>2765</v>
      </c>
      <c r="X149" t="s">
        <v>2765</v>
      </c>
      <c r="Y149" t="s">
        <v>91</v>
      </c>
      <c r="Z149" t="s">
        <v>74</v>
      </c>
      <c r="AA149" t="str">
        <f>"10065-4870"</f>
        <v>10065-4870</v>
      </c>
      <c r="AB149" t="s">
        <v>75</v>
      </c>
      <c r="AC149" t="s">
        <v>76</v>
      </c>
      <c r="AD149" t="s">
        <v>73</v>
      </c>
      <c r="AE149" t="s">
        <v>77</v>
      </c>
      <c r="AF149" t="s">
        <v>2228</v>
      </c>
      <c r="AG149" t="s">
        <v>78</v>
      </c>
    </row>
    <row r="150" spans="1:33" hidden="1" x14ac:dyDescent="0.25">
      <c r="A150" t="str">
        <f>"1043479991"</f>
        <v>1043479991</v>
      </c>
      <c r="C150" t="s">
        <v>2767</v>
      </c>
      <c r="G150" t="s">
        <v>2224</v>
      </c>
      <c r="H150" t="s">
        <v>2768</v>
      </c>
      <c r="J150" t="s">
        <v>2226</v>
      </c>
      <c r="K150" t="s">
        <v>171</v>
      </c>
      <c r="L150" t="s">
        <v>72</v>
      </c>
      <c r="M150" t="s">
        <v>73</v>
      </c>
      <c r="R150" t="s">
        <v>2769</v>
      </c>
      <c r="S150" t="s">
        <v>2770</v>
      </c>
      <c r="T150" t="s">
        <v>91</v>
      </c>
      <c r="U150" t="s">
        <v>74</v>
      </c>
      <c r="V150" t="str">
        <f>"100323720"</f>
        <v>100323720</v>
      </c>
      <c r="AC150" t="s">
        <v>76</v>
      </c>
      <c r="AD150" t="s">
        <v>73</v>
      </c>
      <c r="AE150" t="s">
        <v>97</v>
      </c>
      <c r="AF150" t="s">
        <v>2254</v>
      </c>
      <c r="AG150" t="s">
        <v>78</v>
      </c>
    </row>
    <row r="151" spans="1:33" hidden="1" x14ac:dyDescent="0.25">
      <c r="A151" t="str">
        <f>"1427290089"</f>
        <v>1427290089</v>
      </c>
      <c r="C151" t="s">
        <v>2771</v>
      </c>
      <c r="G151" t="s">
        <v>2224</v>
      </c>
      <c r="H151" t="s">
        <v>2772</v>
      </c>
      <c r="J151" t="s">
        <v>2226</v>
      </c>
      <c r="K151" t="s">
        <v>171</v>
      </c>
      <c r="L151" t="s">
        <v>96</v>
      </c>
      <c r="M151" t="s">
        <v>73</v>
      </c>
      <c r="R151" t="s">
        <v>2773</v>
      </c>
      <c r="S151" t="s">
        <v>2774</v>
      </c>
      <c r="T151" t="s">
        <v>74</v>
      </c>
      <c r="U151" t="s">
        <v>74</v>
      </c>
      <c r="V151" t="str">
        <f>"10032"</f>
        <v>10032</v>
      </c>
      <c r="AC151" t="s">
        <v>76</v>
      </c>
      <c r="AD151" t="s">
        <v>73</v>
      </c>
      <c r="AE151" t="s">
        <v>97</v>
      </c>
      <c r="AF151" t="s">
        <v>2228</v>
      </c>
      <c r="AG151" t="s">
        <v>78</v>
      </c>
    </row>
    <row r="152" spans="1:33" hidden="1" x14ac:dyDescent="0.25">
      <c r="A152" t="str">
        <f>"1184655763"</f>
        <v>1184655763</v>
      </c>
      <c r="B152" t="str">
        <f>"01832939"</f>
        <v>01832939</v>
      </c>
      <c r="C152" t="s">
        <v>2775</v>
      </c>
      <c r="D152" t="s">
        <v>2776</v>
      </c>
      <c r="E152" t="s">
        <v>2777</v>
      </c>
      <c r="G152" t="s">
        <v>2224</v>
      </c>
      <c r="H152" t="s">
        <v>2778</v>
      </c>
      <c r="J152" t="s">
        <v>2226</v>
      </c>
      <c r="L152" t="s">
        <v>80</v>
      </c>
      <c r="M152" t="s">
        <v>73</v>
      </c>
      <c r="R152" t="s">
        <v>2779</v>
      </c>
      <c r="W152" t="s">
        <v>2777</v>
      </c>
      <c r="X152" t="s">
        <v>2777</v>
      </c>
      <c r="Y152" t="s">
        <v>91</v>
      </c>
      <c r="Z152" t="s">
        <v>74</v>
      </c>
      <c r="AA152" t="str">
        <f>"10021-9800"</f>
        <v>10021-9800</v>
      </c>
      <c r="AB152" t="s">
        <v>75</v>
      </c>
      <c r="AC152" t="s">
        <v>76</v>
      </c>
      <c r="AD152" t="s">
        <v>73</v>
      </c>
      <c r="AE152" t="s">
        <v>77</v>
      </c>
      <c r="AF152" t="s">
        <v>2242</v>
      </c>
      <c r="AG152" t="s">
        <v>78</v>
      </c>
    </row>
    <row r="153" spans="1:33" hidden="1" x14ac:dyDescent="0.25">
      <c r="A153" t="str">
        <f>"1528233079"</f>
        <v>1528233079</v>
      </c>
      <c r="B153" t="str">
        <f>"03304592"</f>
        <v>03304592</v>
      </c>
      <c r="C153" t="s">
        <v>2780</v>
      </c>
      <c r="D153" t="s">
        <v>2781</v>
      </c>
      <c r="E153" t="s">
        <v>2782</v>
      </c>
      <c r="L153" t="s">
        <v>80</v>
      </c>
      <c r="M153" t="s">
        <v>73</v>
      </c>
      <c r="R153" t="s">
        <v>2783</v>
      </c>
      <c r="W153" t="s">
        <v>2782</v>
      </c>
      <c r="X153" t="s">
        <v>272</v>
      </c>
      <c r="Y153" t="s">
        <v>91</v>
      </c>
      <c r="Z153" t="s">
        <v>74</v>
      </c>
      <c r="AA153" t="str">
        <f>"10038-2612"</f>
        <v>10038-2612</v>
      </c>
      <c r="AB153" t="s">
        <v>75</v>
      </c>
      <c r="AC153" t="s">
        <v>76</v>
      </c>
      <c r="AD153" t="s">
        <v>73</v>
      </c>
      <c r="AE153" t="s">
        <v>77</v>
      </c>
      <c r="AF153" t="s">
        <v>2254</v>
      </c>
      <c r="AG153" t="s">
        <v>78</v>
      </c>
    </row>
    <row r="154" spans="1:33" hidden="1" x14ac:dyDescent="0.25">
      <c r="A154" t="str">
        <f>"1871703975"</f>
        <v>1871703975</v>
      </c>
      <c r="B154" t="str">
        <f>"03132950"</f>
        <v>03132950</v>
      </c>
      <c r="C154" t="s">
        <v>2784</v>
      </c>
      <c r="D154" t="s">
        <v>1565</v>
      </c>
      <c r="E154" t="s">
        <v>1566</v>
      </c>
      <c r="L154" t="s">
        <v>72</v>
      </c>
      <c r="M154" t="s">
        <v>82</v>
      </c>
      <c r="R154" t="s">
        <v>1567</v>
      </c>
      <c r="W154" t="s">
        <v>1568</v>
      </c>
      <c r="X154" t="s">
        <v>190</v>
      </c>
      <c r="Y154" t="s">
        <v>84</v>
      </c>
      <c r="Z154" t="s">
        <v>74</v>
      </c>
      <c r="AA154" t="str">
        <f>"11203-1809"</f>
        <v>11203-1809</v>
      </c>
      <c r="AB154" t="s">
        <v>75</v>
      </c>
      <c r="AC154" t="s">
        <v>76</v>
      </c>
      <c r="AD154" t="s">
        <v>73</v>
      </c>
      <c r="AE154" t="s">
        <v>77</v>
      </c>
      <c r="AF154" t="s">
        <v>2228</v>
      </c>
      <c r="AG154" t="s">
        <v>78</v>
      </c>
    </row>
    <row r="155" spans="1:33" hidden="1" x14ac:dyDescent="0.25">
      <c r="A155" t="str">
        <f>"1780874461"</f>
        <v>1780874461</v>
      </c>
      <c r="B155" t="str">
        <f>"02920496"</f>
        <v>02920496</v>
      </c>
      <c r="C155" t="s">
        <v>2785</v>
      </c>
      <c r="D155" t="s">
        <v>2786</v>
      </c>
      <c r="E155" t="s">
        <v>2787</v>
      </c>
      <c r="L155" t="s">
        <v>80</v>
      </c>
      <c r="M155" t="s">
        <v>73</v>
      </c>
      <c r="R155" t="s">
        <v>2788</v>
      </c>
      <c r="W155" t="s">
        <v>2787</v>
      </c>
      <c r="X155" t="s">
        <v>218</v>
      </c>
      <c r="Y155" t="s">
        <v>84</v>
      </c>
      <c r="Z155" t="s">
        <v>74</v>
      </c>
      <c r="AA155" t="str">
        <f>"11201-5509"</f>
        <v>11201-5509</v>
      </c>
      <c r="AB155" t="s">
        <v>75</v>
      </c>
      <c r="AC155" t="s">
        <v>76</v>
      </c>
      <c r="AD155" t="s">
        <v>73</v>
      </c>
      <c r="AE155" t="s">
        <v>77</v>
      </c>
      <c r="AF155" t="s">
        <v>2228</v>
      </c>
      <c r="AG155" t="s">
        <v>78</v>
      </c>
    </row>
    <row r="156" spans="1:33" hidden="1" x14ac:dyDescent="0.25">
      <c r="A156" t="str">
        <f>"1659385748"</f>
        <v>1659385748</v>
      </c>
      <c r="B156" t="str">
        <f>"00488784"</f>
        <v>00488784</v>
      </c>
      <c r="C156" t="s">
        <v>2789</v>
      </c>
      <c r="D156" t="s">
        <v>2790</v>
      </c>
      <c r="E156" t="s">
        <v>2791</v>
      </c>
      <c r="L156" t="s">
        <v>80</v>
      </c>
      <c r="M156" t="s">
        <v>73</v>
      </c>
      <c r="R156" t="s">
        <v>2792</v>
      </c>
      <c r="W156" t="s">
        <v>2791</v>
      </c>
      <c r="Y156" t="s">
        <v>91</v>
      </c>
      <c r="Z156" t="s">
        <v>74</v>
      </c>
      <c r="AA156" t="str">
        <f>"10065-4885"</f>
        <v>10065-4885</v>
      </c>
      <c r="AB156" t="s">
        <v>75</v>
      </c>
      <c r="AC156" t="s">
        <v>76</v>
      </c>
      <c r="AD156" t="s">
        <v>73</v>
      </c>
      <c r="AE156" t="s">
        <v>77</v>
      </c>
      <c r="AF156" t="s">
        <v>2242</v>
      </c>
      <c r="AG156" t="s">
        <v>78</v>
      </c>
    </row>
    <row r="157" spans="1:33" hidden="1" x14ac:dyDescent="0.25">
      <c r="A157" t="str">
        <f>"1205849395"</f>
        <v>1205849395</v>
      </c>
      <c r="B157" t="str">
        <f>"01562963"</f>
        <v>01562963</v>
      </c>
      <c r="C157" t="s">
        <v>2793</v>
      </c>
      <c r="D157" t="s">
        <v>2794</v>
      </c>
      <c r="E157" t="s">
        <v>2795</v>
      </c>
      <c r="G157" t="s">
        <v>2224</v>
      </c>
      <c r="H157" t="s">
        <v>2225</v>
      </c>
      <c r="J157" t="s">
        <v>2226</v>
      </c>
      <c r="L157" t="s">
        <v>72</v>
      </c>
      <c r="M157" t="s">
        <v>73</v>
      </c>
      <c r="R157" t="s">
        <v>2796</v>
      </c>
      <c r="W157" t="s">
        <v>2795</v>
      </c>
      <c r="X157" t="s">
        <v>389</v>
      </c>
      <c r="Y157" t="s">
        <v>91</v>
      </c>
      <c r="Z157" t="s">
        <v>74</v>
      </c>
      <c r="AA157" t="str">
        <f>"10011-4612"</f>
        <v>10011-4612</v>
      </c>
      <c r="AB157" t="s">
        <v>75</v>
      </c>
      <c r="AC157" t="s">
        <v>76</v>
      </c>
      <c r="AD157" t="s">
        <v>73</v>
      </c>
      <c r="AE157" t="s">
        <v>77</v>
      </c>
      <c r="AF157" t="s">
        <v>2254</v>
      </c>
      <c r="AG157" t="s">
        <v>78</v>
      </c>
    </row>
    <row r="158" spans="1:33" hidden="1" x14ac:dyDescent="0.25">
      <c r="A158" t="str">
        <f>"1043477268"</f>
        <v>1043477268</v>
      </c>
      <c r="B158" t="str">
        <f>"03079738"</f>
        <v>03079738</v>
      </c>
      <c r="C158" t="s">
        <v>2797</v>
      </c>
      <c r="D158" t="s">
        <v>2798</v>
      </c>
      <c r="E158" t="s">
        <v>2799</v>
      </c>
      <c r="G158" t="s">
        <v>2224</v>
      </c>
      <c r="H158" t="s">
        <v>2225</v>
      </c>
      <c r="J158" t="s">
        <v>2226</v>
      </c>
      <c r="L158" t="s">
        <v>80</v>
      </c>
      <c r="M158" t="s">
        <v>73</v>
      </c>
      <c r="R158" t="s">
        <v>2800</v>
      </c>
      <c r="W158" t="s">
        <v>2801</v>
      </c>
      <c r="X158" t="s">
        <v>1583</v>
      </c>
      <c r="Y158" t="s">
        <v>91</v>
      </c>
      <c r="Z158" t="s">
        <v>74</v>
      </c>
      <c r="AA158" t="str">
        <f>"10021-9800"</f>
        <v>10021-9800</v>
      </c>
      <c r="AB158" t="s">
        <v>75</v>
      </c>
      <c r="AC158" t="s">
        <v>76</v>
      </c>
      <c r="AD158" t="s">
        <v>73</v>
      </c>
      <c r="AE158" t="s">
        <v>77</v>
      </c>
      <c r="AF158" t="s">
        <v>2254</v>
      </c>
      <c r="AG158" t="s">
        <v>78</v>
      </c>
    </row>
    <row r="159" spans="1:33" hidden="1" x14ac:dyDescent="0.25">
      <c r="A159" t="str">
        <f>"1043477557"</f>
        <v>1043477557</v>
      </c>
      <c r="B159" t="str">
        <f>"03320129"</f>
        <v>03320129</v>
      </c>
      <c r="C159" t="s">
        <v>2802</v>
      </c>
      <c r="D159" t="s">
        <v>2803</v>
      </c>
      <c r="E159" t="s">
        <v>2804</v>
      </c>
      <c r="G159" t="s">
        <v>2224</v>
      </c>
      <c r="H159" t="s">
        <v>2225</v>
      </c>
      <c r="J159" t="s">
        <v>2226</v>
      </c>
      <c r="L159" t="s">
        <v>72</v>
      </c>
      <c r="M159" t="s">
        <v>73</v>
      </c>
      <c r="R159" t="s">
        <v>2804</v>
      </c>
      <c r="W159" t="s">
        <v>2804</v>
      </c>
      <c r="X159" t="s">
        <v>170</v>
      </c>
      <c r="Y159" t="s">
        <v>91</v>
      </c>
      <c r="Z159" t="s">
        <v>74</v>
      </c>
      <c r="AA159" t="str">
        <f>"10065-4870"</f>
        <v>10065-4870</v>
      </c>
      <c r="AB159" t="s">
        <v>75</v>
      </c>
      <c r="AC159" t="s">
        <v>76</v>
      </c>
      <c r="AD159" t="s">
        <v>73</v>
      </c>
      <c r="AE159" t="s">
        <v>77</v>
      </c>
      <c r="AF159" t="s">
        <v>2398</v>
      </c>
      <c r="AG159" t="s">
        <v>78</v>
      </c>
    </row>
    <row r="160" spans="1:33" hidden="1" x14ac:dyDescent="0.25">
      <c r="A160" t="str">
        <f>"1174557409"</f>
        <v>1174557409</v>
      </c>
      <c r="B160" t="str">
        <f>"00243958"</f>
        <v>00243958</v>
      </c>
      <c r="C160" t="s">
        <v>390</v>
      </c>
      <c r="D160" t="s">
        <v>241</v>
      </c>
      <c r="E160" t="s">
        <v>242</v>
      </c>
      <c r="L160" t="s">
        <v>130</v>
      </c>
      <c r="M160" t="s">
        <v>82</v>
      </c>
      <c r="R160" t="s">
        <v>243</v>
      </c>
      <c r="W160" t="s">
        <v>242</v>
      </c>
      <c r="X160" t="s">
        <v>244</v>
      </c>
      <c r="Y160" t="s">
        <v>118</v>
      </c>
      <c r="Z160" t="s">
        <v>74</v>
      </c>
      <c r="AA160" t="str">
        <f>"10471-2138"</f>
        <v>10471-2138</v>
      </c>
      <c r="AB160" t="s">
        <v>110</v>
      </c>
      <c r="AC160" t="s">
        <v>76</v>
      </c>
      <c r="AD160" t="s">
        <v>73</v>
      </c>
      <c r="AE160" t="s">
        <v>77</v>
      </c>
      <c r="AF160" t="s">
        <v>2254</v>
      </c>
      <c r="AG160" t="s">
        <v>78</v>
      </c>
    </row>
    <row r="161" spans="1:33" hidden="1" x14ac:dyDescent="0.25">
      <c r="A161" t="str">
        <f>"1326244799"</f>
        <v>1326244799</v>
      </c>
      <c r="B161" t="str">
        <f>"03330590"</f>
        <v>03330590</v>
      </c>
      <c r="C161" t="s">
        <v>2805</v>
      </c>
      <c r="D161" t="s">
        <v>2806</v>
      </c>
      <c r="E161" t="s">
        <v>2807</v>
      </c>
      <c r="G161" t="s">
        <v>2224</v>
      </c>
      <c r="H161" t="s">
        <v>2225</v>
      </c>
      <c r="J161" t="s">
        <v>2226</v>
      </c>
      <c r="L161" t="s">
        <v>72</v>
      </c>
      <c r="M161" t="s">
        <v>73</v>
      </c>
      <c r="R161" t="s">
        <v>2808</v>
      </c>
      <c r="W161" t="s">
        <v>2809</v>
      </c>
      <c r="X161" t="s">
        <v>2810</v>
      </c>
      <c r="Y161" t="s">
        <v>91</v>
      </c>
      <c r="Z161" t="s">
        <v>74</v>
      </c>
      <c r="AA161" t="str">
        <f>"10034-1159"</f>
        <v>10034-1159</v>
      </c>
      <c r="AB161" t="s">
        <v>75</v>
      </c>
      <c r="AC161" t="s">
        <v>76</v>
      </c>
      <c r="AD161" t="s">
        <v>73</v>
      </c>
      <c r="AE161" t="s">
        <v>77</v>
      </c>
      <c r="AF161" t="s">
        <v>2228</v>
      </c>
      <c r="AG161" t="s">
        <v>78</v>
      </c>
    </row>
    <row r="162" spans="1:33" hidden="1" x14ac:dyDescent="0.25">
      <c r="A162" t="str">
        <f>"1881673572"</f>
        <v>1881673572</v>
      </c>
      <c r="B162" t="str">
        <f>"02228233"</f>
        <v>02228233</v>
      </c>
      <c r="C162" t="s">
        <v>2811</v>
      </c>
      <c r="D162" t="s">
        <v>2812</v>
      </c>
      <c r="E162" t="s">
        <v>2813</v>
      </c>
      <c r="G162" t="s">
        <v>2224</v>
      </c>
      <c r="H162" t="s">
        <v>2225</v>
      </c>
      <c r="J162" t="s">
        <v>2226</v>
      </c>
      <c r="L162" t="s">
        <v>81</v>
      </c>
      <c r="M162" t="s">
        <v>82</v>
      </c>
      <c r="R162" t="s">
        <v>2814</v>
      </c>
      <c r="W162" t="s">
        <v>2813</v>
      </c>
      <c r="X162" t="s">
        <v>2815</v>
      </c>
      <c r="Y162" t="s">
        <v>91</v>
      </c>
      <c r="Z162" t="s">
        <v>74</v>
      </c>
      <c r="AA162" t="str">
        <f>"10032-3720"</f>
        <v>10032-3720</v>
      </c>
      <c r="AB162" t="s">
        <v>75</v>
      </c>
      <c r="AC162" t="s">
        <v>76</v>
      </c>
      <c r="AD162" t="s">
        <v>73</v>
      </c>
      <c r="AE162" t="s">
        <v>77</v>
      </c>
      <c r="AF162" t="s">
        <v>2228</v>
      </c>
      <c r="AG162" t="s">
        <v>78</v>
      </c>
    </row>
    <row r="163" spans="1:33" hidden="1" x14ac:dyDescent="0.25">
      <c r="A163" t="str">
        <f>"1184660904"</f>
        <v>1184660904</v>
      </c>
      <c r="B163" t="str">
        <f>"01748329"</f>
        <v>01748329</v>
      </c>
      <c r="C163" t="s">
        <v>2816</v>
      </c>
      <c r="D163" t="s">
        <v>2817</v>
      </c>
      <c r="E163" t="s">
        <v>2818</v>
      </c>
      <c r="G163" t="s">
        <v>2224</v>
      </c>
      <c r="H163" t="s">
        <v>2225</v>
      </c>
      <c r="J163" t="s">
        <v>2226</v>
      </c>
      <c r="L163" t="s">
        <v>72</v>
      </c>
      <c r="M163" t="s">
        <v>73</v>
      </c>
      <c r="R163" t="s">
        <v>2819</v>
      </c>
      <c r="W163" t="s">
        <v>2818</v>
      </c>
      <c r="X163" t="s">
        <v>2820</v>
      </c>
      <c r="Y163" t="s">
        <v>181</v>
      </c>
      <c r="Z163" t="s">
        <v>74</v>
      </c>
      <c r="AA163" t="str">
        <f>"10601-5112"</f>
        <v>10601-5112</v>
      </c>
      <c r="AB163" t="s">
        <v>75</v>
      </c>
      <c r="AC163" t="s">
        <v>76</v>
      </c>
      <c r="AD163" t="s">
        <v>73</v>
      </c>
      <c r="AE163" t="s">
        <v>77</v>
      </c>
      <c r="AF163" t="s">
        <v>2228</v>
      </c>
      <c r="AG163" t="s">
        <v>78</v>
      </c>
    </row>
    <row r="164" spans="1:33" hidden="1" x14ac:dyDescent="0.25">
      <c r="A164" t="str">
        <f>"1184683344"</f>
        <v>1184683344</v>
      </c>
      <c r="B164" t="str">
        <f>"02781193"</f>
        <v>02781193</v>
      </c>
      <c r="C164" t="s">
        <v>2821</v>
      </c>
      <c r="D164" t="s">
        <v>2822</v>
      </c>
      <c r="E164" t="s">
        <v>2823</v>
      </c>
      <c r="G164" t="s">
        <v>2224</v>
      </c>
      <c r="H164" t="s">
        <v>2225</v>
      </c>
      <c r="J164" t="s">
        <v>2226</v>
      </c>
      <c r="L164" t="s">
        <v>72</v>
      </c>
      <c r="M164" t="s">
        <v>73</v>
      </c>
      <c r="R164" t="s">
        <v>2824</v>
      </c>
      <c r="W164" t="s">
        <v>2823</v>
      </c>
      <c r="X164" t="s">
        <v>167</v>
      </c>
      <c r="Y164" t="s">
        <v>91</v>
      </c>
      <c r="Z164" t="s">
        <v>74</v>
      </c>
      <c r="AA164" t="str">
        <f>"10032-3720"</f>
        <v>10032-3720</v>
      </c>
      <c r="AB164" t="s">
        <v>75</v>
      </c>
      <c r="AC164" t="s">
        <v>76</v>
      </c>
      <c r="AD164" t="s">
        <v>73</v>
      </c>
      <c r="AE164" t="s">
        <v>77</v>
      </c>
      <c r="AF164" t="s">
        <v>2254</v>
      </c>
      <c r="AG164" t="s">
        <v>78</v>
      </c>
    </row>
    <row r="165" spans="1:33" hidden="1" x14ac:dyDescent="0.25">
      <c r="A165" t="str">
        <f>"1184711277"</f>
        <v>1184711277</v>
      </c>
      <c r="B165" t="str">
        <f>"00702456"</f>
        <v>00702456</v>
      </c>
      <c r="C165" t="s">
        <v>2825</v>
      </c>
      <c r="D165" t="s">
        <v>2826</v>
      </c>
      <c r="E165" t="s">
        <v>2827</v>
      </c>
      <c r="G165" t="s">
        <v>2224</v>
      </c>
      <c r="H165" t="s">
        <v>2225</v>
      </c>
      <c r="J165" t="s">
        <v>2226</v>
      </c>
      <c r="L165" t="s">
        <v>72</v>
      </c>
      <c r="M165" t="s">
        <v>73</v>
      </c>
      <c r="R165" t="s">
        <v>2828</v>
      </c>
      <c r="W165" t="s">
        <v>2827</v>
      </c>
      <c r="Y165" t="s">
        <v>91</v>
      </c>
      <c r="Z165" t="s">
        <v>74</v>
      </c>
      <c r="AA165" t="str">
        <f>"10065-4870"</f>
        <v>10065-4870</v>
      </c>
      <c r="AB165" t="s">
        <v>75</v>
      </c>
      <c r="AC165" t="s">
        <v>76</v>
      </c>
      <c r="AD165" t="s">
        <v>73</v>
      </c>
      <c r="AE165" t="s">
        <v>77</v>
      </c>
      <c r="AF165" t="s">
        <v>2242</v>
      </c>
      <c r="AG165" t="s">
        <v>78</v>
      </c>
    </row>
    <row r="166" spans="1:33" hidden="1" x14ac:dyDescent="0.25">
      <c r="A166" t="str">
        <f>"1093802183"</f>
        <v>1093802183</v>
      </c>
      <c r="B166" t="str">
        <f>"01810264"</f>
        <v>01810264</v>
      </c>
      <c r="C166" t="s">
        <v>2829</v>
      </c>
      <c r="D166" t="s">
        <v>2830</v>
      </c>
      <c r="E166" t="s">
        <v>2831</v>
      </c>
      <c r="G166" t="s">
        <v>2224</v>
      </c>
      <c r="H166" t="s">
        <v>2225</v>
      </c>
      <c r="J166" t="s">
        <v>2226</v>
      </c>
      <c r="L166" t="s">
        <v>81</v>
      </c>
      <c r="M166" t="s">
        <v>73</v>
      </c>
      <c r="R166" t="s">
        <v>2832</v>
      </c>
      <c r="W166" t="s">
        <v>2831</v>
      </c>
      <c r="X166" t="s">
        <v>2833</v>
      </c>
      <c r="Y166" t="s">
        <v>91</v>
      </c>
      <c r="Z166" t="s">
        <v>74</v>
      </c>
      <c r="AA166" t="str">
        <f>"10021-4895"</f>
        <v>10021-4895</v>
      </c>
      <c r="AB166" t="s">
        <v>75</v>
      </c>
      <c r="AC166" t="s">
        <v>76</v>
      </c>
      <c r="AD166" t="s">
        <v>73</v>
      </c>
      <c r="AE166" t="s">
        <v>77</v>
      </c>
      <c r="AF166" t="s">
        <v>2242</v>
      </c>
      <c r="AG166" t="s">
        <v>78</v>
      </c>
    </row>
    <row r="167" spans="1:33" hidden="1" x14ac:dyDescent="0.25">
      <c r="A167" t="str">
        <f>"1093838856"</f>
        <v>1093838856</v>
      </c>
      <c r="B167" t="str">
        <f>"01811201"</f>
        <v>01811201</v>
      </c>
      <c r="C167" t="s">
        <v>2834</v>
      </c>
      <c r="D167" t="s">
        <v>2835</v>
      </c>
      <c r="E167" t="s">
        <v>2836</v>
      </c>
      <c r="G167" t="s">
        <v>2224</v>
      </c>
      <c r="H167" t="s">
        <v>2225</v>
      </c>
      <c r="J167" t="s">
        <v>2226</v>
      </c>
      <c r="L167" t="s">
        <v>81</v>
      </c>
      <c r="M167" t="s">
        <v>82</v>
      </c>
      <c r="R167" t="s">
        <v>2837</v>
      </c>
      <c r="W167" t="s">
        <v>2836</v>
      </c>
      <c r="X167" t="s">
        <v>2838</v>
      </c>
      <c r="Y167" t="s">
        <v>91</v>
      </c>
      <c r="Z167" t="s">
        <v>74</v>
      </c>
      <c r="AA167" t="str">
        <f>"10032-3720"</f>
        <v>10032-3720</v>
      </c>
      <c r="AB167" t="s">
        <v>75</v>
      </c>
      <c r="AC167" t="s">
        <v>76</v>
      </c>
      <c r="AD167" t="s">
        <v>73</v>
      </c>
      <c r="AE167" t="s">
        <v>77</v>
      </c>
      <c r="AF167" t="s">
        <v>2254</v>
      </c>
      <c r="AG167" t="s">
        <v>78</v>
      </c>
    </row>
    <row r="168" spans="1:33" hidden="1" x14ac:dyDescent="0.25">
      <c r="A168" t="str">
        <f>"1710025549"</f>
        <v>1710025549</v>
      </c>
      <c r="B168" t="str">
        <f>"03371313"</f>
        <v>03371313</v>
      </c>
      <c r="C168" t="s">
        <v>2839</v>
      </c>
      <c r="D168" t="s">
        <v>2000</v>
      </c>
      <c r="E168" t="s">
        <v>2001</v>
      </c>
      <c r="L168" t="s">
        <v>72</v>
      </c>
      <c r="M168" t="s">
        <v>73</v>
      </c>
      <c r="R168" t="s">
        <v>2002</v>
      </c>
      <c r="W168" t="s">
        <v>2001</v>
      </c>
      <c r="X168" t="s">
        <v>1379</v>
      </c>
      <c r="Y168" t="s">
        <v>91</v>
      </c>
      <c r="Z168" t="s">
        <v>74</v>
      </c>
      <c r="AA168" t="str">
        <f>"10032-3720"</f>
        <v>10032-3720</v>
      </c>
      <c r="AB168" t="s">
        <v>75</v>
      </c>
      <c r="AC168" t="s">
        <v>76</v>
      </c>
      <c r="AD168" t="s">
        <v>73</v>
      </c>
      <c r="AE168" t="s">
        <v>77</v>
      </c>
      <c r="AF168" t="s">
        <v>2228</v>
      </c>
      <c r="AG168" t="s">
        <v>78</v>
      </c>
    </row>
    <row r="169" spans="1:33" hidden="1" x14ac:dyDescent="0.25">
      <c r="A169" t="str">
        <f>"1891899894"</f>
        <v>1891899894</v>
      </c>
      <c r="B169" t="str">
        <f>"01355173"</f>
        <v>01355173</v>
      </c>
      <c r="C169" t="s">
        <v>2840</v>
      </c>
      <c r="D169" t="s">
        <v>2841</v>
      </c>
      <c r="E169" t="s">
        <v>2842</v>
      </c>
      <c r="L169" t="s">
        <v>72</v>
      </c>
      <c r="M169" t="s">
        <v>73</v>
      </c>
      <c r="R169" t="s">
        <v>2843</v>
      </c>
      <c r="W169" t="s">
        <v>2842</v>
      </c>
      <c r="X169" t="s">
        <v>1462</v>
      </c>
      <c r="Y169" t="s">
        <v>91</v>
      </c>
      <c r="Z169" t="s">
        <v>74</v>
      </c>
      <c r="AA169" t="str">
        <f>"10032-3720"</f>
        <v>10032-3720</v>
      </c>
      <c r="AB169" t="s">
        <v>75</v>
      </c>
      <c r="AC169" t="s">
        <v>76</v>
      </c>
      <c r="AD169" t="s">
        <v>73</v>
      </c>
      <c r="AE169" t="s">
        <v>77</v>
      </c>
      <c r="AF169" t="s">
        <v>2228</v>
      </c>
      <c r="AG169" t="s">
        <v>78</v>
      </c>
    </row>
    <row r="170" spans="1:33" hidden="1" x14ac:dyDescent="0.25">
      <c r="A170" t="str">
        <f>"1356445357"</f>
        <v>1356445357</v>
      </c>
      <c r="B170" t="str">
        <f>"00999308"</f>
        <v>00999308</v>
      </c>
      <c r="C170" t="s">
        <v>2844</v>
      </c>
      <c r="D170" t="s">
        <v>2845</v>
      </c>
      <c r="E170" t="s">
        <v>2846</v>
      </c>
      <c r="L170" t="s">
        <v>72</v>
      </c>
      <c r="M170" t="s">
        <v>73</v>
      </c>
      <c r="R170" t="s">
        <v>2847</v>
      </c>
      <c r="W170" t="s">
        <v>2846</v>
      </c>
      <c r="X170" t="s">
        <v>2848</v>
      </c>
      <c r="Y170" t="s">
        <v>125</v>
      </c>
      <c r="Z170" t="s">
        <v>74</v>
      </c>
      <c r="AA170" t="str">
        <f>"11358"</f>
        <v>11358</v>
      </c>
      <c r="AB170" t="s">
        <v>75</v>
      </c>
      <c r="AC170" t="s">
        <v>76</v>
      </c>
      <c r="AD170" t="s">
        <v>73</v>
      </c>
      <c r="AE170" t="s">
        <v>77</v>
      </c>
      <c r="AF170" t="s">
        <v>2254</v>
      </c>
      <c r="AG170" t="s">
        <v>78</v>
      </c>
    </row>
    <row r="171" spans="1:33" hidden="1" x14ac:dyDescent="0.25">
      <c r="A171" t="str">
        <f>"1972514941"</f>
        <v>1972514941</v>
      </c>
      <c r="C171" t="s">
        <v>2849</v>
      </c>
      <c r="G171" t="s">
        <v>2224</v>
      </c>
      <c r="H171" t="s">
        <v>2312</v>
      </c>
      <c r="J171" t="s">
        <v>2226</v>
      </c>
      <c r="K171" t="s">
        <v>171</v>
      </c>
      <c r="L171" t="s">
        <v>72</v>
      </c>
      <c r="M171" t="s">
        <v>73</v>
      </c>
      <c r="R171" t="s">
        <v>2850</v>
      </c>
      <c r="S171" t="s">
        <v>167</v>
      </c>
      <c r="T171" t="s">
        <v>91</v>
      </c>
      <c r="U171" t="s">
        <v>74</v>
      </c>
      <c r="V171" t="str">
        <f>"100323720"</f>
        <v>100323720</v>
      </c>
      <c r="AC171" t="s">
        <v>76</v>
      </c>
      <c r="AD171" t="s">
        <v>73</v>
      </c>
      <c r="AE171" t="s">
        <v>97</v>
      </c>
      <c r="AF171" t="s">
        <v>2228</v>
      </c>
      <c r="AG171" t="s">
        <v>78</v>
      </c>
    </row>
    <row r="172" spans="1:33" hidden="1" x14ac:dyDescent="0.25">
      <c r="A172" t="str">
        <f>"1588905962"</f>
        <v>1588905962</v>
      </c>
      <c r="C172" t="s">
        <v>2851</v>
      </c>
      <c r="G172" t="s">
        <v>2224</v>
      </c>
      <c r="H172" t="s">
        <v>2312</v>
      </c>
      <c r="J172" t="s">
        <v>2226</v>
      </c>
      <c r="K172" t="s">
        <v>171</v>
      </c>
      <c r="L172" t="s">
        <v>96</v>
      </c>
      <c r="M172" t="s">
        <v>73</v>
      </c>
      <c r="AC172" t="s">
        <v>76</v>
      </c>
      <c r="AD172" t="s">
        <v>73</v>
      </c>
      <c r="AE172" t="s">
        <v>97</v>
      </c>
      <c r="AF172" t="s">
        <v>2254</v>
      </c>
      <c r="AG172" t="s">
        <v>78</v>
      </c>
    </row>
    <row r="173" spans="1:33" hidden="1" x14ac:dyDescent="0.25">
      <c r="A173" t="str">
        <f>"1447381751"</f>
        <v>1447381751</v>
      </c>
      <c r="C173" t="s">
        <v>2852</v>
      </c>
      <c r="G173" t="s">
        <v>2224</v>
      </c>
      <c r="H173" t="s">
        <v>2312</v>
      </c>
      <c r="J173" t="s">
        <v>2226</v>
      </c>
      <c r="K173" t="s">
        <v>171</v>
      </c>
      <c r="L173" t="s">
        <v>96</v>
      </c>
      <c r="M173" t="s">
        <v>73</v>
      </c>
      <c r="R173" t="s">
        <v>1148</v>
      </c>
      <c r="S173" t="s">
        <v>2853</v>
      </c>
      <c r="T173" t="s">
        <v>91</v>
      </c>
      <c r="U173" t="s">
        <v>74</v>
      </c>
      <c r="V173" t="str">
        <f>"10032"</f>
        <v>10032</v>
      </c>
      <c r="AC173" t="s">
        <v>76</v>
      </c>
      <c r="AD173" t="s">
        <v>73</v>
      </c>
      <c r="AE173" t="s">
        <v>97</v>
      </c>
      <c r="AF173" t="s">
        <v>2228</v>
      </c>
      <c r="AG173" t="s">
        <v>78</v>
      </c>
    </row>
    <row r="174" spans="1:33" hidden="1" x14ac:dyDescent="0.25">
      <c r="A174" t="str">
        <f>"1770883282"</f>
        <v>1770883282</v>
      </c>
      <c r="B174" t="str">
        <f>"03299667"</f>
        <v>03299667</v>
      </c>
      <c r="C174" t="s">
        <v>2854</v>
      </c>
      <c r="D174" t="s">
        <v>2855</v>
      </c>
      <c r="E174" t="s">
        <v>2856</v>
      </c>
      <c r="L174" t="s">
        <v>72</v>
      </c>
      <c r="M174" t="s">
        <v>73</v>
      </c>
      <c r="R174" t="s">
        <v>2857</v>
      </c>
      <c r="W174" t="s">
        <v>2856</v>
      </c>
      <c r="X174" t="s">
        <v>167</v>
      </c>
      <c r="Y174" t="s">
        <v>91</v>
      </c>
      <c r="Z174" t="s">
        <v>74</v>
      </c>
      <c r="AA174" t="str">
        <f>"10032-3720"</f>
        <v>10032-3720</v>
      </c>
      <c r="AB174" t="s">
        <v>75</v>
      </c>
      <c r="AC174" t="s">
        <v>76</v>
      </c>
      <c r="AD174" t="s">
        <v>73</v>
      </c>
      <c r="AE174" t="s">
        <v>77</v>
      </c>
      <c r="AF174" t="s">
        <v>2228</v>
      </c>
      <c r="AG174" t="s">
        <v>78</v>
      </c>
    </row>
    <row r="175" spans="1:33" hidden="1" x14ac:dyDescent="0.25">
      <c r="A175" t="str">
        <f>"1770991655"</f>
        <v>1770991655</v>
      </c>
      <c r="C175" t="s">
        <v>2858</v>
      </c>
      <c r="G175" t="s">
        <v>2224</v>
      </c>
      <c r="H175" t="s">
        <v>2312</v>
      </c>
      <c r="J175" t="s">
        <v>2226</v>
      </c>
      <c r="K175" t="s">
        <v>171</v>
      </c>
      <c r="L175" t="s">
        <v>96</v>
      </c>
      <c r="M175" t="s">
        <v>73</v>
      </c>
      <c r="R175" t="s">
        <v>2859</v>
      </c>
      <c r="S175" t="s">
        <v>2860</v>
      </c>
      <c r="T175" t="s">
        <v>91</v>
      </c>
      <c r="U175" t="s">
        <v>74</v>
      </c>
      <c r="V175" t="str">
        <f>"100323725"</f>
        <v>100323725</v>
      </c>
      <c r="AC175" t="s">
        <v>76</v>
      </c>
      <c r="AD175" t="s">
        <v>73</v>
      </c>
      <c r="AE175" t="s">
        <v>97</v>
      </c>
      <c r="AF175" t="s">
        <v>2228</v>
      </c>
      <c r="AG175" t="s">
        <v>78</v>
      </c>
    </row>
    <row r="176" spans="1:33" hidden="1" x14ac:dyDescent="0.25">
      <c r="A176" t="str">
        <f>"1609912724"</f>
        <v>1609912724</v>
      </c>
      <c r="C176" t="s">
        <v>2861</v>
      </c>
      <c r="G176" t="s">
        <v>2224</v>
      </c>
      <c r="H176" t="s">
        <v>2312</v>
      </c>
      <c r="J176" t="s">
        <v>2226</v>
      </c>
      <c r="K176" t="s">
        <v>171</v>
      </c>
      <c r="L176" t="s">
        <v>96</v>
      </c>
      <c r="M176" t="s">
        <v>73</v>
      </c>
      <c r="R176" t="s">
        <v>2862</v>
      </c>
      <c r="S176" t="s">
        <v>167</v>
      </c>
      <c r="T176" t="s">
        <v>91</v>
      </c>
      <c r="U176" t="s">
        <v>74</v>
      </c>
      <c r="V176" t="str">
        <f>"100323720"</f>
        <v>100323720</v>
      </c>
      <c r="AC176" t="s">
        <v>76</v>
      </c>
      <c r="AD176" t="s">
        <v>73</v>
      </c>
      <c r="AE176" t="s">
        <v>97</v>
      </c>
      <c r="AF176" t="s">
        <v>2228</v>
      </c>
      <c r="AG176" t="s">
        <v>78</v>
      </c>
    </row>
    <row r="177" spans="1:33" hidden="1" x14ac:dyDescent="0.25">
      <c r="A177" t="str">
        <f>"1972865772"</f>
        <v>1972865772</v>
      </c>
      <c r="B177" t="str">
        <f>"03484833"</f>
        <v>03484833</v>
      </c>
      <c r="C177" t="s">
        <v>2863</v>
      </c>
      <c r="D177" t="s">
        <v>907</v>
      </c>
      <c r="E177" t="s">
        <v>908</v>
      </c>
      <c r="G177" t="s">
        <v>749</v>
      </c>
      <c r="H177" t="s">
        <v>320</v>
      </c>
      <c r="J177" t="s">
        <v>750</v>
      </c>
      <c r="L177" t="s">
        <v>81</v>
      </c>
      <c r="M177" t="s">
        <v>82</v>
      </c>
      <c r="R177" t="s">
        <v>909</v>
      </c>
      <c r="W177" t="s">
        <v>908</v>
      </c>
      <c r="X177" t="s">
        <v>789</v>
      </c>
      <c r="Y177" t="s">
        <v>84</v>
      </c>
      <c r="Z177" t="s">
        <v>74</v>
      </c>
      <c r="AA177" t="str">
        <f>"11225-5417"</f>
        <v>11225-5417</v>
      </c>
      <c r="AB177" t="s">
        <v>75</v>
      </c>
      <c r="AC177" t="s">
        <v>76</v>
      </c>
      <c r="AD177" t="s">
        <v>73</v>
      </c>
      <c r="AE177" t="s">
        <v>77</v>
      </c>
      <c r="AF177" t="s">
        <v>2445</v>
      </c>
      <c r="AG177" t="s">
        <v>78</v>
      </c>
    </row>
    <row r="178" spans="1:33" hidden="1" x14ac:dyDescent="0.25">
      <c r="A178" t="str">
        <f>"1669430310"</f>
        <v>1669430310</v>
      </c>
      <c r="B178" t="str">
        <f>"03128916"</f>
        <v>03128916</v>
      </c>
      <c r="C178" t="s">
        <v>2864</v>
      </c>
      <c r="D178" t="s">
        <v>2865</v>
      </c>
      <c r="E178" t="s">
        <v>2866</v>
      </c>
      <c r="G178" t="s">
        <v>2224</v>
      </c>
      <c r="H178" t="s">
        <v>2867</v>
      </c>
      <c r="J178" t="s">
        <v>2226</v>
      </c>
      <c r="L178" t="s">
        <v>80</v>
      </c>
      <c r="M178" t="s">
        <v>73</v>
      </c>
      <c r="R178" t="s">
        <v>2868</v>
      </c>
      <c r="W178" t="s">
        <v>2869</v>
      </c>
      <c r="X178" t="s">
        <v>183</v>
      </c>
      <c r="Y178" t="s">
        <v>91</v>
      </c>
      <c r="Z178" t="s">
        <v>74</v>
      </c>
      <c r="AA178" t="str">
        <f>"10032-3729"</f>
        <v>10032-3729</v>
      </c>
      <c r="AB178" t="s">
        <v>75</v>
      </c>
      <c r="AC178" t="s">
        <v>76</v>
      </c>
      <c r="AD178" t="s">
        <v>73</v>
      </c>
      <c r="AE178" t="s">
        <v>77</v>
      </c>
      <c r="AF178" t="s">
        <v>2228</v>
      </c>
      <c r="AG178" t="s">
        <v>78</v>
      </c>
    </row>
    <row r="179" spans="1:33" hidden="1" x14ac:dyDescent="0.25">
      <c r="A179" t="str">
        <f>"1073550562"</f>
        <v>1073550562</v>
      </c>
      <c r="B179" t="str">
        <f>"02988296"</f>
        <v>02988296</v>
      </c>
      <c r="C179" t="s">
        <v>2870</v>
      </c>
      <c r="D179" t="s">
        <v>939</v>
      </c>
      <c r="E179" t="s">
        <v>940</v>
      </c>
      <c r="G179" t="s">
        <v>2224</v>
      </c>
      <c r="H179" t="s">
        <v>2225</v>
      </c>
      <c r="J179" t="s">
        <v>2226</v>
      </c>
      <c r="L179" t="s">
        <v>81</v>
      </c>
      <c r="M179" t="s">
        <v>73</v>
      </c>
      <c r="R179" t="s">
        <v>941</v>
      </c>
      <c r="W179" t="s">
        <v>942</v>
      </c>
      <c r="X179" t="s">
        <v>167</v>
      </c>
      <c r="Y179" t="s">
        <v>91</v>
      </c>
      <c r="Z179" t="s">
        <v>74</v>
      </c>
      <c r="AA179" t="str">
        <f>"10032-3720"</f>
        <v>10032-3720</v>
      </c>
      <c r="AB179" t="s">
        <v>75</v>
      </c>
      <c r="AC179" t="s">
        <v>76</v>
      </c>
      <c r="AD179" t="s">
        <v>73</v>
      </c>
      <c r="AE179" t="s">
        <v>77</v>
      </c>
      <c r="AF179" t="s">
        <v>2228</v>
      </c>
      <c r="AG179" t="s">
        <v>78</v>
      </c>
    </row>
    <row r="180" spans="1:33" hidden="1" x14ac:dyDescent="0.25">
      <c r="A180" t="str">
        <f>"1073584918"</f>
        <v>1073584918</v>
      </c>
      <c r="B180" t="str">
        <f>"01398296"</f>
        <v>01398296</v>
      </c>
      <c r="C180" t="s">
        <v>2871</v>
      </c>
      <c r="D180" t="s">
        <v>2872</v>
      </c>
      <c r="E180" t="s">
        <v>2873</v>
      </c>
      <c r="G180" t="s">
        <v>2224</v>
      </c>
      <c r="H180" t="s">
        <v>2225</v>
      </c>
      <c r="J180" t="s">
        <v>2226</v>
      </c>
      <c r="L180" t="s">
        <v>81</v>
      </c>
      <c r="M180" t="s">
        <v>82</v>
      </c>
      <c r="R180" t="s">
        <v>2874</v>
      </c>
      <c r="W180" t="s">
        <v>2873</v>
      </c>
      <c r="X180" t="s">
        <v>2875</v>
      </c>
      <c r="Y180" t="s">
        <v>91</v>
      </c>
      <c r="Z180" t="s">
        <v>74</v>
      </c>
      <c r="AA180" t="str">
        <f>"10032-3725"</f>
        <v>10032-3725</v>
      </c>
      <c r="AB180" t="s">
        <v>75</v>
      </c>
      <c r="AC180" t="s">
        <v>76</v>
      </c>
      <c r="AD180" t="s">
        <v>73</v>
      </c>
      <c r="AE180" t="s">
        <v>77</v>
      </c>
      <c r="AF180" t="s">
        <v>2228</v>
      </c>
      <c r="AG180" t="s">
        <v>78</v>
      </c>
    </row>
    <row r="181" spans="1:33" hidden="1" x14ac:dyDescent="0.25">
      <c r="A181" t="str">
        <f>"1467615914"</f>
        <v>1467615914</v>
      </c>
      <c r="B181" t="str">
        <f>"03375546"</f>
        <v>03375546</v>
      </c>
      <c r="C181" t="s">
        <v>2876</v>
      </c>
      <c r="D181" t="s">
        <v>2877</v>
      </c>
      <c r="E181" t="s">
        <v>2878</v>
      </c>
      <c r="G181" t="s">
        <v>2224</v>
      </c>
      <c r="H181" t="s">
        <v>2225</v>
      </c>
      <c r="J181" t="s">
        <v>2226</v>
      </c>
      <c r="L181" t="s">
        <v>80</v>
      </c>
      <c r="M181" t="s">
        <v>73</v>
      </c>
      <c r="R181" t="s">
        <v>2879</v>
      </c>
      <c r="W181" t="s">
        <v>2878</v>
      </c>
      <c r="X181" t="s">
        <v>2503</v>
      </c>
      <c r="Y181" t="s">
        <v>91</v>
      </c>
      <c r="Z181" t="s">
        <v>74</v>
      </c>
      <c r="AA181" t="str">
        <f>"10065-4897"</f>
        <v>10065-4897</v>
      </c>
      <c r="AB181" t="s">
        <v>75</v>
      </c>
      <c r="AC181" t="s">
        <v>76</v>
      </c>
      <c r="AD181" t="s">
        <v>73</v>
      </c>
      <c r="AE181" t="s">
        <v>77</v>
      </c>
      <c r="AF181" t="s">
        <v>2398</v>
      </c>
      <c r="AG181" t="s">
        <v>78</v>
      </c>
    </row>
    <row r="182" spans="1:33" hidden="1" x14ac:dyDescent="0.25">
      <c r="A182" t="str">
        <f>"1467652313"</f>
        <v>1467652313</v>
      </c>
      <c r="B182" t="str">
        <f>"03385004"</f>
        <v>03385004</v>
      </c>
      <c r="C182" t="s">
        <v>2880</v>
      </c>
      <c r="D182" t="s">
        <v>2881</v>
      </c>
      <c r="E182" t="s">
        <v>2882</v>
      </c>
      <c r="G182" t="s">
        <v>2224</v>
      </c>
      <c r="H182" t="s">
        <v>2225</v>
      </c>
      <c r="J182" t="s">
        <v>2226</v>
      </c>
      <c r="L182" t="s">
        <v>100</v>
      </c>
      <c r="M182" t="s">
        <v>73</v>
      </c>
      <c r="R182" t="s">
        <v>2883</v>
      </c>
      <c r="W182" t="s">
        <v>2882</v>
      </c>
      <c r="X182" t="s">
        <v>2884</v>
      </c>
      <c r="Y182" t="s">
        <v>192</v>
      </c>
      <c r="Z182" t="s">
        <v>74</v>
      </c>
      <c r="AA182" t="str">
        <f>"11374-3536"</f>
        <v>11374-3536</v>
      </c>
      <c r="AB182" t="s">
        <v>113</v>
      </c>
      <c r="AC182" t="s">
        <v>76</v>
      </c>
      <c r="AD182" t="s">
        <v>73</v>
      </c>
      <c r="AE182" t="s">
        <v>77</v>
      </c>
      <c r="AF182" t="s">
        <v>2254</v>
      </c>
      <c r="AG182" t="s">
        <v>78</v>
      </c>
    </row>
    <row r="183" spans="1:33" hidden="1" x14ac:dyDescent="0.25">
      <c r="A183" t="str">
        <f>"1306285077"</f>
        <v>1306285077</v>
      </c>
      <c r="B183" t="str">
        <f>"03697550"</f>
        <v>03697550</v>
      </c>
      <c r="C183" t="s">
        <v>2885</v>
      </c>
      <c r="D183" t="s">
        <v>2886</v>
      </c>
      <c r="E183" t="s">
        <v>2887</v>
      </c>
      <c r="G183" t="s">
        <v>2224</v>
      </c>
      <c r="H183" t="s">
        <v>2225</v>
      </c>
      <c r="J183" t="s">
        <v>2226</v>
      </c>
      <c r="L183" t="s">
        <v>100</v>
      </c>
      <c r="M183" t="s">
        <v>73</v>
      </c>
      <c r="R183" t="s">
        <v>2888</v>
      </c>
      <c r="W183" t="s">
        <v>2887</v>
      </c>
      <c r="X183" t="s">
        <v>1784</v>
      </c>
      <c r="Y183" t="s">
        <v>91</v>
      </c>
      <c r="Z183" t="s">
        <v>74</v>
      </c>
      <c r="AA183" t="str">
        <f>"10032-3724"</f>
        <v>10032-3724</v>
      </c>
      <c r="AB183" t="s">
        <v>113</v>
      </c>
      <c r="AC183" t="s">
        <v>76</v>
      </c>
      <c r="AD183" t="s">
        <v>73</v>
      </c>
      <c r="AE183" t="s">
        <v>77</v>
      </c>
      <c r="AF183" t="s">
        <v>2254</v>
      </c>
      <c r="AG183" t="s">
        <v>78</v>
      </c>
    </row>
    <row r="184" spans="1:33" hidden="1" x14ac:dyDescent="0.25">
      <c r="A184" t="str">
        <f>"1497897953"</f>
        <v>1497897953</v>
      </c>
      <c r="B184" t="str">
        <f>"03287336"</f>
        <v>03287336</v>
      </c>
      <c r="C184" t="s">
        <v>2889</v>
      </c>
      <c r="D184" t="s">
        <v>2890</v>
      </c>
      <c r="E184" t="s">
        <v>2891</v>
      </c>
      <c r="G184" t="s">
        <v>2224</v>
      </c>
      <c r="H184" t="s">
        <v>2225</v>
      </c>
      <c r="J184" t="s">
        <v>2226</v>
      </c>
      <c r="L184" t="s">
        <v>72</v>
      </c>
      <c r="M184" t="s">
        <v>73</v>
      </c>
      <c r="R184" t="s">
        <v>2892</v>
      </c>
      <c r="W184" t="s">
        <v>2891</v>
      </c>
      <c r="X184" t="s">
        <v>2893</v>
      </c>
      <c r="Y184" t="s">
        <v>91</v>
      </c>
      <c r="Z184" t="s">
        <v>74</v>
      </c>
      <c r="AA184" t="str">
        <f>"10032-3724"</f>
        <v>10032-3724</v>
      </c>
      <c r="AB184" t="s">
        <v>103</v>
      </c>
      <c r="AC184" t="s">
        <v>76</v>
      </c>
      <c r="AD184" t="s">
        <v>73</v>
      </c>
      <c r="AE184" t="s">
        <v>77</v>
      </c>
      <c r="AF184" t="s">
        <v>2228</v>
      </c>
      <c r="AG184" t="s">
        <v>78</v>
      </c>
    </row>
    <row r="185" spans="1:33" hidden="1" x14ac:dyDescent="0.25">
      <c r="A185" t="str">
        <f>"1780854703"</f>
        <v>1780854703</v>
      </c>
      <c r="B185" t="str">
        <f>"02958836"</f>
        <v>02958836</v>
      </c>
      <c r="C185" t="s">
        <v>2894</v>
      </c>
      <c r="D185" t="s">
        <v>2895</v>
      </c>
      <c r="E185" t="s">
        <v>2896</v>
      </c>
      <c r="G185" t="s">
        <v>2224</v>
      </c>
      <c r="H185" t="s">
        <v>2225</v>
      </c>
      <c r="J185" t="s">
        <v>2226</v>
      </c>
      <c r="L185" t="s">
        <v>80</v>
      </c>
      <c r="M185" t="s">
        <v>82</v>
      </c>
      <c r="R185" t="s">
        <v>2897</v>
      </c>
      <c r="W185" t="s">
        <v>2898</v>
      </c>
      <c r="X185" t="s">
        <v>410</v>
      </c>
      <c r="Y185" t="s">
        <v>91</v>
      </c>
      <c r="Z185" t="s">
        <v>74</v>
      </c>
      <c r="AA185" t="str">
        <f>"10032-1559"</f>
        <v>10032-1559</v>
      </c>
      <c r="AB185" t="s">
        <v>75</v>
      </c>
      <c r="AC185" t="s">
        <v>76</v>
      </c>
      <c r="AD185" t="s">
        <v>73</v>
      </c>
      <c r="AE185" t="s">
        <v>77</v>
      </c>
      <c r="AF185" t="s">
        <v>2228</v>
      </c>
      <c r="AG185" t="s">
        <v>78</v>
      </c>
    </row>
    <row r="186" spans="1:33" hidden="1" x14ac:dyDescent="0.25">
      <c r="A186" t="str">
        <f>"1477577815"</f>
        <v>1477577815</v>
      </c>
      <c r="B186" t="str">
        <f>"03421854"</f>
        <v>03421854</v>
      </c>
      <c r="C186" t="s">
        <v>2899</v>
      </c>
      <c r="D186" t="s">
        <v>2900</v>
      </c>
      <c r="E186" t="s">
        <v>2901</v>
      </c>
      <c r="G186" t="s">
        <v>2224</v>
      </c>
      <c r="H186" t="s">
        <v>2225</v>
      </c>
      <c r="J186" t="s">
        <v>2226</v>
      </c>
      <c r="L186" t="s">
        <v>72</v>
      </c>
      <c r="M186" t="s">
        <v>73</v>
      </c>
      <c r="R186" t="s">
        <v>2902</v>
      </c>
      <c r="W186" t="s">
        <v>2901</v>
      </c>
      <c r="X186" t="s">
        <v>167</v>
      </c>
      <c r="Y186" t="s">
        <v>91</v>
      </c>
      <c r="Z186" t="s">
        <v>74</v>
      </c>
      <c r="AA186" t="str">
        <f>"10032-3720"</f>
        <v>10032-3720</v>
      </c>
      <c r="AB186" t="s">
        <v>75</v>
      </c>
      <c r="AC186" t="s">
        <v>76</v>
      </c>
      <c r="AD186" t="s">
        <v>73</v>
      </c>
      <c r="AE186" t="s">
        <v>77</v>
      </c>
      <c r="AF186" t="s">
        <v>2398</v>
      </c>
      <c r="AG186" t="s">
        <v>78</v>
      </c>
    </row>
    <row r="187" spans="1:33" hidden="1" x14ac:dyDescent="0.25">
      <c r="A187" t="str">
        <f>"1437117058"</f>
        <v>1437117058</v>
      </c>
      <c r="B187" t="str">
        <f>"02932016"</f>
        <v>02932016</v>
      </c>
      <c r="C187" t="s">
        <v>2903</v>
      </c>
      <c r="D187" t="s">
        <v>2904</v>
      </c>
      <c r="E187" t="s">
        <v>2905</v>
      </c>
      <c r="G187" t="s">
        <v>2224</v>
      </c>
      <c r="H187" t="s">
        <v>2225</v>
      </c>
      <c r="J187" t="s">
        <v>2226</v>
      </c>
      <c r="L187" t="s">
        <v>72</v>
      </c>
      <c r="M187" t="s">
        <v>73</v>
      </c>
      <c r="R187" t="s">
        <v>2905</v>
      </c>
      <c r="W187" t="s">
        <v>2905</v>
      </c>
      <c r="X187" t="s">
        <v>2906</v>
      </c>
      <c r="Y187" t="s">
        <v>551</v>
      </c>
      <c r="Z187" t="s">
        <v>74</v>
      </c>
      <c r="AA187" t="str">
        <f>"11598-1204"</f>
        <v>11598-1204</v>
      </c>
      <c r="AB187" t="s">
        <v>75</v>
      </c>
      <c r="AC187" t="s">
        <v>76</v>
      </c>
      <c r="AD187" t="s">
        <v>73</v>
      </c>
      <c r="AE187" t="s">
        <v>77</v>
      </c>
      <c r="AF187" t="s">
        <v>2228</v>
      </c>
      <c r="AG187" t="s">
        <v>78</v>
      </c>
    </row>
    <row r="188" spans="1:33" hidden="1" x14ac:dyDescent="0.25">
      <c r="A188" t="str">
        <f>"1619077856"</f>
        <v>1619077856</v>
      </c>
      <c r="B188" t="str">
        <f>"01356298"</f>
        <v>01356298</v>
      </c>
      <c r="C188" t="s">
        <v>2907</v>
      </c>
      <c r="D188" t="s">
        <v>2908</v>
      </c>
      <c r="E188" t="s">
        <v>2909</v>
      </c>
      <c r="G188" t="s">
        <v>2224</v>
      </c>
      <c r="H188" t="s">
        <v>2225</v>
      </c>
      <c r="J188" t="s">
        <v>2226</v>
      </c>
      <c r="L188" t="s">
        <v>80</v>
      </c>
      <c r="M188" t="s">
        <v>73</v>
      </c>
      <c r="R188" t="s">
        <v>2910</v>
      </c>
      <c r="W188" t="s">
        <v>2909</v>
      </c>
      <c r="X188" t="s">
        <v>521</v>
      </c>
      <c r="Y188" t="s">
        <v>215</v>
      </c>
      <c r="Z188" t="s">
        <v>74</v>
      </c>
      <c r="AA188" t="str">
        <f>"10801-4909"</f>
        <v>10801-4909</v>
      </c>
      <c r="AB188" t="s">
        <v>75</v>
      </c>
      <c r="AC188" t="s">
        <v>76</v>
      </c>
      <c r="AD188" t="s">
        <v>73</v>
      </c>
      <c r="AE188" t="s">
        <v>77</v>
      </c>
      <c r="AF188" t="s">
        <v>2228</v>
      </c>
      <c r="AG188" t="s">
        <v>78</v>
      </c>
    </row>
    <row r="189" spans="1:33" hidden="1" x14ac:dyDescent="0.25">
      <c r="A189" t="str">
        <f>"1619092350"</f>
        <v>1619092350</v>
      </c>
      <c r="B189" t="str">
        <f>"02919304"</f>
        <v>02919304</v>
      </c>
      <c r="C189" t="s">
        <v>2911</v>
      </c>
      <c r="D189" t="s">
        <v>2912</v>
      </c>
      <c r="E189" t="s">
        <v>1175</v>
      </c>
      <c r="G189" t="s">
        <v>2224</v>
      </c>
      <c r="H189" t="s">
        <v>2225</v>
      </c>
      <c r="J189" t="s">
        <v>2226</v>
      </c>
      <c r="L189" t="s">
        <v>72</v>
      </c>
      <c r="M189" t="s">
        <v>82</v>
      </c>
      <c r="R189" t="s">
        <v>2913</v>
      </c>
      <c r="W189" t="s">
        <v>2914</v>
      </c>
      <c r="X189" t="s">
        <v>2915</v>
      </c>
      <c r="Y189" t="s">
        <v>91</v>
      </c>
      <c r="Z189" t="s">
        <v>74</v>
      </c>
      <c r="AA189" t="str">
        <f>"10035-1816"</f>
        <v>10035-1816</v>
      </c>
      <c r="AB189" t="s">
        <v>75</v>
      </c>
      <c r="AC189" t="s">
        <v>76</v>
      </c>
      <c r="AD189" t="s">
        <v>73</v>
      </c>
      <c r="AE189" t="s">
        <v>77</v>
      </c>
      <c r="AF189" t="s">
        <v>2254</v>
      </c>
      <c r="AG189" t="s">
        <v>78</v>
      </c>
    </row>
    <row r="190" spans="1:33" hidden="1" x14ac:dyDescent="0.25">
      <c r="A190" t="str">
        <f>"1134201742"</f>
        <v>1134201742</v>
      </c>
      <c r="B190" t="str">
        <f>"01445165"</f>
        <v>01445165</v>
      </c>
      <c r="C190" t="s">
        <v>2916</v>
      </c>
      <c r="D190" t="s">
        <v>2917</v>
      </c>
      <c r="E190" t="s">
        <v>2918</v>
      </c>
      <c r="G190" t="s">
        <v>2224</v>
      </c>
      <c r="H190" t="s">
        <v>2225</v>
      </c>
      <c r="J190" t="s">
        <v>2226</v>
      </c>
      <c r="L190" t="s">
        <v>80</v>
      </c>
      <c r="M190" t="s">
        <v>82</v>
      </c>
      <c r="R190" t="s">
        <v>2919</v>
      </c>
      <c r="W190" t="s">
        <v>2918</v>
      </c>
      <c r="X190" t="s">
        <v>2920</v>
      </c>
      <c r="Y190" t="s">
        <v>91</v>
      </c>
      <c r="Z190" t="s">
        <v>74</v>
      </c>
      <c r="AA190" t="str">
        <f>"10032-3729"</f>
        <v>10032-3729</v>
      </c>
      <c r="AB190" t="s">
        <v>75</v>
      </c>
      <c r="AC190" t="s">
        <v>76</v>
      </c>
      <c r="AD190" t="s">
        <v>73</v>
      </c>
      <c r="AE190" t="s">
        <v>77</v>
      </c>
      <c r="AF190" t="s">
        <v>2254</v>
      </c>
      <c r="AG190" t="s">
        <v>78</v>
      </c>
    </row>
    <row r="191" spans="1:33" hidden="1" x14ac:dyDescent="0.25">
      <c r="A191" t="str">
        <f>"1346373636"</f>
        <v>1346373636</v>
      </c>
      <c r="B191" t="str">
        <f>"03181477"</f>
        <v>03181477</v>
      </c>
      <c r="C191" t="s">
        <v>2921</v>
      </c>
      <c r="D191" t="s">
        <v>2922</v>
      </c>
      <c r="E191" t="s">
        <v>2923</v>
      </c>
      <c r="G191" t="s">
        <v>2224</v>
      </c>
      <c r="H191" t="s">
        <v>2225</v>
      </c>
      <c r="J191" t="s">
        <v>2226</v>
      </c>
      <c r="L191" t="s">
        <v>72</v>
      </c>
      <c r="M191" t="s">
        <v>73</v>
      </c>
      <c r="R191" t="s">
        <v>2924</v>
      </c>
      <c r="W191" t="s">
        <v>2923</v>
      </c>
      <c r="X191" t="s">
        <v>2925</v>
      </c>
      <c r="Y191" t="s">
        <v>91</v>
      </c>
      <c r="Z191" t="s">
        <v>74</v>
      </c>
      <c r="AA191" t="str">
        <f>"10032-3720"</f>
        <v>10032-3720</v>
      </c>
      <c r="AB191" t="s">
        <v>113</v>
      </c>
      <c r="AC191" t="s">
        <v>76</v>
      </c>
      <c r="AD191" t="s">
        <v>73</v>
      </c>
      <c r="AE191" t="s">
        <v>77</v>
      </c>
      <c r="AF191" t="s">
        <v>2228</v>
      </c>
      <c r="AG191" t="s">
        <v>78</v>
      </c>
    </row>
    <row r="192" spans="1:33" hidden="1" x14ac:dyDescent="0.25">
      <c r="A192" t="str">
        <f>"1124062922"</f>
        <v>1124062922</v>
      </c>
      <c r="B192" t="str">
        <f>"02372576"</f>
        <v>02372576</v>
      </c>
      <c r="C192" t="s">
        <v>2926</v>
      </c>
      <c r="D192" t="s">
        <v>2927</v>
      </c>
      <c r="E192" t="s">
        <v>2928</v>
      </c>
      <c r="G192" t="s">
        <v>2224</v>
      </c>
      <c r="H192" t="s">
        <v>2225</v>
      </c>
      <c r="J192" t="s">
        <v>2226</v>
      </c>
      <c r="L192" t="s">
        <v>72</v>
      </c>
      <c r="M192" t="s">
        <v>73</v>
      </c>
      <c r="R192" t="s">
        <v>2928</v>
      </c>
      <c r="W192" t="s">
        <v>2928</v>
      </c>
      <c r="X192" t="s">
        <v>2928</v>
      </c>
      <c r="Y192" t="s">
        <v>527</v>
      </c>
      <c r="Z192" t="s">
        <v>74</v>
      </c>
      <c r="AA192" t="str">
        <f>"10941-4018"</f>
        <v>10941-4018</v>
      </c>
      <c r="AB192" t="s">
        <v>75</v>
      </c>
      <c r="AC192" t="s">
        <v>76</v>
      </c>
      <c r="AD192" t="s">
        <v>73</v>
      </c>
      <c r="AE192" t="s">
        <v>77</v>
      </c>
      <c r="AF192" t="s">
        <v>2254</v>
      </c>
      <c r="AG192" t="s">
        <v>78</v>
      </c>
    </row>
    <row r="193" spans="1:33" hidden="1" x14ac:dyDescent="0.25">
      <c r="C193" t="s">
        <v>2929</v>
      </c>
      <c r="G193" t="s">
        <v>2930</v>
      </c>
      <c r="H193" t="s">
        <v>1802</v>
      </c>
      <c r="I193">
        <v>310</v>
      </c>
      <c r="J193" t="s">
        <v>2931</v>
      </c>
      <c r="K193" t="s">
        <v>561</v>
      </c>
      <c r="L193" t="s">
        <v>94</v>
      </c>
      <c r="M193" t="s">
        <v>73</v>
      </c>
      <c r="AC193" t="s">
        <v>76</v>
      </c>
      <c r="AD193" t="s">
        <v>73</v>
      </c>
      <c r="AE193" t="s">
        <v>95</v>
      </c>
      <c r="AF193" t="s">
        <v>2254</v>
      </c>
      <c r="AG193" t="s">
        <v>78</v>
      </c>
    </row>
    <row r="194" spans="1:33" hidden="1" x14ac:dyDescent="0.25">
      <c r="A194" t="str">
        <f>"1497785349"</f>
        <v>1497785349</v>
      </c>
      <c r="B194" t="str">
        <f>"00352992"</f>
        <v>00352992</v>
      </c>
      <c r="C194" t="s">
        <v>2932</v>
      </c>
      <c r="D194" t="s">
        <v>2933</v>
      </c>
      <c r="E194" t="s">
        <v>2934</v>
      </c>
      <c r="G194" t="s">
        <v>2224</v>
      </c>
      <c r="H194" t="s">
        <v>2225</v>
      </c>
      <c r="J194" t="s">
        <v>2226</v>
      </c>
      <c r="L194" t="s">
        <v>72</v>
      </c>
      <c r="M194" t="s">
        <v>73</v>
      </c>
      <c r="R194" t="s">
        <v>2935</v>
      </c>
      <c r="W194" t="s">
        <v>2934</v>
      </c>
      <c r="X194" t="s">
        <v>2936</v>
      </c>
      <c r="Y194" t="s">
        <v>91</v>
      </c>
      <c r="Z194" t="s">
        <v>74</v>
      </c>
      <c r="AA194" t="str">
        <f>"10032-3720"</f>
        <v>10032-3720</v>
      </c>
      <c r="AB194" t="s">
        <v>75</v>
      </c>
      <c r="AC194" t="s">
        <v>76</v>
      </c>
      <c r="AD194" t="s">
        <v>73</v>
      </c>
      <c r="AE194" t="s">
        <v>77</v>
      </c>
      <c r="AF194" t="s">
        <v>2254</v>
      </c>
      <c r="AG194" t="s">
        <v>78</v>
      </c>
    </row>
    <row r="195" spans="1:33" hidden="1" x14ac:dyDescent="0.25">
      <c r="A195" t="str">
        <f>"1316991037"</f>
        <v>1316991037</v>
      </c>
      <c r="B195" t="str">
        <f>"01836373"</f>
        <v>01836373</v>
      </c>
      <c r="C195" t="s">
        <v>2937</v>
      </c>
      <c r="D195" t="s">
        <v>2938</v>
      </c>
      <c r="E195" t="s">
        <v>2939</v>
      </c>
      <c r="G195" t="s">
        <v>2224</v>
      </c>
      <c r="H195" t="s">
        <v>2225</v>
      </c>
      <c r="J195" t="s">
        <v>2226</v>
      </c>
      <c r="L195" t="s">
        <v>72</v>
      </c>
      <c r="M195" t="s">
        <v>73</v>
      </c>
      <c r="R195" t="s">
        <v>2940</v>
      </c>
      <c r="W195" t="s">
        <v>2939</v>
      </c>
      <c r="X195" t="s">
        <v>2939</v>
      </c>
      <c r="Y195" t="s">
        <v>186</v>
      </c>
      <c r="Z195" t="s">
        <v>74</v>
      </c>
      <c r="AA195" t="str">
        <f>"11530-5766"</f>
        <v>11530-5766</v>
      </c>
      <c r="AB195" t="s">
        <v>75</v>
      </c>
      <c r="AC195" t="s">
        <v>76</v>
      </c>
      <c r="AD195" t="s">
        <v>73</v>
      </c>
      <c r="AE195" t="s">
        <v>77</v>
      </c>
      <c r="AF195" t="s">
        <v>2228</v>
      </c>
      <c r="AG195" t="s">
        <v>78</v>
      </c>
    </row>
    <row r="196" spans="1:33" hidden="1" x14ac:dyDescent="0.25">
      <c r="A196" t="str">
        <f>"1669534178"</f>
        <v>1669534178</v>
      </c>
      <c r="B196" t="str">
        <f>"01988476"</f>
        <v>01988476</v>
      </c>
      <c r="C196" t="s">
        <v>2941</v>
      </c>
      <c r="D196" t="s">
        <v>2942</v>
      </c>
      <c r="E196" t="s">
        <v>2943</v>
      </c>
      <c r="G196" t="s">
        <v>2224</v>
      </c>
      <c r="H196" t="s">
        <v>2225</v>
      </c>
      <c r="J196" t="s">
        <v>2226</v>
      </c>
      <c r="L196" t="s">
        <v>72</v>
      </c>
      <c r="M196" t="s">
        <v>73</v>
      </c>
      <c r="R196" t="s">
        <v>2944</v>
      </c>
      <c r="W196" t="s">
        <v>2943</v>
      </c>
      <c r="X196" t="s">
        <v>168</v>
      </c>
      <c r="Y196" t="s">
        <v>84</v>
      </c>
      <c r="Z196" t="s">
        <v>74</v>
      </c>
      <c r="AA196" t="str">
        <f>"11237-4006"</f>
        <v>11237-4006</v>
      </c>
      <c r="AB196" t="s">
        <v>75</v>
      </c>
      <c r="AC196" t="s">
        <v>76</v>
      </c>
      <c r="AD196" t="s">
        <v>73</v>
      </c>
      <c r="AE196" t="s">
        <v>77</v>
      </c>
      <c r="AF196" t="s">
        <v>2228</v>
      </c>
      <c r="AG196" t="s">
        <v>78</v>
      </c>
    </row>
    <row r="197" spans="1:33" hidden="1" x14ac:dyDescent="0.25">
      <c r="A197" t="str">
        <f>"1558413484"</f>
        <v>1558413484</v>
      </c>
      <c r="B197" t="str">
        <f>"02905195"</f>
        <v>02905195</v>
      </c>
      <c r="C197" t="s">
        <v>2945</v>
      </c>
      <c r="D197" t="s">
        <v>2946</v>
      </c>
      <c r="E197" t="s">
        <v>2947</v>
      </c>
      <c r="G197" t="s">
        <v>2224</v>
      </c>
      <c r="H197" t="s">
        <v>2225</v>
      </c>
      <c r="J197" t="s">
        <v>2226</v>
      </c>
      <c r="L197" t="s">
        <v>72</v>
      </c>
      <c r="M197" t="s">
        <v>73</v>
      </c>
      <c r="R197" t="s">
        <v>2948</v>
      </c>
      <c r="W197" t="s">
        <v>2947</v>
      </c>
      <c r="X197" t="s">
        <v>2949</v>
      </c>
      <c r="Y197" t="s">
        <v>118</v>
      </c>
      <c r="Z197" t="s">
        <v>74</v>
      </c>
      <c r="AA197" t="str">
        <f>"10460-4201"</f>
        <v>10460-4201</v>
      </c>
      <c r="AB197" t="s">
        <v>104</v>
      </c>
      <c r="AC197" t="s">
        <v>76</v>
      </c>
      <c r="AD197" t="s">
        <v>73</v>
      </c>
      <c r="AE197" t="s">
        <v>77</v>
      </c>
      <c r="AF197" t="s">
        <v>2398</v>
      </c>
      <c r="AG197" t="s">
        <v>78</v>
      </c>
    </row>
    <row r="198" spans="1:33" hidden="1" x14ac:dyDescent="0.25">
      <c r="A198" t="str">
        <f>"1184655375"</f>
        <v>1184655375</v>
      </c>
      <c r="B198" t="str">
        <f>"01202868"</f>
        <v>01202868</v>
      </c>
      <c r="C198" t="s">
        <v>2950</v>
      </c>
      <c r="D198" t="s">
        <v>2951</v>
      </c>
      <c r="E198" t="s">
        <v>2952</v>
      </c>
      <c r="L198" t="s">
        <v>80</v>
      </c>
      <c r="M198" t="s">
        <v>73</v>
      </c>
      <c r="R198" t="s">
        <v>2953</v>
      </c>
      <c r="W198" t="s">
        <v>2952</v>
      </c>
      <c r="X198" t="s">
        <v>2954</v>
      </c>
      <c r="Y198" t="s">
        <v>1466</v>
      </c>
      <c r="Z198" t="s">
        <v>139</v>
      </c>
      <c r="AA198" t="str">
        <f>"07675-3181"</f>
        <v>07675-3181</v>
      </c>
      <c r="AB198" t="s">
        <v>75</v>
      </c>
      <c r="AC198" t="s">
        <v>76</v>
      </c>
      <c r="AD198" t="s">
        <v>73</v>
      </c>
      <c r="AE198" t="s">
        <v>77</v>
      </c>
      <c r="AF198" t="s">
        <v>2228</v>
      </c>
      <c r="AG198" t="s">
        <v>78</v>
      </c>
    </row>
    <row r="199" spans="1:33" hidden="1" x14ac:dyDescent="0.25">
      <c r="A199" t="str">
        <f>"1861479560"</f>
        <v>1861479560</v>
      </c>
      <c r="B199" t="str">
        <f>"01482791"</f>
        <v>01482791</v>
      </c>
      <c r="C199" t="s">
        <v>2955</v>
      </c>
      <c r="D199" t="s">
        <v>2956</v>
      </c>
      <c r="E199" t="s">
        <v>2957</v>
      </c>
      <c r="G199" t="s">
        <v>2224</v>
      </c>
      <c r="H199" t="s">
        <v>2225</v>
      </c>
      <c r="J199" t="s">
        <v>2226</v>
      </c>
      <c r="L199" t="s">
        <v>80</v>
      </c>
      <c r="M199" t="s">
        <v>73</v>
      </c>
      <c r="R199" t="s">
        <v>2958</v>
      </c>
      <c r="W199" t="s">
        <v>2957</v>
      </c>
      <c r="X199" t="s">
        <v>2959</v>
      </c>
      <c r="Y199" t="s">
        <v>137</v>
      </c>
      <c r="Z199" t="s">
        <v>74</v>
      </c>
      <c r="AA199" t="str">
        <f>"12601-5465"</f>
        <v>12601-5465</v>
      </c>
      <c r="AB199" t="s">
        <v>75</v>
      </c>
      <c r="AC199" t="s">
        <v>76</v>
      </c>
      <c r="AD199" t="s">
        <v>73</v>
      </c>
      <c r="AE199" t="s">
        <v>77</v>
      </c>
      <c r="AF199" t="s">
        <v>2254</v>
      </c>
      <c r="AG199" t="s">
        <v>78</v>
      </c>
    </row>
    <row r="200" spans="1:33" hidden="1" x14ac:dyDescent="0.25">
      <c r="A200" t="str">
        <f>"1861521239"</f>
        <v>1861521239</v>
      </c>
      <c r="B200" t="str">
        <f>"01112972"</f>
        <v>01112972</v>
      </c>
      <c r="C200" t="s">
        <v>2960</v>
      </c>
      <c r="D200" t="s">
        <v>2961</v>
      </c>
      <c r="E200" t="s">
        <v>2962</v>
      </c>
      <c r="G200" t="s">
        <v>2224</v>
      </c>
      <c r="H200" t="s">
        <v>2225</v>
      </c>
      <c r="J200" t="s">
        <v>2226</v>
      </c>
      <c r="L200" t="s">
        <v>72</v>
      </c>
      <c r="M200" t="s">
        <v>73</v>
      </c>
      <c r="R200" t="s">
        <v>2963</v>
      </c>
      <c r="W200" t="s">
        <v>2962</v>
      </c>
      <c r="Y200" t="s">
        <v>91</v>
      </c>
      <c r="Z200" t="s">
        <v>74</v>
      </c>
      <c r="AA200" t="str">
        <f>"10032-3724"</f>
        <v>10032-3724</v>
      </c>
      <c r="AB200" t="s">
        <v>75</v>
      </c>
      <c r="AC200" t="s">
        <v>76</v>
      </c>
      <c r="AD200" t="s">
        <v>73</v>
      </c>
      <c r="AE200" t="s">
        <v>77</v>
      </c>
      <c r="AF200" t="s">
        <v>2254</v>
      </c>
      <c r="AG200" t="s">
        <v>78</v>
      </c>
    </row>
    <row r="201" spans="1:33" hidden="1" x14ac:dyDescent="0.25">
      <c r="A201" t="str">
        <f>"1861558918"</f>
        <v>1861558918</v>
      </c>
      <c r="B201" t="str">
        <f>"01249178"</f>
        <v>01249178</v>
      </c>
      <c r="C201" t="s">
        <v>2964</v>
      </c>
      <c r="D201" t="s">
        <v>2965</v>
      </c>
      <c r="E201" t="s">
        <v>2966</v>
      </c>
      <c r="G201" t="s">
        <v>2224</v>
      </c>
      <c r="H201" t="s">
        <v>2225</v>
      </c>
      <c r="J201" t="s">
        <v>2226</v>
      </c>
      <c r="L201" t="s">
        <v>81</v>
      </c>
      <c r="M201" t="s">
        <v>73</v>
      </c>
      <c r="R201" t="s">
        <v>2967</v>
      </c>
      <c r="W201" t="s">
        <v>2966</v>
      </c>
      <c r="X201" t="s">
        <v>1385</v>
      </c>
      <c r="Y201" t="s">
        <v>91</v>
      </c>
      <c r="Z201" t="s">
        <v>74</v>
      </c>
      <c r="AA201" t="str">
        <f>"10025-5170"</f>
        <v>10025-5170</v>
      </c>
      <c r="AB201" t="s">
        <v>75</v>
      </c>
      <c r="AC201" t="s">
        <v>76</v>
      </c>
      <c r="AD201" t="s">
        <v>73</v>
      </c>
      <c r="AE201" t="s">
        <v>77</v>
      </c>
      <c r="AF201" t="s">
        <v>2228</v>
      </c>
      <c r="AG201" t="s">
        <v>78</v>
      </c>
    </row>
    <row r="202" spans="1:33" hidden="1" x14ac:dyDescent="0.25">
      <c r="A202" t="str">
        <f>"1154333276"</f>
        <v>1154333276</v>
      </c>
      <c r="B202" t="str">
        <f>"01187695"</f>
        <v>01187695</v>
      </c>
      <c r="C202" t="s">
        <v>2968</v>
      </c>
      <c r="D202" t="s">
        <v>2969</v>
      </c>
      <c r="E202" t="s">
        <v>2970</v>
      </c>
      <c r="G202" t="s">
        <v>2224</v>
      </c>
      <c r="H202" t="s">
        <v>2225</v>
      </c>
      <c r="J202" t="s">
        <v>2226</v>
      </c>
      <c r="L202" t="s">
        <v>88</v>
      </c>
      <c r="M202" t="s">
        <v>82</v>
      </c>
      <c r="R202" t="s">
        <v>2971</v>
      </c>
      <c r="W202" t="s">
        <v>2970</v>
      </c>
      <c r="X202" t="s">
        <v>1163</v>
      </c>
      <c r="Y202" t="s">
        <v>91</v>
      </c>
      <c r="Z202" t="s">
        <v>74</v>
      </c>
      <c r="AA202" t="str">
        <f>"10034"</f>
        <v>10034</v>
      </c>
      <c r="AB202" t="s">
        <v>75</v>
      </c>
      <c r="AC202" t="s">
        <v>76</v>
      </c>
      <c r="AD202" t="s">
        <v>73</v>
      </c>
      <c r="AE202" t="s">
        <v>77</v>
      </c>
      <c r="AF202" t="s">
        <v>2228</v>
      </c>
      <c r="AG202" t="s">
        <v>78</v>
      </c>
    </row>
    <row r="203" spans="1:33" hidden="1" x14ac:dyDescent="0.25">
      <c r="A203" t="str">
        <f>"1619064706"</f>
        <v>1619064706</v>
      </c>
      <c r="B203" t="str">
        <f>"01360521"</f>
        <v>01360521</v>
      </c>
      <c r="C203" t="s">
        <v>2972</v>
      </c>
      <c r="D203" t="s">
        <v>2973</v>
      </c>
      <c r="E203" t="s">
        <v>2974</v>
      </c>
      <c r="G203" t="s">
        <v>2224</v>
      </c>
      <c r="H203" t="s">
        <v>2225</v>
      </c>
      <c r="J203" t="s">
        <v>2226</v>
      </c>
      <c r="L203" t="s">
        <v>72</v>
      </c>
      <c r="M203" t="s">
        <v>73</v>
      </c>
      <c r="R203" t="s">
        <v>2975</v>
      </c>
      <c r="W203" t="s">
        <v>2974</v>
      </c>
      <c r="X203" t="s">
        <v>1583</v>
      </c>
      <c r="Y203" t="s">
        <v>91</v>
      </c>
      <c r="Z203" t="s">
        <v>74</v>
      </c>
      <c r="AA203" t="str">
        <f>"10021-9800"</f>
        <v>10021-9800</v>
      </c>
      <c r="AB203" t="s">
        <v>75</v>
      </c>
      <c r="AC203" t="s">
        <v>76</v>
      </c>
      <c r="AD203" t="s">
        <v>73</v>
      </c>
      <c r="AE203" t="s">
        <v>77</v>
      </c>
      <c r="AF203" t="s">
        <v>2398</v>
      </c>
      <c r="AG203" t="s">
        <v>78</v>
      </c>
    </row>
    <row r="204" spans="1:33" hidden="1" x14ac:dyDescent="0.25">
      <c r="A204" t="str">
        <f>"1306079819"</f>
        <v>1306079819</v>
      </c>
      <c r="B204" t="str">
        <f>"03835389"</f>
        <v>03835389</v>
      </c>
      <c r="C204" t="s">
        <v>2976</v>
      </c>
      <c r="D204" t="s">
        <v>2977</v>
      </c>
      <c r="E204" t="s">
        <v>2978</v>
      </c>
      <c r="G204" t="s">
        <v>2224</v>
      </c>
      <c r="H204" t="s">
        <v>2225</v>
      </c>
      <c r="J204" t="s">
        <v>2226</v>
      </c>
      <c r="L204" t="s">
        <v>80</v>
      </c>
      <c r="M204" t="s">
        <v>73</v>
      </c>
      <c r="R204" t="s">
        <v>2979</v>
      </c>
      <c r="W204" t="s">
        <v>2980</v>
      </c>
      <c r="X204" t="s">
        <v>2981</v>
      </c>
      <c r="Y204" t="s">
        <v>91</v>
      </c>
      <c r="Z204" t="s">
        <v>74</v>
      </c>
      <c r="AA204" t="str">
        <f>"10065-4870"</f>
        <v>10065-4870</v>
      </c>
      <c r="AB204" t="s">
        <v>75</v>
      </c>
      <c r="AC204" t="s">
        <v>76</v>
      </c>
      <c r="AD204" t="s">
        <v>73</v>
      </c>
      <c r="AE204" t="s">
        <v>77</v>
      </c>
      <c r="AF204" t="s">
        <v>2242</v>
      </c>
      <c r="AG204" t="s">
        <v>78</v>
      </c>
    </row>
    <row r="205" spans="1:33" hidden="1" x14ac:dyDescent="0.25">
      <c r="A205" t="str">
        <f>"1245499870"</f>
        <v>1245499870</v>
      </c>
      <c r="B205" t="str">
        <f>"03375211"</f>
        <v>03375211</v>
      </c>
      <c r="C205" t="s">
        <v>2982</v>
      </c>
      <c r="D205" t="s">
        <v>2983</v>
      </c>
      <c r="E205" t="s">
        <v>2984</v>
      </c>
      <c r="G205" t="s">
        <v>2224</v>
      </c>
      <c r="H205" t="s">
        <v>2225</v>
      </c>
      <c r="J205" t="s">
        <v>2226</v>
      </c>
      <c r="L205" t="s">
        <v>72</v>
      </c>
      <c r="M205" t="s">
        <v>73</v>
      </c>
      <c r="R205" t="s">
        <v>2985</v>
      </c>
      <c r="W205" t="s">
        <v>2986</v>
      </c>
      <c r="X205" t="s">
        <v>1239</v>
      </c>
      <c r="Y205" t="s">
        <v>91</v>
      </c>
      <c r="Z205" t="s">
        <v>74</v>
      </c>
      <c r="AA205" t="str">
        <f>"10032-3722"</f>
        <v>10032-3722</v>
      </c>
      <c r="AB205" t="s">
        <v>75</v>
      </c>
      <c r="AC205" t="s">
        <v>76</v>
      </c>
      <c r="AD205" t="s">
        <v>73</v>
      </c>
      <c r="AE205" t="s">
        <v>77</v>
      </c>
      <c r="AF205" t="s">
        <v>2228</v>
      </c>
      <c r="AG205" t="s">
        <v>78</v>
      </c>
    </row>
    <row r="206" spans="1:33" hidden="1" x14ac:dyDescent="0.25">
      <c r="A206" t="str">
        <f>"1669494746"</f>
        <v>1669494746</v>
      </c>
      <c r="B206" t="str">
        <f>"02784292"</f>
        <v>02784292</v>
      </c>
      <c r="C206" t="s">
        <v>2987</v>
      </c>
      <c r="D206" t="s">
        <v>2988</v>
      </c>
      <c r="E206" t="s">
        <v>2989</v>
      </c>
      <c r="G206" t="s">
        <v>2224</v>
      </c>
      <c r="H206" t="s">
        <v>2225</v>
      </c>
      <c r="J206" t="s">
        <v>2226</v>
      </c>
      <c r="L206" t="s">
        <v>72</v>
      </c>
      <c r="M206" t="s">
        <v>73</v>
      </c>
      <c r="R206" t="s">
        <v>2990</v>
      </c>
      <c r="W206" t="s">
        <v>2989</v>
      </c>
      <c r="X206" t="s">
        <v>167</v>
      </c>
      <c r="Y206" t="s">
        <v>91</v>
      </c>
      <c r="Z206" t="s">
        <v>74</v>
      </c>
      <c r="AA206" t="str">
        <f>"10032-3720"</f>
        <v>10032-3720</v>
      </c>
      <c r="AB206" t="s">
        <v>75</v>
      </c>
      <c r="AC206" t="s">
        <v>76</v>
      </c>
      <c r="AD206" t="s">
        <v>73</v>
      </c>
      <c r="AE206" t="s">
        <v>77</v>
      </c>
      <c r="AF206" t="s">
        <v>2254</v>
      </c>
      <c r="AG206" t="s">
        <v>78</v>
      </c>
    </row>
    <row r="207" spans="1:33" hidden="1" x14ac:dyDescent="0.25">
      <c r="A207" t="str">
        <f>"1669525697"</f>
        <v>1669525697</v>
      </c>
      <c r="B207" t="str">
        <f>"02193671"</f>
        <v>02193671</v>
      </c>
      <c r="C207" t="s">
        <v>2991</v>
      </c>
      <c r="D207" t="s">
        <v>2992</v>
      </c>
      <c r="E207" t="s">
        <v>2993</v>
      </c>
      <c r="G207" t="s">
        <v>2224</v>
      </c>
      <c r="H207" t="s">
        <v>2225</v>
      </c>
      <c r="J207" t="s">
        <v>2226</v>
      </c>
      <c r="L207" t="s">
        <v>72</v>
      </c>
      <c r="M207" t="s">
        <v>82</v>
      </c>
      <c r="R207" t="s">
        <v>2994</v>
      </c>
      <c r="W207" t="s">
        <v>2993</v>
      </c>
      <c r="X207" t="s">
        <v>2995</v>
      </c>
      <c r="Y207" t="s">
        <v>91</v>
      </c>
      <c r="Z207" t="s">
        <v>74</v>
      </c>
      <c r="AA207" t="str">
        <f>"10065-7471"</f>
        <v>10065-7471</v>
      </c>
      <c r="AB207" t="s">
        <v>75</v>
      </c>
      <c r="AC207" t="s">
        <v>76</v>
      </c>
      <c r="AD207" t="s">
        <v>73</v>
      </c>
      <c r="AE207" t="s">
        <v>77</v>
      </c>
      <c r="AF207" t="s">
        <v>2254</v>
      </c>
      <c r="AG207" t="s">
        <v>78</v>
      </c>
    </row>
    <row r="208" spans="1:33" hidden="1" x14ac:dyDescent="0.25">
      <c r="A208" t="str">
        <f>"1316194293"</f>
        <v>1316194293</v>
      </c>
      <c r="B208" t="str">
        <f>"03384250"</f>
        <v>03384250</v>
      </c>
      <c r="C208" t="s">
        <v>2996</v>
      </c>
      <c r="D208" t="s">
        <v>2997</v>
      </c>
      <c r="E208" t="s">
        <v>2998</v>
      </c>
      <c r="G208" t="s">
        <v>2224</v>
      </c>
      <c r="H208" t="s">
        <v>2225</v>
      </c>
      <c r="J208" t="s">
        <v>2226</v>
      </c>
      <c r="L208" t="s">
        <v>80</v>
      </c>
      <c r="M208" t="s">
        <v>73</v>
      </c>
      <c r="R208" t="s">
        <v>2999</v>
      </c>
      <c r="W208" t="s">
        <v>3000</v>
      </c>
      <c r="X208" t="s">
        <v>170</v>
      </c>
      <c r="Y208" t="s">
        <v>91</v>
      </c>
      <c r="Z208" t="s">
        <v>74</v>
      </c>
      <c r="AA208" t="str">
        <f>"10065-4870"</f>
        <v>10065-4870</v>
      </c>
      <c r="AB208" t="s">
        <v>75</v>
      </c>
      <c r="AC208" t="s">
        <v>76</v>
      </c>
      <c r="AD208" t="s">
        <v>73</v>
      </c>
      <c r="AE208" t="s">
        <v>77</v>
      </c>
      <c r="AF208" t="s">
        <v>2242</v>
      </c>
      <c r="AG208" t="s">
        <v>78</v>
      </c>
    </row>
    <row r="209" spans="1:33" hidden="1" x14ac:dyDescent="0.25">
      <c r="A209" t="str">
        <f>"1316264674"</f>
        <v>1316264674</v>
      </c>
      <c r="B209" t="str">
        <f>"04016428"</f>
        <v>04016428</v>
      </c>
      <c r="C209" t="s">
        <v>3001</v>
      </c>
      <c r="D209" t="s">
        <v>3002</v>
      </c>
      <c r="E209" t="s">
        <v>3003</v>
      </c>
      <c r="G209" t="s">
        <v>2224</v>
      </c>
      <c r="H209" t="s">
        <v>2225</v>
      </c>
      <c r="J209" t="s">
        <v>2226</v>
      </c>
      <c r="L209" t="s">
        <v>72</v>
      </c>
      <c r="M209" t="s">
        <v>73</v>
      </c>
      <c r="R209" t="s">
        <v>3004</v>
      </c>
      <c r="W209" t="s">
        <v>3003</v>
      </c>
      <c r="X209" t="s">
        <v>1397</v>
      </c>
      <c r="Y209" t="s">
        <v>91</v>
      </c>
      <c r="Z209" t="s">
        <v>74</v>
      </c>
      <c r="AA209" t="str">
        <f>"10032-3724"</f>
        <v>10032-3724</v>
      </c>
      <c r="AB209" t="s">
        <v>75</v>
      </c>
      <c r="AC209" t="s">
        <v>76</v>
      </c>
      <c r="AD209" t="s">
        <v>73</v>
      </c>
      <c r="AE209" t="s">
        <v>77</v>
      </c>
      <c r="AF209" t="s">
        <v>2228</v>
      </c>
      <c r="AG209" t="s">
        <v>78</v>
      </c>
    </row>
    <row r="210" spans="1:33" hidden="1" x14ac:dyDescent="0.25">
      <c r="A210" t="str">
        <f>"1043452659"</f>
        <v>1043452659</v>
      </c>
      <c r="B210" t="str">
        <f>"03239383"</f>
        <v>03239383</v>
      </c>
      <c r="C210" t="s">
        <v>3005</v>
      </c>
      <c r="D210" t="s">
        <v>3006</v>
      </c>
      <c r="E210" t="s">
        <v>3007</v>
      </c>
      <c r="L210" t="s">
        <v>80</v>
      </c>
      <c r="M210" t="s">
        <v>73</v>
      </c>
      <c r="R210" t="s">
        <v>3008</v>
      </c>
      <c r="W210" t="s">
        <v>3009</v>
      </c>
      <c r="X210" t="s">
        <v>170</v>
      </c>
      <c r="Y210" t="s">
        <v>91</v>
      </c>
      <c r="Z210" t="s">
        <v>74</v>
      </c>
      <c r="AA210" t="str">
        <f>"10065-4870"</f>
        <v>10065-4870</v>
      </c>
      <c r="AB210" t="s">
        <v>75</v>
      </c>
      <c r="AC210" t="s">
        <v>76</v>
      </c>
      <c r="AD210" t="s">
        <v>73</v>
      </c>
      <c r="AE210" t="s">
        <v>77</v>
      </c>
      <c r="AF210" t="s">
        <v>2242</v>
      </c>
      <c r="AG210" t="s">
        <v>78</v>
      </c>
    </row>
    <row r="211" spans="1:33" hidden="1" x14ac:dyDescent="0.25">
      <c r="A211" t="str">
        <f>"1508145269"</f>
        <v>1508145269</v>
      </c>
      <c r="B211" t="str">
        <f>"03923824"</f>
        <v>03923824</v>
      </c>
      <c r="C211" t="s">
        <v>3010</v>
      </c>
      <c r="D211" t="s">
        <v>3011</v>
      </c>
      <c r="E211" t="s">
        <v>3012</v>
      </c>
      <c r="L211" t="s">
        <v>72</v>
      </c>
      <c r="M211" t="s">
        <v>73</v>
      </c>
      <c r="R211" t="s">
        <v>3013</v>
      </c>
      <c r="W211" t="s">
        <v>3012</v>
      </c>
      <c r="X211" t="s">
        <v>167</v>
      </c>
      <c r="Y211" t="s">
        <v>91</v>
      </c>
      <c r="Z211" t="s">
        <v>74</v>
      </c>
      <c r="AA211" t="str">
        <f>"10032-3720"</f>
        <v>10032-3720</v>
      </c>
      <c r="AB211" t="s">
        <v>75</v>
      </c>
      <c r="AC211" t="s">
        <v>76</v>
      </c>
      <c r="AD211" t="s">
        <v>73</v>
      </c>
      <c r="AE211" t="s">
        <v>77</v>
      </c>
      <c r="AF211" t="s">
        <v>2228</v>
      </c>
      <c r="AG211" t="s">
        <v>78</v>
      </c>
    </row>
    <row r="212" spans="1:33" hidden="1" x14ac:dyDescent="0.25">
      <c r="A212" t="str">
        <f>"1437332004"</f>
        <v>1437332004</v>
      </c>
      <c r="B212" t="str">
        <f>"02947542"</f>
        <v>02947542</v>
      </c>
      <c r="C212" t="s">
        <v>3014</v>
      </c>
      <c r="D212" t="s">
        <v>3015</v>
      </c>
      <c r="E212" t="s">
        <v>3016</v>
      </c>
      <c r="L212" t="s">
        <v>72</v>
      </c>
      <c r="M212" t="s">
        <v>73</v>
      </c>
      <c r="R212" t="s">
        <v>3017</v>
      </c>
      <c r="W212" t="s">
        <v>3016</v>
      </c>
      <c r="X212" t="s">
        <v>167</v>
      </c>
      <c r="Y212" t="s">
        <v>91</v>
      </c>
      <c r="Z212" t="s">
        <v>74</v>
      </c>
      <c r="AA212" t="str">
        <f>"10032-3720"</f>
        <v>10032-3720</v>
      </c>
      <c r="AB212" t="s">
        <v>75</v>
      </c>
      <c r="AC212" t="s">
        <v>76</v>
      </c>
      <c r="AD212" t="s">
        <v>73</v>
      </c>
      <c r="AE212" t="s">
        <v>77</v>
      </c>
      <c r="AF212" t="s">
        <v>2228</v>
      </c>
      <c r="AG212" t="s">
        <v>78</v>
      </c>
    </row>
    <row r="213" spans="1:33" hidden="1" x14ac:dyDescent="0.25">
      <c r="A213" t="str">
        <f>"1699984385"</f>
        <v>1699984385</v>
      </c>
      <c r="C213" t="s">
        <v>3018</v>
      </c>
      <c r="G213" t="s">
        <v>2224</v>
      </c>
      <c r="H213" t="s">
        <v>2312</v>
      </c>
      <c r="J213" t="s">
        <v>2226</v>
      </c>
      <c r="K213" t="s">
        <v>171</v>
      </c>
      <c r="L213" t="s">
        <v>72</v>
      </c>
      <c r="M213" t="s">
        <v>73</v>
      </c>
      <c r="R213" t="s">
        <v>1686</v>
      </c>
      <c r="S213" t="s">
        <v>167</v>
      </c>
      <c r="T213" t="s">
        <v>91</v>
      </c>
      <c r="U213" t="s">
        <v>74</v>
      </c>
      <c r="V213" t="str">
        <f>"100323720"</f>
        <v>100323720</v>
      </c>
      <c r="AC213" t="s">
        <v>76</v>
      </c>
      <c r="AD213" t="s">
        <v>73</v>
      </c>
      <c r="AE213" t="s">
        <v>97</v>
      </c>
      <c r="AF213" t="s">
        <v>2228</v>
      </c>
      <c r="AG213" t="s">
        <v>78</v>
      </c>
    </row>
    <row r="214" spans="1:33" hidden="1" x14ac:dyDescent="0.25">
      <c r="A214" t="str">
        <f>"1467484394"</f>
        <v>1467484394</v>
      </c>
      <c r="B214" t="str">
        <f>"02007454"</f>
        <v>02007454</v>
      </c>
      <c r="C214" t="s">
        <v>3019</v>
      </c>
      <c r="D214" t="s">
        <v>3020</v>
      </c>
      <c r="E214" t="s">
        <v>3021</v>
      </c>
      <c r="L214" t="s">
        <v>80</v>
      </c>
      <c r="M214" t="s">
        <v>73</v>
      </c>
      <c r="R214" t="s">
        <v>3022</v>
      </c>
      <c r="W214" t="s">
        <v>3021</v>
      </c>
      <c r="X214" t="s">
        <v>559</v>
      </c>
      <c r="Y214" t="s">
        <v>91</v>
      </c>
      <c r="Z214" t="s">
        <v>74</v>
      </c>
      <c r="AA214" t="str">
        <f>"10032-3720"</f>
        <v>10032-3720</v>
      </c>
      <c r="AB214" t="s">
        <v>75</v>
      </c>
      <c r="AC214" t="s">
        <v>76</v>
      </c>
      <c r="AD214" t="s">
        <v>73</v>
      </c>
      <c r="AE214" t="s">
        <v>77</v>
      </c>
      <c r="AF214" t="s">
        <v>2228</v>
      </c>
      <c r="AG214" t="s">
        <v>78</v>
      </c>
    </row>
    <row r="215" spans="1:33" hidden="1" x14ac:dyDescent="0.25">
      <c r="A215" t="str">
        <f>"1033233564"</f>
        <v>1033233564</v>
      </c>
      <c r="C215" t="s">
        <v>3023</v>
      </c>
      <c r="G215" t="s">
        <v>2224</v>
      </c>
      <c r="H215" t="s">
        <v>2312</v>
      </c>
      <c r="J215" t="s">
        <v>2226</v>
      </c>
      <c r="K215" t="s">
        <v>171</v>
      </c>
      <c r="L215" t="s">
        <v>72</v>
      </c>
      <c r="M215" t="s">
        <v>73</v>
      </c>
      <c r="R215" t="s">
        <v>3024</v>
      </c>
      <c r="S215" t="s">
        <v>167</v>
      </c>
      <c r="T215" t="s">
        <v>91</v>
      </c>
      <c r="U215" t="s">
        <v>74</v>
      </c>
      <c r="V215" t="str">
        <f>"100323720"</f>
        <v>100323720</v>
      </c>
      <c r="AC215" t="s">
        <v>76</v>
      </c>
      <c r="AD215" t="s">
        <v>73</v>
      </c>
      <c r="AE215" t="s">
        <v>97</v>
      </c>
      <c r="AF215" t="s">
        <v>2228</v>
      </c>
      <c r="AG215" t="s">
        <v>78</v>
      </c>
    </row>
    <row r="216" spans="1:33" hidden="1" x14ac:dyDescent="0.25">
      <c r="A216" t="str">
        <f>"1871699637"</f>
        <v>1871699637</v>
      </c>
      <c r="B216" t="str">
        <f>"02040742"</f>
        <v>02040742</v>
      </c>
      <c r="C216" t="s">
        <v>3025</v>
      </c>
      <c r="D216" t="s">
        <v>3026</v>
      </c>
      <c r="E216" t="s">
        <v>3027</v>
      </c>
      <c r="L216" t="s">
        <v>80</v>
      </c>
      <c r="M216" t="s">
        <v>73</v>
      </c>
      <c r="R216" t="s">
        <v>3028</v>
      </c>
      <c r="W216" t="s">
        <v>3027</v>
      </c>
      <c r="Y216" t="s">
        <v>91</v>
      </c>
      <c r="Z216" t="s">
        <v>74</v>
      </c>
      <c r="AA216" t="str">
        <f>"10032-3720"</f>
        <v>10032-3720</v>
      </c>
      <c r="AB216" t="s">
        <v>75</v>
      </c>
      <c r="AC216" t="s">
        <v>76</v>
      </c>
      <c r="AD216" t="s">
        <v>73</v>
      </c>
      <c r="AE216" t="s">
        <v>77</v>
      </c>
      <c r="AF216" t="s">
        <v>2228</v>
      </c>
      <c r="AG216" t="s">
        <v>78</v>
      </c>
    </row>
    <row r="217" spans="1:33" hidden="1" x14ac:dyDescent="0.25">
      <c r="A217" t="str">
        <f>"1205129814"</f>
        <v>1205129814</v>
      </c>
      <c r="B217" t="str">
        <f>"03374527"</f>
        <v>03374527</v>
      </c>
      <c r="C217" t="s">
        <v>993</v>
      </c>
      <c r="D217" t="s">
        <v>994</v>
      </c>
      <c r="E217" t="s">
        <v>995</v>
      </c>
      <c r="G217" t="s">
        <v>2384</v>
      </c>
      <c r="H217" t="s">
        <v>987</v>
      </c>
      <c r="J217" t="s">
        <v>934</v>
      </c>
      <c r="L217" t="s">
        <v>120</v>
      </c>
      <c r="M217" t="s">
        <v>82</v>
      </c>
      <c r="R217" t="s">
        <v>997</v>
      </c>
      <c r="W217" t="s">
        <v>995</v>
      </c>
      <c r="X217" t="s">
        <v>998</v>
      </c>
      <c r="Y217" t="s">
        <v>162</v>
      </c>
      <c r="Z217" t="s">
        <v>74</v>
      </c>
      <c r="AA217" t="str">
        <f>"11101-4001"</f>
        <v>11101-4001</v>
      </c>
      <c r="AB217" t="s">
        <v>75</v>
      </c>
      <c r="AC217" t="s">
        <v>76</v>
      </c>
      <c r="AD217" t="s">
        <v>73</v>
      </c>
      <c r="AE217" t="s">
        <v>77</v>
      </c>
      <c r="AF217" t="s">
        <v>2385</v>
      </c>
      <c r="AG217" t="s">
        <v>78</v>
      </c>
    </row>
    <row r="218" spans="1:33" hidden="1" x14ac:dyDescent="0.25">
      <c r="A218" t="str">
        <f>"1285822056"</f>
        <v>1285822056</v>
      </c>
      <c r="B218" t="str">
        <f>"03355180"</f>
        <v>03355180</v>
      </c>
      <c r="C218" t="s">
        <v>3029</v>
      </c>
      <c r="D218" t="s">
        <v>999</v>
      </c>
      <c r="E218" t="s">
        <v>1000</v>
      </c>
      <c r="G218" t="s">
        <v>2384</v>
      </c>
      <c r="H218" t="s">
        <v>991</v>
      </c>
      <c r="J218" t="s">
        <v>934</v>
      </c>
      <c r="L218" t="s">
        <v>129</v>
      </c>
      <c r="M218" t="s">
        <v>82</v>
      </c>
      <c r="R218" t="s">
        <v>1002</v>
      </c>
      <c r="W218" t="s">
        <v>1000</v>
      </c>
      <c r="X218" t="s">
        <v>1003</v>
      </c>
      <c r="Y218" t="s">
        <v>84</v>
      </c>
      <c r="Z218" t="s">
        <v>74</v>
      </c>
      <c r="AA218" t="str">
        <f>"10014-1200"</f>
        <v>10014-1200</v>
      </c>
      <c r="AB218" t="s">
        <v>75</v>
      </c>
      <c r="AC218" t="s">
        <v>76</v>
      </c>
      <c r="AD218" t="s">
        <v>73</v>
      </c>
      <c r="AE218" t="s">
        <v>77</v>
      </c>
      <c r="AF218" t="s">
        <v>2385</v>
      </c>
      <c r="AG218" t="s">
        <v>78</v>
      </c>
    </row>
    <row r="219" spans="1:33" hidden="1" x14ac:dyDescent="0.25">
      <c r="A219" t="str">
        <f>"1861813636"</f>
        <v>1861813636</v>
      </c>
      <c r="B219" t="str">
        <f>"03853849"</f>
        <v>03853849</v>
      </c>
      <c r="C219" t="s">
        <v>1004</v>
      </c>
      <c r="D219" t="s">
        <v>1005</v>
      </c>
      <c r="E219" t="s">
        <v>1006</v>
      </c>
      <c r="G219" t="s">
        <v>2384</v>
      </c>
      <c r="H219" t="s">
        <v>996</v>
      </c>
      <c r="J219" t="s">
        <v>934</v>
      </c>
      <c r="L219" t="s">
        <v>100</v>
      </c>
      <c r="M219" t="s">
        <v>73</v>
      </c>
      <c r="R219" t="s">
        <v>1008</v>
      </c>
      <c r="W219" t="s">
        <v>1006</v>
      </c>
      <c r="X219" t="s">
        <v>1009</v>
      </c>
      <c r="Y219" t="s">
        <v>91</v>
      </c>
      <c r="Z219" t="s">
        <v>74</v>
      </c>
      <c r="AA219" t="str">
        <f>"10029"</f>
        <v>10029</v>
      </c>
      <c r="AB219" t="s">
        <v>106</v>
      </c>
      <c r="AC219" t="s">
        <v>76</v>
      </c>
      <c r="AD219" t="s">
        <v>73</v>
      </c>
      <c r="AE219" t="s">
        <v>77</v>
      </c>
      <c r="AF219" t="s">
        <v>2385</v>
      </c>
      <c r="AG219" t="s">
        <v>78</v>
      </c>
    </row>
    <row r="220" spans="1:33" hidden="1" x14ac:dyDescent="0.25">
      <c r="A220" t="str">
        <f>"1730507690"</f>
        <v>1730507690</v>
      </c>
      <c r="C220" t="s">
        <v>3030</v>
      </c>
      <c r="G220" t="s">
        <v>2224</v>
      </c>
      <c r="H220" t="s">
        <v>2312</v>
      </c>
      <c r="J220" t="s">
        <v>2226</v>
      </c>
      <c r="K220" t="s">
        <v>171</v>
      </c>
      <c r="L220" t="s">
        <v>96</v>
      </c>
      <c r="M220" t="s">
        <v>73</v>
      </c>
      <c r="R220" t="s">
        <v>3031</v>
      </c>
      <c r="S220" t="s">
        <v>3032</v>
      </c>
      <c r="T220" t="s">
        <v>91</v>
      </c>
      <c r="U220" t="s">
        <v>74</v>
      </c>
      <c r="V220" t="str">
        <f>"100654870"</f>
        <v>100654870</v>
      </c>
      <c r="AC220" t="s">
        <v>76</v>
      </c>
      <c r="AD220" t="s">
        <v>73</v>
      </c>
      <c r="AE220" t="s">
        <v>97</v>
      </c>
      <c r="AF220" t="s">
        <v>2242</v>
      </c>
      <c r="AG220" t="s">
        <v>78</v>
      </c>
    </row>
    <row r="221" spans="1:33" hidden="1" x14ac:dyDescent="0.25">
      <c r="A221" t="str">
        <f>"1063754497"</f>
        <v>1063754497</v>
      </c>
      <c r="C221" t="s">
        <v>3033</v>
      </c>
      <c r="G221" t="s">
        <v>2224</v>
      </c>
      <c r="H221" t="s">
        <v>2312</v>
      </c>
      <c r="J221" t="s">
        <v>2226</v>
      </c>
      <c r="K221" t="s">
        <v>171</v>
      </c>
      <c r="L221" t="s">
        <v>96</v>
      </c>
      <c r="M221" t="s">
        <v>73</v>
      </c>
      <c r="R221" t="s">
        <v>3034</v>
      </c>
      <c r="S221" t="s">
        <v>3035</v>
      </c>
      <c r="T221" t="s">
        <v>552</v>
      </c>
      <c r="U221" t="s">
        <v>74</v>
      </c>
      <c r="V221" t="str">
        <f>"117252410"</f>
        <v>117252410</v>
      </c>
      <c r="AC221" t="s">
        <v>76</v>
      </c>
      <c r="AD221" t="s">
        <v>73</v>
      </c>
      <c r="AE221" t="s">
        <v>97</v>
      </c>
      <c r="AF221" t="s">
        <v>2242</v>
      </c>
      <c r="AG221" t="s">
        <v>78</v>
      </c>
    </row>
    <row r="222" spans="1:33" hidden="1" x14ac:dyDescent="0.25">
      <c r="A222" t="str">
        <f>"1619312642"</f>
        <v>1619312642</v>
      </c>
      <c r="C222" t="s">
        <v>3036</v>
      </c>
      <c r="G222" t="s">
        <v>2224</v>
      </c>
      <c r="H222" t="s">
        <v>2312</v>
      </c>
      <c r="J222" t="s">
        <v>2226</v>
      </c>
      <c r="K222" t="s">
        <v>171</v>
      </c>
      <c r="L222" t="s">
        <v>96</v>
      </c>
      <c r="M222" t="s">
        <v>73</v>
      </c>
      <c r="R222" t="s">
        <v>3037</v>
      </c>
      <c r="S222" t="s">
        <v>170</v>
      </c>
      <c r="T222" t="s">
        <v>91</v>
      </c>
      <c r="U222" t="s">
        <v>74</v>
      </c>
      <c r="V222" t="str">
        <f>"100654870"</f>
        <v>100654870</v>
      </c>
      <c r="AC222" t="s">
        <v>76</v>
      </c>
      <c r="AD222" t="s">
        <v>73</v>
      </c>
      <c r="AE222" t="s">
        <v>97</v>
      </c>
      <c r="AF222" t="s">
        <v>2242</v>
      </c>
      <c r="AG222" t="s">
        <v>78</v>
      </c>
    </row>
    <row r="223" spans="1:33" hidden="1" x14ac:dyDescent="0.25">
      <c r="A223" t="str">
        <f>"1497011233"</f>
        <v>1497011233</v>
      </c>
      <c r="C223" t="s">
        <v>3038</v>
      </c>
      <c r="G223" t="s">
        <v>2224</v>
      </c>
      <c r="H223" t="s">
        <v>2312</v>
      </c>
      <c r="J223" t="s">
        <v>2226</v>
      </c>
      <c r="K223" t="s">
        <v>171</v>
      </c>
      <c r="L223" t="s">
        <v>96</v>
      </c>
      <c r="M223" t="s">
        <v>73</v>
      </c>
      <c r="R223" t="s">
        <v>3039</v>
      </c>
      <c r="S223" t="s">
        <v>3032</v>
      </c>
      <c r="T223" t="s">
        <v>91</v>
      </c>
      <c r="U223" t="s">
        <v>74</v>
      </c>
      <c r="V223" t="str">
        <f>"100654870"</f>
        <v>100654870</v>
      </c>
      <c r="AC223" t="s">
        <v>76</v>
      </c>
      <c r="AD223" t="s">
        <v>73</v>
      </c>
      <c r="AE223" t="s">
        <v>97</v>
      </c>
      <c r="AF223" t="s">
        <v>2242</v>
      </c>
      <c r="AG223" t="s">
        <v>78</v>
      </c>
    </row>
    <row r="224" spans="1:33" hidden="1" x14ac:dyDescent="0.25">
      <c r="A224" t="str">
        <f>"1235495680"</f>
        <v>1235495680</v>
      </c>
      <c r="C224" t="s">
        <v>3040</v>
      </c>
      <c r="G224" t="s">
        <v>2224</v>
      </c>
      <c r="H224" t="s">
        <v>2312</v>
      </c>
      <c r="J224" t="s">
        <v>2226</v>
      </c>
      <c r="K224" t="s">
        <v>171</v>
      </c>
      <c r="L224" t="s">
        <v>96</v>
      </c>
      <c r="M224" t="s">
        <v>73</v>
      </c>
      <c r="R224" t="s">
        <v>3041</v>
      </c>
      <c r="S224" t="s">
        <v>170</v>
      </c>
      <c r="T224" t="s">
        <v>91</v>
      </c>
      <c r="U224" t="s">
        <v>74</v>
      </c>
      <c r="V224" t="str">
        <f>"100654870"</f>
        <v>100654870</v>
      </c>
      <c r="AC224" t="s">
        <v>76</v>
      </c>
      <c r="AD224" t="s">
        <v>73</v>
      </c>
      <c r="AE224" t="s">
        <v>97</v>
      </c>
      <c r="AF224" t="s">
        <v>2242</v>
      </c>
      <c r="AG224" t="s">
        <v>78</v>
      </c>
    </row>
    <row r="225" spans="1:33" hidden="1" x14ac:dyDescent="0.25">
      <c r="A225" t="str">
        <f>"1578820528"</f>
        <v>1578820528</v>
      </c>
      <c r="C225" t="s">
        <v>3042</v>
      </c>
      <c r="G225" t="s">
        <v>2224</v>
      </c>
      <c r="H225" t="s">
        <v>2312</v>
      </c>
      <c r="J225" t="s">
        <v>2226</v>
      </c>
      <c r="K225" t="s">
        <v>171</v>
      </c>
      <c r="L225" t="s">
        <v>96</v>
      </c>
      <c r="M225" t="s">
        <v>73</v>
      </c>
      <c r="R225" t="s">
        <v>3043</v>
      </c>
      <c r="S225" t="s">
        <v>2314</v>
      </c>
      <c r="T225" t="s">
        <v>91</v>
      </c>
      <c r="U225" t="s">
        <v>74</v>
      </c>
      <c r="V225" t="str">
        <f>"100654870"</f>
        <v>100654870</v>
      </c>
      <c r="AC225" t="s">
        <v>76</v>
      </c>
      <c r="AD225" t="s">
        <v>73</v>
      </c>
      <c r="AE225" t="s">
        <v>97</v>
      </c>
      <c r="AF225" t="s">
        <v>2242</v>
      </c>
      <c r="AG225" t="s">
        <v>78</v>
      </c>
    </row>
    <row r="226" spans="1:33" hidden="1" x14ac:dyDescent="0.25">
      <c r="A226" t="str">
        <f>"1518378710"</f>
        <v>1518378710</v>
      </c>
      <c r="C226" t="s">
        <v>3044</v>
      </c>
      <c r="G226" t="s">
        <v>2224</v>
      </c>
      <c r="H226" t="s">
        <v>2312</v>
      </c>
      <c r="J226" t="s">
        <v>2226</v>
      </c>
      <c r="K226" t="s">
        <v>171</v>
      </c>
      <c r="L226" t="s">
        <v>96</v>
      </c>
      <c r="M226" t="s">
        <v>73</v>
      </c>
      <c r="R226" t="s">
        <v>3045</v>
      </c>
      <c r="S226" t="s">
        <v>3046</v>
      </c>
      <c r="T226" t="s">
        <v>91</v>
      </c>
      <c r="U226" t="s">
        <v>74</v>
      </c>
      <c r="V226" t="str">
        <f>"100654870"</f>
        <v>100654870</v>
      </c>
      <c r="AC226" t="s">
        <v>76</v>
      </c>
      <c r="AD226" t="s">
        <v>73</v>
      </c>
      <c r="AE226" t="s">
        <v>97</v>
      </c>
      <c r="AF226" t="s">
        <v>2242</v>
      </c>
      <c r="AG226" t="s">
        <v>78</v>
      </c>
    </row>
    <row r="227" spans="1:33" hidden="1" x14ac:dyDescent="0.25">
      <c r="A227" t="str">
        <f>"1609119247"</f>
        <v>1609119247</v>
      </c>
      <c r="C227" t="s">
        <v>3047</v>
      </c>
      <c r="G227" t="s">
        <v>2224</v>
      </c>
      <c r="H227" t="s">
        <v>2312</v>
      </c>
      <c r="J227" t="s">
        <v>2226</v>
      </c>
      <c r="K227" t="s">
        <v>171</v>
      </c>
      <c r="L227" t="s">
        <v>96</v>
      </c>
      <c r="M227" t="s">
        <v>73</v>
      </c>
      <c r="R227" t="s">
        <v>3048</v>
      </c>
      <c r="S227" t="s">
        <v>3049</v>
      </c>
      <c r="T227" t="s">
        <v>91</v>
      </c>
      <c r="U227" t="s">
        <v>74</v>
      </c>
      <c r="V227" t="str">
        <f>"100215320"</f>
        <v>100215320</v>
      </c>
      <c r="AC227" t="s">
        <v>76</v>
      </c>
      <c r="AD227" t="s">
        <v>73</v>
      </c>
      <c r="AE227" t="s">
        <v>97</v>
      </c>
      <c r="AF227" t="s">
        <v>2242</v>
      </c>
      <c r="AG227" t="s">
        <v>78</v>
      </c>
    </row>
    <row r="228" spans="1:33" hidden="1" x14ac:dyDescent="0.25">
      <c r="A228" t="str">
        <f>"1144317223"</f>
        <v>1144317223</v>
      </c>
      <c r="B228" t="str">
        <f>"01591708"</f>
        <v>01591708</v>
      </c>
      <c r="C228" t="s">
        <v>3050</v>
      </c>
      <c r="D228" t="s">
        <v>3051</v>
      </c>
      <c r="E228" t="s">
        <v>3052</v>
      </c>
      <c r="L228" t="s">
        <v>72</v>
      </c>
      <c r="M228" t="s">
        <v>73</v>
      </c>
      <c r="R228" t="s">
        <v>3053</v>
      </c>
      <c r="W228" t="s">
        <v>3052</v>
      </c>
      <c r="X228" t="s">
        <v>3054</v>
      </c>
      <c r="Y228" t="s">
        <v>91</v>
      </c>
      <c r="Z228" t="s">
        <v>74</v>
      </c>
      <c r="AA228" t="str">
        <f>"10065-4870"</f>
        <v>10065-4870</v>
      </c>
      <c r="AB228" t="s">
        <v>75</v>
      </c>
      <c r="AC228" t="s">
        <v>76</v>
      </c>
      <c r="AD228" t="s">
        <v>73</v>
      </c>
      <c r="AE228" t="s">
        <v>77</v>
      </c>
      <c r="AF228" t="s">
        <v>2242</v>
      </c>
      <c r="AG228" t="s">
        <v>78</v>
      </c>
    </row>
    <row r="229" spans="1:33" hidden="1" x14ac:dyDescent="0.25">
      <c r="A229" t="str">
        <f>"1700898707"</f>
        <v>1700898707</v>
      </c>
      <c r="B229" t="str">
        <f>"00896680"</f>
        <v>00896680</v>
      </c>
      <c r="C229" t="s">
        <v>3055</v>
      </c>
      <c r="D229" t="s">
        <v>3056</v>
      </c>
      <c r="E229" t="s">
        <v>3057</v>
      </c>
      <c r="L229" t="s">
        <v>80</v>
      </c>
      <c r="M229" t="s">
        <v>73</v>
      </c>
      <c r="R229" t="s">
        <v>3058</v>
      </c>
      <c r="W229" t="s">
        <v>3057</v>
      </c>
      <c r="X229" t="s">
        <v>1133</v>
      </c>
      <c r="Y229" t="s">
        <v>91</v>
      </c>
      <c r="Z229" t="s">
        <v>74</v>
      </c>
      <c r="AA229" t="str">
        <f>"10065-4885"</f>
        <v>10065-4885</v>
      </c>
      <c r="AB229" t="s">
        <v>75</v>
      </c>
      <c r="AC229" t="s">
        <v>76</v>
      </c>
      <c r="AD229" t="s">
        <v>73</v>
      </c>
      <c r="AE229" t="s">
        <v>77</v>
      </c>
      <c r="AF229" t="s">
        <v>2242</v>
      </c>
      <c r="AG229" t="s">
        <v>78</v>
      </c>
    </row>
    <row r="230" spans="1:33" hidden="1" x14ac:dyDescent="0.25">
      <c r="A230" t="str">
        <f>"1346483864"</f>
        <v>1346483864</v>
      </c>
      <c r="B230" t="str">
        <f>"04010500"</f>
        <v>04010500</v>
      </c>
      <c r="C230" t="s">
        <v>3059</v>
      </c>
      <c r="D230" t="s">
        <v>3060</v>
      </c>
      <c r="E230" t="s">
        <v>3061</v>
      </c>
      <c r="G230" t="s">
        <v>2224</v>
      </c>
      <c r="H230" t="s">
        <v>2312</v>
      </c>
      <c r="J230" t="s">
        <v>2226</v>
      </c>
      <c r="L230" t="s">
        <v>72</v>
      </c>
      <c r="M230" t="s">
        <v>73</v>
      </c>
      <c r="R230" t="s">
        <v>3062</v>
      </c>
      <c r="W230" t="s">
        <v>3061</v>
      </c>
      <c r="X230" t="s">
        <v>170</v>
      </c>
      <c r="Y230" t="s">
        <v>91</v>
      </c>
      <c r="Z230" t="s">
        <v>74</v>
      </c>
      <c r="AA230" t="str">
        <f>"10065-4870"</f>
        <v>10065-4870</v>
      </c>
      <c r="AB230" t="s">
        <v>75</v>
      </c>
      <c r="AC230" t="s">
        <v>76</v>
      </c>
      <c r="AD230" t="s">
        <v>73</v>
      </c>
      <c r="AE230" t="s">
        <v>77</v>
      </c>
      <c r="AF230" t="s">
        <v>2242</v>
      </c>
      <c r="AG230" t="s">
        <v>78</v>
      </c>
    </row>
    <row r="231" spans="1:33" hidden="1" x14ac:dyDescent="0.25">
      <c r="A231" t="str">
        <f>"1023041795"</f>
        <v>1023041795</v>
      </c>
      <c r="B231" t="str">
        <f>"02383475"</f>
        <v>02383475</v>
      </c>
      <c r="C231" t="s">
        <v>1903</v>
      </c>
      <c r="D231" t="s">
        <v>1340</v>
      </c>
      <c r="E231" t="s">
        <v>1341</v>
      </c>
      <c r="G231" t="s">
        <v>2260</v>
      </c>
      <c r="H231" t="s">
        <v>3063</v>
      </c>
      <c r="J231" t="s">
        <v>1512</v>
      </c>
      <c r="L231" t="s">
        <v>80</v>
      </c>
      <c r="M231" t="s">
        <v>73</v>
      </c>
      <c r="R231" t="s">
        <v>1342</v>
      </c>
      <c r="W231" t="s">
        <v>1341</v>
      </c>
      <c r="X231" t="s">
        <v>397</v>
      </c>
      <c r="Y231" t="s">
        <v>91</v>
      </c>
      <c r="Z231" t="s">
        <v>74</v>
      </c>
      <c r="AA231" t="str">
        <f>"10029-4413"</f>
        <v>10029-4413</v>
      </c>
      <c r="AB231" t="s">
        <v>75</v>
      </c>
      <c r="AC231" t="s">
        <v>76</v>
      </c>
      <c r="AD231" t="s">
        <v>73</v>
      </c>
      <c r="AE231" t="s">
        <v>77</v>
      </c>
      <c r="AF231" t="s">
        <v>2254</v>
      </c>
      <c r="AG231" t="s">
        <v>78</v>
      </c>
    </row>
    <row r="232" spans="1:33" hidden="1" x14ac:dyDescent="0.25">
      <c r="A232" t="str">
        <f>"1386731461"</f>
        <v>1386731461</v>
      </c>
      <c r="B232" t="str">
        <f>"00543022"</f>
        <v>00543022</v>
      </c>
      <c r="C232" t="s">
        <v>3064</v>
      </c>
      <c r="D232" t="s">
        <v>3065</v>
      </c>
      <c r="E232" t="s">
        <v>3066</v>
      </c>
      <c r="G232" t="s">
        <v>2224</v>
      </c>
      <c r="H232" t="s">
        <v>2225</v>
      </c>
      <c r="J232" t="s">
        <v>2226</v>
      </c>
      <c r="L232" t="s">
        <v>80</v>
      </c>
      <c r="M232" t="s">
        <v>73</v>
      </c>
      <c r="R232" t="s">
        <v>3067</v>
      </c>
      <c r="W232" t="s">
        <v>3066</v>
      </c>
      <c r="X232" t="s">
        <v>3068</v>
      </c>
      <c r="Y232" t="s">
        <v>91</v>
      </c>
      <c r="Z232" t="s">
        <v>74</v>
      </c>
      <c r="AA232" t="str">
        <f>"10065-4897"</f>
        <v>10065-4897</v>
      </c>
      <c r="AB232" t="s">
        <v>75</v>
      </c>
      <c r="AC232" t="s">
        <v>76</v>
      </c>
      <c r="AD232" t="s">
        <v>73</v>
      </c>
      <c r="AE232" t="s">
        <v>77</v>
      </c>
      <c r="AF232" t="s">
        <v>2398</v>
      </c>
      <c r="AG232" t="s">
        <v>78</v>
      </c>
    </row>
    <row r="233" spans="1:33" hidden="1" x14ac:dyDescent="0.25">
      <c r="A233" t="str">
        <f>"1609842921"</f>
        <v>1609842921</v>
      </c>
      <c r="B233" t="str">
        <f>"01351573"</f>
        <v>01351573</v>
      </c>
      <c r="C233" t="s">
        <v>3069</v>
      </c>
      <c r="D233" t="s">
        <v>3070</v>
      </c>
      <c r="E233" t="s">
        <v>3071</v>
      </c>
      <c r="G233" t="s">
        <v>2224</v>
      </c>
      <c r="H233" t="s">
        <v>2225</v>
      </c>
      <c r="J233" t="s">
        <v>2226</v>
      </c>
      <c r="L233" t="s">
        <v>81</v>
      </c>
      <c r="M233" t="s">
        <v>82</v>
      </c>
      <c r="R233" t="s">
        <v>3072</v>
      </c>
      <c r="W233" t="s">
        <v>3071</v>
      </c>
      <c r="X233" t="s">
        <v>3073</v>
      </c>
      <c r="Y233" t="s">
        <v>91</v>
      </c>
      <c r="Z233" t="s">
        <v>74</v>
      </c>
      <c r="AA233" t="str">
        <f>"10029-2314"</f>
        <v>10029-2314</v>
      </c>
      <c r="AB233" t="s">
        <v>75</v>
      </c>
      <c r="AC233" t="s">
        <v>76</v>
      </c>
      <c r="AD233" t="s">
        <v>73</v>
      </c>
      <c r="AE233" t="s">
        <v>77</v>
      </c>
      <c r="AF233" t="s">
        <v>2254</v>
      </c>
      <c r="AG233" t="s">
        <v>78</v>
      </c>
    </row>
    <row r="234" spans="1:33" hidden="1" x14ac:dyDescent="0.25">
      <c r="A234" t="str">
        <f>"1700167665"</f>
        <v>1700167665</v>
      </c>
      <c r="C234" t="s">
        <v>3074</v>
      </c>
      <c r="G234" t="s">
        <v>2260</v>
      </c>
      <c r="H234" t="s">
        <v>3075</v>
      </c>
      <c r="J234" t="s">
        <v>1512</v>
      </c>
      <c r="K234" t="s">
        <v>507</v>
      </c>
      <c r="L234" t="s">
        <v>96</v>
      </c>
      <c r="M234" t="s">
        <v>73</v>
      </c>
      <c r="R234" t="s">
        <v>1608</v>
      </c>
      <c r="S234" t="s">
        <v>630</v>
      </c>
      <c r="T234" t="s">
        <v>91</v>
      </c>
      <c r="U234" t="s">
        <v>74</v>
      </c>
      <c r="V234" t="str">
        <f>"100242298"</f>
        <v>100242298</v>
      </c>
      <c r="AC234" t="s">
        <v>76</v>
      </c>
      <c r="AD234" t="s">
        <v>73</v>
      </c>
      <c r="AE234" t="s">
        <v>97</v>
      </c>
      <c r="AF234" t="s">
        <v>2254</v>
      </c>
      <c r="AG234" t="s">
        <v>78</v>
      </c>
    </row>
    <row r="235" spans="1:33" hidden="1" x14ac:dyDescent="0.25">
      <c r="A235" t="str">
        <f>"1427318948"</f>
        <v>1427318948</v>
      </c>
      <c r="C235" t="s">
        <v>3076</v>
      </c>
      <c r="G235" t="s">
        <v>2224</v>
      </c>
      <c r="H235" t="s">
        <v>2312</v>
      </c>
      <c r="J235" t="s">
        <v>2226</v>
      </c>
      <c r="K235" t="s">
        <v>171</v>
      </c>
      <c r="L235" t="s">
        <v>96</v>
      </c>
      <c r="M235" t="s">
        <v>73</v>
      </c>
      <c r="R235" t="s">
        <v>1196</v>
      </c>
      <c r="S235" t="s">
        <v>1197</v>
      </c>
      <c r="T235" t="s">
        <v>91</v>
      </c>
      <c r="U235" t="s">
        <v>74</v>
      </c>
      <c r="V235" t="str">
        <f>"100654870"</f>
        <v>100654870</v>
      </c>
      <c r="AC235" t="s">
        <v>76</v>
      </c>
      <c r="AD235" t="s">
        <v>73</v>
      </c>
      <c r="AE235" t="s">
        <v>97</v>
      </c>
      <c r="AF235" t="s">
        <v>2242</v>
      </c>
      <c r="AG235" t="s">
        <v>78</v>
      </c>
    </row>
    <row r="236" spans="1:33" hidden="1" x14ac:dyDescent="0.25">
      <c r="A236" t="str">
        <f>"1851640007"</f>
        <v>1851640007</v>
      </c>
      <c r="C236" t="s">
        <v>3077</v>
      </c>
      <c r="G236" t="s">
        <v>2224</v>
      </c>
      <c r="H236" t="s">
        <v>2312</v>
      </c>
      <c r="J236" t="s">
        <v>2226</v>
      </c>
      <c r="K236" t="s">
        <v>171</v>
      </c>
      <c r="L236" t="s">
        <v>72</v>
      </c>
      <c r="M236" t="s">
        <v>73</v>
      </c>
      <c r="R236" t="s">
        <v>3078</v>
      </c>
      <c r="S236" t="s">
        <v>170</v>
      </c>
      <c r="T236" t="s">
        <v>91</v>
      </c>
      <c r="U236" t="s">
        <v>74</v>
      </c>
      <c r="V236" t="str">
        <f>"100654870"</f>
        <v>100654870</v>
      </c>
      <c r="AC236" t="s">
        <v>76</v>
      </c>
      <c r="AD236" t="s">
        <v>73</v>
      </c>
      <c r="AE236" t="s">
        <v>97</v>
      </c>
      <c r="AF236" t="s">
        <v>2242</v>
      </c>
      <c r="AG236" t="s">
        <v>78</v>
      </c>
    </row>
    <row r="237" spans="1:33" hidden="1" x14ac:dyDescent="0.25">
      <c r="A237" t="str">
        <f>"1871759845"</f>
        <v>1871759845</v>
      </c>
      <c r="C237" t="s">
        <v>3079</v>
      </c>
      <c r="G237" t="s">
        <v>2224</v>
      </c>
      <c r="H237" t="s">
        <v>2312</v>
      </c>
      <c r="J237" t="s">
        <v>2226</v>
      </c>
      <c r="K237" t="s">
        <v>171</v>
      </c>
      <c r="L237" t="s">
        <v>96</v>
      </c>
      <c r="M237" t="s">
        <v>73</v>
      </c>
      <c r="R237" t="s">
        <v>3080</v>
      </c>
      <c r="S237" t="s">
        <v>170</v>
      </c>
      <c r="T237" t="s">
        <v>91</v>
      </c>
      <c r="U237" t="s">
        <v>74</v>
      </c>
      <c r="V237" t="str">
        <f>"100654870"</f>
        <v>100654870</v>
      </c>
      <c r="AC237" t="s">
        <v>76</v>
      </c>
      <c r="AD237" t="s">
        <v>73</v>
      </c>
      <c r="AE237" t="s">
        <v>97</v>
      </c>
      <c r="AF237" t="s">
        <v>2242</v>
      </c>
      <c r="AG237" t="s">
        <v>78</v>
      </c>
    </row>
    <row r="238" spans="1:33" hidden="1" x14ac:dyDescent="0.25">
      <c r="A238" t="str">
        <f>"1346275732"</f>
        <v>1346275732</v>
      </c>
      <c r="B238" t="str">
        <f>"01391666"</f>
        <v>01391666</v>
      </c>
      <c r="C238" t="s">
        <v>3081</v>
      </c>
      <c r="D238" t="s">
        <v>3082</v>
      </c>
      <c r="E238" t="s">
        <v>3083</v>
      </c>
      <c r="L238" t="s">
        <v>72</v>
      </c>
      <c r="M238" t="s">
        <v>73</v>
      </c>
      <c r="R238" t="s">
        <v>1734</v>
      </c>
      <c r="W238" t="s">
        <v>3083</v>
      </c>
      <c r="X238" t="s">
        <v>1462</v>
      </c>
      <c r="Y238" t="s">
        <v>91</v>
      </c>
      <c r="Z238" t="s">
        <v>74</v>
      </c>
      <c r="AA238" t="str">
        <f>"10032-3720"</f>
        <v>10032-3720</v>
      </c>
      <c r="AB238" t="s">
        <v>75</v>
      </c>
      <c r="AC238" t="s">
        <v>76</v>
      </c>
      <c r="AD238" t="s">
        <v>73</v>
      </c>
      <c r="AE238" t="s">
        <v>77</v>
      </c>
      <c r="AF238" t="s">
        <v>2228</v>
      </c>
      <c r="AG238" t="s">
        <v>78</v>
      </c>
    </row>
    <row r="239" spans="1:33" hidden="1" x14ac:dyDescent="0.25">
      <c r="A239" t="str">
        <f>"1043250285"</f>
        <v>1043250285</v>
      </c>
      <c r="B239" t="str">
        <f>"02441138"</f>
        <v>02441138</v>
      </c>
      <c r="C239" t="s">
        <v>3084</v>
      </c>
      <c r="D239" t="s">
        <v>3085</v>
      </c>
      <c r="E239" t="s">
        <v>3086</v>
      </c>
      <c r="G239" t="s">
        <v>2224</v>
      </c>
      <c r="H239" t="s">
        <v>3087</v>
      </c>
      <c r="J239" t="s">
        <v>2226</v>
      </c>
      <c r="L239" t="s">
        <v>80</v>
      </c>
      <c r="M239" t="s">
        <v>73</v>
      </c>
      <c r="R239" t="s">
        <v>3088</v>
      </c>
      <c r="W239" t="s">
        <v>3086</v>
      </c>
      <c r="X239" t="s">
        <v>3086</v>
      </c>
      <c r="Y239" t="s">
        <v>91</v>
      </c>
      <c r="Z239" t="s">
        <v>74</v>
      </c>
      <c r="AA239" t="str">
        <f>"10065-4870"</f>
        <v>10065-4870</v>
      </c>
      <c r="AB239" t="s">
        <v>75</v>
      </c>
      <c r="AC239" t="s">
        <v>76</v>
      </c>
      <c r="AD239" t="s">
        <v>73</v>
      </c>
      <c r="AE239" t="s">
        <v>77</v>
      </c>
      <c r="AF239" t="s">
        <v>2242</v>
      </c>
      <c r="AG239" t="s">
        <v>78</v>
      </c>
    </row>
    <row r="240" spans="1:33" hidden="1" x14ac:dyDescent="0.25">
      <c r="A240" t="str">
        <f>"1598829699"</f>
        <v>1598829699</v>
      </c>
      <c r="B240" t="str">
        <f>"03166869"</f>
        <v>03166869</v>
      </c>
      <c r="C240" t="s">
        <v>3089</v>
      </c>
      <c r="D240" t="s">
        <v>3090</v>
      </c>
      <c r="E240" t="s">
        <v>3091</v>
      </c>
      <c r="G240" t="s">
        <v>2224</v>
      </c>
      <c r="H240" t="s">
        <v>3092</v>
      </c>
      <c r="J240" t="s">
        <v>2226</v>
      </c>
      <c r="L240" t="s">
        <v>80</v>
      </c>
      <c r="M240" t="s">
        <v>73</v>
      </c>
      <c r="R240" t="s">
        <v>3091</v>
      </c>
      <c r="W240" t="s">
        <v>3091</v>
      </c>
      <c r="X240" t="s">
        <v>170</v>
      </c>
      <c r="Y240" t="s">
        <v>91</v>
      </c>
      <c r="Z240" t="s">
        <v>74</v>
      </c>
      <c r="AA240" t="str">
        <f>"10065-4870"</f>
        <v>10065-4870</v>
      </c>
      <c r="AB240" t="s">
        <v>75</v>
      </c>
      <c r="AC240" t="s">
        <v>76</v>
      </c>
      <c r="AD240" t="s">
        <v>73</v>
      </c>
      <c r="AE240" t="s">
        <v>77</v>
      </c>
      <c r="AF240" t="s">
        <v>2242</v>
      </c>
      <c r="AG240" t="s">
        <v>78</v>
      </c>
    </row>
    <row r="241" spans="1:33" hidden="1" x14ac:dyDescent="0.25">
      <c r="A241" t="str">
        <f>"1598705246"</f>
        <v>1598705246</v>
      </c>
      <c r="B241" t="str">
        <f>"01832851"</f>
        <v>01832851</v>
      </c>
      <c r="C241" t="s">
        <v>3093</v>
      </c>
      <c r="D241" t="s">
        <v>3094</v>
      </c>
      <c r="E241" t="s">
        <v>3095</v>
      </c>
      <c r="G241" t="s">
        <v>2224</v>
      </c>
      <c r="H241" t="s">
        <v>3096</v>
      </c>
      <c r="J241" t="s">
        <v>2226</v>
      </c>
      <c r="L241" t="s">
        <v>72</v>
      </c>
      <c r="M241" t="s">
        <v>73</v>
      </c>
      <c r="R241" t="s">
        <v>3097</v>
      </c>
      <c r="W241" t="s">
        <v>3095</v>
      </c>
      <c r="X241" t="s">
        <v>3095</v>
      </c>
      <c r="Y241" t="s">
        <v>91</v>
      </c>
      <c r="Z241" t="s">
        <v>74</v>
      </c>
      <c r="AA241" t="str">
        <f>"10065-4805"</f>
        <v>10065-4805</v>
      </c>
      <c r="AB241" t="s">
        <v>75</v>
      </c>
      <c r="AC241" t="s">
        <v>76</v>
      </c>
      <c r="AD241" t="s">
        <v>73</v>
      </c>
      <c r="AE241" t="s">
        <v>77</v>
      </c>
      <c r="AF241" t="s">
        <v>2242</v>
      </c>
      <c r="AG241" t="s">
        <v>78</v>
      </c>
    </row>
    <row r="242" spans="1:33" hidden="1" x14ac:dyDescent="0.25">
      <c r="A242" t="str">
        <f>"1689631301"</f>
        <v>1689631301</v>
      </c>
      <c r="B242" t="str">
        <f>"03065987"</f>
        <v>03065987</v>
      </c>
      <c r="C242" t="s">
        <v>3098</v>
      </c>
      <c r="D242" t="s">
        <v>3099</v>
      </c>
      <c r="E242" t="s">
        <v>3100</v>
      </c>
      <c r="G242" t="s">
        <v>2224</v>
      </c>
      <c r="H242" t="s">
        <v>3101</v>
      </c>
      <c r="J242" t="s">
        <v>2226</v>
      </c>
      <c r="L242" t="s">
        <v>80</v>
      </c>
      <c r="M242" t="s">
        <v>73</v>
      </c>
      <c r="R242" t="s">
        <v>3100</v>
      </c>
      <c r="W242" t="s">
        <v>3100</v>
      </c>
      <c r="X242" t="s">
        <v>170</v>
      </c>
      <c r="Y242" t="s">
        <v>91</v>
      </c>
      <c r="Z242" t="s">
        <v>74</v>
      </c>
      <c r="AA242" t="str">
        <f>"10065-4870"</f>
        <v>10065-4870</v>
      </c>
      <c r="AB242" t="s">
        <v>75</v>
      </c>
      <c r="AC242" t="s">
        <v>76</v>
      </c>
      <c r="AD242" t="s">
        <v>73</v>
      </c>
      <c r="AE242" t="s">
        <v>77</v>
      </c>
      <c r="AF242" t="s">
        <v>2242</v>
      </c>
      <c r="AG242" t="s">
        <v>78</v>
      </c>
    </row>
    <row r="243" spans="1:33" hidden="1" x14ac:dyDescent="0.25">
      <c r="A243" t="str">
        <f>"1548340037"</f>
        <v>1548340037</v>
      </c>
      <c r="B243" t="str">
        <f>"02584976"</f>
        <v>02584976</v>
      </c>
      <c r="C243" t="s">
        <v>3102</v>
      </c>
      <c r="D243" t="s">
        <v>3103</v>
      </c>
      <c r="E243" t="s">
        <v>3104</v>
      </c>
      <c r="G243" t="s">
        <v>2224</v>
      </c>
      <c r="H243" t="s">
        <v>3105</v>
      </c>
      <c r="J243" t="s">
        <v>2226</v>
      </c>
      <c r="L243" t="s">
        <v>80</v>
      </c>
      <c r="M243" t="s">
        <v>73</v>
      </c>
      <c r="R243" t="s">
        <v>3104</v>
      </c>
      <c r="W243" t="s">
        <v>3104</v>
      </c>
      <c r="X243" t="s">
        <v>3104</v>
      </c>
      <c r="Y243" t="s">
        <v>118</v>
      </c>
      <c r="Z243" t="s">
        <v>74</v>
      </c>
      <c r="AA243" t="str">
        <f>"10461"</f>
        <v>10461</v>
      </c>
      <c r="AB243" t="s">
        <v>75</v>
      </c>
      <c r="AC243" t="s">
        <v>76</v>
      </c>
      <c r="AD243" t="s">
        <v>73</v>
      </c>
      <c r="AE243" t="s">
        <v>77</v>
      </c>
      <c r="AF243" t="s">
        <v>2254</v>
      </c>
      <c r="AG243" t="s">
        <v>78</v>
      </c>
    </row>
    <row r="244" spans="1:33" hidden="1" x14ac:dyDescent="0.25">
      <c r="A244" t="str">
        <f>"1912947680"</f>
        <v>1912947680</v>
      </c>
      <c r="B244" t="str">
        <f>"02236666"</f>
        <v>02236666</v>
      </c>
      <c r="C244" t="s">
        <v>3106</v>
      </c>
      <c r="D244" t="s">
        <v>3107</v>
      </c>
      <c r="E244" t="s">
        <v>3108</v>
      </c>
      <c r="G244" t="s">
        <v>2224</v>
      </c>
      <c r="H244" t="s">
        <v>3109</v>
      </c>
      <c r="J244" t="s">
        <v>2226</v>
      </c>
      <c r="L244" t="s">
        <v>80</v>
      </c>
      <c r="M244" t="s">
        <v>73</v>
      </c>
      <c r="R244" t="s">
        <v>3110</v>
      </c>
      <c r="W244" t="s">
        <v>3108</v>
      </c>
      <c r="X244" t="s">
        <v>3108</v>
      </c>
      <c r="Y244" t="s">
        <v>91</v>
      </c>
      <c r="Z244" t="s">
        <v>74</v>
      </c>
      <c r="AA244" t="str">
        <f>"10065-4870"</f>
        <v>10065-4870</v>
      </c>
      <c r="AB244" t="s">
        <v>75</v>
      </c>
      <c r="AC244" t="s">
        <v>76</v>
      </c>
      <c r="AD244" t="s">
        <v>73</v>
      </c>
      <c r="AE244" t="s">
        <v>77</v>
      </c>
      <c r="AF244" t="s">
        <v>2242</v>
      </c>
      <c r="AG244" t="s">
        <v>78</v>
      </c>
    </row>
    <row r="245" spans="1:33" hidden="1" x14ac:dyDescent="0.25">
      <c r="A245" t="str">
        <f>"1780738682"</f>
        <v>1780738682</v>
      </c>
      <c r="B245" t="str">
        <f>"00227183"</f>
        <v>00227183</v>
      </c>
      <c r="C245" t="s">
        <v>3111</v>
      </c>
      <c r="D245" t="s">
        <v>3112</v>
      </c>
      <c r="E245" t="s">
        <v>3113</v>
      </c>
      <c r="L245" t="s">
        <v>80</v>
      </c>
      <c r="M245" t="s">
        <v>73</v>
      </c>
      <c r="R245" t="s">
        <v>3114</v>
      </c>
      <c r="W245" t="s">
        <v>3115</v>
      </c>
      <c r="X245" t="s">
        <v>1742</v>
      </c>
      <c r="Y245" t="s">
        <v>91</v>
      </c>
      <c r="Z245" t="s">
        <v>74</v>
      </c>
      <c r="AA245" t="str">
        <f>"10032-3720"</f>
        <v>10032-3720</v>
      </c>
      <c r="AB245" t="s">
        <v>75</v>
      </c>
      <c r="AC245" t="s">
        <v>76</v>
      </c>
      <c r="AD245" t="s">
        <v>73</v>
      </c>
      <c r="AE245" t="s">
        <v>77</v>
      </c>
      <c r="AF245" t="s">
        <v>2228</v>
      </c>
      <c r="AG245" t="s">
        <v>78</v>
      </c>
    </row>
    <row r="246" spans="1:33" hidden="1" x14ac:dyDescent="0.25">
      <c r="A246" t="str">
        <f>"1699829507"</f>
        <v>1699829507</v>
      </c>
      <c r="B246" t="str">
        <f>"02001352"</f>
        <v>02001352</v>
      </c>
      <c r="C246" t="s">
        <v>3116</v>
      </c>
      <c r="D246" t="s">
        <v>3117</v>
      </c>
      <c r="E246" t="s">
        <v>3118</v>
      </c>
      <c r="L246" t="s">
        <v>80</v>
      </c>
      <c r="M246" t="s">
        <v>73</v>
      </c>
      <c r="R246" t="s">
        <v>3119</v>
      </c>
      <c r="W246" t="s">
        <v>3118</v>
      </c>
      <c r="X246" t="s">
        <v>3120</v>
      </c>
      <c r="Y246" t="s">
        <v>91</v>
      </c>
      <c r="Z246" t="s">
        <v>74</v>
      </c>
      <c r="AA246" t="str">
        <f>"10032-3720"</f>
        <v>10032-3720</v>
      </c>
      <c r="AB246" t="s">
        <v>75</v>
      </c>
      <c r="AC246" t="s">
        <v>76</v>
      </c>
      <c r="AD246" t="s">
        <v>73</v>
      </c>
      <c r="AE246" t="s">
        <v>77</v>
      </c>
      <c r="AF246" t="s">
        <v>2228</v>
      </c>
      <c r="AG246" t="s">
        <v>78</v>
      </c>
    </row>
    <row r="247" spans="1:33" hidden="1" x14ac:dyDescent="0.25">
      <c r="A247" t="str">
        <f>"1366596082"</f>
        <v>1366596082</v>
      </c>
      <c r="B247" t="str">
        <f>"01133646"</f>
        <v>01133646</v>
      </c>
      <c r="C247" t="s">
        <v>3121</v>
      </c>
      <c r="D247" t="s">
        <v>3122</v>
      </c>
      <c r="E247" t="s">
        <v>3123</v>
      </c>
      <c r="L247" t="s">
        <v>72</v>
      </c>
      <c r="M247" t="s">
        <v>73</v>
      </c>
      <c r="R247" t="s">
        <v>1923</v>
      </c>
      <c r="W247" t="s">
        <v>3123</v>
      </c>
      <c r="X247" t="s">
        <v>1696</v>
      </c>
      <c r="Y247" t="s">
        <v>91</v>
      </c>
      <c r="Z247" t="s">
        <v>74</v>
      </c>
      <c r="AA247" t="str">
        <f>"10032-3720"</f>
        <v>10032-3720</v>
      </c>
      <c r="AB247" t="s">
        <v>75</v>
      </c>
      <c r="AC247" t="s">
        <v>76</v>
      </c>
      <c r="AD247" t="s">
        <v>73</v>
      </c>
      <c r="AE247" t="s">
        <v>77</v>
      </c>
      <c r="AF247" t="s">
        <v>2228</v>
      </c>
      <c r="AG247" t="s">
        <v>78</v>
      </c>
    </row>
    <row r="248" spans="1:33" hidden="1" x14ac:dyDescent="0.25">
      <c r="A248" t="str">
        <f>"1932253556"</f>
        <v>1932253556</v>
      </c>
      <c r="B248" t="str">
        <f>"01055572"</f>
        <v>01055572</v>
      </c>
      <c r="C248" t="s">
        <v>3124</v>
      </c>
      <c r="D248" t="s">
        <v>3125</v>
      </c>
      <c r="E248" t="s">
        <v>3126</v>
      </c>
      <c r="L248" t="s">
        <v>72</v>
      </c>
      <c r="M248" t="s">
        <v>73</v>
      </c>
      <c r="R248" t="s">
        <v>3127</v>
      </c>
      <c r="W248" t="s">
        <v>3126</v>
      </c>
      <c r="X248" t="s">
        <v>3128</v>
      </c>
      <c r="Y248" t="s">
        <v>91</v>
      </c>
      <c r="Z248" t="s">
        <v>74</v>
      </c>
      <c r="AA248" t="str">
        <f>"10032-3720"</f>
        <v>10032-3720</v>
      </c>
      <c r="AB248" t="s">
        <v>75</v>
      </c>
      <c r="AC248" t="s">
        <v>76</v>
      </c>
      <c r="AD248" t="s">
        <v>73</v>
      </c>
      <c r="AE248" t="s">
        <v>77</v>
      </c>
      <c r="AF248" t="s">
        <v>2228</v>
      </c>
      <c r="AG248" t="s">
        <v>78</v>
      </c>
    </row>
    <row r="249" spans="1:33" hidden="1" x14ac:dyDescent="0.25">
      <c r="A249" t="str">
        <f>"1326076076"</f>
        <v>1326076076</v>
      </c>
      <c r="B249" t="str">
        <f>"00888211"</f>
        <v>00888211</v>
      </c>
      <c r="C249" t="s">
        <v>3129</v>
      </c>
      <c r="D249" t="s">
        <v>3130</v>
      </c>
      <c r="E249" t="s">
        <v>3131</v>
      </c>
      <c r="L249" t="s">
        <v>80</v>
      </c>
      <c r="M249" t="s">
        <v>73</v>
      </c>
      <c r="R249" t="s">
        <v>3132</v>
      </c>
      <c r="W249" t="s">
        <v>3131</v>
      </c>
      <c r="X249" t="s">
        <v>3133</v>
      </c>
      <c r="Y249" t="s">
        <v>91</v>
      </c>
      <c r="Z249" t="s">
        <v>74</v>
      </c>
      <c r="AA249" t="str">
        <f>"10019"</f>
        <v>10019</v>
      </c>
      <c r="AB249" t="s">
        <v>75</v>
      </c>
      <c r="AC249" t="s">
        <v>76</v>
      </c>
      <c r="AD249" t="s">
        <v>73</v>
      </c>
      <c r="AE249" t="s">
        <v>77</v>
      </c>
      <c r="AF249" t="s">
        <v>2228</v>
      </c>
      <c r="AG249" t="s">
        <v>78</v>
      </c>
    </row>
    <row r="250" spans="1:33" hidden="1" x14ac:dyDescent="0.25">
      <c r="A250" t="str">
        <f>"1568491843"</f>
        <v>1568491843</v>
      </c>
      <c r="B250" t="str">
        <f>"02145251"</f>
        <v>02145251</v>
      </c>
      <c r="C250" t="s">
        <v>3134</v>
      </c>
      <c r="D250" t="s">
        <v>3135</v>
      </c>
      <c r="E250" t="s">
        <v>3136</v>
      </c>
      <c r="L250" t="s">
        <v>80</v>
      </c>
      <c r="M250" t="s">
        <v>73</v>
      </c>
      <c r="R250" t="s">
        <v>3137</v>
      </c>
      <c r="W250" t="s">
        <v>3136</v>
      </c>
      <c r="X250" t="s">
        <v>266</v>
      </c>
      <c r="Y250" t="s">
        <v>91</v>
      </c>
      <c r="Z250" t="s">
        <v>74</v>
      </c>
      <c r="AA250" t="str">
        <f>"10032-3720"</f>
        <v>10032-3720</v>
      </c>
      <c r="AB250" t="s">
        <v>75</v>
      </c>
      <c r="AC250" t="s">
        <v>76</v>
      </c>
      <c r="AD250" t="s">
        <v>73</v>
      </c>
      <c r="AE250" t="s">
        <v>77</v>
      </c>
      <c r="AF250" t="s">
        <v>2228</v>
      </c>
      <c r="AG250" t="s">
        <v>78</v>
      </c>
    </row>
    <row r="251" spans="1:33" hidden="1" x14ac:dyDescent="0.25">
      <c r="A251" t="str">
        <f>"1700992153"</f>
        <v>1700992153</v>
      </c>
      <c r="B251" t="str">
        <f>"01902574"</f>
        <v>01902574</v>
      </c>
      <c r="C251" t="s">
        <v>3138</v>
      </c>
      <c r="D251" t="s">
        <v>3139</v>
      </c>
      <c r="E251" t="s">
        <v>3140</v>
      </c>
      <c r="L251" t="s">
        <v>80</v>
      </c>
      <c r="M251" t="s">
        <v>73</v>
      </c>
      <c r="R251" t="s">
        <v>3141</v>
      </c>
      <c r="W251" t="s">
        <v>3142</v>
      </c>
      <c r="X251" t="s">
        <v>167</v>
      </c>
      <c r="Y251" t="s">
        <v>91</v>
      </c>
      <c r="Z251" t="s">
        <v>74</v>
      </c>
      <c r="AA251" t="str">
        <f>"10032-3720"</f>
        <v>10032-3720</v>
      </c>
      <c r="AB251" t="s">
        <v>75</v>
      </c>
      <c r="AC251" t="s">
        <v>76</v>
      </c>
      <c r="AD251" t="s">
        <v>73</v>
      </c>
      <c r="AE251" t="s">
        <v>77</v>
      </c>
      <c r="AF251" t="s">
        <v>2228</v>
      </c>
      <c r="AG251" t="s">
        <v>78</v>
      </c>
    </row>
    <row r="252" spans="1:33" hidden="1" x14ac:dyDescent="0.25">
      <c r="A252" t="str">
        <f>"1699754804"</f>
        <v>1699754804</v>
      </c>
      <c r="B252" t="str">
        <f>"00416160"</f>
        <v>00416160</v>
      </c>
      <c r="C252" t="s">
        <v>3143</v>
      </c>
      <c r="D252" t="s">
        <v>1726</v>
      </c>
      <c r="E252" t="s">
        <v>1727</v>
      </c>
      <c r="G252" t="s">
        <v>3144</v>
      </c>
      <c r="H252" t="s">
        <v>3145</v>
      </c>
      <c r="J252" t="s">
        <v>3146</v>
      </c>
      <c r="L252" t="s">
        <v>72</v>
      </c>
      <c r="M252" t="s">
        <v>82</v>
      </c>
      <c r="R252" t="s">
        <v>1728</v>
      </c>
      <c r="W252" t="s">
        <v>1729</v>
      </c>
      <c r="X252" t="s">
        <v>1730</v>
      </c>
      <c r="Y252" t="s">
        <v>91</v>
      </c>
      <c r="Z252" t="s">
        <v>74</v>
      </c>
      <c r="AA252" t="str">
        <f>"10025-1813"</f>
        <v>10025-1813</v>
      </c>
      <c r="AB252" t="s">
        <v>75</v>
      </c>
      <c r="AC252" t="s">
        <v>76</v>
      </c>
      <c r="AD252" t="s">
        <v>73</v>
      </c>
      <c r="AE252" t="s">
        <v>77</v>
      </c>
      <c r="AF252" t="s">
        <v>3147</v>
      </c>
      <c r="AG252" t="s">
        <v>78</v>
      </c>
    </row>
    <row r="253" spans="1:33" hidden="1" x14ac:dyDescent="0.25">
      <c r="A253" t="str">
        <f>"1831260710"</f>
        <v>1831260710</v>
      </c>
      <c r="B253" t="str">
        <f>"01425709"</f>
        <v>01425709</v>
      </c>
      <c r="C253" t="s">
        <v>3148</v>
      </c>
      <c r="D253" t="s">
        <v>3149</v>
      </c>
      <c r="E253" t="s">
        <v>3150</v>
      </c>
      <c r="L253" t="s">
        <v>72</v>
      </c>
      <c r="M253" t="s">
        <v>73</v>
      </c>
      <c r="R253" t="s">
        <v>3151</v>
      </c>
      <c r="W253" t="s">
        <v>3150</v>
      </c>
      <c r="X253" t="s">
        <v>1642</v>
      </c>
      <c r="Y253" t="s">
        <v>91</v>
      </c>
      <c r="Z253" t="s">
        <v>74</v>
      </c>
      <c r="AA253" t="str">
        <f>"10025"</f>
        <v>10025</v>
      </c>
      <c r="AB253" t="s">
        <v>75</v>
      </c>
      <c r="AC253" t="s">
        <v>76</v>
      </c>
      <c r="AD253" t="s">
        <v>73</v>
      </c>
      <c r="AE253" t="s">
        <v>77</v>
      </c>
      <c r="AF253" t="s">
        <v>2228</v>
      </c>
      <c r="AG253" t="s">
        <v>78</v>
      </c>
    </row>
    <row r="254" spans="1:33" hidden="1" x14ac:dyDescent="0.25">
      <c r="A254" t="str">
        <f>"1043544943"</f>
        <v>1043544943</v>
      </c>
      <c r="B254" t="str">
        <f>"03159482"</f>
        <v>03159482</v>
      </c>
      <c r="C254" t="s">
        <v>3152</v>
      </c>
      <c r="D254" t="s">
        <v>3153</v>
      </c>
      <c r="E254" t="s">
        <v>3154</v>
      </c>
      <c r="L254" t="s">
        <v>72</v>
      </c>
      <c r="M254" t="s">
        <v>73</v>
      </c>
      <c r="R254" t="s">
        <v>3155</v>
      </c>
      <c r="W254" t="s">
        <v>3156</v>
      </c>
      <c r="X254" t="s">
        <v>3157</v>
      </c>
      <c r="Y254" t="s">
        <v>138</v>
      </c>
      <c r="Z254" t="s">
        <v>74</v>
      </c>
      <c r="AA254" t="str">
        <f>"10306-2241"</f>
        <v>10306-2241</v>
      </c>
      <c r="AB254" t="s">
        <v>75</v>
      </c>
      <c r="AC254" t="s">
        <v>76</v>
      </c>
      <c r="AD254" t="s">
        <v>73</v>
      </c>
      <c r="AE254" t="s">
        <v>77</v>
      </c>
      <c r="AF254" t="s">
        <v>2228</v>
      </c>
      <c r="AG254" t="s">
        <v>78</v>
      </c>
    </row>
    <row r="255" spans="1:33" hidden="1" x14ac:dyDescent="0.25">
      <c r="A255" t="str">
        <f>"1093038390"</f>
        <v>1093038390</v>
      </c>
      <c r="B255" t="str">
        <f>"03480893"</f>
        <v>03480893</v>
      </c>
      <c r="C255" t="s">
        <v>3158</v>
      </c>
      <c r="D255" t="s">
        <v>1722</v>
      </c>
      <c r="E255" t="s">
        <v>1723</v>
      </c>
      <c r="L255" t="s">
        <v>72</v>
      </c>
      <c r="M255" t="s">
        <v>73</v>
      </c>
      <c r="R255" t="s">
        <v>1724</v>
      </c>
      <c r="W255" t="s">
        <v>1725</v>
      </c>
      <c r="X255" t="s">
        <v>170</v>
      </c>
      <c r="Y255" t="s">
        <v>91</v>
      </c>
      <c r="Z255" t="s">
        <v>74</v>
      </c>
      <c r="AA255" t="str">
        <f>"10065-4870"</f>
        <v>10065-4870</v>
      </c>
      <c r="AB255" t="s">
        <v>75</v>
      </c>
      <c r="AC255" t="s">
        <v>76</v>
      </c>
      <c r="AD255" t="s">
        <v>73</v>
      </c>
      <c r="AE255" t="s">
        <v>77</v>
      </c>
      <c r="AF255" t="s">
        <v>2398</v>
      </c>
      <c r="AG255" t="s">
        <v>78</v>
      </c>
    </row>
    <row r="256" spans="1:33" hidden="1" x14ac:dyDescent="0.25">
      <c r="A256" t="str">
        <f>"1194863381"</f>
        <v>1194863381</v>
      </c>
      <c r="B256" t="str">
        <f>"03423278"</f>
        <v>03423278</v>
      </c>
      <c r="C256" t="s">
        <v>3159</v>
      </c>
      <c r="D256" t="s">
        <v>1997</v>
      </c>
      <c r="E256" t="s">
        <v>1998</v>
      </c>
      <c r="L256" t="s">
        <v>72</v>
      </c>
      <c r="M256" t="s">
        <v>73</v>
      </c>
      <c r="R256" t="s">
        <v>1999</v>
      </c>
      <c r="W256" t="s">
        <v>1998</v>
      </c>
      <c r="X256" t="s">
        <v>167</v>
      </c>
      <c r="Y256" t="s">
        <v>91</v>
      </c>
      <c r="Z256" t="s">
        <v>74</v>
      </c>
      <c r="AA256" t="str">
        <f>"10032-3720"</f>
        <v>10032-3720</v>
      </c>
      <c r="AB256" t="s">
        <v>75</v>
      </c>
      <c r="AC256" t="s">
        <v>76</v>
      </c>
      <c r="AD256" t="s">
        <v>73</v>
      </c>
      <c r="AE256" t="s">
        <v>77</v>
      </c>
      <c r="AF256" t="s">
        <v>2228</v>
      </c>
      <c r="AG256" t="s">
        <v>78</v>
      </c>
    </row>
    <row r="257" spans="1:33" hidden="1" x14ac:dyDescent="0.25">
      <c r="A257" t="str">
        <f>"1740292861"</f>
        <v>1740292861</v>
      </c>
      <c r="B257" t="str">
        <f>"02598350"</f>
        <v>02598350</v>
      </c>
      <c r="C257" t="s">
        <v>3160</v>
      </c>
      <c r="D257" t="s">
        <v>3161</v>
      </c>
      <c r="E257" t="s">
        <v>3162</v>
      </c>
      <c r="G257" t="s">
        <v>2224</v>
      </c>
      <c r="H257" t="s">
        <v>2225</v>
      </c>
      <c r="J257" t="s">
        <v>2226</v>
      </c>
      <c r="L257" t="s">
        <v>88</v>
      </c>
      <c r="M257" t="s">
        <v>73</v>
      </c>
      <c r="R257" t="s">
        <v>3163</v>
      </c>
      <c r="W257" t="s">
        <v>3162</v>
      </c>
      <c r="X257" t="s">
        <v>3164</v>
      </c>
      <c r="Y257" t="s">
        <v>91</v>
      </c>
      <c r="Z257" t="s">
        <v>74</v>
      </c>
      <c r="AA257" t="str">
        <f>"10032-3720"</f>
        <v>10032-3720</v>
      </c>
      <c r="AB257" t="s">
        <v>75</v>
      </c>
      <c r="AC257" t="s">
        <v>76</v>
      </c>
      <c r="AD257" t="s">
        <v>73</v>
      </c>
      <c r="AE257" t="s">
        <v>77</v>
      </c>
      <c r="AF257" t="s">
        <v>2228</v>
      </c>
      <c r="AG257" t="s">
        <v>78</v>
      </c>
    </row>
    <row r="258" spans="1:33" hidden="1" x14ac:dyDescent="0.25">
      <c r="A258" t="str">
        <f>"1578544490"</f>
        <v>1578544490</v>
      </c>
      <c r="B258" t="str">
        <f>"00589799"</f>
        <v>00589799</v>
      </c>
      <c r="C258" t="s">
        <v>3165</v>
      </c>
      <c r="D258" t="s">
        <v>3166</v>
      </c>
      <c r="E258" t="s">
        <v>3167</v>
      </c>
      <c r="G258" t="s">
        <v>2224</v>
      </c>
      <c r="H258" t="s">
        <v>2225</v>
      </c>
      <c r="J258" t="s">
        <v>2226</v>
      </c>
      <c r="L258" t="s">
        <v>80</v>
      </c>
      <c r="M258" t="s">
        <v>73</v>
      </c>
      <c r="R258" t="s">
        <v>3168</v>
      </c>
      <c r="W258" t="s">
        <v>3167</v>
      </c>
      <c r="X258" t="s">
        <v>3169</v>
      </c>
      <c r="Y258" t="s">
        <v>91</v>
      </c>
      <c r="Z258" t="s">
        <v>74</v>
      </c>
      <c r="AA258" t="str">
        <f>"10013-2854"</f>
        <v>10013-2854</v>
      </c>
      <c r="AB258" t="s">
        <v>75</v>
      </c>
      <c r="AC258" t="s">
        <v>76</v>
      </c>
      <c r="AD258" t="s">
        <v>73</v>
      </c>
      <c r="AE258" t="s">
        <v>77</v>
      </c>
      <c r="AF258" t="s">
        <v>2398</v>
      </c>
      <c r="AG258" t="s">
        <v>78</v>
      </c>
    </row>
    <row r="259" spans="1:33" hidden="1" x14ac:dyDescent="0.25">
      <c r="A259" t="str">
        <f>"1235490145"</f>
        <v>1235490145</v>
      </c>
      <c r="C259" t="s">
        <v>3170</v>
      </c>
      <c r="G259" t="s">
        <v>2224</v>
      </c>
      <c r="H259" t="s">
        <v>2225</v>
      </c>
      <c r="J259" t="s">
        <v>2226</v>
      </c>
      <c r="K259" t="s">
        <v>171</v>
      </c>
      <c r="L259" t="s">
        <v>72</v>
      </c>
      <c r="M259" t="s">
        <v>73</v>
      </c>
      <c r="R259" t="s">
        <v>3171</v>
      </c>
      <c r="S259" t="s">
        <v>3172</v>
      </c>
      <c r="T259" t="s">
        <v>91</v>
      </c>
      <c r="U259" t="s">
        <v>74</v>
      </c>
      <c r="V259" t="str">
        <f>"100219800"</f>
        <v>100219800</v>
      </c>
      <c r="AC259" t="s">
        <v>76</v>
      </c>
      <c r="AD259" t="s">
        <v>73</v>
      </c>
      <c r="AE259" t="s">
        <v>97</v>
      </c>
      <c r="AF259" t="s">
        <v>2254</v>
      </c>
      <c r="AG259" t="s">
        <v>78</v>
      </c>
    </row>
    <row r="260" spans="1:33" hidden="1" x14ac:dyDescent="0.25">
      <c r="A260" t="str">
        <f>"1013064948"</f>
        <v>1013064948</v>
      </c>
      <c r="B260" t="str">
        <f>"02577246"</f>
        <v>02577246</v>
      </c>
      <c r="C260" t="s">
        <v>3173</v>
      </c>
      <c r="D260" t="s">
        <v>3174</v>
      </c>
      <c r="E260" t="s">
        <v>3175</v>
      </c>
      <c r="G260" t="s">
        <v>2224</v>
      </c>
      <c r="H260" t="s">
        <v>2225</v>
      </c>
      <c r="J260" t="s">
        <v>2226</v>
      </c>
      <c r="L260" t="s">
        <v>80</v>
      </c>
      <c r="M260" t="s">
        <v>73</v>
      </c>
      <c r="R260" t="s">
        <v>3176</v>
      </c>
      <c r="W260" t="s">
        <v>3175</v>
      </c>
      <c r="X260" t="s">
        <v>3177</v>
      </c>
      <c r="Y260" t="s">
        <v>91</v>
      </c>
      <c r="Z260" t="s">
        <v>74</v>
      </c>
      <c r="AA260" t="str">
        <f>"10032-3726"</f>
        <v>10032-3726</v>
      </c>
      <c r="AB260" t="s">
        <v>75</v>
      </c>
      <c r="AC260" t="s">
        <v>76</v>
      </c>
      <c r="AD260" t="s">
        <v>73</v>
      </c>
      <c r="AE260" t="s">
        <v>77</v>
      </c>
      <c r="AF260" t="s">
        <v>2228</v>
      </c>
      <c r="AG260" t="s">
        <v>78</v>
      </c>
    </row>
    <row r="261" spans="1:33" hidden="1" x14ac:dyDescent="0.25">
      <c r="A261" t="str">
        <f>"1194929034"</f>
        <v>1194929034</v>
      </c>
      <c r="B261" t="str">
        <f>"03130421"</f>
        <v>03130421</v>
      </c>
      <c r="C261" t="s">
        <v>3178</v>
      </c>
      <c r="D261" t="s">
        <v>3179</v>
      </c>
      <c r="E261" t="s">
        <v>3180</v>
      </c>
      <c r="G261" t="s">
        <v>2224</v>
      </c>
      <c r="H261" t="s">
        <v>2225</v>
      </c>
      <c r="J261" t="s">
        <v>2226</v>
      </c>
      <c r="L261" t="s">
        <v>80</v>
      </c>
      <c r="M261" t="s">
        <v>73</v>
      </c>
      <c r="R261" t="s">
        <v>3181</v>
      </c>
      <c r="W261" t="s">
        <v>3182</v>
      </c>
      <c r="X261" t="s">
        <v>3183</v>
      </c>
      <c r="Y261" t="s">
        <v>91</v>
      </c>
      <c r="Z261" t="s">
        <v>74</v>
      </c>
      <c r="AA261" t="str">
        <f>"10065-4870"</f>
        <v>10065-4870</v>
      </c>
      <c r="AB261" t="s">
        <v>75</v>
      </c>
      <c r="AC261" t="s">
        <v>76</v>
      </c>
      <c r="AD261" t="s">
        <v>73</v>
      </c>
      <c r="AE261" t="s">
        <v>77</v>
      </c>
      <c r="AF261" t="s">
        <v>2242</v>
      </c>
      <c r="AG261" t="s">
        <v>78</v>
      </c>
    </row>
    <row r="262" spans="1:33" hidden="1" x14ac:dyDescent="0.25">
      <c r="A262" t="str">
        <f>"1215928510"</f>
        <v>1215928510</v>
      </c>
      <c r="B262" t="str">
        <f>"01049476"</f>
        <v>01049476</v>
      </c>
      <c r="C262" t="s">
        <v>315</v>
      </c>
      <c r="D262" t="s">
        <v>313</v>
      </c>
      <c r="E262" t="s">
        <v>314</v>
      </c>
      <c r="G262" t="s">
        <v>150</v>
      </c>
      <c r="H262" t="s">
        <v>3184</v>
      </c>
      <c r="J262" t="s">
        <v>754</v>
      </c>
      <c r="L262" t="s">
        <v>134</v>
      </c>
      <c r="M262" t="s">
        <v>73</v>
      </c>
      <c r="R262" t="s">
        <v>315</v>
      </c>
      <c r="W262" t="s">
        <v>314</v>
      </c>
      <c r="X262" t="s">
        <v>316</v>
      </c>
      <c r="Y262" t="s">
        <v>91</v>
      </c>
      <c r="Z262" t="s">
        <v>74</v>
      </c>
      <c r="AA262" t="str">
        <f>"10001-3701"</f>
        <v>10001-3701</v>
      </c>
      <c r="AB262" t="s">
        <v>110</v>
      </c>
      <c r="AC262" t="s">
        <v>76</v>
      </c>
      <c r="AD262" t="s">
        <v>73</v>
      </c>
      <c r="AE262" t="s">
        <v>77</v>
      </c>
      <c r="AF262" t="s">
        <v>2254</v>
      </c>
      <c r="AG262" t="s">
        <v>78</v>
      </c>
    </row>
    <row r="263" spans="1:33" hidden="1" x14ac:dyDescent="0.25">
      <c r="A263" t="str">
        <f>"1275560377"</f>
        <v>1275560377</v>
      </c>
      <c r="B263" t="str">
        <f>"03075656"</f>
        <v>03075656</v>
      </c>
      <c r="C263" t="s">
        <v>3185</v>
      </c>
      <c r="D263" t="s">
        <v>3186</v>
      </c>
      <c r="E263" t="s">
        <v>3187</v>
      </c>
      <c r="G263" t="s">
        <v>2224</v>
      </c>
      <c r="H263" t="s">
        <v>2225</v>
      </c>
      <c r="J263" t="s">
        <v>2226</v>
      </c>
      <c r="L263" t="s">
        <v>100</v>
      </c>
      <c r="M263" t="s">
        <v>73</v>
      </c>
      <c r="R263" t="s">
        <v>3188</v>
      </c>
      <c r="W263" t="s">
        <v>3187</v>
      </c>
      <c r="X263" t="s">
        <v>3189</v>
      </c>
      <c r="Y263" t="s">
        <v>91</v>
      </c>
      <c r="Z263" t="s">
        <v>74</v>
      </c>
      <c r="AA263" t="str">
        <f>"10032-1559"</f>
        <v>10032-1559</v>
      </c>
      <c r="AB263" t="s">
        <v>113</v>
      </c>
      <c r="AC263" t="s">
        <v>76</v>
      </c>
      <c r="AD263" t="s">
        <v>73</v>
      </c>
      <c r="AE263" t="s">
        <v>77</v>
      </c>
      <c r="AF263" t="s">
        <v>2398</v>
      </c>
      <c r="AG263" t="s">
        <v>78</v>
      </c>
    </row>
    <row r="264" spans="1:33" hidden="1" x14ac:dyDescent="0.25">
      <c r="A264" t="str">
        <f>"1215947239"</f>
        <v>1215947239</v>
      </c>
      <c r="B264" t="str">
        <f>"03518590"</f>
        <v>03518590</v>
      </c>
      <c r="C264" t="s">
        <v>3190</v>
      </c>
      <c r="D264" t="s">
        <v>3191</v>
      </c>
      <c r="E264" t="s">
        <v>3192</v>
      </c>
      <c r="G264" t="s">
        <v>2224</v>
      </c>
      <c r="H264" t="s">
        <v>2225</v>
      </c>
      <c r="J264" t="s">
        <v>2226</v>
      </c>
      <c r="L264" t="s">
        <v>81</v>
      </c>
      <c r="M264" t="s">
        <v>73</v>
      </c>
      <c r="R264" t="s">
        <v>3193</v>
      </c>
      <c r="W264" t="s">
        <v>3192</v>
      </c>
      <c r="X264" t="s">
        <v>3194</v>
      </c>
      <c r="Y264" t="s">
        <v>91</v>
      </c>
      <c r="Z264" t="s">
        <v>74</v>
      </c>
      <c r="AA264" t="str">
        <f>"10075-2304"</f>
        <v>10075-2304</v>
      </c>
      <c r="AB264" t="s">
        <v>75</v>
      </c>
      <c r="AC264" t="s">
        <v>76</v>
      </c>
      <c r="AD264" t="s">
        <v>73</v>
      </c>
      <c r="AE264" t="s">
        <v>77</v>
      </c>
      <c r="AF264" t="s">
        <v>2242</v>
      </c>
      <c r="AG264" t="s">
        <v>78</v>
      </c>
    </row>
    <row r="265" spans="1:33" hidden="1" x14ac:dyDescent="0.25">
      <c r="A265" t="str">
        <f>"1609126630"</f>
        <v>1609126630</v>
      </c>
      <c r="B265" t="str">
        <f>"03576565"</f>
        <v>03576565</v>
      </c>
      <c r="C265" t="s">
        <v>3195</v>
      </c>
      <c r="D265" t="s">
        <v>3196</v>
      </c>
      <c r="E265" t="s">
        <v>3197</v>
      </c>
      <c r="G265" t="s">
        <v>282</v>
      </c>
      <c r="H265" t="s">
        <v>248</v>
      </c>
      <c r="I265">
        <v>2604</v>
      </c>
      <c r="J265" t="s">
        <v>283</v>
      </c>
      <c r="L265" t="s">
        <v>81</v>
      </c>
      <c r="M265" t="s">
        <v>73</v>
      </c>
      <c r="R265" t="s">
        <v>3198</v>
      </c>
      <c r="W265" t="s">
        <v>3197</v>
      </c>
      <c r="X265" t="s">
        <v>249</v>
      </c>
      <c r="Y265" t="s">
        <v>91</v>
      </c>
      <c r="Z265" t="s">
        <v>74</v>
      </c>
      <c r="AA265" t="str">
        <f>"10013-3599"</f>
        <v>10013-3599</v>
      </c>
      <c r="AB265" t="s">
        <v>75</v>
      </c>
      <c r="AC265" t="s">
        <v>76</v>
      </c>
      <c r="AD265" t="s">
        <v>73</v>
      </c>
      <c r="AE265" t="s">
        <v>77</v>
      </c>
      <c r="AF265" t="s">
        <v>2319</v>
      </c>
      <c r="AG265" t="s">
        <v>78</v>
      </c>
    </row>
    <row r="266" spans="1:33" hidden="1" x14ac:dyDescent="0.25">
      <c r="A266" t="str">
        <f>"1487944641"</f>
        <v>1487944641</v>
      </c>
      <c r="C266" t="s">
        <v>3199</v>
      </c>
      <c r="G266" t="s">
        <v>2224</v>
      </c>
      <c r="H266" t="s">
        <v>2312</v>
      </c>
      <c r="J266" t="s">
        <v>2226</v>
      </c>
      <c r="K266" t="s">
        <v>171</v>
      </c>
      <c r="L266" t="s">
        <v>96</v>
      </c>
      <c r="M266" t="s">
        <v>73</v>
      </c>
      <c r="R266" t="s">
        <v>3200</v>
      </c>
      <c r="S266" t="s">
        <v>3201</v>
      </c>
      <c r="T266" t="s">
        <v>91</v>
      </c>
      <c r="U266" t="s">
        <v>74</v>
      </c>
      <c r="V266" t="str">
        <f>"100654870"</f>
        <v>100654870</v>
      </c>
      <c r="AC266" t="s">
        <v>76</v>
      </c>
      <c r="AD266" t="s">
        <v>73</v>
      </c>
      <c r="AE266" t="s">
        <v>97</v>
      </c>
      <c r="AF266" t="s">
        <v>2242</v>
      </c>
      <c r="AG266" t="s">
        <v>78</v>
      </c>
    </row>
    <row r="267" spans="1:33" hidden="1" x14ac:dyDescent="0.25">
      <c r="A267" t="str">
        <f>"1205198918"</f>
        <v>1205198918</v>
      </c>
      <c r="C267" t="s">
        <v>3202</v>
      </c>
      <c r="G267" t="s">
        <v>2224</v>
      </c>
      <c r="H267" t="s">
        <v>2312</v>
      </c>
      <c r="J267" t="s">
        <v>2226</v>
      </c>
      <c r="K267" t="s">
        <v>171</v>
      </c>
      <c r="L267" t="s">
        <v>96</v>
      </c>
      <c r="M267" t="s">
        <v>73</v>
      </c>
      <c r="R267" t="s">
        <v>3203</v>
      </c>
      <c r="S267" t="s">
        <v>1738</v>
      </c>
      <c r="T267" t="s">
        <v>518</v>
      </c>
      <c r="U267" t="s">
        <v>519</v>
      </c>
      <c r="V267" t="str">
        <f>"191044206"</f>
        <v>191044206</v>
      </c>
      <c r="AC267" t="s">
        <v>76</v>
      </c>
      <c r="AD267" t="s">
        <v>73</v>
      </c>
      <c r="AE267" t="s">
        <v>97</v>
      </c>
      <c r="AF267" t="s">
        <v>2242</v>
      </c>
      <c r="AG267" t="s">
        <v>78</v>
      </c>
    </row>
    <row r="268" spans="1:33" hidden="1" x14ac:dyDescent="0.25">
      <c r="A268" t="str">
        <f>"1538503909"</f>
        <v>1538503909</v>
      </c>
      <c r="C268" t="s">
        <v>3204</v>
      </c>
      <c r="G268" t="s">
        <v>2224</v>
      </c>
      <c r="H268" t="s">
        <v>2312</v>
      </c>
      <c r="J268" t="s">
        <v>2226</v>
      </c>
      <c r="K268" t="s">
        <v>171</v>
      </c>
      <c r="L268" t="s">
        <v>96</v>
      </c>
      <c r="M268" t="s">
        <v>73</v>
      </c>
      <c r="R268" t="s">
        <v>3205</v>
      </c>
      <c r="S268" t="s">
        <v>3206</v>
      </c>
      <c r="T268" t="s">
        <v>91</v>
      </c>
      <c r="U268" t="s">
        <v>74</v>
      </c>
      <c r="V268" t="str">
        <f>"100322645"</f>
        <v>100322645</v>
      </c>
      <c r="AC268" t="s">
        <v>76</v>
      </c>
      <c r="AD268" t="s">
        <v>73</v>
      </c>
      <c r="AE268" t="s">
        <v>97</v>
      </c>
      <c r="AF268" t="s">
        <v>2242</v>
      </c>
      <c r="AG268" t="s">
        <v>78</v>
      </c>
    </row>
    <row r="269" spans="1:33" hidden="1" x14ac:dyDescent="0.25">
      <c r="A269" t="str">
        <f>"1639472384"</f>
        <v>1639472384</v>
      </c>
      <c r="C269" t="s">
        <v>3207</v>
      </c>
      <c r="G269" t="s">
        <v>2224</v>
      </c>
      <c r="H269" t="s">
        <v>2312</v>
      </c>
      <c r="J269" t="s">
        <v>2226</v>
      </c>
      <c r="K269" t="s">
        <v>171</v>
      </c>
      <c r="L269" t="s">
        <v>96</v>
      </c>
      <c r="M269" t="s">
        <v>73</v>
      </c>
      <c r="R269" t="s">
        <v>3208</v>
      </c>
      <c r="S269" t="s">
        <v>3209</v>
      </c>
      <c r="T269" t="s">
        <v>91</v>
      </c>
      <c r="U269" t="s">
        <v>74</v>
      </c>
      <c r="V269" t="str">
        <f>"10065"</f>
        <v>10065</v>
      </c>
      <c r="AC269" t="s">
        <v>76</v>
      </c>
      <c r="AD269" t="s">
        <v>73</v>
      </c>
      <c r="AE269" t="s">
        <v>97</v>
      </c>
      <c r="AF269" t="s">
        <v>2254</v>
      </c>
      <c r="AG269" t="s">
        <v>78</v>
      </c>
    </row>
    <row r="270" spans="1:33" hidden="1" x14ac:dyDescent="0.25">
      <c r="A270" t="str">
        <f>"1801915343"</f>
        <v>1801915343</v>
      </c>
      <c r="B270" t="str">
        <f>"02706774"</f>
        <v>02706774</v>
      </c>
      <c r="C270" t="s">
        <v>3210</v>
      </c>
      <c r="D270" t="s">
        <v>3211</v>
      </c>
      <c r="E270" t="s">
        <v>3212</v>
      </c>
      <c r="G270" t="s">
        <v>2224</v>
      </c>
      <c r="H270" t="s">
        <v>2225</v>
      </c>
      <c r="J270" t="s">
        <v>2226</v>
      </c>
      <c r="L270" t="s">
        <v>72</v>
      </c>
      <c r="M270" t="s">
        <v>73</v>
      </c>
      <c r="R270" t="s">
        <v>3213</v>
      </c>
      <c r="W270" t="s">
        <v>3212</v>
      </c>
      <c r="X270" t="s">
        <v>3189</v>
      </c>
      <c r="Y270" t="s">
        <v>91</v>
      </c>
      <c r="Z270" t="s">
        <v>74</v>
      </c>
      <c r="AA270" t="str">
        <f>"10032-1559"</f>
        <v>10032-1559</v>
      </c>
      <c r="AB270" t="s">
        <v>113</v>
      </c>
      <c r="AC270" t="s">
        <v>76</v>
      </c>
      <c r="AD270" t="s">
        <v>73</v>
      </c>
      <c r="AE270" t="s">
        <v>77</v>
      </c>
      <c r="AF270" t="s">
        <v>2254</v>
      </c>
      <c r="AG270" t="s">
        <v>78</v>
      </c>
    </row>
    <row r="271" spans="1:33" hidden="1" x14ac:dyDescent="0.25">
      <c r="A271" t="str">
        <f>"1346331477"</f>
        <v>1346331477</v>
      </c>
      <c r="B271" t="str">
        <f>"02687167"</f>
        <v>02687167</v>
      </c>
      <c r="C271" t="s">
        <v>3214</v>
      </c>
      <c r="D271" t="s">
        <v>1398</v>
      </c>
      <c r="E271" t="s">
        <v>1399</v>
      </c>
      <c r="G271" t="s">
        <v>2224</v>
      </c>
      <c r="H271" t="s">
        <v>2225</v>
      </c>
      <c r="J271" t="s">
        <v>2226</v>
      </c>
      <c r="L271" t="s">
        <v>80</v>
      </c>
      <c r="M271" t="s">
        <v>73</v>
      </c>
      <c r="R271" t="s">
        <v>1400</v>
      </c>
      <c r="W271" t="s">
        <v>1399</v>
      </c>
      <c r="X271" t="s">
        <v>290</v>
      </c>
      <c r="Y271" t="s">
        <v>91</v>
      </c>
      <c r="Z271" t="s">
        <v>74</v>
      </c>
      <c r="AA271" t="str">
        <f>"10037-1802"</f>
        <v>10037-1802</v>
      </c>
      <c r="AB271" t="s">
        <v>75</v>
      </c>
      <c r="AC271" t="s">
        <v>76</v>
      </c>
      <c r="AD271" t="s">
        <v>73</v>
      </c>
      <c r="AE271" t="s">
        <v>77</v>
      </c>
      <c r="AF271" t="s">
        <v>2254</v>
      </c>
      <c r="AG271" t="s">
        <v>78</v>
      </c>
    </row>
    <row r="272" spans="1:33" hidden="1" x14ac:dyDescent="0.25">
      <c r="A272" t="str">
        <f>"1639172943"</f>
        <v>1639172943</v>
      </c>
      <c r="B272" t="str">
        <f>"01848535"</f>
        <v>01848535</v>
      </c>
      <c r="C272" t="s">
        <v>3215</v>
      </c>
      <c r="D272" t="s">
        <v>3216</v>
      </c>
      <c r="E272" t="s">
        <v>3217</v>
      </c>
      <c r="L272" t="s">
        <v>80</v>
      </c>
      <c r="M272" t="s">
        <v>73</v>
      </c>
      <c r="R272" t="s">
        <v>3218</v>
      </c>
      <c r="W272" t="s">
        <v>3217</v>
      </c>
      <c r="X272" t="s">
        <v>3219</v>
      </c>
      <c r="Y272" t="s">
        <v>91</v>
      </c>
      <c r="Z272" t="s">
        <v>74</v>
      </c>
      <c r="AA272" t="str">
        <f>"10065-4870"</f>
        <v>10065-4870</v>
      </c>
      <c r="AB272" t="s">
        <v>75</v>
      </c>
      <c r="AC272" t="s">
        <v>76</v>
      </c>
      <c r="AD272" t="s">
        <v>73</v>
      </c>
      <c r="AE272" t="s">
        <v>77</v>
      </c>
      <c r="AF272" t="s">
        <v>2242</v>
      </c>
      <c r="AG272" t="s">
        <v>78</v>
      </c>
    </row>
    <row r="273" spans="1:33" hidden="1" x14ac:dyDescent="0.25">
      <c r="A273" t="str">
        <f>"1841387933"</f>
        <v>1841387933</v>
      </c>
      <c r="B273" t="str">
        <f>"01440757"</f>
        <v>01440757</v>
      </c>
      <c r="C273" t="s">
        <v>3220</v>
      </c>
      <c r="D273" t="s">
        <v>3221</v>
      </c>
      <c r="E273" t="s">
        <v>3222</v>
      </c>
      <c r="G273" t="s">
        <v>2224</v>
      </c>
      <c r="H273" t="s">
        <v>3223</v>
      </c>
      <c r="J273" t="s">
        <v>2226</v>
      </c>
      <c r="L273" t="s">
        <v>80</v>
      </c>
      <c r="M273" t="s">
        <v>73</v>
      </c>
      <c r="R273" t="s">
        <v>3224</v>
      </c>
      <c r="W273" t="s">
        <v>3222</v>
      </c>
      <c r="X273" t="s">
        <v>3225</v>
      </c>
      <c r="Y273" t="s">
        <v>91</v>
      </c>
      <c r="Z273" t="s">
        <v>74</v>
      </c>
      <c r="AA273" t="str">
        <f>"10065-4870"</f>
        <v>10065-4870</v>
      </c>
      <c r="AB273" t="s">
        <v>75</v>
      </c>
      <c r="AC273" t="s">
        <v>76</v>
      </c>
      <c r="AD273" t="s">
        <v>73</v>
      </c>
      <c r="AE273" t="s">
        <v>77</v>
      </c>
      <c r="AF273" t="s">
        <v>2242</v>
      </c>
      <c r="AG273" t="s">
        <v>78</v>
      </c>
    </row>
    <row r="274" spans="1:33" hidden="1" x14ac:dyDescent="0.25">
      <c r="A274" t="str">
        <f>"1932326139"</f>
        <v>1932326139</v>
      </c>
      <c r="B274" t="str">
        <f>"03146458"</f>
        <v>03146458</v>
      </c>
      <c r="C274" t="s">
        <v>3226</v>
      </c>
      <c r="D274" t="s">
        <v>3227</v>
      </c>
      <c r="E274" t="s">
        <v>3228</v>
      </c>
      <c r="G274" t="s">
        <v>2224</v>
      </c>
      <c r="H274" t="s">
        <v>2225</v>
      </c>
      <c r="J274" t="s">
        <v>2226</v>
      </c>
      <c r="L274" t="s">
        <v>72</v>
      </c>
      <c r="M274" t="s">
        <v>73</v>
      </c>
      <c r="R274" t="s">
        <v>3229</v>
      </c>
      <c r="W274" t="s">
        <v>3230</v>
      </c>
      <c r="X274" t="s">
        <v>3231</v>
      </c>
      <c r="Y274" t="s">
        <v>91</v>
      </c>
      <c r="Z274" t="s">
        <v>74</v>
      </c>
      <c r="AA274" t="str">
        <f>"10032-3725"</f>
        <v>10032-3725</v>
      </c>
      <c r="AB274" t="s">
        <v>79</v>
      </c>
      <c r="AC274" t="s">
        <v>76</v>
      </c>
      <c r="AD274" t="s">
        <v>73</v>
      </c>
      <c r="AE274" t="s">
        <v>77</v>
      </c>
      <c r="AF274" t="s">
        <v>2254</v>
      </c>
      <c r="AG274" t="s">
        <v>78</v>
      </c>
    </row>
    <row r="275" spans="1:33" hidden="1" x14ac:dyDescent="0.25">
      <c r="A275" t="str">
        <f>"1922138437"</f>
        <v>1922138437</v>
      </c>
      <c r="B275" t="str">
        <f>"01523257"</f>
        <v>01523257</v>
      </c>
      <c r="C275" t="s">
        <v>3232</v>
      </c>
      <c r="D275" t="s">
        <v>3233</v>
      </c>
      <c r="E275" t="s">
        <v>3234</v>
      </c>
      <c r="G275" t="s">
        <v>2224</v>
      </c>
      <c r="H275" t="s">
        <v>2225</v>
      </c>
      <c r="J275" t="s">
        <v>2226</v>
      </c>
      <c r="L275" t="s">
        <v>72</v>
      </c>
      <c r="M275" t="s">
        <v>73</v>
      </c>
      <c r="R275" t="s">
        <v>3235</v>
      </c>
      <c r="W275" t="s">
        <v>3234</v>
      </c>
      <c r="X275" t="s">
        <v>272</v>
      </c>
      <c r="Y275" t="s">
        <v>91</v>
      </c>
      <c r="Z275" t="s">
        <v>74</v>
      </c>
      <c r="AA275" t="str">
        <f>"10038-2612"</f>
        <v>10038-2612</v>
      </c>
      <c r="AB275" t="s">
        <v>75</v>
      </c>
      <c r="AC275" t="s">
        <v>76</v>
      </c>
      <c r="AD275" t="s">
        <v>73</v>
      </c>
      <c r="AE275" t="s">
        <v>77</v>
      </c>
      <c r="AF275" t="s">
        <v>2254</v>
      </c>
      <c r="AG275" t="s">
        <v>78</v>
      </c>
    </row>
    <row r="276" spans="1:33" hidden="1" x14ac:dyDescent="0.25">
      <c r="A276" t="str">
        <f>"1013341932"</f>
        <v>1013341932</v>
      </c>
      <c r="C276" t="s">
        <v>3236</v>
      </c>
      <c r="G276" t="s">
        <v>2224</v>
      </c>
      <c r="H276" t="s">
        <v>2225</v>
      </c>
      <c r="J276" t="s">
        <v>2226</v>
      </c>
      <c r="K276" t="s">
        <v>171</v>
      </c>
      <c r="L276" t="s">
        <v>96</v>
      </c>
      <c r="M276" t="s">
        <v>73</v>
      </c>
      <c r="R276" t="s">
        <v>3237</v>
      </c>
      <c r="S276" t="s">
        <v>170</v>
      </c>
      <c r="T276" t="s">
        <v>91</v>
      </c>
      <c r="U276" t="s">
        <v>74</v>
      </c>
      <c r="V276" t="str">
        <f>"100654870"</f>
        <v>100654870</v>
      </c>
      <c r="AC276" t="s">
        <v>76</v>
      </c>
      <c r="AD276" t="s">
        <v>73</v>
      </c>
      <c r="AE276" t="s">
        <v>97</v>
      </c>
      <c r="AF276" t="s">
        <v>2254</v>
      </c>
      <c r="AG276" t="s">
        <v>78</v>
      </c>
    </row>
    <row r="277" spans="1:33" hidden="1" x14ac:dyDescent="0.25">
      <c r="A277" t="str">
        <f>"1922153071"</f>
        <v>1922153071</v>
      </c>
      <c r="B277" t="str">
        <f>"01757955"</f>
        <v>01757955</v>
      </c>
      <c r="C277" t="s">
        <v>3238</v>
      </c>
      <c r="D277" t="s">
        <v>3239</v>
      </c>
      <c r="E277" t="s">
        <v>3240</v>
      </c>
      <c r="G277" t="s">
        <v>2224</v>
      </c>
      <c r="H277" t="s">
        <v>2225</v>
      </c>
      <c r="J277" t="s">
        <v>2226</v>
      </c>
      <c r="L277" t="s">
        <v>81</v>
      </c>
      <c r="M277" t="s">
        <v>73</v>
      </c>
      <c r="R277" t="s">
        <v>3241</v>
      </c>
      <c r="W277" t="s">
        <v>3242</v>
      </c>
      <c r="X277" t="s">
        <v>3243</v>
      </c>
      <c r="Y277" t="s">
        <v>91</v>
      </c>
      <c r="Z277" t="s">
        <v>74</v>
      </c>
      <c r="AA277" t="str">
        <f>"10065-4870"</f>
        <v>10065-4870</v>
      </c>
      <c r="AB277" t="s">
        <v>75</v>
      </c>
      <c r="AC277" t="s">
        <v>76</v>
      </c>
      <c r="AD277" t="s">
        <v>73</v>
      </c>
      <c r="AE277" t="s">
        <v>77</v>
      </c>
      <c r="AF277" t="s">
        <v>2242</v>
      </c>
      <c r="AG277" t="s">
        <v>78</v>
      </c>
    </row>
    <row r="278" spans="1:33" hidden="1" x14ac:dyDescent="0.25">
      <c r="A278" t="str">
        <f>"1922169895"</f>
        <v>1922169895</v>
      </c>
      <c r="B278" t="str">
        <f>"02294824"</f>
        <v>02294824</v>
      </c>
      <c r="C278" t="s">
        <v>3244</v>
      </c>
      <c r="D278" t="s">
        <v>3245</v>
      </c>
      <c r="E278" t="s">
        <v>3246</v>
      </c>
      <c r="G278" t="s">
        <v>2224</v>
      </c>
      <c r="H278" t="s">
        <v>2225</v>
      </c>
      <c r="J278" t="s">
        <v>2226</v>
      </c>
      <c r="L278" t="s">
        <v>88</v>
      </c>
      <c r="M278" t="s">
        <v>82</v>
      </c>
      <c r="R278" t="s">
        <v>3247</v>
      </c>
      <c r="W278" t="s">
        <v>3246</v>
      </c>
      <c r="X278" t="s">
        <v>3248</v>
      </c>
      <c r="Y278" t="s">
        <v>91</v>
      </c>
      <c r="Z278" t="s">
        <v>74</v>
      </c>
      <c r="AA278" t="str">
        <f>"10461-1138"</f>
        <v>10461-1138</v>
      </c>
      <c r="AB278" t="s">
        <v>75</v>
      </c>
      <c r="AC278" t="s">
        <v>76</v>
      </c>
      <c r="AD278" t="s">
        <v>73</v>
      </c>
      <c r="AE278" t="s">
        <v>77</v>
      </c>
      <c r="AF278" t="s">
        <v>2398</v>
      </c>
      <c r="AG278" t="s">
        <v>78</v>
      </c>
    </row>
    <row r="279" spans="1:33" hidden="1" x14ac:dyDescent="0.25">
      <c r="A279" t="str">
        <f>"1922183052"</f>
        <v>1922183052</v>
      </c>
      <c r="B279" t="str">
        <f>"00574832"</f>
        <v>00574832</v>
      </c>
      <c r="C279" t="s">
        <v>3249</v>
      </c>
      <c r="D279" t="s">
        <v>3250</v>
      </c>
      <c r="E279" t="s">
        <v>3251</v>
      </c>
      <c r="G279" t="s">
        <v>2224</v>
      </c>
      <c r="H279" t="s">
        <v>2225</v>
      </c>
      <c r="J279" t="s">
        <v>2226</v>
      </c>
      <c r="L279" t="s">
        <v>81</v>
      </c>
      <c r="M279" t="s">
        <v>82</v>
      </c>
      <c r="R279" t="s">
        <v>3252</v>
      </c>
      <c r="W279" t="s">
        <v>3251</v>
      </c>
      <c r="Y279" t="s">
        <v>84</v>
      </c>
      <c r="Z279" t="s">
        <v>74</v>
      </c>
      <c r="AA279" t="str">
        <f>"11203-2056"</f>
        <v>11203-2056</v>
      </c>
      <c r="AB279" t="s">
        <v>75</v>
      </c>
      <c r="AC279" t="s">
        <v>76</v>
      </c>
      <c r="AD279" t="s">
        <v>73</v>
      </c>
      <c r="AE279" t="s">
        <v>77</v>
      </c>
      <c r="AF279" t="s">
        <v>2228</v>
      </c>
      <c r="AG279" t="s">
        <v>78</v>
      </c>
    </row>
    <row r="280" spans="1:33" hidden="1" x14ac:dyDescent="0.25">
      <c r="A280" t="str">
        <f>"1871557256"</f>
        <v>1871557256</v>
      </c>
      <c r="B280" t="str">
        <f>"01649334"</f>
        <v>01649334</v>
      </c>
      <c r="C280" t="s">
        <v>3253</v>
      </c>
      <c r="D280" t="s">
        <v>3254</v>
      </c>
      <c r="E280" t="s">
        <v>3255</v>
      </c>
      <c r="G280" t="s">
        <v>2224</v>
      </c>
      <c r="H280" t="s">
        <v>2225</v>
      </c>
      <c r="J280" t="s">
        <v>2226</v>
      </c>
      <c r="L280" t="s">
        <v>88</v>
      </c>
      <c r="M280" t="s">
        <v>73</v>
      </c>
      <c r="R280" t="s">
        <v>3256</v>
      </c>
      <c r="W280" t="s">
        <v>3257</v>
      </c>
      <c r="X280" t="s">
        <v>272</v>
      </c>
      <c r="Y280" t="s">
        <v>91</v>
      </c>
      <c r="Z280" t="s">
        <v>74</v>
      </c>
      <c r="AA280" t="str">
        <f>"10038-2612"</f>
        <v>10038-2612</v>
      </c>
      <c r="AB280" t="s">
        <v>75</v>
      </c>
      <c r="AC280" t="s">
        <v>76</v>
      </c>
      <c r="AD280" t="s">
        <v>73</v>
      </c>
      <c r="AE280" t="s">
        <v>77</v>
      </c>
      <c r="AF280" t="s">
        <v>2254</v>
      </c>
      <c r="AG280" t="s">
        <v>78</v>
      </c>
    </row>
    <row r="281" spans="1:33" hidden="1" x14ac:dyDescent="0.25">
      <c r="A281" t="str">
        <f>"1679520381"</f>
        <v>1679520381</v>
      </c>
      <c r="B281" t="str">
        <f>"03687785"</f>
        <v>03687785</v>
      </c>
      <c r="C281" t="s">
        <v>3258</v>
      </c>
      <c r="D281" t="s">
        <v>3259</v>
      </c>
      <c r="E281" t="s">
        <v>3260</v>
      </c>
      <c r="G281" t="s">
        <v>2224</v>
      </c>
      <c r="H281" t="s">
        <v>2225</v>
      </c>
      <c r="J281" t="s">
        <v>2226</v>
      </c>
      <c r="L281" t="s">
        <v>72</v>
      </c>
      <c r="M281" t="s">
        <v>73</v>
      </c>
      <c r="R281" t="s">
        <v>3260</v>
      </c>
      <c r="W281" t="s">
        <v>3261</v>
      </c>
      <c r="X281" t="s">
        <v>1627</v>
      </c>
      <c r="Y281" t="s">
        <v>91</v>
      </c>
      <c r="Z281" t="s">
        <v>74</v>
      </c>
      <c r="AA281" t="str">
        <f>"10032-3729"</f>
        <v>10032-3729</v>
      </c>
      <c r="AB281" t="s">
        <v>75</v>
      </c>
      <c r="AC281" t="s">
        <v>76</v>
      </c>
      <c r="AD281" t="s">
        <v>73</v>
      </c>
      <c r="AE281" t="s">
        <v>77</v>
      </c>
      <c r="AF281" t="s">
        <v>2254</v>
      </c>
      <c r="AG281" t="s">
        <v>78</v>
      </c>
    </row>
    <row r="282" spans="1:33" hidden="1" x14ac:dyDescent="0.25">
      <c r="A282" t="str">
        <f>"1174571251"</f>
        <v>1174571251</v>
      </c>
      <c r="B282" t="str">
        <f>"01196721"</f>
        <v>01196721</v>
      </c>
      <c r="C282" t="s">
        <v>3262</v>
      </c>
      <c r="D282" t="s">
        <v>3263</v>
      </c>
      <c r="E282" t="s">
        <v>3264</v>
      </c>
      <c r="G282" t="s">
        <v>2224</v>
      </c>
      <c r="H282" t="s">
        <v>2225</v>
      </c>
      <c r="J282" t="s">
        <v>2226</v>
      </c>
      <c r="L282" t="s">
        <v>72</v>
      </c>
      <c r="M282" t="s">
        <v>73</v>
      </c>
      <c r="R282" t="s">
        <v>3265</v>
      </c>
      <c r="W282" t="s">
        <v>3264</v>
      </c>
      <c r="AB282" t="s">
        <v>75</v>
      </c>
      <c r="AC282" t="s">
        <v>76</v>
      </c>
      <c r="AD282" t="s">
        <v>73</v>
      </c>
      <c r="AE282" t="s">
        <v>77</v>
      </c>
      <c r="AF282" t="s">
        <v>2228</v>
      </c>
      <c r="AG282" t="s">
        <v>78</v>
      </c>
    </row>
    <row r="283" spans="1:33" hidden="1" x14ac:dyDescent="0.25">
      <c r="A283" t="str">
        <f>"1629350418"</f>
        <v>1629350418</v>
      </c>
      <c r="B283" t="str">
        <f>"03428282"</f>
        <v>03428282</v>
      </c>
      <c r="C283" t="s">
        <v>3266</v>
      </c>
      <c r="D283" t="s">
        <v>3267</v>
      </c>
      <c r="E283" t="s">
        <v>3268</v>
      </c>
      <c r="G283" t="s">
        <v>2224</v>
      </c>
      <c r="H283" t="s">
        <v>2225</v>
      </c>
      <c r="J283" t="s">
        <v>2226</v>
      </c>
      <c r="L283" t="s">
        <v>72</v>
      </c>
      <c r="M283" t="s">
        <v>73</v>
      </c>
      <c r="R283" t="s">
        <v>3269</v>
      </c>
      <c r="W283" t="s">
        <v>3268</v>
      </c>
      <c r="X283" t="s">
        <v>167</v>
      </c>
      <c r="Y283" t="s">
        <v>91</v>
      </c>
      <c r="Z283" t="s">
        <v>74</v>
      </c>
      <c r="AA283" t="str">
        <f>"10032-3720"</f>
        <v>10032-3720</v>
      </c>
      <c r="AB283" t="s">
        <v>75</v>
      </c>
      <c r="AC283" t="s">
        <v>76</v>
      </c>
      <c r="AD283" t="s">
        <v>73</v>
      </c>
      <c r="AE283" t="s">
        <v>77</v>
      </c>
      <c r="AF283" t="s">
        <v>2254</v>
      </c>
      <c r="AG283" t="s">
        <v>78</v>
      </c>
    </row>
    <row r="284" spans="1:33" hidden="1" x14ac:dyDescent="0.25">
      <c r="A284" t="str">
        <f>"1932122900"</f>
        <v>1932122900</v>
      </c>
      <c r="B284" t="str">
        <f>"02924858"</f>
        <v>02924858</v>
      </c>
      <c r="C284" t="s">
        <v>3270</v>
      </c>
      <c r="D284" t="s">
        <v>3271</v>
      </c>
      <c r="E284" t="s">
        <v>3272</v>
      </c>
      <c r="G284" t="s">
        <v>2224</v>
      </c>
      <c r="H284" t="s">
        <v>2225</v>
      </c>
      <c r="J284" t="s">
        <v>2226</v>
      </c>
      <c r="L284" t="s">
        <v>88</v>
      </c>
      <c r="M284" t="s">
        <v>82</v>
      </c>
      <c r="R284" t="s">
        <v>3273</v>
      </c>
      <c r="W284" t="s">
        <v>3272</v>
      </c>
      <c r="X284" t="s">
        <v>2115</v>
      </c>
      <c r="Y284" t="s">
        <v>91</v>
      </c>
      <c r="Z284" t="s">
        <v>74</v>
      </c>
      <c r="AA284" t="str">
        <f>"10032-7104"</f>
        <v>10032-7104</v>
      </c>
      <c r="AB284" t="s">
        <v>75</v>
      </c>
      <c r="AC284" t="s">
        <v>76</v>
      </c>
      <c r="AD284" t="s">
        <v>73</v>
      </c>
      <c r="AE284" t="s">
        <v>77</v>
      </c>
      <c r="AF284" t="s">
        <v>2254</v>
      </c>
      <c r="AG284" t="s">
        <v>78</v>
      </c>
    </row>
    <row r="285" spans="1:33" hidden="1" x14ac:dyDescent="0.25">
      <c r="C285" t="s">
        <v>3274</v>
      </c>
      <c r="G285" t="s">
        <v>2185</v>
      </c>
      <c r="J285" t="s">
        <v>3275</v>
      </c>
      <c r="K285" t="s">
        <v>105</v>
      </c>
      <c r="L285" t="s">
        <v>94</v>
      </c>
      <c r="M285" t="s">
        <v>73</v>
      </c>
      <c r="AC285" t="s">
        <v>76</v>
      </c>
      <c r="AD285" t="s">
        <v>73</v>
      </c>
      <c r="AE285" t="s">
        <v>95</v>
      </c>
      <c r="AF285" t="s">
        <v>2398</v>
      </c>
      <c r="AG285" t="s">
        <v>78</v>
      </c>
    </row>
    <row r="286" spans="1:33" hidden="1" x14ac:dyDescent="0.25">
      <c r="A286" t="str">
        <f>"1134385172"</f>
        <v>1134385172</v>
      </c>
      <c r="B286" t="str">
        <f>"03810919"</f>
        <v>03810919</v>
      </c>
      <c r="C286" t="s">
        <v>3276</v>
      </c>
      <c r="D286" t="s">
        <v>3277</v>
      </c>
      <c r="E286" t="s">
        <v>3278</v>
      </c>
      <c r="L286" t="s">
        <v>72</v>
      </c>
      <c r="M286" t="s">
        <v>73</v>
      </c>
      <c r="R286" t="s">
        <v>3279</v>
      </c>
      <c r="W286" t="s">
        <v>3278</v>
      </c>
      <c r="X286" t="s">
        <v>1214</v>
      </c>
      <c r="Y286" t="s">
        <v>91</v>
      </c>
      <c r="Z286" t="s">
        <v>74</v>
      </c>
      <c r="AA286" t="str">
        <f>"10021-4823"</f>
        <v>10021-4823</v>
      </c>
      <c r="AB286" t="s">
        <v>75</v>
      </c>
      <c r="AC286" t="s">
        <v>76</v>
      </c>
      <c r="AD286" t="s">
        <v>73</v>
      </c>
      <c r="AE286" t="s">
        <v>77</v>
      </c>
      <c r="AF286" t="s">
        <v>2242</v>
      </c>
      <c r="AG286" t="s">
        <v>78</v>
      </c>
    </row>
    <row r="287" spans="1:33" hidden="1" x14ac:dyDescent="0.25">
      <c r="A287" t="str">
        <f>"1265598783"</f>
        <v>1265598783</v>
      </c>
      <c r="B287" t="str">
        <f>"03179908"</f>
        <v>03179908</v>
      </c>
      <c r="C287" t="s">
        <v>3280</v>
      </c>
      <c r="D287" t="s">
        <v>3281</v>
      </c>
      <c r="E287" t="s">
        <v>3280</v>
      </c>
      <c r="L287" t="s">
        <v>36</v>
      </c>
      <c r="M287" t="s">
        <v>73</v>
      </c>
      <c r="R287" t="s">
        <v>3282</v>
      </c>
      <c r="W287" t="s">
        <v>3280</v>
      </c>
      <c r="X287" t="s">
        <v>1149</v>
      </c>
      <c r="Y287" t="s">
        <v>1150</v>
      </c>
      <c r="Z287" t="s">
        <v>74</v>
      </c>
      <c r="AA287" t="str">
        <f>"10708-3403"</f>
        <v>10708-3403</v>
      </c>
      <c r="AB287" t="s">
        <v>114</v>
      </c>
      <c r="AC287" t="s">
        <v>76</v>
      </c>
      <c r="AD287" t="s">
        <v>73</v>
      </c>
      <c r="AE287" t="s">
        <v>77</v>
      </c>
      <c r="AF287" t="s">
        <v>2254</v>
      </c>
      <c r="AG287" t="s">
        <v>78</v>
      </c>
    </row>
    <row r="288" spans="1:33" hidden="1" x14ac:dyDescent="0.25">
      <c r="A288" t="str">
        <f>"1003075920"</f>
        <v>1003075920</v>
      </c>
      <c r="C288" t="s">
        <v>3283</v>
      </c>
      <c r="G288" t="s">
        <v>2224</v>
      </c>
      <c r="H288" t="s">
        <v>2312</v>
      </c>
      <c r="J288" t="s">
        <v>2226</v>
      </c>
      <c r="K288" t="s">
        <v>171</v>
      </c>
      <c r="L288" t="s">
        <v>96</v>
      </c>
      <c r="M288" t="s">
        <v>73</v>
      </c>
      <c r="R288" t="s">
        <v>3284</v>
      </c>
      <c r="S288" t="s">
        <v>3285</v>
      </c>
      <c r="T288" t="s">
        <v>74</v>
      </c>
      <c r="U288" t="s">
        <v>74</v>
      </c>
      <c r="V288" t="str">
        <f>"10032"</f>
        <v>10032</v>
      </c>
      <c r="AC288" t="s">
        <v>76</v>
      </c>
      <c r="AD288" t="s">
        <v>73</v>
      </c>
      <c r="AE288" t="s">
        <v>97</v>
      </c>
      <c r="AF288" t="s">
        <v>2228</v>
      </c>
      <c r="AG288" t="s">
        <v>78</v>
      </c>
    </row>
    <row r="289" spans="1:33" hidden="1" x14ac:dyDescent="0.25">
      <c r="A289" t="str">
        <f>"1689701930"</f>
        <v>1689701930</v>
      </c>
      <c r="B289" t="str">
        <f>"01811458"</f>
        <v>01811458</v>
      </c>
      <c r="C289" t="s">
        <v>3286</v>
      </c>
      <c r="D289" t="s">
        <v>3287</v>
      </c>
      <c r="E289" t="s">
        <v>3288</v>
      </c>
      <c r="L289" t="s">
        <v>80</v>
      </c>
      <c r="M289" t="s">
        <v>73</v>
      </c>
      <c r="R289" t="s">
        <v>3288</v>
      </c>
      <c r="W289" t="s">
        <v>3288</v>
      </c>
      <c r="X289" t="s">
        <v>3288</v>
      </c>
      <c r="Y289" t="s">
        <v>91</v>
      </c>
      <c r="Z289" t="s">
        <v>74</v>
      </c>
      <c r="AA289" t="str">
        <f>"10032-3720"</f>
        <v>10032-3720</v>
      </c>
      <c r="AB289" t="s">
        <v>75</v>
      </c>
      <c r="AC289" t="s">
        <v>76</v>
      </c>
      <c r="AD289" t="s">
        <v>73</v>
      </c>
      <c r="AE289" t="s">
        <v>77</v>
      </c>
      <c r="AF289" t="s">
        <v>2228</v>
      </c>
      <c r="AG289" t="s">
        <v>78</v>
      </c>
    </row>
    <row r="290" spans="1:33" hidden="1" x14ac:dyDescent="0.25">
      <c r="A290" t="str">
        <f>"1215029020"</f>
        <v>1215029020</v>
      </c>
      <c r="B290" t="str">
        <f>"03721693"</f>
        <v>03721693</v>
      </c>
      <c r="C290" t="s">
        <v>3289</v>
      </c>
      <c r="D290" t="s">
        <v>3290</v>
      </c>
      <c r="E290" t="s">
        <v>3291</v>
      </c>
      <c r="G290" t="s">
        <v>2224</v>
      </c>
      <c r="H290" t="s">
        <v>2225</v>
      </c>
      <c r="J290" t="s">
        <v>2226</v>
      </c>
      <c r="L290" t="s">
        <v>72</v>
      </c>
      <c r="M290" t="s">
        <v>73</v>
      </c>
      <c r="R290" t="s">
        <v>3291</v>
      </c>
      <c r="W290" t="s">
        <v>3291</v>
      </c>
      <c r="X290" t="s">
        <v>2057</v>
      </c>
      <c r="Y290" t="s">
        <v>91</v>
      </c>
      <c r="Z290" t="s">
        <v>74</v>
      </c>
      <c r="AA290" t="str">
        <f>"10032-3720"</f>
        <v>10032-3720</v>
      </c>
      <c r="AB290" t="s">
        <v>104</v>
      </c>
      <c r="AC290" t="s">
        <v>76</v>
      </c>
      <c r="AD290" t="s">
        <v>73</v>
      </c>
      <c r="AE290" t="s">
        <v>77</v>
      </c>
      <c r="AF290" t="s">
        <v>2254</v>
      </c>
      <c r="AG290" t="s">
        <v>78</v>
      </c>
    </row>
    <row r="291" spans="1:33" hidden="1" x14ac:dyDescent="0.25">
      <c r="A291" t="str">
        <f>"1376672493"</f>
        <v>1376672493</v>
      </c>
      <c r="B291" t="str">
        <f>"03765524"</f>
        <v>03765524</v>
      </c>
      <c r="C291" t="s">
        <v>3292</v>
      </c>
      <c r="D291" t="s">
        <v>3293</v>
      </c>
      <c r="E291" t="s">
        <v>3294</v>
      </c>
      <c r="G291" t="s">
        <v>2224</v>
      </c>
      <c r="H291" t="s">
        <v>3295</v>
      </c>
      <c r="J291" t="s">
        <v>2226</v>
      </c>
      <c r="L291" t="s">
        <v>72</v>
      </c>
      <c r="M291" t="s">
        <v>73</v>
      </c>
      <c r="R291" t="s">
        <v>3296</v>
      </c>
      <c r="W291" t="s">
        <v>3294</v>
      </c>
      <c r="X291" t="s">
        <v>410</v>
      </c>
      <c r="Y291" t="s">
        <v>91</v>
      </c>
      <c r="Z291" t="s">
        <v>74</v>
      </c>
      <c r="AA291" t="str">
        <f>"10032-1559"</f>
        <v>10032-1559</v>
      </c>
      <c r="AB291" t="s">
        <v>75</v>
      </c>
      <c r="AC291" t="s">
        <v>76</v>
      </c>
      <c r="AD291" t="s">
        <v>73</v>
      </c>
      <c r="AE291" t="s">
        <v>77</v>
      </c>
      <c r="AF291" t="s">
        <v>2254</v>
      </c>
      <c r="AG291" t="s">
        <v>78</v>
      </c>
    </row>
    <row r="292" spans="1:33" hidden="1" x14ac:dyDescent="0.25">
      <c r="A292" t="str">
        <f>"1265686794"</f>
        <v>1265686794</v>
      </c>
      <c r="B292" t="str">
        <f>"03236179"</f>
        <v>03236179</v>
      </c>
      <c r="C292" t="s">
        <v>3297</v>
      </c>
      <c r="D292" t="s">
        <v>3298</v>
      </c>
      <c r="E292" t="s">
        <v>3299</v>
      </c>
      <c r="G292" t="s">
        <v>2224</v>
      </c>
      <c r="H292" t="s">
        <v>2225</v>
      </c>
      <c r="J292" t="s">
        <v>2226</v>
      </c>
      <c r="L292" t="s">
        <v>80</v>
      </c>
      <c r="M292" t="s">
        <v>82</v>
      </c>
      <c r="R292" t="s">
        <v>3300</v>
      </c>
      <c r="W292" t="s">
        <v>3301</v>
      </c>
      <c r="X292" t="s">
        <v>167</v>
      </c>
      <c r="Y292" t="s">
        <v>91</v>
      </c>
      <c r="Z292" t="s">
        <v>74</v>
      </c>
      <c r="AA292" t="str">
        <f>"10032-3720"</f>
        <v>10032-3720</v>
      </c>
      <c r="AB292" t="s">
        <v>75</v>
      </c>
      <c r="AC292" t="s">
        <v>76</v>
      </c>
      <c r="AD292" t="s">
        <v>73</v>
      </c>
      <c r="AE292" t="s">
        <v>77</v>
      </c>
      <c r="AF292" t="s">
        <v>2228</v>
      </c>
      <c r="AG292" t="s">
        <v>78</v>
      </c>
    </row>
    <row r="293" spans="1:33" hidden="1" x14ac:dyDescent="0.25">
      <c r="A293" t="str">
        <f>"1720013220"</f>
        <v>1720013220</v>
      </c>
      <c r="B293" t="str">
        <f>"02299681"</f>
        <v>02299681</v>
      </c>
      <c r="C293" t="s">
        <v>3302</v>
      </c>
      <c r="D293" t="s">
        <v>3303</v>
      </c>
      <c r="E293" t="s">
        <v>3304</v>
      </c>
      <c r="G293" t="s">
        <v>282</v>
      </c>
      <c r="H293" t="s">
        <v>248</v>
      </c>
      <c r="I293">
        <v>2604</v>
      </c>
      <c r="J293" t="s">
        <v>283</v>
      </c>
      <c r="L293" t="s">
        <v>81</v>
      </c>
      <c r="M293" t="s">
        <v>82</v>
      </c>
      <c r="R293" t="s">
        <v>3305</v>
      </c>
      <c r="W293" t="s">
        <v>3304</v>
      </c>
      <c r="X293" t="s">
        <v>220</v>
      </c>
      <c r="Y293" t="s">
        <v>91</v>
      </c>
      <c r="Z293" t="s">
        <v>74</v>
      </c>
      <c r="AA293" t="str">
        <f>"10029-6500"</f>
        <v>10029-6500</v>
      </c>
      <c r="AB293" t="s">
        <v>75</v>
      </c>
      <c r="AC293" t="s">
        <v>76</v>
      </c>
      <c r="AD293" t="s">
        <v>73</v>
      </c>
      <c r="AE293" t="s">
        <v>77</v>
      </c>
      <c r="AF293" t="s">
        <v>2319</v>
      </c>
      <c r="AG293" t="s">
        <v>78</v>
      </c>
    </row>
    <row r="294" spans="1:33" hidden="1" x14ac:dyDescent="0.25">
      <c r="A294" t="str">
        <f>"1093802175"</f>
        <v>1093802175</v>
      </c>
      <c r="B294" t="str">
        <f>"01079785"</f>
        <v>01079785</v>
      </c>
      <c r="C294" t="s">
        <v>3306</v>
      </c>
      <c r="D294" t="s">
        <v>3307</v>
      </c>
      <c r="E294" t="s">
        <v>3308</v>
      </c>
      <c r="G294" t="s">
        <v>2224</v>
      </c>
      <c r="H294" t="s">
        <v>2225</v>
      </c>
      <c r="J294" t="s">
        <v>2226</v>
      </c>
      <c r="L294" t="s">
        <v>80</v>
      </c>
      <c r="M294" t="s">
        <v>73</v>
      </c>
      <c r="R294" t="s">
        <v>3309</v>
      </c>
      <c r="W294" t="s">
        <v>3308</v>
      </c>
      <c r="X294" t="s">
        <v>3310</v>
      </c>
      <c r="Y294" t="s">
        <v>353</v>
      </c>
      <c r="Z294" t="s">
        <v>74</v>
      </c>
      <c r="AA294" t="str">
        <f>"10021"</f>
        <v>10021</v>
      </c>
      <c r="AB294" t="s">
        <v>75</v>
      </c>
      <c r="AC294" t="s">
        <v>76</v>
      </c>
      <c r="AD294" t="s">
        <v>73</v>
      </c>
      <c r="AE294" t="s">
        <v>77</v>
      </c>
      <c r="AF294" t="s">
        <v>2242</v>
      </c>
      <c r="AG294" t="s">
        <v>78</v>
      </c>
    </row>
    <row r="295" spans="1:33" hidden="1" x14ac:dyDescent="0.25">
      <c r="A295" t="str">
        <f>"1548266133"</f>
        <v>1548266133</v>
      </c>
      <c r="C295" t="s">
        <v>3311</v>
      </c>
      <c r="G295" t="s">
        <v>2224</v>
      </c>
      <c r="H295" t="s">
        <v>2312</v>
      </c>
      <c r="J295" t="s">
        <v>2226</v>
      </c>
      <c r="K295" t="s">
        <v>171</v>
      </c>
      <c r="L295" t="s">
        <v>72</v>
      </c>
      <c r="M295" t="s">
        <v>73</v>
      </c>
      <c r="R295" t="s">
        <v>3312</v>
      </c>
      <c r="S295" t="s">
        <v>272</v>
      </c>
      <c r="T295" t="s">
        <v>91</v>
      </c>
      <c r="U295" t="s">
        <v>74</v>
      </c>
      <c r="V295" t="str">
        <f>"100382612"</f>
        <v>100382612</v>
      </c>
      <c r="AC295" t="s">
        <v>76</v>
      </c>
      <c r="AD295" t="s">
        <v>73</v>
      </c>
      <c r="AE295" t="s">
        <v>97</v>
      </c>
      <c r="AF295" t="s">
        <v>2242</v>
      </c>
      <c r="AG295" t="s">
        <v>78</v>
      </c>
    </row>
    <row r="296" spans="1:33" hidden="1" x14ac:dyDescent="0.25">
      <c r="A296" t="str">
        <f>"1932437092"</f>
        <v>1932437092</v>
      </c>
      <c r="C296" t="s">
        <v>3313</v>
      </c>
      <c r="G296" t="s">
        <v>2224</v>
      </c>
      <c r="H296" t="s">
        <v>2312</v>
      </c>
      <c r="J296" t="s">
        <v>2226</v>
      </c>
      <c r="K296" t="s">
        <v>171</v>
      </c>
      <c r="L296" t="s">
        <v>96</v>
      </c>
      <c r="M296" t="s">
        <v>73</v>
      </c>
      <c r="R296" t="s">
        <v>3314</v>
      </c>
      <c r="S296" t="s">
        <v>170</v>
      </c>
      <c r="T296" t="s">
        <v>91</v>
      </c>
      <c r="U296" t="s">
        <v>74</v>
      </c>
      <c r="V296" t="str">
        <f>"100654870"</f>
        <v>100654870</v>
      </c>
      <c r="AC296" t="s">
        <v>76</v>
      </c>
      <c r="AD296" t="s">
        <v>73</v>
      </c>
      <c r="AE296" t="s">
        <v>97</v>
      </c>
      <c r="AF296" t="s">
        <v>2254</v>
      </c>
      <c r="AG296" t="s">
        <v>78</v>
      </c>
    </row>
    <row r="297" spans="1:33" hidden="1" x14ac:dyDescent="0.25">
      <c r="A297" t="str">
        <f>"1316024839"</f>
        <v>1316024839</v>
      </c>
      <c r="B297" t="str">
        <f>"02863216"</f>
        <v>02863216</v>
      </c>
      <c r="C297" t="s">
        <v>3315</v>
      </c>
      <c r="D297" t="s">
        <v>3316</v>
      </c>
      <c r="E297" t="s">
        <v>3317</v>
      </c>
      <c r="G297" t="s">
        <v>2224</v>
      </c>
      <c r="H297" t="s">
        <v>2582</v>
      </c>
      <c r="J297" t="s">
        <v>2226</v>
      </c>
      <c r="L297" t="s">
        <v>80</v>
      </c>
      <c r="M297" t="s">
        <v>73</v>
      </c>
      <c r="R297" t="s">
        <v>3318</v>
      </c>
      <c r="W297" t="s">
        <v>3317</v>
      </c>
      <c r="X297" t="s">
        <v>170</v>
      </c>
      <c r="Y297" t="s">
        <v>91</v>
      </c>
      <c r="Z297" t="s">
        <v>74</v>
      </c>
      <c r="AA297" t="str">
        <f>"10065-4870"</f>
        <v>10065-4870</v>
      </c>
      <c r="AB297" t="s">
        <v>75</v>
      </c>
      <c r="AC297" t="s">
        <v>76</v>
      </c>
      <c r="AD297" t="s">
        <v>73</v>
      </c>
      <c r="AE297" t="s">
        <v>77</v>
      </c>
      <c r="AF297" t="s">
        <v>2242</v>
      </c>
      <c r="AG297" t="s">
        <v>78</v>
      </c>
    </row>
    <row r="298" spans="1:33" hidden="1" x14ac:dyDescent="0.25">
      <c r="A298" t="str">
        <f>"1144499773"</f>
        <v>1144499773</v>
      </c>
      <c r="C298" t="s">
        <v>3319</v>
      </c>
      <c r="G298" t="s">
        <v>2224</v>
      </c>
      <c r="H298" t="s">
        <v>2589</v>
      </c>
      <c r="J298" t="s">
        <v>2226</v>
      </c>
      <c r="K298" t="s">
        <v>171</v>
      </c>
      <c r="L298" t="s">
        <v>96</v>
      </c>
      <c r="M298" t="s">
        <v>73</v>
      </c>
      <c r="R298" t="s">
        <v>3320</v>
      </c>
      <c r="S298" t="s">
        <v>3321</v>
      </c>
      <c r="T298" t="s">
        <v>91</v>
      </c>
      <c r="U298" t="s">
        <v>74</v>
      </c>
      <c r="V298" t="str">
        <f>"100654870"</f>
        <v>100654870</v>
      </c>
      <c r="AC298" t="s">
        <v>76</v>
      </c>
      <c r="AD298" t="s">
        <v>73</v>
      </c>
      <c r="AE298" t="s">
        <v>97</v>
      </c>
      <c r="AF298" t="s">
        <v>2254</v>
      </c>
      <c r="AG298" t="s">
        <v>78</v>
      </c>
    </row>
    <row r="299" spans="1:33" hidden="1" x14ac:dyDescent="0.25">
      <c r="A299" t="str">
        <f>"1952699431"</f>
        <v>1952699431</v>
      </c>
      <c r="B299" t="str">
        <f>"03555355"</f>
        <v>03555355</v>
      </c>
      <c r="C299" t="s">
        <v>3322</v>
      </c>
      <c r="D299" t="s">
        <v>3323</v>
      </c>
      <c r="E299" t="s">
        <v>3324</v>
      </c>
      <c r="G299" t="s">
        <v>2224</v>
      </c>
      <c r="H299" t="s">
        <v>2225</v>
      </c>
      <c r="J299" t="s">
        <v>2226</v>
      </c>
      <c r="L299" t="s">
        <v>72</v>
      </c>
      <c r="M299" t="s">
        <v>73</v>
      </c>
      <c r="R299" t="s">
        <v>3324</v>
      </c>
      <c r="W299" t="s">
        <v>3324</v>
      </c>
      <c r="X299" t="s">
        <v>2503</v>
      </c>
      <c r="Y299" t="s">
        <v>91</v>
      </c>
      <c r="Z299" t="s">
        <v>74</v>
      </c>
      <c r="AA299" t="str">
        <f>"10065-4870"</f>
        <v>10065-4870</v>
      </c>
      <c r="AB299" t="s">
        <v>75</v>
      </c>
      <c r="AC299" t="s">
        <v>76</v>
      </c>
      <c r="AD299" t="s">
        <v>73</v>
      </c>
      <c r="AE299" t="s">
        <v>77</v>
      </c>
      <c r="AF299" t="s">
        <v>2254</v>
      </c>
      <c r="AG299" t="s">
        <v>78</v>
      </c>
    </row>
    <row r="300" spans="1:33" hidden="1" x14ac:dyDescent="0.25">
      <c r="A300" t="str">
        <f>"1003951112"</f>
        <v>1003951112</v>
      </c>
      <c r="B300" t="str">
        <f>"02885101"</f>
        <v>02885101</v>
      </c>
      <c r="C300" t="s">
        <v>3325</v>
      </c>
      <c r="D300" t="s">
        <v>3326</v>
      </c>
      <c r="E300" t="s">
        <v>3327</v>
      </c>
      <c r="G300" t="s">
        <v>2224</v>
      </c>
      <c r="H300" t="s">
        <v>2225</v>
      </c>
      <c r="J300" t="s">
        <v>2226</v>
      </c>
      <c r="L300" t="s">
        <v>72</v>
      </c>
      <c r="M300" t="s">
        <v>73</v>
      </c>
      <c r="R300" t="s">
        <v>3327</v>
      </c>
      <c r="W300" t="s">
        <v>3327</v>
      </c>
      <c r="X300" t="s">
        <v>3328</v>
      </c>
      <c r="Y300" t="s">
        <v>91</v>
      </c>
      <c r="Z300" t="s">
        <v>74</v>
      </c>
      <c r="AA300" t="str">
        <f>"10032"</f>
        <v>10032</v>
      </c>
      <c r="AB300" t="s">
        <v>75</v>
      </c>
      <c r="AC300" t="s">
        <v>76</v>
      </c>
      <c r="AD300" t="s">
        <v>73</v>
      </c>
      <c r="AE300" t="s">
        <v>77</v>
      </c>
      <c r="AF300" t="s">
        <v>2254</v>
      </c>
      <c r="AG300" t="s">
        <v>78</v>
      </c>
    </row>
    <row r="301" spans="1:33" hidden="1" x14ac:dyDescent="0.25">
      <c r="A301" t="str">
        <f>"1568478642"</f>
        <v>1568478642</v>
      </c>
      <c r="B301" t="str">
        <f>"00904687"</f>
        <v>00904687</v>
      </c>
      <c r="C301" t="s">
        <v>3329</v>
      </c>
      <c r="D301" t="s">
        <v>3330</v>
      </c>
      <c r="E301" t="s">
        <v>3331</v>
      </c>
      <c r="G301" t="s">
        <v>2224</v>
      </c>
      <c r="H301" t="s">
        <v>2225</v>
      </c>
      <c r="J301" t="s">
        <v>2226</v>
      </c>
      <c r="L301" t="s">
        <v>72</v>
      </c>
      <c r="M301" t="s">
        <v>73</v>
      </c>
      <c r="R301" t="s">
        <v>3332</v>
      </c>
      <c r="W301" t="s">
        <v>3331</v>
      </c>
      <c r="X301" t="s">
        <v>502</v>
      </c>
      <c r="Y301" t="s">
        <v>121</v>
      </c>
      <c r="Z301" t="s">
        <v>74</v>
      </c>
      <c r="AA301" t="str">
        <f>"14209-1120"</f>
        <v>14209-1120</v>
      </c>
      <c r="AB301" t="s">
        <v>75</v>
      </c>
      <c r="AC301" t="s">
        <v>76</v>
      </c>
      <c r="AD301" t="s">
        <v>73</v>
      </c>
      <c r="AE301" t="s">
        <v>77</v>
      </c>
      <c r="AF301" t="s">
        <v>2254</v>
      </c>
      <c r="AG301" t="s">
        <v>78</v>
      </c>
    </row>
    <row r="302" spans="1:33" hidden="1" x14ac:dyDescent="0.25">
      <c r="A302" t="str">
        <f>"1427002245"</f>
        <v>1427002245</v>
      </c>
      <c r="B302" t="str">
        <f>"03091563"</f>
        <v>03091563</v>
      </c>
      <c r="C302" t="s">
        <v>3333</v>
      </c>
      <c r="D302" t="s">
        <v>3334</v>
      </c>
      <c r="E302" t="s">
        <v>3335</v>
      </c>
      <c r="G302" t="s">
        <v>2224</v>
      </c>
      <c r="H302" t="s">
        <v>2225</v>
      </c>
      <c r="J302" t="s">
        <v>2226</v>
      </c>
      <c r="L302" t="s">
        <v>80</v>
      </c>
      <c r="M302" t="s">
        <v>73</v>
      </c>
      <c r="R302" t="s">
        <v>3336</v>
      </c>
      <c r="W302" t="s">
        <v>3335</v>
      </c>
      <c r="X302" t="s">
        <v>1397</v>
      </c>
      <c r="Y302" t="s">
        <v>91</v>
      </c>
      <c r="Z302" t="s">
        <v>74</v>
      </c>
      <c r="AA302" t="str">
        <f>"10032-3724"</f>
        <v>10032-3724</v>
      </c>
      <c r="AB302" t="s">
        <v>75</v>
      </c>
      <c r="AC302" t="s">
        <v>76</v>
      </c>
      <c r="AD302" t="s">
        <v>73</v>
      </c>
      <c r="AE302" t="s">
        <v>77</v>
      </c>
      <c r="AF302" t="s">
        <v>2228</v>
      </c>
      <c r="AG302" t="s">
        <v>78</v>
      </c>
    </row>
    <row r="303" spans="1:33" hidden="1" x14ac:dyDescent="0.25">
      <c r="A303" t="str">
        <f>"1396830550"</f>
        <v>1396830550</v>
      </c>
      <c r="B303" t="str">
        <f>"01862940"</f>
        <v>01862940</v>
      </c>
      <c r="C303" t="s">
        <v>3337</v>
      </c>
      <c r="D303" t="s">
        <v>3338</v>
      </c>
      <c r="E303" t="s">
        <v>3339</v>
      </c>
      <c r="G303" t="s">
        <v>2224</v>
      </c>
      <c r="H303" t="s">
        <v>2225</v>
      </c>
      <c r="J303" t="s">
        <v>2226</v>
      </c>
      <c r="L303" t="s">
        <v>80</v>
      </c>
      <c r="M303" t="s">
        <v>73</v>
      </c>
      <c r="R303" t="s">
        <v>3340</v>
      </c>
      <c r="W303" t="s">
        <v>3339</v>
      </c>
      <c r="X303" t="s">
        <v>3341</v>
      </c>
      <c r="Y303" t="s">
        <v>91</v>
      </c>
      <c r="Z303" t="s">
        <v>74</v>
      </c>
      <c r="AA303" t="str">
        <f>"10021-9800"</f>
        <v>10021-9800</v>
      </c>
      <c r="AB303" t="s">
        <v>75</v>
      </c>
      <c r="AC303" t="s">
        <v>76</v>
      </c>
      <c r="AD303" t="s">
        <v>73</v>
      </c>
      <c r="AE303" t="s">
        <v>77</v>
      </c>
      <c r="AF303" t="s">
        <v>2398</v>
      </c>
      <c r="AG303" t="s">
        <v>78</v>
      </c>
    </row>
    <row r="304" spans="1:33" hidden="1" x14ac:dyDescent="0.25">
      <c r="A304" t="str">
        <f>"1629168893"</f>
        <v>1629168893</v>
      </c>
      <c r="B304" t="str">
        <f>"02661232"</f>
        <v>02661232</v>
      </c>
      <c r="C304" t="s">
        <v>3342</v>
      </c>
      <c r="D304" t="s">
        <v>3343</v>
      </c>
      <c r="E304" t="s">
        <v>3344</v>
      </c>
      <c r="G304" t="s">
        <v>2224</v>
      </c>
      <c r="H304" t="s">
        <v>2225</v>
      </c>
      <c r="J304" t="s">
        <v>2226</v>
      </c>
      <c r="L304" t="s">
        <v>81</v>
      </c>
      <c r="M304" t="s">
        <v>73</v>
      </c>
      <c r="R304" t="s">
        <v>3345</v>
      </c>
      <c r="W304" t="s">
        <v>3345</v>
      </c>
      <c r="X304" t="s">
        <v>170</v>
      </c>
      <c r="Y304" t="s">
        <v>91</v>
      </c>
      <c r="Z304" t="s">
        <v>74</v>
      </c>
      <c r="AA304" t="str">
        <f>"10065-4870"</f>
        <v>10065-4870</v>
      </c>
      <c r="AB304" t="s">
        <v>75</v>
      </c>
      <c r="AC304" t="s">
        <v>76</v>
      </c>
      <c r="AD304" t="s">
        <v>73</v>
      </c>
      <c r="AE304" t="s">
        <v>77</v>
      </c>
      <c r="AF304" t="s">
        <v>2242</v>
      </c>
      <c r="AG304" t="s">
        <v>78</v>
      </c>
    </row>
    <row r="305" spans="1:33" hidden="1" x14ac:dyDescent="0.25">
      <c r="A305" t="str">
        <f>"1578596243"</f>
        <v>1578596243</v>
      </c>
      <c r="B305" t="str">
        <f>"01820584"</f>
        <v>01820584</v>
      </c>
      <c r="C305" t="s">
        <v>3346</v>
      </c>
      <c r="D305" t="s">
        <v>3347</v>
      </c>
      <c r="E305" t="s">
        <v>3348</v>
      </c>
      <c r="L305" t="s">
        <v>36</v>
      </c>
      <c r="M305" t="s">
        <v>73</v>
      </c>
      <c r="R305" t="s">
        <v>3346</v>
      </c>
      <c r="W305" t="s">
        <v>3348</v>
      </c>
      <c r="X305" t="s">
        <v>183</v>
      </c>
      <c r="Y305" t="s">
        <v>91</v>
      </c>
      <c r="Z305" t="s">
        <v>74</v>
      </c>
      <c r="AA305" t="str">
        <f>"10032-3729"</f>
        <v>10032-3729</v>
      </c>
      <c r="AB305" t="s">
        <v>114</v>
      </c>
      <c r="AC305" t="s">
        <v>76</v>
      </c>
      <c r="AD305" t="s">
        <v>73</v>
      </c>
      <c r="AE305" t="s">
        <v>77</v>
      </c>
      <c r="AF305" t="s">
        <v>2254</v>
      </c>
      <c r="AG305" t="s">
        <v>78</v>
      </c>
    </row>
    <row r="306" spans="1:33" hidden="1" x14ac:dyDescent="0.25">
      <c r="A306" t="str">
        <f>"1295836021"</f>
        <v>1295836021</v>
      </c>
      <c r="B306" t="str">
        <f>"02730014"</f>
        <v>02730014</v>
      </c>
      <c r="C306" t="s">
        <v>3349</v>
      </c>
      <c r="D306" t="s">
        <v>3350</v>
      </c>
      <c r="E306" t="s">
        <v>3351</v>
      </c>
      <c r="G306" t="s">
        <v>2224</v>
      </c>
      <c r="H306" t="s">
        <v>2225</v>
      </c>
      <c r="J306" t="s">
        <v>2226</v>
      </c>
      <c r="L306" t="s">
        <v>72</v>
      </c>
      <c r="M306" t="s">
        <v>73</v>
      </c>
      <c r="R306" t="s">
        <v>3352</v>
      </c>
      <c r="W306" t="s">
        <v>3353</v>
      </c>
      <c r="X306" t="s">
        <v>496</v>
      </c>
      <c r="Y306" t="s">
        <v>91</v>
      </c>
      <c r="Z306" t="s">
        <v>74</v>
      </c>
      <c r="AA306" t="str">
        <f>"10032-3726"</f>
        <v>10032-3726</v>
      </c>
      <c r="AB306" t="s">
        <v>75</v>
      </c>
      <c r="AC306" t="s">
        <v>76</v>
      </c>
      <c r="AD306" t="s">
        <v>73</v>
      </c>
      <c r="AE306" t="s">
        <v>77</v>
      </c>
      <c r="AF306" t="s">
        <v>2228</v>
      </c>
      <c r="AG306" t="s">
        <v>78</v>
      </c>
    </row>
    <row r="307" spans="1:33" hidden="1" x14ac:dyDescent="0.25">
      <c r="A307" t="str">
        <f>"1982648143"</f>
        <v>1982648143</v>
      </c>
      <c r="B307" t="str">
        <f>"02963633"</f>
        <v>02963633</v>
      </c>
      <c r="C307" t="s">
        <v>3354</v>
      </c>
      <c r="D307" t="s">
        <v>256</v>
      </c>
      <c r="E307" t="s">
        <v>257</v>
      </c>
      <c r="G307" t="s">
        <v>2224</v>
      </c>
      <c r="H307" t="s">
        <v>2225</v>
      </c>
      <c r="J307" t="s">
        <v>2226</v>
      </c>
      <c r="L307" t="s">
        <v>72</v>
      </c>
      <c r="M307" t="s">
        <v>73</v>
      </c>
      <c r="R307" t="s">
        <v>258</v>
      </c>
      <c r="W307" t="s">
        <v>257</v>
      </c>
      <c r="X307" t="s">
        <v>259</v>
      </c>
      <c r="Y307" t="s">
        <v>214</v>
      </c>
      <c r="Z307" t="s">
        <v>74</v>
      </c>
      <c r="AA307" t="str">
        <f>"11427-2128"</f>
        <v>11427-2128</v>
      </c>
      <c r="AB307" t="s">
        <v>75</v>
      </c>
      <c r="AC307" t="s">
        <v>76</v>
      </c>
      <c r="AD307" t="s">
        <v>73</v>
      </c>
      <c r="AE307" t="s">
        <v>77</v>
      </c>
      <c r="AF307" t="s">
        <v>2228</v>
      </c>
      <c r="AG307" t="s">
        <v>78</v>
      </c>
    </row>
    <row r="308" spans="1:33" hidden="1" x14ac:dyDescent="0.25">
      <c r="A308" t="str">
        <f>"1982671814"</f>
        <v>1982671814</v>
      </c>
      <c r="B308" t="str">
        <f>"01836891"</f>
        <v>01836891</v>
      </c>
      <c r="C308" t="s">
        <v>3355</v>
      </c>
      <c r="D308" t="s">
        <v>1961</v>
      </c>
      <c r="E308" t="s">
        <v>1962</v>
      </c>
      <c r="G308" t="s">
        <v>2224</v>
      </c>
      <c r="H308" t="s">
        <v>2225</v>
      </c>
      <c r="J308" t="s">
        <v>2226</v>
      </c>
      <c r="L308" t="s">
        <v>72</v>
      </c>
      <c r="M308" t="s">
        <v>73</v>
      </c>
      <c r="R308" t="s">
        <v>1963</v>
      </c>
      <c r="W308" t="s">
        <v>1962</v>
      </c>
      <c r="X308" t="s">
        <v>1962</v>
      </c>
      <c r="Y308" t="s">
        <v>186</v>
      </c>
      <c r="Z308" t="s">
        <v>74</v>
      </c>
      <c r="AA308" t="str">
        <f>"11530-5806"</f>
        <v>11530-5806</v>
      </c>
      <c r="AB308" t="s">
        <v>75</v>
      </c>
      <c r="AC308" t="s">
        <v>76</v>
      </c>
      <c r="AD308" t="s">
        <v>73</v>
      </c>
      <c r="AE308" t="s">
        <v>77</v>
      </c>
      <c r="AF308" t="s">
        <v>2228</v>
      </c>
      <c r="AG308" t="s">
        <v>78</v>
      </c>
    </row>
    <row r="309" spans="1:33" hidden="1" x14ac:dyDescent="0.25">
      <c r="A309" t="str">
        <f>"1598978371"</f>
        <v>1598978371</v>
      </c>
      <c r="B309" t="str">
        <f>"01536401"</f>
        <v>01536401</v>
      </c>
      <c r="C309" t="s">
        <v>3356</v>
      </c>
      <c r="D309" t="s">
        <v>3357</v>
      </c>
      <c r="E309" t="s">
        <v>3358</v>
      </c>
      <c r="G309" t="s">
        <v>2224</v>
      </c>
      <c r="H309" t="s">
        <v>2225</v>
      </c>
      <c r="J309" t="s">
        <v>2226</v>
      </c>
      <c r="L309" t="s">
        <v>81</v>
      </c>
      <c r="M309" t="s">
        <v>73</v>
      </c>
      <c r="R309" t="s">
        <v>3359</v>
      </c>
      <c r="W309" t="s">
        <v>3360</v>
      </c>
      <c r="X309" t="s">
        <v>3361</v>
      </c>
      <c r="Y309" t="s">
        <v>91</v>
      </c>
      <c r="Z309" t="s">
        <v>74</v>
      </c>
      <c r="AA309" t="str">
        <f>"10010-0000"</f>
        <v>10010-0000</v>
      </c>
      <c r="AB309" t="s">
        <v>75</v>
      </c>
      <c r="AC309" t="s">
        <v>76</v>
      </c>
      <c r="AD309" t="s">
        <v>73</v>
      </c>
      <c r="AE309" t="s">
        <v>77</v>
      </c>
      <c r="AF309" t="s">
        <v>2242</v>
      </c>
      <c r="AG309" t="s">
        <v>78</v>
      </c>
    </row>
    <row r="310" spans="1:33" hidden="1" x14ac:dyDescent="0.25">
      <c r="A310" t="str">
        <f>"1871760124"</f>
        <v>1871760124</v>
      </c>
      <c r="B310" t="str">
        <f>"02930147"</f>
        <v>02930147</v>
      </c>
      <c r="C310" t="s">
        <v>3362</v>
      </c>
      <c r="D310" t="s">
        <v>3363</v>
      </c>
      <c r="E310" t="s">
        <v>3364</v>
      </c>
      <c r="G310" t="s">
        <v>2224</v>
      </c>
      <c r="H310" t="s">
        <v>2225</v>
      </c>
      <c r="J310" t="s">
        <v>2226</v>
      </c>
      <c r="L310" t="s">
        <v>100</v>
      </c>
      <c r="M310" t="s">
        <v>73</v>
      </c>
      <c r="R310" t="s">
        <v>3365</v>
      </c>
      <c r="W310" t="s">
        <v>3366</v>
      </c>
      <c r="X310" t="s">
        <v>2925</v>
      </c>
      <c r="Y310" t="s">
        <v>91</v>
      </c>
      <c r="Z310" t="s">
        <v>74</v>
      </c>
      <c r="AA310" t="str">
        <f>"10032-3720"</f>
        <v>10032-3720</v>
      </c>
      <c r="AB310" t="s">
        <v>106</v>
      </c>
      <c r="AC310" t="s">
        <v>76</v>
      </c>
      <c r="AD310" t="s">
        <v>73</v>
      </c>
      <c r="AE310" t="s">
        <v>77</v>
      </c>
      <c r="AF310" t="s">
        <v>2254</v>
      </c>
      <c r="AG310" t="s">
        <v>78</v>
      </c>
    </row>
    <row r="311" spans="1:33" hidden="1" x14ac:dyDescent="0.25">
      <c r="A311" t="str">
        <f>"1083751184"</f>
        <v>1083751184</v>
      </c>
      <c r="B311" t="str">
        <f>"03486326"</f>
        <v>03486326</v>
      </c>
      <c r="C311" t="s">
        <v>3367</v>
      </c>
      <c r="D311" t="s">
        <v>3368</v>
      </c>
      <c r="E311" t="s">
        <v>3369</v>
      </c>
      <c r="G311" t="s">
        <v>2224</v>
      </c>
      <c r="H311" t="s">
        <v>3370</v>
      </c>
      <c r="J311" t="s">
        <v>2226</v>
      </c>
      <c r="L311" t="s">
        <v>80</v>
      </c>
      <c r="M311" t="s">
        <v>73</v>
      </c>
      <c r="R311" t="s">
        <v>3371</v>
      </c>
      <c r="W311" t="s">
        <v>3369</v>
      </c>
      <c r="X311" t="s">
        <v>167</v>
      </c>
      <c r="Y311" t="s">
        <v>91</v>
      </c>
      <c r="Z311" t="s">
        <v>74</v>
      </c>
      <c r="AA311" t="str">
        <f>"10032-3720"</f>
        <v>10032-3720</v>
      </c>
      <c r="AB311" t="s">
        <v>75</v>
      </c>
      <c r="AC311" t="s">
        <v>76</v>
      </c>
      <c r="AD311" t="s">
        <v>73</v>
      </c>
      <c r="AE311" t="s">
        <v>77</v>
      </c>
      <c r="AF311" t="s">
        <v>2254</v>
      </c>
      <c r="AG311" t="s">
        <v>78</v>
      </c>
    </row>
    <row r="312" spans="1:33" hidden="1" x14ac:dyDescent="0.25">
      <c r="A312" t="str">
        <f>"1578600177"</f>
        <v>1578600177</v>
      </c>
      <c r="B312" t="str">
        <f>"03658904"</f>
        <v>03658904</v>
      </c>
      <c r="C312" t="s">
        <v>3372</v>
      </c>
      <c r="D312" t="s">
        <v>3373</v>
      </c>
      <c r="E312" t="s">
        <v>3374</v>
      </c>
      <c r="G312" t="s">
        <v>2224</v>
      </c>
      <c r="H312" t="s">
        <v>2225</v>
      </c>
      <c r="J312" t="s">
        <v>2226</v>
      </c>
      <c r="L312" t="s">
        <v>72</v>
      </c>
      <c r="M312" t="s">
        <v>73</v>
      </c>
      <c r="R312" t="s">
        <v>3375</v>
      </c>
      <c r="W312" t="s">
        <v>3374</v>
      </c>
      <c r="X312" t="s">
        <v>3376</v>
      </c>
      <c r="Y312" t="s">
        <v>91</v>
      </c>
      <c r="Z312" t="s">
        <v>74</v>
      </c>
      <c r="AA312" t="str">
        <f>"10032-3720"</f>
        <v>10032-3720</v>
      </c>
      <c r="AB312" t="s">
        <v>75</v>
      </c>
      <c r="AC312" t="s">
        <v>76</v>
      </c>
      <c r="AD312" t="s">
        <v>73</v>
      </c>
      <c r="AE312" t="s">
        <v>77</v>
      </c>
      <c r="AF312" t="s">
        <v>2228</v>
      </c>
      <c r="AG312" t="s">
        <v>78</v>
      </c>
    </row>
    <row r="313" spans="1:33" hidden="1" x14ac:dyDescent="0.25">
      <c r="A313" t="str">
        <f>"1578609541"</f>
        <v>1578609541</v>
      </c>
      <c r="B313" t="str">
        <f>"02828059"</f>
        <v>02828059</v>
      </c>
      <c r="C313" t="s">
        <v>3377</v>
      </c>
      <c r="D313" t="s">
        <v>3378</v>
      </c>
      <c r="E313" t="s">
        <v>3379</v>
      </c>
      <c r="G313" t="s">
        <v>2224</v>
      </c>
      <c r="H313" t="s">
        <v>2225</v>
      </c>
      <c r="J313" t="s">
        <v>2226</v>
      </c>
      <c r="L313" t="s">
        <v>72</v>
      </c>
      <c r="M313" t="s">
        <v>73</v>
      </c>
      <c r="R313" t="s">
        <v>3379</v>
      </c>
      <c r="W313" t="s">
        <v>3379</v>
      </c>
      <c r="X313" t="s">
        <v>183</v>
      </c>
      <c r="Y313" t="s">
        <v>91</v>
      </c>
      <c r="Z313" t="s">
        <v>74</v>
      </c>
      <c r="AA313" t="str">
        <f>"10032-3729"</f>
        <v>10032-3729</v>
      </c>
      <c r="AB313" t="s">
        <v>75</v>
      </c>
      <c r="AC313" t="s">
        <v>76</v>
      </c>
      <c r="AD313" t="s">
        <v>73</v>
      </c>
      <c r="AE313" t="s">
        <v>77</v>
      </c>
      <c r="AF313" t="s">
        <v>2228</v>
      </c>
      <c r="AG313" t="s">
        <v>78</v>
      </c>
    </row>
    <row r="314" spans="1:33" hidden="1" x14ac:dyDescent="0.25">
      <c r="A314" t="str">
        <f>"1033376827"</f>
        <v>1033376827</v>
      </c>
      <c r="B314" t="str">
        <f>"03375064"</f>
        <v>03375064</v>
      </c>
      <c r="C314" t="s">
        <v>3380</v>
      </c>
      <c r="D314" t="s">
        <v>3381</v>
      </c>
      <c r="E314" t="s">
        <v>3382</v>
      </c>
      <c r="G314" t="s">
        <v>2224</v>
      </c>
      <c r="H314" t="s">
        <v>2225</v>
      </c>
      <c r="J314" t="s">
        <v>2226</v>
      </c>
      <c r="L314" t="s">
        <v>80</v>
      </c>
      <c r="M314" t="s">
        <v>73</v>
      </c>
      <c r="R314" t="s">
        <v>3383</v>
      </c>
      <c r="W314" t="s">
        <v>3384</v>
      </c>
      <c r="X314" t="s">
        <v>170</v>
      </c>
      <c r="Y314" t="s">
        <v>91</v>
      </c>
      <c r="Z314" t="s">
        <v>74</v>
      </c>
      <c r="AA314" t="str">
        <f>"10065-4870"</f>
        <v>10065-4870</v>
      </c>
      <c r="AB314" t="s">
        <v>75</v>
      </c>
      <c r="AC314" t="s">
        <v>76</v>
      </c>
      <c r="AD314" t="s">
        <v>73</v>
      </c>
      <c r="AE314" t="s">
        <v>77</v>
      </c>
      <c r="AF314" t="s">
        <v>2242</v>
      </c>
      <c r="AG314" t="s">
        <v>78</v>
      </c>
    </row>
    <row r="315" spans="1:33" hidden="1" x14ac:dyDescent="0.25">
      <c r="A315" t="str">
        <f>"1821388182"</f>
        <v>1821388182</v>
      </c>
      <c r="C315" t="s">
        <v>3385</v>
      </c>
      <c r="G315" t="s">
        <v>2224</v>
      </c>
      <c r="H315" t="s">
        <v>2312</v>
      </c>
      <c r="J315" t="s">
        <v>2226</v>
      </c>
      <c r="K315" t="s">
        <v>171</v>
      </c>
      <c r="L315" t="s">
        <v>96</v>
      </c>
      <c r="M315" t="s">
        <v>73</v>
      </c>
      <c r="R315" t="s">
        <v>3386</v>
      </c>
      <c r="S315" t="s">
        <v>3387</v>
      </c>
      <c r="T315" t="s">
        <v>91</v>
      </c>
      <c r="U315" t="s">
        <v>74</v>
      </c>
      <c r="V315" t="str">
        <f>"100323720"</f>
        <v>100323720</v>
      </c>
      <c r="AC315" t="s">
        <v>76</v>
      </c>
      <c r="AD315" t="s">
        <v>73</v>
      </c>
      <c r="AE315" t="s">
        <v>97</v>
      </c>
      <c r="AF315" t="s">
        <v>2398</v>
      </c>
      <c r="AG315" t="s">
        <v>78</v>
      </c>
    </row>
    <row r="316" spans="1:33" hidden="1" x14ac:dyDescent="0.25">
      <c r="A316" t="str">
        <f>"1245596204"</f>
        <v>1245596204</v>
      </c>
      <c r="C316" t="s">
        <v>3388</v>
      </c>
      <c r="G316" t="s">
        <v>2224</v>
      </c>
      <c r="H316" t="s">
        <v>2312</v>
      </c>
      <c r="J316" t="s">
        <v>2226</v>
      </c>
      <c r="K316" t="s">
        <v>171</v>
      </c>
      <c r="L316" t="s">
        <v>96</v>
      </c>
      <c r="M316" t="s">
        <v>73</v>
      </c>
      <c r="R316" t="s">
        <v>3389</v>
      </c>
      <c r="S316" t="s">
        <v>1444</v>
      </c>
      <c r="T316" t="s">
        <v>91</v>
      </c>
      <c r="U316" t="s">
        <v>74</v>
      </c>
      <c r="V316" t="str">
        <f>"100323733"</f>
        <v>100323733</v>
      </c>
      <c r="AC316" t="s">
        <v>76</v>
      </c>
      <c r="AD316" t="s">
        <v>73</v>
      </c>
      <c r="AE316" t="s">
        <v>97</v>
      </c>
      <c r="AF316" t="s">
        <v>2228</v>
      </c>
      <c r="AG316" t="s">
        <v>78</v>
      </c>
    </row>
    <row r="317" spans="1:33" hidden="1" x14ac:dyDescent="0.25">
      <c r="A317" t="str">
        <f>"1164519575"</f>
        <v>1164519575</v>
      </c>
      <c r="B317" t="str">
        <f>"02099145"</f>
        <v>02099145</v>
      </c>
      <c r="C317" t="s">
        <v>3390</v>
      </c>
      <c r="D317" t="s">
        <v>3391</v>
      </c>
      <c r="E317" t="s">
        <v>3392</v>
      </c>
      <c r="G317" t="s">
        <v>2224</v>
      </c>
      <c r="H317" t="s">
        <v>2225</v>
      </c>
      <c r="J317" t="s">
        <v>2226</v>
      </c>
      <c r="L317" t="s">
        <v>81</v>
      </c>
      <c r="M317" t="s">
        <v>82</v>
      </c>
      <c r="R317" t="s">
        <v>3393</v>
      </c>
      <c r="W317" t="s">
        <v>3392</v>
      </c>
      <c r="X317" t="s">
        <v>1651</v>
      </c>
      <c r="Y317" t="s">
        <v>91</v>
      </c>
      <c r="Z317" t="s">
        <v>74</v>
      </c>
      <c r="AA317" t="str">
        <f>"10032-3720"</f>
        <v>10032-3720</v>
      </c>
      <c r="AB317" t="s">
        <v>75</v>
      </c>
      <c r="AC317" t="s">
        <v>76</v>
      </c>
      <c r="AD317" t="s">
        <v>73</v>
      </c>
      <c r="AE317" t="s">
        <v>77</v>
      </c>
      <c r="AF317" t="s">
        <v>2228</v>
      </c>
      <c r="AG317" t="s">
        <v>78</v>
      </c>
    </row>
    <row r="318" spans="1:33" hidden="1" x14ac:dyDescent="0.25">
      <c r="A318" t="str">
        <f>"1326072745"</f>
        <v>1326072745</v>
      </c>
      <c r="C318" t="s">
        <v>3394</v>
      </c>
      <c r="G318" t="s">
        <v>2224</v>
      </c>
      <c r="H318" t="s">
        <v>2312</v>
      </c>
      <c r="J318" t="s">
        <v>2226</v>
      </c>
      <c r="K318" t="s">
        <v>171</v>
      </c>
      <c r="L318" t="s">
        <v>96</v>
      </c>
      <c r="M318" t="s">
        <v>73</v>
      </c>
      <c r="R318" t="s">
        <v>3395</v>
      </c>
      <c r="S318" t="s">
        <v>3396</v>
      </c>
      <c r="T318" t="s">
        <v>3397</v>
      </c>
      <c r="U318" t="s">
        <v>139</v>
      </c>
      <c r="V318" t="str">
        <f>"076052009"</f>
        <v>076052009</v>
      </c>
      <c r="AC318" t="s">
        <v>76</v>
      </c>
      <c r="AD318" t="s">
        <v>73</v>
      </c>
      <c r="AE318" t="s">
        <v>97</v>
      </c>
      <c r="AF318" t="s">
        <v>2228</v>
      </c>
      <c r="AG318" t="s">
        <v>78</v>
      </c>
    </row>
    <row r="319" spans="1:33" hidden="1" x14ac:dyDescent="0.25">
      <c r="A319" t="str">
        <f>"1437292067"</f>
        <v>1437292067</v>
      </c>
      <c r="C319" t="s">
        <v>3398</v>
      </c>
      <c r="G319" t="s">
        <v>2224</v>
      </c>
      <c r="H319" t="s">
        <v>2312</v>
      </c>
      <c r="J319" t="s">
        <v>2226</v>
      </c>
      <c r="K319" t="s">
        <v>171</v>
      </c>
      <c r="L319" t="s">
        <v>96</v>
      </c>
      <c r="M319" t="s">
        <v>73</v>
      </c>
      <c r="R319" t="s">
        <v>3399</v>
      </c>
      <c r="S319" t="s">
        <v>167</v>
      </c>
      <c r="T319" t="s">
        <v>91</v>
      </c>
      <c r="U319" t="s">
        <v>74</v>
      </c>
      <c r="V319" t="str">
        <f>"100323720"</f>
        <v>100323720</v>
      </c>
      <c r="AC319" t="s">
        <v>76</v>
      </c>
      <c r="AD319" t="s">
        <v>73</v>
      </c>
      <c r="AE319" t="s">
        <v>97</v>
      </c>
      <c r="AF319" t="s">
        <v>2228</v>
      </c>
      <c r="AG319" t="s">
        <v>78</v>
      </c>
    </row>
    <row r="320" spans="1:33" hidden="1" x14ac:dyDescent="0.25">
      <c r="A320" t="str">
        <f>"1023453966"</f>
        <v>1023453966</v>
      </c>
      <c r="C320" t="s">
        <v>3400</v>
      </c>
      <c r="G320" t="s">
        <v>2224</v>
      </c>
      <c r="H320" t="s">
        <v>2312</v>
      </c>
      <c r="J320" t="s">
        <v>2226</v>
      </c>
      <c r="K320" t="s">
        <v>171</v>
      </c>
      <c r="L320" t="s">
        <v>96</v>
      </c>
      <c r="M320" t="s">
        <v>73</v>
      </c>
      <c r="R320" t="s">
        <v>3401</v>
      </c>
      <c r="S320" t="s">
        <v>3402</v>
      </c>
      <c r="T320" t="s">
        <v>1700</v>
      </c>
      <c r="U320" t="s">
        <v>578</v>
      </c>
      <c r="V320" t="str">
        <f>"914021049"</f>
        <v>914021049</v>
      </c>
      <c r="AC320" t="s">
        <v>76</v>
      </c>
      <c r="AD320" t="s">
        <v>73</v>
      </c>
      <c r="AE320" t="s">
        <v>97</v>
      </c>
      <c r="AF320" t="s">
        <v>2242</v>
      </c>
      <c r="AG320" t="s">
        <v>78</v>
      </c>
    </row>
    <row r="321" spans="1:33" hidden="1" x14ac:dyDescent="0.25">
      <c r="A321" t="str">
        <f>"1235376401"</f>
        <v>1235376401</v>
      </c>
      <c r="B321" t="str">
        <f>"03078897"</f>
        <v>03078897</v>
      </c>
      <c r="C321" t="s">
        <v>3403</v>
      </c>
      <c r="D321" t="s">
        <v>3404</v>
      </c>
      <c r="E321" t="s">
        <v>3405</v>
      </c>
      <c r="G321" t="s">
        <v>2224</v>
      </c>
      <c r="H321" t="s">
        <v>2225</v>
      </c>
      <c r="J321" t="s">
        <v>2226</v>
      </c>
      <c r="L321" t="s">
        <v>81</v>
      </c>
      <c r="M321" t="s">
        <v>82</v>
      </c>
      <c r="R321" t="s">
        <v>3405</v>
      </c>
      <c r="W321" t="s">
        <v>3406</v>
      </c>
      <c r="X321" t="s">
        <v>3407</v>
      </c>
      <c r="Y321" t="s">
        <v>91</v>
      </c>
      <c r="Z321" t="s">
        <v>74</v>
      </c>
      <c r="AA321" t="str">
        <f>"10032-3720"</f>
        <v>10032-3720</v>
      </c>
      <c r="AB321" t="s">
        <v>75</v>
      </c>
      <c r="AC321" t="s">
        <v>76</v>
      </c>
      <c r="AD321" t="s">
        <v>73</v>
      </c>
      <c r="AE321" t="s">
        <v>77</v>
      </c>
      <c r="AF321" t="s">
        <v>2228</v>
      </c>
      <c r="AG321" t="s">
        <v>78</v>
      </c>
    </row>
    <row r="322" spans="1:33" hidden="1" x14ac:dyDescent="0.25">
      <c r="A322" t="str">
        <f>"1679535314"</f>
        <v>1679535314</v>
      </c>
      <c r="B322" t="str">
        <f>"03330398"</f>
        <v>03330398</v>
      </c>
      <c r="C322" t="s">
        <v>3408</v>
      </c>
      <c r="D322" t="s">
        <v>3409</v>
      </c>
      <c r="E322" t="s">
        <v>3410</v>
      </c>
      <c r="G322" t="s">
        <v>2224</v>
      </c>
      <c r="H322" t="s">
        <v>2225</v>
      </c>
      <c r="J322" t="s">
        <v>2226</v>
      </c>
      <c r="L322" t="s">
        <v>80</v>
      </c>
      <c r="M322" t="s">
        <v>73</v>
      </c>
      <c r="R322" t="s">
        <v>3411</v>
      </c>
      <c r="W322" t="s">
        <v>3412</v>
      </c>
      <c r="X322" t="s">
        <v>1397</v>
      </c>
      <c r="Y322" t="s">
        <v>91</v>
      </c>
      <c r="Z322" t="s">
        <v>74</v>
      </c>
      <c r="AA322" t="str">
        <f>"10032-3724"</f>
        <v>10032-3724</v>
      </c>
      <c r="AB322" t="s">
        <v>75</v>
      </c>
      <c r="AC322" t="s">
        <v>76</v>
      </c>
      <c r="AD322" t="s">
        <v>73</v>
      </c>
      <c r="AE322" t="s">
        <v>77</v>
      </c>
      <c r="AF322" t="s">
        <v>2254</v>
      </c>
      <c r="AG322" t="s">
        <v>78</v>
      </c>
    </row>
    <row r="323" spans="1:33" hidden="1" x14ac:dyDescent="0.25">
      <c r="A323" t="str">
        <f>"1679657019"</f>
        <v>1679657019</v>
      </c>
      <c r="B323" t="str">
        <f>"02227961"</f>
        <v>02227961</v>
      </c>
      <c r="C323" t="s">
        <v>3413</v>
      </c>
      <c r="D323" t="s">
        <v>3414</v>
      </c>
      <c r="E323" t="s">
        <v>3415</v>
      </c>
      <c r="G323" t="s">
        <v>2224</v>
      </c>
      <c r="H323" t="s">
        <v>2225</v>
      </c>
      <c r="J323" t="s">
        <v>2226</v>
      </c>
      <c r="L323" t="s">
        <v>80</v>
      </c>
      <c r="M323" t="s">
        <v>73</v>
      </c>
      <c r="R323" t="s">
        <v>3416</v>
      </c>
      <c r="W323" t="s">
        <v>3415</v>
      </c>
      <c r="X323" t="s">
        <v>183</v>
      </c>
      <c r="Y323" t="s">
        <v>91</v>
      </c>
      <c r="Z323" t="s">
        <v>74</v>
      </c>
      <c r="AA323" t="str">
        <f>"10032-3729"</f>
        <v>10032-3729</v>
      </c>
      <c r="AB323" t="s">
        <v>75</v>
      </c>
      <c r="AC323" t="s">
        <v>76</v>
      </c>
      <c r="AD323" t="s">
        <v>73</v>
      </c>
      <c r="AE323" t="s">
        <v>77</v>
      </c>
      <c r="AF323" t="s">
        <v>2228</v>
      </c>
      <c r="AG323" t="s">
        <v>78</v>
      </c>
    </row>
    <row r="324" spans="1:33" hidden="1" x14ac:dyDescent="0.25">
      <c r="A324" t="str">
        <f>"1629285630"</f>
        <v>1629285630</v>
      </c>
      <c r="B324" t="str">
        <f>"02883241"</f>
        <v>02883241</v>
      </c>
      <c r="C324" t="s">
        <v>3417</v>
      </c>
      <c r="D324" t="s">
        <v>3418</v>
      </c>
      <c r="E324" t="s">
        <v>3419</v>
      </c>
      <c r="L324" t="s">
        <v>80</v>
      </c>
      <c r="M324" t="s">
        <v>73</v>
      </c>
      <c r="R324" t="s">
        <v>3420</v>
      </c>
      <c r="W324" t="s">
        <v>3419</v>
      </c>
      <c r="X324" t="s">
        <v>170</v>
      </c>
      <c r="Y324" t="s">
        <v>91</v>
      </c>
      <c r="Z324" t="s">
        <v>74</v>
      </c>
      <c r="AA324" t="str">
        <f>"10065-4870"</f>
        <v>10065-4870</v>
      </c>
      <c r="AB324" t="s">
        <v>75</v>
      </c>
      <c r="AC324" t="s">
        <v>76</v>
      </c>
      <c r="AD324" t="s">
        <v>73</v>
      </c>
      <c r="AE324" t="s">
        <v>77</v>
      </c>
      <c r="AF324" t="s">
        <v>2242</v>
      </c>
      <c r="AG324" t="s">
        <v>78</v>
      </c>
    </row>
    <row r="325" spans="1:33" hidden="1" x14ac:dyDescent="0.25">
      <c r="A325" t="str">
        <f>"1255659785"</f>
        <v>1255659785</v>
      </c>
      <c r="B325" t="str">
        <f>"03340278"</f>
        <v>03340278</v>
      </c>
      <c r="C325" t="s">
        <v>3421</v>
      </c>
      <c r="D325" t="s">
        <v>3422</v>
      </c>
      <c r="E325" t="s">
        <v>3423</v>
      </c>
      <c r="L325" t="s">
        <v>80</v>
      </c>
      <c r="M325" t="s">
        <v>73</v>
      </c>
      <c r="R325" t="s">
        <v>3424</v>
      </c>
      <c r="W325" t="s">
        <v>3423</v>
      </c>
      <c r="X325" t="s">
        <v>170</v>
      </c>
      <c r="Y325" t="s">
        <v>91</v>
      </c>
      <c r="Z325" t="s">
        <v>74</v>
      </c>
      <c r="AA325" t="str">
        <f>"10065-4885"</f>
        <v>10065-4885</v>
      </c>
      <c r="AB325" t="s">
        <v>75</v>
      </c>
      <c r="AC325" t="s">
        <v>76</v>
      </c>
      <c r="AD325" t="s">
        <v>73</v>
      </c>
      <c r="AE325" t="s">
        <v>77</v>
      </c>
      <c r="AF325" t="s">
        <v>2242</v>
      </c>
      <c r="AG325" t="s">
        <v>78</v>
      </c>
    </row>
    <row r="326" spans="1:33" hidden="1" x14ac:dyDescent="0.25">
      <c r="A326" t="str">
        <f>"1891952768"</f>
        <v>1891952768</v>
      </c>
      <c r="B326" t="str">
        <f>"03227061"</f>
        <v>03227061</v>
      </c>
      <c r="C326" t="s">
        <v>3425</v>
      </c>
      <c r="D326" t="s">
        <v>3426</v>
      </c>
      <c r="E326" t="s">
        <v>3427</v>
      </c>
      <c r="G326" t="s">
        <v>2224</v>
      </c>
      <c r="H326" t="s">
        <v>2225</v>
      </c>
      <c r="J326" t="s">
        <v>2226</v>
      </c>
      <c r="L326" t="s">
        <v>80</v>
      </c>
      <c r="M326" t="s">
        <v>73</v>
      </c>
      <c r="R326" t="s">
        <v>3428</v>
      </c>
      <c r="W326" t="s">
        <v>3427</v>
      </c>
      <c r="X326" t="s">
        <v>167</v>
      </c>
      <c r="Y326" t="s">
        <v>91</v>
      </c>
      <c r="Z326" t="s">
        <v>74</v>
      </c>
      <c r="AA326" t="str">
        <f>"10032-3720"</f>
        <v>10032-3720</v>
      </c>
      <c r="AB326" t="s">
        <v>75</v>
      </c>
      <c r="AC326" t="s">
        <v>76</v>
      </c>
      <c r="AD326" t="s">
        <v>73</v>
      </c>
      <c r="AE326" t="s">
        <v>77</v>
      </c>
      <c r="AF326" t="s">
        <v>2228</v>
      </c>
      <c r="AG326" t="s">
        <v>78</v>
      </c>
    </row>
    <row r="327" spans="1:33" hidden="1" x14ac:dyDescent="0.25">
      <c r="A327" t="str">
        <f>"1407000375"</f>
        <v>1407000375</v>
      </c>
      <c r="B327" t="str">
        <f>"03090466"</f>
        <v>03090466</v>
      </c>
      <c r="C327" t="s">
        <v>3429</v>
      </c>
      <c r="D327" t="s">
        <v>3430</v>
      </c>
      <c r="E327" t="s">
        <v>3431</v>
      </c>
      <c r="G327" t="s">
        <v>2224</v>
      </c>
      <c r="H327" t="s">
        <v>2225</v>
      </c>
      <c r="J327" t="s">
        <v>2226</v>
      </c>
      <c r="L327" t="s">
        <v>72</v>
      </c>
      <c r="M327" t="s">
        <v>73</v>
      </c>
      <c r="R327" t="s">
        <v>3432</v>
      </c>
      <c r="W327" t="s">
        <v>3431</v>
      </c>
      <c r="X327" t="s">
        <v>3433</v>
      </c>
      <c r="Y327" t="s">
        <v>91</v>
      </c>
      <c r="Z327" t="s">
        <v>74</v>
      </c>
      <c r="AA327" t="str">
        <f>"10032-4220"</f>
        <v>10032-4220</v>
      </c>
      <c r="AB327" t="s">
        <v>106</v>
      </c>
      <c r="AC327" t="s">
        <v>76</v>
      </c>
      <c r="AD327" t="s">
        <v>73</v>
      </c>
      <c r="AE327" t="s">
        <v>77</v>
      </c>
      <c r="AF327" t="s">
        <v>2254</v>
      </c>
      <c r="AG327" t="s">
        <v>78</v>
      </c>
    </row>
    <row r="328" spans="1:33" hidden="1" x14ac:dyDescent="0.25">
      <c r="A328" t="str">
        <f>"1083638266"</f>
        <v>1083638266</v>
      </c>
      <c r="B328" t="str">
        <f>"02310483"</f>
        <v>02310483</v>
      </c>
      <c r="C328" t="s">
        <v>3434</v>
      </c>
      <c r="D328" t="s">
        <v>3435</v>
      </c>
      <c r="E328" t="s">
        <v>3436</v>
      </c>
      <c r="G328" t="s">
        <v>2224</v>
      </c>
      <c r="H328" t="s">
        <v>2225</v>
      </c>
      <c r="J328" t="s">
        <v>2226</v>
      </c>
      <c r="L328" t="s">
        <v>72</v>
      </c>
      <c r="M328" t="s">
        <v>73</v>
      </c>
      <c r="R328" t="s">
        <v>1183</v>
      </c>
      <c r="W328" t="s">
        <v>3436</v>
      </c>
      <c r="X328" t="s">
        <v>1793</v>
      </c>
      <c r="Y328" t="s">
        <v>91</v>
      </c>
      <c r="Z328" t="s">
        <v>74</v>
      </c>
      <c r="AA328" t="str">
        <f>"10032-3724"</f>
        <v>10032-3724</v>
      </c>
      <c r="AB328" t="s">
        <v>75</v>
      </c>
      <c r="AC328" t="s">
        <v>76</v>
      </c>
      <c r="AD328" t="s">
        <v>73</v>
      </c>
      <c r="AE328" t="s">
        <v>77</v>
      </c>
      <c r="AF328" t="s">
        <v>2228</v>
      </c>
      <c r="AG328" t="s">
        <v>78</v>
      </c>
    </row>
    <row r="329" spans="1:33" hidden="1" x14ac:dyDescent="0.25">
      <c r="A329" t="str">
        <f>"1487888442"</f>
        <v>1487888442</v>
      </c>
      <c r="B329" t="str">
        <f>"03887152"</f>
        <v>03887152</v>
      </c>
      <c r="C329" t="s">
        <v>3437</v>
      </c>
      <c r="D329" t="s">
        <v>3438</v>
      </c>
      <c r="E329" t="s">
        <v>3439</v>
      </c>
      <c r="L329" t="s">
        <v>80</v>
      </c>
      <c r="M329" t="s">
        <v>73</v>
      </c>
      <c r="R329" t="s">
        <v>3439</v>
      </c>
      <c r="W329" t="s">
        <v>3439</v>
      </c>
      <c r="X329" t="s">
        <v>3440</v>
      </c>
      <c r="Y329" t="s">
        <v>91</v>
      </c>
      <c r="Z329" t="s">
        <v>74</v>
      </c>
      <c r="AA329" t="str">
        <f>"10032-3720"</f>
        <v>10032-3720</v>
      </c>
      <c r="AB329" t="s">
        <v>75</v>
      </c>
      <c r="AC329" t="s">
        <v>76</v>
      </c>
      <c r="AD329" t="s">
        <v>73</v>
      </c>
      <c r="AE329" t="s">
        <v>77</v>
      </c>
      <c r="AF329" t="s">
        <v>2254</v>
      </c>
      <c r="AG329" t="s">
        <v>78</v>
      </c>
    </row>
    <row r="330" spans="1:33" hidden="1" x14ac:dyDescent="0.25">
      <c r="A330" t="str">
        <f>"1972539153"</f>
        <v>1972539153</v>
      </c>
      <c r="B330" t="str">
        <f>"01892819"</f>
        <v>01892819</v>
      </c>
      <c r="C330" t="s">
        <v>3441</v>
      </c>
      <c r="D330" t="s">
        <v>3442</v>
      </c>
      <c r="E330" t="s">
        <v>3443</v>
      </c>
      <c r="L330" t="s">
        <v>80</v>
      </c>
      <c r="M330" t="s">
        <v>73</v>
      </c>
      <c r="R330" t="s">
        <v>3444</v>
      </c>
      <c r="W330" t="s">
        <v>3443</v>
      </c>
      <c r="X330" t="s">
        <v>3445</v>
      </c>
      <c r="Y330" t="s">
        <v>91</v>
      </c>
      <c r="Z330" t="s">
        <v>74</v>
      </c>
      <c r="AA330" t="str">
        <f>"10029-6500"</f>
        <v>10029-6500</v>
      </c>
      <c r="AB330" t="s">
        <v>75</v>
      </c>
      <c r="AC330" t="s">
        <v>76</v>
      </c>
      <c r="AD330" t="s">
        <v>73</v>
      </c>
      <c r="AE330" t="s">
        <v>77</v>
      </c>
      <c r="AF330" t="s">
        <v>2228</v>
      </c>
      <c r="AG330" t="s">
        <v>78</v>
      </c>
    </row>
    <row r="331" spans="1:33" hidden="1" x14ac:dyDescent="0.25">
      <c r="A331" t="str">
        <f>"1538218706"</f>
        <v>1538218706</v>
      </c>
      <c r="B331" t="str">
        <f>"03377988"</f>
        <v>03377988</v>
      </c>
      <c r="C331" t="s">
        <v>3446</v>
      </c>
      <c r="D331" t="s">
        <v>3447</v>
      </c>
      <c r="E331" t="s">
        <v>3448</v>
      </c>
      <c r="L331" t="s">
        <v>80</v>
      </c>
      <c r="M331" t="s">
        <v>73</v>
      </c>
      <c r="R331" t="s">
        <v>3449</v>
      </c>
      <c r="W331" t="s">
        <v>3448</v>
      </c>
      <c r="X331" t="s">
        <v>167</v>
      </c>
      <c r="Y331" t="s">
        <v>91</v>
      </c>
      <c r="Z331" t="s">
        <v>74</v>
      </c>
      <c r="AA331" t="str">
        <f>"10032-3720"</f>
        <v>10032-3720</v>
      </c>
      <c r="AB331" t="s">
        <v>75</v>
      </c>
      <c r="AC331" t="s">
        <v>76</v>
      </c>
      <c r="AD331" t="s">
        <v>73</v>
      </c>
      <c r="AE331" t="s">
        <v>77</v>
      </c>
      <c r="AF331" t="s">
        <v>2228</v>
      </c>
      <c r="AG331" t="s">
        <v>78</v>
      </c>
    </row>
    <row r="332" spans="1:33" hidden="1" x14ac:dyDescent="0.25">
      <c r="A332" t="str">
        <f>"1114015484"</f>
        <v>1114015484</v>
      </c>
      <c r="B332" t="str">
        <f>"02677750"</f>
        <v>02677750</v>
      </c>
      <c r="C332" t="s">
        <v>3450</v>
      </c>
      <c r="D332" t="s">
        <v>3451</v>
      </c>
      <c r="E332" t="s">
        <v>3452</v>
      </c>
      <c r="G332" t="s">
        <v>2224</v>
      </c>
      <c r="H332" t="s">
        <v>2225</v>
      </c>
      <c r="J332" t="s">
        <v>2226</v>
      </c>
      <c r="L332" t="s">
        <v>72</v>
      </c>
      <c r="M332" t="s">
        <v>73</v>
      </c>
      <c r="R332" t="s">
        <v>3453</v>
      </c>
      <c r="W332" t="s">
        <v>3452</v>
      </c>
      <c r="X332" t="s">
        <v>1096</v>
      </c>
      <c r="Y332" t="s">
        <v>91</v>
      </c>
      <c r="Z332" t="s">
        <v>74</v>
      </c>
      <c r="AA332" t="str">
        <f>"10065-4870"</f>
        <v>10065-4870</v>
      </c>
      <c r="AB332" t="s">
        <v>75</v>
      </c>
      <c r="AC332" t="s">
        <v>76</v>
      </c>
      <c r="AD332" t="s">
        <v>73</v>
      </c>
      <c r="AE332" t="s">
        <v>77</v>
      </c>
      <c r="AF332" t="s">
        <v>2398</v>
      </c>
      <c r="AG332" t="s">
        <v>78</v>
      </c>
    </row>
    <row r="333" spans="1:33" hidden="1" x14ac:dyDescent="0.25">
      <c r="A333" t="str">
        <f>"1932248705"</f>
        <v>1932248705</v>
      </c>
      <c r="B333" t="str">
        <f>"03211992"</f>
        <v>03211992</v>
      </c>
      <c r="C333" t="s">
        <v>3454</v>
      </c>
      <c r="D333" t="s">
        <v>3455</v>
      </c>
      <c r="E333" t="s">
        <v>3456</v>
      </c>
      <c r="G333" t="s">
        <v>2224</v>
      </c>
      <c r="H333" t="s">
        <v>2225</v>
      </c>
      <c r="J333" t="s">
        <v>2226</v>
      </c>
      <c r="L333" t="s">
        <v>72</v>
      </c>
      <c r="M333" t="s">
        <v>73</v>
      </c>
      <c r="R333" t="s">
        <v>3457</v>
      </c>
      <c r="W333" t="s">
        <v>3456</v>
      </c>
      <c r="X333" t="s">
        <v>1981</v>
      </c>
      <c r="Y333" t="s">
        <v>91</v>
      </c>
      <c r="Z333" t="s">
        <v>74</v>
      </c>
      <c r="AA333" t="str">
        <f>"10032-1559"</f>
        <v>10032-1559</v>
      </c>
      <c r="AB333" t="s">
        <v>75</v>
      </c>
      <c r="AC333" t="s">
        <v>76</v>
      </c>
      <c r="AD333" t="s">
        <v>73</v>
      </c>
      <c r="AE333" t="s">
        <v>77</v>
      </c>
      <c r="AF333" t="s">
        <v>2228</v>
      </c>
      <c r="AG333" t="s">
        <v>78</v>
      </c>
    </row>
    <row r="334" spans="1:33" hidden="1" x14ac:dyDescent="0.25">
      <c r="A334" t="str">
        <f>"1952332801"</f>
        <v>1952332801</v>
      </c>
      <c r="B334" t="str">
        <f>"02998658"</f>
        <v>02998658</v>
      </c>
      <c r="C334" t="s">
        <v>3458</v>
      </c>
      <c r="D334" t="s">
        <v>3459</v>
      </c>
      <c r="E334" t="s">
        <v>3460</v>
      </c>
      <c r="G334" t="s">
        <v>2224</v>
      </c>
      <c r="H334" t="s">
        <v>2225</v>
      </c>
      <c r="J334" t="s">
        <v>2226</v>
      </c>
      <c r="L334" t="s">
        <v>444</v>
      </c>
      <c r="M334" t="s">
        <v>82</v>
      </c>
      <c r="R334" t="s">
        <v>3461</v>
      </c>
      <c r="W334" t="s">
        <v>3462</v>
      </c>
      <c r="X334" t="s">
        <v>170</v>
      </c>
      <c r="Y334" t="s">
        <v>91</v>
      </c>
      <c r="Z334" t="s">
        <v>74</v>
      </c>
      <c r="AA334" t="str">
        <f>"10065-4870"</f>
        <v>10065-4870</v>
      </c>
      <c r="AB334" t="s">
        <v>90</v>
      </c>
      <c r="AC334" t="s">
        <v>76</v>
      </c>
      <c r="AD334" t="s">
        <v>73</v>
      </c>
      <c r="AE334" t="s">
        <v>77</v>
      </c>
      <c r="AF334" t="s">
        <v>2242</v>
      </c>
      <c r="AG334" t="s">
        <v>78</v>
      </c>
    </row>
    <row r="335" spans="1:33" hidden="1" x14ac:dyDescent="0.25">
      <c r="A335" t="str">
        <f>"1013188416"</f>
        <v>1013188416</v>
      </c>
      <c r="B335" t="str">
        <f>"03024971"</f>
        <v>03024971</v>
      </c>
      <c r="C335" t="s">
        <v>3463</v>
      </c>
      <c r="D335" t="s">
        <v>3464</v>
      </c>
      <c r="E335" t="s">
        <v>3465</v>
      </c>
      <c r="G335" t="s">
        <v>2224</v>
      </c>
      <c r="H335" t="s">
        <v>2225</v>
      </c>
      <c r="J335" t="s">
        <v>2226</v>
      </c>
      <c r="L335" t="s">
        <v>88</v>
      </c>
      <c r="M335" t="s">
        <v>73</v>
      </c>
      <c r="R335" t="s">
        <v>3466</v>
      </c>
      <c r="W335" t="s">
        <v>3467</v>
      </c>
      <c r="X335" t="s">
        <v>183</v>
      </c>
      <c r="Y335" t="s">
        <v>91</v>
      </c>
      <c r="Z335" t="s">
        <v>74</v>
      </c>
      <c r="AA335" t="str">
        <f>"10032-3729"</f>
        <v>10032-3729</v>
      </c>
      <c r="AB335" t="s">
        <v>75</v>
      </c>
      <c r="AC335" t="s">
        <v>76</v>
      </c>
      <c r="AD335" t="s">
        <v>73</v>
      </c>
      <c r="AE335" t="s">
        <v>77</v>
      </c>
      <c r="AF335" t="s">
        <v>2254</v>
      </c>
      <c r="AG335" t="s">
        <v>78</v>
      </c>
    </row>
    <row r="336" spans="1:33" hidden="1" x14ac:dyDescent="0.25">
      <c r="A336" t="str">
        <f>"1386079424"</f>
        <v>1386079424</v>
      </c>
      <c r="B336" t="str">
        <f>"03737859"</f>
        <v>03737859</v>
      </c>
      <c r="C336" t="s">
        <v>3468</v>
      </c>
      <c r="D336" t="s">
        <v>3469</v>
      </c>
      <c r="E336" t="s">
        <v>3470</v>
      </c>
      <c r="G336" t="s">
        <v>2224</v>
      </c>
      <c r="H336" t="s">
        <v>2225</v>
      </c>
      <c r="J336" t="s">
        <v>2226</v>
      </c>
      <c r="L336" t="s">
        <v>88</v>
      </c>
      <c r="M336" t="s">
        <v>73</v>
      </c>
      <c r="R336" t="s">
        <v>3470</v>
      </c>
      <c r="W336" t="s">
        <v>3470</v>
      </c>
      <c r="X336" t="s">
        <v>3407</v>
      </c>
      <c r="Y336" t="s">
        <v>91</v>
      </c>
      <c r="Z336" t="s">
        <v>74</v>
      </c>
      <c r="AA336" t="str">
        <f>"10032-3720"</f>
        <v>10032-3720</v>
      </c>
      <c r="AB336" t="s">
        <v>75</v>
      </c>
      <c r="AC336" t="s">
        <v>76</v>
      </c>
      <c r="AD336" t="s">
        <v>73</v>
      </c>
      <c r="AE336" t="s">
        <v>77</v>
      </c>
      <c r="AF336" t="s">
        <v>2254</v>
      </c>
      <c r="AG336" t="s">
        <v>78</v>
      </c>
    </row>
    <row r="337" spans="1:33" hidden="1" x14ac:dyDescent="0.25">
      <c r="A337" t="str">
        <f>"1417240896"</f>
        <v>1417240896</v>
      </c>
      <c r="B337" t="str">
        <f>"03539159"</f>
        <v>03539159</v>
      </c>
      <c r="C337" t="s">
        <v>3471</v>
      </c>
      <c r="D337" t="s">
        <v>1292</v>
      </c>
      <c r="E337" t="s">
        <v>1293</v>
      </c>
      <c r="L337" t="s">
        <v>72</v>
      </c>
      <c r="M337" t="s">
        <v>73</v>
      </c>
      <c r="R337" t="s">
        <v>1294</v>
      </c>
      <c r="W337" t="s">
        <v>1293</v>
      </c>
      <c r="X337" t="s">
        <v>236</v>
      </c>
      <c r="Y337" t="s">
        <v>91</v>
      </c>
      <c r="Z337" t="s">
        <v>74</v>
      </c>
      <c r="AA337" t="str">
        <f>"10034-1159"</f>
        <v>10034-1159</v>
      </c>
      <c r="AB337" t="s">
        <v>75</v>
      </c>
      <c r="AC337" t="s">
        <v>76</v>
      </c>
      <c r="AD337" t="s">
        <v>73</v>
      </c>
      <c r="AE337" t="s">
        <v>77</v>
      </c>
      <c r="AF337" t="s">
        <v>2228</v>
      </c>
      <c r="AG337" t="s">
        <v>78</v>
      </c>
    </row>
    <row r="338" spans="1:33" hidden="1" x14ac:dyDescent="0.25">
      <c r="A338" t="str">
        <f>"1194846238"</f>
        <v>1194846238</v>
      </c>
      <c r="B338" t="str">
        <f>"00537453"</f>
        <v>00537453</v>
      </c>
      <c r="C338" t="s">
        <v>1902</v>
      </c>
      <c r="D338" t="s">
        <v>1268</v>
      </c>
      <c r="E338" t="s">
        <v>1269</v>
      </c>
      <c r="G338" t="s">
        <v>2260</v>
      </c>
      <c r="H338" t="s">
        <v>3472</v>
      </c>
      <c r="J338" t="s">
        <v>1512</v>
      </c>
      <c r="L338" t="s">
        <v>72</v>
      </c>
      <c r="M338" t="s">
        <v>73</v>
      </c>
      <c r="R338" t="s">
        <v>1270</v>
      </c>
      <c r="W338" t="s">
        <v>1269</v>
      </c>
      <c r="Y338" t="s">
        <v>91</v>
      </c>
      <c r="Z338" t="s">
        <v>74</v>
      </c>
      <c r="AA338" t="str">
        <f>"10024-2298"</f>
        <v>10024-2298</v>
      </c>
      <c r="AB338" t="s">
        <v>75</v>
      </c>
      <c r="AC338" t="s">
        <v>76</v>
      </c>
      <c r="AD338" t="s">
        <v>73</v>
      </c>
      <c r="AE338" t="s">
        <v>77</v>
      </c>
      <c r="AF338" t="s">
        <v>2254</v>
      </c>
      <c r="AG338" t="s">
        <v>78</v>
      </c>
    </row>
    <row r="339" spans="1:33" hidden="1" x14ac:dyDescent="0.25">
      <c r="A339" t="str">
        <f>"1477580165"</f>
        <v>1477580165</v>
      </c>
      <c r="B339" t="str">
        <f>"02574532"</f>
        <v>02574532</v>
      </c>
      <c r="C339" t="s">
        <v>3473</v>
      </c>
      <c r="D339" t="s">
        <v>1273</v>
      </c>
      <c r="E339" t="s">
        <v>1274</v>
      </c>
      <c r="G339" t="s">
        <v>2260</v>
      </c>
      <c r="H339" t="s">
        <v>3474</v>
      </c>
      <c r="J339" t="s">
        <v>1512</v>
      </c>
      <c r="L339" t="s">
        <v>291</v>
      </c>
      <c r="M339" t="s">
        <v>82</v>
      </c>
      <c r="R339" t="s">
        <v>1275</v>
      </c>
      <c r="W339" t="s">
        <v>1274</v>
      </c>
      <c r="X339" t="s">
        <v>180</v>
      </c>
      <c r="Y339" t="s">
        <v>118</v>
      </c>
      <c r="Z339" t="s">
        <v>74</v>
      </c>
      <c r="AA339" t="str">
        <f>"10457-2545"</f>
        <v>10457-2545</v>
      </c>
      <c r="AB339" t="s">
        <v>75</v>
      </c>
      <c r="AC339" t="s">
        <v>76</v>
      </c>
      <c r="AD339" t="s">
        <v>73</v>
      </c>
      <c r="AE339" t="s">
        <v>77</v>
      </c>
      <c r="AF339" t="s">
        <v>2254</v>
      </c>
      <c r="AG339" t="s">
        <v>78</v>
      </c>
    </row>
    <row r="340" spans="1:33" hidden="1" x14ac:dyDescent="0.25">
      <c r="A340" t="str">
        <f>"1467589572"</f>
        <v>1467589572</v>
      </c>
      <c r="B340" t="str">
        <f>"02863147"</f>
        <v>02863147</v>
      </c>
      <c r="C340" t="s">
        <v>3475</v>
      </c>
      <c r="D340" t="s">
        <v>3476</v>
      </c>
      <c r="E340" t="s">
        <v>1886</v>
      </c>
      <c r="L340" t="s">
        <v>80</v>
      </c>
      <c r="M340" t="s">
        <v>73</v>
      </c>
      <c r="R340" t="s">
        <v>1886</v>
      </c>
      <c r="W340" t="s">
        <v>1886</v>
      </c>
      <c r="X340" t="s">
        <v>3477</v>
      </c>
      <c r="Y340" t="s">
        <v>91</v>
      </c>
      <c r="Z340" t="s">
        <v>74</v>
      </c>
      <c r="AA340" t="str">
        <f>"10032-3725"</f>
        <v>10032-3725</v>
      </c>
      <c r="AB340" t="s">
        <v>75</v>
      </c>
      <c r="AC340" t="s">
        <v>76</v>
      </c>
      <c r="AD340" t="s">
        <v>73</v>
      </c>
      <c r="AE340" t="s">
        <v>77</v>
      </c>
      <c r="AF340" t="s">
        <v>2228</v>
      </c>
      <c r="AG340" t="s">
        <v>78</v>
      </c>
    </row>
    <row r="341" spans="1:33" hidden="1" x14ac:dyDescent="0.25">
      <c r="A341" t="str">
        <f>"1063546323"</f>
        <v>1063546323</v>
      </c>
      <c r="B341" t="str">
        <f>"01811774"</f>
        <v>01811774</v>
      </c>
      <c r="C341" t="s">
        <v>3478</v>
      </c>
      <c r="D341" t="s">
        <v>3479</v>
      </c>
      <c r="E341" t="s">
        <v>3480</v>
      </c>
      <c r="L341" t="s">
        <v>96</v>
      </c>
      <c r="M341" t="s">
        <v>73</v>
      </c>
      <c r="R341" t="s">
        <v>3481</v>
      </c>
      <c r="W341" t="s">
        <v>3480</v>
      </c>
      <c r="X341" t="s">
        <v>3480</v>
      </c>
      <c r="Y341" t="s">
        <v>91</v>
      </c>
      <c r="Z341" t="s">
        <v>74</v>
      </c>
      <c r="AA341" t="str">
        <f>"10032-3720"</f>
        <v>10032-3720</v>
      </c>
      <c r="AB341" t="s">
        <v>75</v>
      </c>
      <c r="AC341" t="s">
        <v>76</v>
      </c>
      <c r="AD341" t="s">
        <v>73</v>
      </c>
      <c r="AE341" t="s">
        <v>77</v>
      </c>
      <c r="AF341" t="s">
        <v>2228</v>
      </c>
      <c r="AG341" t="s">
        <v>78</v>
      </c>
    </row>
    <row r="342" spans="1:33" hidden="1" x14ac:dyDescent="0.25">
      <c r="A342" t="str">
        <f>"1811024920"</f>
        <v>1811024920</v>
      </c>
      <c r="B342" t="str">
        <f>"01900494"</f>
        <v>01900494</v>
      </c>
      <c r="C342" t="s">
        <v>3482</v>
      </c>
      <c r="D342" t="s">
        <v>3483</v>
      </c>
      <c r="E342" t="s">
        <v>3484</v>
      </c>
      <c r="G342" t="s">
        <v>2224</v>
      </c>
      <c r="H342" t="s">
        <v>2225</v>
      </c>
      <c r="J342" t="s">
        <v>2226</v>
      </c>
      <c r="L342" t="s">
        <v>100</v>
      </c>
      <c r="M342" t="s">
        <v>73</v>
      </c>
      <c r="R342" t="s">
        <v>3485</v>
      </c>
      <c r="W342" t="s">
        <v>3486</v>
      </c>
      <c r="X342" t="s">
        <v>2292</v>
      </c>
      <c r="Y342" t="s">
        <v>91</v>
      </c>
      <c r="Z342" t="s">
        <v>74</v>
      </c>
      <c r="AA342" t="str">
        <f>"10032-0000"</f>
        <v>10032-0000</v>
      </c>
      <c r="AB342" t="s">
        <v>113</v>
      </c>
      <c r="AC342" t="s">
        <v>76</v>
      </c>
      <c r="AD342" t="s">
        <v>73</v>
      </c>
      <c r="AE342" t="s">
        <v>77</v>
      </c>
      <c r="AF342" t="s">
        <v>2228</v>
      </c>
      <c r="AG342" t="s">
        <v>78</v>
      </c>
    </row>
    <row r="343" spans="1:33" hidden="1" x14ac:dyDescent="0.25">
      <c r="A343" t="str">
        <f>"1598922023"</f>
        <v>1598922023</v>
      </c>
      <c r="B343" t="str">
        <f>"03488951"</f>
        <v>03488951</v>
      </c>
      <c r="C343" t="s">
        <v>3487</v>
      </c>
      <c r="D343" t="s">
        <v>3488</v>
      </c>
      <c r="E343" t="s">
        <v>3489</v>
      </c>
      <c r="G343" t="s">
        <v>2224</v>
      </c>
      <c r="H343" t="s">
        <v>2225</v>
      </c>
      <c r="J343" t="s">
        <v>2226</v>
      </c>
      <c r="L343" t="s">
        <v>81</v>
      </c>
      <c r="M343" t="s">
        <v>73</v>
      </c>
      <c r="R343" t="s">
        <v>3490</v>
      </c>
      <c r="W343" t="s">
        <v>3489</v>
      </c>
      <c r="X343" t="s">
        <v>3491</v>
      </c>
      <c r="Y343" t="s">
        <v>91</v>
      </c>
      <c r="Z343" t="s">
        <v>74</v>
      </c>
      <c r="AA343" t="str">
        <f>"10065-4870"</f>
        <v>10065-4870</v>
      </c>
      <c r="AB343" t="s">
        <v>75</v>
      </c>
      <c r="AC343" t="s">
        <v>76</v>
      </c>
      <c r="AD343" t="s">
        <v>73</v>
      </c>
      <c r="AE343" t="s">
        <v>77</v>
      </c>
      <c r="AF343" t="s">
        <v>2242</v>
      </c>
      <c r="AG343" t="s">
        <v>78</v>
      </c>
    </row>
    <row r="344" spans="1:33" hidden="1" x14ac:dyDescent="0.25">
      <c r="A344" t="str">
        <f>"1750692984"</f>
        <v>1750692984</v>
      </c>
      <c r="B344" t="str">
        <f>"03394112"</f>
        <v>03394112</v>
      </c>
      <c r="C344" t="s">
        <v>3492</v>
      </c>
      <c r="D344" t="s">
        <v>3493</v>
      </c>
      <c r="E344" t="s">
        <v>3494</v>
      </c>
      <c r="L344" t="s">
        <v>80</v>
      </c>
      <c r="M344" t="s">
        <v>73</v>
      </c>
      <c r="R344" t="s">
        <v>3495</v>
      </c>
      <c r="W344" t="s">
        <v>3494</v>
      </c>
      <c r="X344" t="s">
        <v>170</v>
      </c>
      <c r="Y344" t="s">
        <v>91</v>
      </c>
      <c r="Z344" t="s">
        <v>74</v>
      </c>
      <c r="AA344" t="str">
        <f>"10065-4870"</f>
        <v>10065-4870</v>
      </c>
      <c r="AB344" t="s">
        <v>75</v>
      </c>
      <c r="AC344" t="s">
        <v>76</v>
      </c>
      <c r="AD344" t="s">
        <v>73</v>
      </c>
      <c r="AE344" t="s">
        <v>77</v>
      </c>
      <c r="AF344" t="s">
        <v>2242</v>
      </c>
      <c r="AG344" t="s">
        <v>78</v>
      </c>
    </row>
    <row r="345" spans="1:33" hidden="1" x14ac:dyDescent="0.25">
      <c r="A345" t="str">
        <f>"1104078153"</f>
        <v>1104078153</v>
      </c>
      <c r="C345" t="s">
        <v>3496</v>
      </c>
      <c r="G345" t="s">
        <v>2224</v>
      </c>
      <c r="H345" t="s">
        <v>2312</v>
      </c>
      <c r="J345" t="s">
        <v>2226</v>
      </c>
      <c r="K345" t="s">
        <v>171</v>
      </c>
      <c r="L345" t="s">
        <v>96</v>
      </c>
      <c r="M345" t="s">
        <v>73</v>
      </c>
      <c r="R345" t="s">
        <v>3497</v>
      </c>
      <c r="S345" t="s">
        <v>170</v>
      </c>
      <c r="T345" t="s">
        <v>91</v>
      </c>
      <c r="U345" t="s">
        <v>74</v>
      </c>
      <c r="V345" t="str">
        <f>"100654870"</f>
        <v>100654870</v>
      </c>
      <c r="AC345" t="s">
        <v>76</v>
      </c>
      <c r="AD345" t="s">
        <v>73</v>
      </c>
      <c r="AE345" t="s">
        <v>97</v>
      </c>
      <c r="AF345" t="s">
        <v>2242</v>
      </c>
      <c r="AG345" t="s">
        <v>78</v>
      </c>
    </row>
    <row r="346" spans="1:33" hidden="1" x14ac:dyDescent="0.25">
      <c r="A346" t="str">
        <f>"1417071945"</f>
        <v>1417071945</v>
      </c>
      <c r="B346" t="str">
        <f>"01856179"</f>
        <v>01856179</v>
      </c>
      <c r="C346" t="s">
        <v>3498</v>
      </c>
      <c r="D346" t="s">
        <v>3499</v>
      </c>
      <c r="E346" t="s">
        <v>3500</v>
      </c>
      <c r="L346" t="s">
        <v>36</v>
      </c>
      <c r="M346" t="s">
        <v>73</v>
      </c>
      <c r="R346" t="s">
        <v>3498</v>
      </c>
      <c r="W346" t="s">
        <v>3498</v>
      </c>
      <c r="X346" t="s">
        <v>170</v>
      </c>
      <c r="Y346" t="s">
        <v>91</v>
      </c>
      <c r="Z346" t="s">
        <v>74</v>
      </c>
      <c r="AA346" t="str">
        <f>"10065-4870"</f>
        <v>10065-4870</v>
      </c>
      <c r="AB346" t="s">
        <v>114</v>
      </c>
      <c r="AC346" t="s">
        <v>76</v>
      </c>
      <c r="AD346" t="s">
        <v>73</v>
      </c>
      <c r="AE346" t="s">
        <v>77</v>
      </c>
      <c r="AF346" t="s">
        <v>2254</v>
      </c>
      <c r="AG346" t="s">
        <v>78</v>
      </c>
    </row>
    <row r="347" spans="1:33" hidden="1" x14ac:dyDescent="0.25">
      <c r="A347" t="str">
        <f>"1326205584"</f>
        <v>1326205584</v>
      </c>
      <c r="B347" t="str">
        <f>"03036500"</f>
        <v>03036500</v>
      </c>
      <c r="C347" t="s">
        <v>3501</v>
      </c>
      <c r="D347" t="s">
        <v>3502</v>
      </c>
      <c r="E347" t="s">
        <v>3503</v>
      </c>
      <c r="L347" t="s">
        <v>72</v>
      </c>
      <c r="M347" t="s">
        <v>73</v>
      </c>
      <c r="R347" t="s">
        <v>3504</v>
      </c>
      <c r="W347" t="s">
        <v>3503</v>
      </c>
      <c r="X347" t="s">
        <v>1379</v>
      </c>
      <c r="Y347" t="s">
        <v>91</v>
      </c>
      <c r="Z347" t="s">
        <v>74</v>
      </c>
      <c r="AA347" t="str">
        <f>"10032-3720"</f>
        <v>10032-3720</v>
      </c>
      <c r="AB347" t="s">
        <v>75</v>
      </c>
      <c r="AC347" t="s">
        <v>76</v>
      </c>
      <c r="AD347" t="s">
        <v>73</v>
      </c>
      <c r="AE347" t="s">
        <v>77</v>
      </c>
      <c r="AF347" t="s">
        <v>2228</v>
      </c>
      <c r="AG347" t="s">
        <v>78</v>
      </c>
    </row>
    <row r="348" spans="1:33" hidden="1" x14ac:dyDescent="0.25">
      <c r="A348" t="str">
        <f>"1336444926"</f>
        <v>1336444926</v>
      </c>
      <c r="C348" t="s">
        <v>3505</v>
      </c>
      <c r="G348" t="s">
        <v>2224</v>
      </c>
      <c r="H348" t="s">
        <v>2312</v>
      </c>
      <c r="J348" t="s">
        <v>2226</v>
      </c>
      <c r="K348" t="s">
        <v>171</v>
      </c>
      <c r="L348" t="s">
        <v>72</v>
      </c>
      <c r="M348" t="s">
        <v>73</v>
      </c>
      <c r="R348" t="s">
        <v>3506</v>
      </c>
      <c r="S348" t="s">
        <v>3507</v>
      </c>
      <c r="T348" t="s">
        <v>91</v>
      </c>
      <c r="U348" t="s">
        <v>74</v>
      </c>
      <c r="V348" t="str">
        <f>"100382612"</f>
        <v>100382612</v>
      </c>
      <c r="AC348" t="s">
        <v>76</v>
      </c>
      <c r="AD348" t="s">
        <v>73</v>
      </c>
      <c r="AE348" t="s">
        <v>97</v>
      </c>
      <c r="AF348" t="s">
        <v>2242</v>
      </c>
      <c r="AG348" t="s">
        <v>78</v>
      </c>
    </row>
    <row r="349" spans="1:33" hidden="1" x14ac:dyDescent="0.25">
      <c r="A349" t="str">
        <f>"1568771277"</f>
        <v>1568771277</v>
      </c>
      <c r="C349" t="s">
        <v>3508</v>
      </c>
      <c r="G349" t="s">
        <v>2514</v>
      </c>
      <c r="H349" t="s">
        <v>3509</v>
      </c>
      <c r="J349" t="s">
        <v>2516</v>
      </c>
      <c r="K349" t="s">
        <v>507</v>
      </c>
      <c r="L349" t="s">
        <v>96</v>
      </c>
      <c r="M349" t="s">
        <v>73</v>
      </c>
      <c r="R349" t="s">
        <v>3510</v>
      </c>
      <c r="S349" t="s">
        <v>1377</v>
      </c>
      <c r="T349" t="s">
        <v>91</v>
      </c>
      <c r="U349" t="s">
        <v>74</v>
      </c>
      <c r="V349" t="str">
        <f>"100401602"</f>
        <v>100401602</v>
      </c>
      <c r="AC349" t="s">
        <v>76</v>
      </c>
      <c r="AD349" t="s">
        <v>73</v>
      </c>
      <c r="AE349" t="s">
        <v>97</v>
      </c>
      <c r="AF349" t="s">
        <v>2518</v>
      </c>
      <c r="AG349" t="s">
        <v>78</v>
      </c>
    </row>
    <row r="350" spans="1:33" hidden="1" x14ac:dyDescent="0.25">
      <c r="A350" t="str">
        <f>"1609046390"</f>
        <v>1609046390</v>
      </c>
      <c r="B350" t="str">
        <f>"03434806"</f>
        <v>03434806</v>
      </c>
      <c r="C350" t="s">
        <v>3511</v>
      </c>
      <c r="D350" t="s">
        <v>3512</v>
      </c>
      <c r="E350" t="s">
        <v>3513</v>
      </c>
      <c r="L350" t="s">
        <v>72</v>
      </c>
      <c r="M350" t="s">
        <v>73</v>
      </c>
      <c r="R350" t="s">
        <v>3514</v>
      </c>
      <c r="W350" t="s">
        <v>3513</v>
      </c>
      <c r="X350" t="s">
        <v>1379</v>
      </c>
      <c r="Y350" t="s">
        <v>91</v>
      </c>
      <c r="Z350" t="s">
        <v>74</v>
      </c>
      <c r="AA350" t="str">
        <f>"10032-3720"</f>
        <v>10032-3720</v>
      </c>
      <c r="AB350" t="s">
        <v>75</v>
      </c>
      <c r="AC350" t="s">
        <v>76</v>
      </c>
      <c r="AD350" t="s">
        <v>73</v>
      </c>
      <c r="AE350" t="s">
        <v>77</v>
      </c>
      <c r="AF350" t="s">
        <v>2228</v>
      </c>
      <c r="AG350" t="s">
        <v>78</v>
      </c>
    </row>
    <row r="351" spans="1:33" hidden="1" x14ac:dyDescent="0.25">
      <c r="A351" t="str">
        <f>"1578577276"</f>
        <v>1578577276</v>
      </c>
      <c r="B351" t="str">
        <f>"01132943"</f>
        <v>01132943</v>
      </c>
      <c r="C351" t="s">
        <v>3515</v>
      </c>
      <c r="D351" t="s">
        <v>1448</v>
      </c>
      <c r="E351" t="s">
        <v>1449</v>
      </c>
      <c r="L351" t="s">
        <v>72</v>
      </c>
      <c r="M351" t="s">
        <v>73</v>
      </c>
      <c r="R351" t="s">
        <v>1450</v>
      </c>
      <c r="W351" t="s">
        <v>1449</v>
      </c>
      <c r="Y351" t="s">
        <v>91</v>
      </c>
      <c r="Z351" t="s">
        <v>74</v>
      </c>
      <c r="AA351" t="str">
        <f>"10032-3720"</f>
        <v>10032-3720</v>
      </c>
      <c r="AB351" t="s">
        <v>75</v>
      </c>
      <c r="AC351" t="s">
        <v>76</v>
      </c>
      <c r="AD351" t="s">
        <v>73</v>
      </c>
      <c r="AE351" t="s">
        <v>77</v>
      </c>
      <c r="AF351" t="s">
        <v>2228</v>
      </c>
      <c r="AG351" t="s">
        <v>78</v>
      </c>
    </row>
    <row r="352" spans="1:33" hidden="1" x14ac:dyDescent="0.25">
      <c r="A352" t="str">
        <f>"1689932824"</f>
        <v>1689932824</v>
      </c>
      <c r="C352" t="s">
        <v>3516</v>
      </c>
      <c r="G352" t="s">
        <v>2224</v>
      </c>
      <c r="H352" t="s">
        <v>2312</v>
      </c>
      <c r="J352" t="s">
        <v>2226</v>
      </c>
      <c r="K352" t="s">
        <v>171</v>
      </c>
      <c r="L352" t="s">
        <v>96</v>
      </c>
      <c r="M352" t="s">
        <v>73</v>
      </c>
      <c r="R352" t="s">
        <v>3517</v>
      </c>
      <c r="S352" t="s">
        <v>3518</v>
      </c>
      <c r="T352" t="s">
        <v>1553</v>
      </c>
      <c r="U352" t="s">
        <v>224</v>
      </c>
      <c r="V352" t="str">
        <f>"331434679"</f>
        <v>331434679</v>
      </c>
      <c r="AC352" t="s">
        <v>76</v>
      </c>
      <c r="AD352" t="s">
        <v>73</v>
      </c>
      <c r="AE352" t="s">
        <v>97</v>
      </c>
      <c r="AF352" t="s">
        <v>2242</v>
      </c>
      <c r="AG352" t="s">
        <v>78</v>
      </c>
    </row>
    <row r="353" spans="1:33" hidden="1" x14ac:dyDescent="0.25">
      <c r="A353" t="str">
        <f>"1497173868"</f>
        <v>1497173868</v>
      </c>
      <c r="C353" t="s">
        <v>3519</v>
      </c>
      <c r="G353" t="s">
        <v>2224</v>
      </c>
      <c r="H353" t="s">
        <v>2312</v>
      </c>
      <c r="J353" t="s">
        <v>2226</v>
      </c>
      <c r="K353" t="s">
        <v>171</v>
      </c>
      <c r="L353" t="s">
        <v>96</v>
      </c>
      <c r="M353" t="s">
        <v>73</v>
      </c>
      <c r="R353" t="s">
        <v>3520</v>
      </c>
      <c r="S353" t="s">
        <v>3521</v>
      </c>
      <c r="T353" t="s">
        <v>91</v>
      </c>
      <c r="U353" t="s">
        <v>74</v>
      </c>
      <c r="V353" t="str">
        <f>"100163747"</f>
        <v>100163747</v>
      </c>
      <c r="AC353" t="s">
        <v>76</v>
      </c>
      <c r="AD353" t="s">
        <v>73</v>
      </c>
      <c r="AE353" t="s">
        <v>97</v>
      </c>
      <c r="AF353" t="s">
        <v>2242</v>
      </c>
      <c r="AG353" t="s">
        <v>78</v>
      </c>
    </row>
    <row r="354" spans="1:33" hidden="1" x14ac:dyDescent="0.25">
      <c r="A354" t="str">
        <f>"1083024376"</f>
        <v>1083024376</v>
      </c>
      <c r="C354" t="s">
        <v>3522</v>
      </c>
      <c r="G354" t="s">
        <v>2224</v>
      </c>
      <c r="H354" t="s">
        <v>2312</v>
      </c>
      <c r="J354" t="s">
        <v>2226</v>
      </c>
      <c r="K354" t="s">
        <v>171</v>
      </c>
      <c r="L354" t="s">
        <v>96</v>
      </c>
      <c r="M354" t="s">
        <v>73</v>
      </c>
      <c r="R354" t="s">
        <v>3523</v>
      </c>
      <c r="S354" t="s">
        <v>3524</v>
      </c>
      <c r="T354" t="s">
        <v>572</v>
      </c>
      <c r="U354" t="s">
        <v>536</v>
      </c>
      <c r="V354" t="str">
        <f>"068113733"</f>
        <v>068113733</v>
      </c>
      <c r="AC354" t="s">
        <v>76</v>
      </c>
      <c r="AD354" t="s">
        <v>73</v>
      </c>
      <c r="AE354" t="s">
        <v>97</v>
      </c>
      <c r="AF354" t="s">
        <v>2242</v>
      </c>
      <c r="AG354" t="s">
        <v>78</v>
      </c>
    </row>
    <row r="355" spans="1:33" hidden="1" x14ac:dyDescent="0.25">
      <c r="A355" t="str">
        <f>"1427340769"</f>
        <v>1427340769</v>
      </c>
      <c r="C355" t="s">
        <v>3525</v>
      </c>
      <c r="G355" t="s">
        <v>2224</v>
      </c>
      <c r="H355" t="s">
        <v>2312</v>
      </c>
      <c r="J355" t="s">
        <v>2226</v>
      </c>
      <c r="K355" t="s">
        <v>171</v>
      </c>
      <c r="L355" t="s">
        <v>96</v>
      </c>
      <c r="M355" t="s">
        <v>73</v>
      </c>
      <c r="R355" t="s">
        <v>3526</v>
      </c>
      <c r="S355" t="s">
        <v>3527</v>
      </c>
      <c r="T355" t="s">
        <v>91</v>
      </c>
      <c r="U355" t="s">
        <v>74</v>
      </c>
      <c r="V355" t="str">
        <f>"100654870"</f>
        <v>100654870</v>
      </c>
      <c r="AC355" t="s">
        <v>76</v>
      </c>
      <c r="AD355" t="s">
        <v>73</v>
      </c>
      <c r="AE355" t="s">
        <v>97</v>
      </c>
      <c r="AF355" t="s">
        <v>2228</v>
      </c>
      <c r="AG355" t="s">
        <v>78</v>
      </c>
    </row>
    <row r="356" spans="1:33" hidden="1" x14ac:dyDescent="0.25">
      <c r="A356" t="str">
        <f>"1336431683"</f>
        <v>1336431683</v>
      </c>
      <c r="C356" t="s">
        <v>3528</v>
      </c>
      <c r="G356" t="s">
        <v>2224</v>
      </c>
      <c r="H356" t="s">
        <v>2312</v>
      </c>
      <c r="J356" t="s">
        <v>2226</v>
      </c>
      <c r="K356" t="s">
        <v>171</v>
      </c>
      <c r="L356" t="s">
        <v>96</v>
      </c>
      <c r="M356" t="s">
        <v>73</v>
      </c>
      <c r="R356" t="s">
        <v>3529</v>
      </c>
      <c r="S356" t="s">
        <v>3527</v>
      </c>
      <c r="T356" t="s">
        <v>91</v>
      </c>
      <c r="U356" t="s">
        <v>74</v>
      </c>
      <c r="V356" t="str">
        <f>"100654870"</f>
        <v>100654870</v>
      </c>
      <c r="AC356" t="s">
        <v>76</v>
      </c>
      <c r="AD356" t="s">
        <v>73</v>
      </c>
      <c r="AE356" t="s">
        <v>97</v>
      </c>
      <c r="AF356" t="s">
        <v>2242</v>
      </c>
      <c r="AG356" t="s">
        <v>78</v>
      </c>
    </row>
    <row r="357" spans="1:33" hidden="1" x14ac:dyDescent="0.25">
      <c r="A357" t="str">
        <f>"1932442456"</f>
        <v>1932442456</v>
      </c>
      <c r="C357" t="s">
        <v>3530</v>
      </c>
      <c r="G357" t="s">
        <v>2224</v>
      </c>
      <c r="H357" t="s">
        <v>2312</v>
      </c>
      <c r="J357" t="s">
        <v>2226</v>
      </c>
      <c r="K357" t="s">
        <v>171</v>
      </c>
      <c r="L357" t="s">
        <v>96</v>
      </c>
      <c r="M357" t="s">
        <v>73</v>
      </c>
      <c r="R357" t="s">
        <v>3531</v>
      </c>
      <c r="S357" t="s">
        <v>3532</v>
      </c>
      <c r="T357" t="s">
        <v>91</v>
      </c>
      <c r="U357" t="s">
        <v>74</v>
      </c>
      <c r="V357" t="str">
        <f>"10021"</f>
        <v>10021</v>
      </c>
      <c r="AC357" t="s">
        <v>76</v>
      </c>
      <c r="AD357" t="s">
        <v>73</v>
      </c>
      <c r="AE357" t="s">
        <v>97</v>
      </c>
      <c r="AF357" t="s">
        <v>2242</v>
      </c>
      <c r="AG357" t="s">
        <v>78</v>
      </c>
    </row>
    <row r="358" spans="1:33" hidden="1" x14ac:dyDescent="0.25">
      <c r="A358" t="str">
        <f>"1952693202"</f>
        <v>1952693202</v>
      </c>
      <c r="B358" t="str">
        <f>"04262162"</f>
        <v>04262162</v>
      </c>
      <c r="C358" t="s">
        <v>3533</v>
      </c>
      <c r="D358" t="s">
        <v>3534</v>
      </c>
      <c r="E358" t="s">
        <v>3535</v>
      </c>
      <c r="G358" t="s">
        <v>2224</v>
      </c>
      <c r="H358" t="s">
        <v>2312</v>
      </c>
      <c r="J358" t="s">
        <v>2226</v>
      </c>
      <c r="L358" t="s">
        <v>80</v>
      </c>
      <c r="M358" t="s">
        <v>73</v>
      </c>
      <c r="R358" t="s">
        <v>3536</v>
      </c>
      <c r="W358" t="s">
        <v>3535</v>
      </c>
      <c r="X358" t="s">
        <v>170</v>
      </c>
      <c r="Y358" t="s">
        <v>91</v>
      </c>
      <c r="Z358" t="s">
        <v>74</v>
      </c>
      <c r="AA358" t="str">
        <f>"10065-4870"</f>
        <v>10065-4870</v>
      </c>
      <c r="AB358" t="s">
        <v>75</v>
      </c>
      <c r="AC358" t="s">
        <v>76</v>
      </c>
      <c r="AD358" t="s">
        <v>73</v>
      </c>
      <c r="AE358" t="s">
        <v>77</v>
      </c>
      <c r="AF358" t="s">
        <v>2242</v>
      </c>
      <c r="AG358" t="s">
        <v>78</v>
      </c>
    </row>
    <row r="359" spans="1:33" hidden="1" x14ac:dyDescent="0.25">
      <c r="A359" t="str">
        <f>"1841463288"</f>
        <v>1841463288</v>
      </c>
      <c r="B359" t="str">
        <f>"03489425"</f>
        <v>03489425</v>
      </c>
      <c r="C359" t="s">
        <v>3537</v>
      </c>
      <c r="D359" t="s">
        <v>2003</v>
      </c>
      <c r="E359" t="s">
        <v>2004</v>
      </c>
      <c r="G359" t="s">
        <v>2224</v>
      </c>
      <c r="H359" t="s">
        <v>2225</v>
      </c>
      <c r="J359" t="s">
        <v>2226</v>
      </c>
      <c r="L359" t="s">
        <v>80</v>
      </c>
      <c r="M359" t="s">
        <v>73</v>
      </c>
      <c r="R359" t="s">
        <v>2005</v>
      </c>
      <c r="W359" t="s">
        <v>2004</v>
      </c>
      <c r="X359" t="s">
        <v>167</v>
      </c>
      <c r="Y359" t="s">
        <v>91</v>
      </c>
      <c r="Z359" t="s">
        <v>74</v>
      </c>
      <c r="AA359" t="str">
        <f>"10032-3720"</f>
        <v>10032-3720</v>
      </c>
      <c r="AB359" t="s">
        <v>75</v>
      </c>
      <c r="AC359" t="s">
        <v>76</v>
      </c>
      <c r="AD359" t="s">
        <v>73</v>
      </c>
      <c r="AE359" t="s">
        <v>77</v>
      </c>
      <c r="AF359" t="s">
        <v>2254</v>
      </c>
      <c r="AG359" t="s">
        <v>78</v>
      </c>
    </row>
    <row r="360" spans="1:33" hidden="1" x14ac:dyDescent="0.25">
      <c r="A360" t="str">
        <f>"1588630958"</f>
        <v>1588630958</v>
      </c>
      <c r="B360" t="str">
        <f>"01396001"</f>
        <v>01396001</v>
      </c>
      <c r="C360" t="s">
        <v>3538</v>
      </c>
      <c r="D360" t="s">
        <v>3539</v>
      </c>
      <c r="E360" t="s">
        <v>3540</v>
      </c>
      <c r="L360" t="s">
        <v>80</v>
      </c>
      <c r="M360" t="s">
        <v>73</v>
      </c>
      <c r="R360" t="s">
        <v>3541</v>
      </c>
      <c r="W360" t="s">
        <v>3540</v>
      </c>
      <c r="X360" t="s">
        <v>3542</v>
      </c>
      <c r="Y360" t="s">
        <v>91</v>
      </c>
      <c r="Z360" t="s">
        <v>74</v>
      </c>
      <c r="AA360" t="str">
        <f>"10065-4870"</f>
        <v>10065-4870</v>
      </c>
      <c r="AB360" t="s">
        <v>75</v>
      </c>
      <c r="AC360" t="s">
        <v>76</v>
      </c>
      <c r="AD360" t="s">
        <v>73</v>
      </c>
      <c r="AE360" t="s">
        <v>77</v>
      </c>
      <c r="AF360" t="s">
        <v>2242</v>
      </c>
      <c r="AG360" t="s">
        <v>78</v>
      </c>
    </row>
    <row r="361" spans="1:33" hidden="1" x14ac:dyDescent="0.25">
      <c r="A361" t="str">
        <f>"1821185919"</f>
        <v>1821185919</v>
      </c>
      <c r="B361" t="str">
        <f>"01268982"</f>
        <v>01268982</v>
      </c>
      <c r="C361" t="s">
        <v>3543</v>
      </c>
      <c r="D361" t="s">
        <v>3544</v>
      </c>
      <c r="E361" t="s">
        <v>3545</v>
      </c>
      <c r="L361" t="s">
        <v>80</v>
      </c>
      <c r="M361" t="s">
        <v>73</v>
      </c>
      <c r="R361" t="s">
        <v>3546</v>
      </c>
      <c r="W361" t="s">
        <v>3545</v>
      </c>
      <c r="X361" t="s">
        <v>3547</v>
      </c>
      <c r="Y361" t="s">
        <v>91</v>
      </c>
      <c r="Z361" t="s">
        <v>74</v>
      </c>
      <c r="AA361" t="str">
        <f>"10065-4897"</f>
        <v>10065-4897</v>
      </c>
      <c r="AB361" t="s">
        <v>75</v>
      </c>
      <c r="AC361" t="s">
        <v>76</v>
      </c>
      <c r="AD361" t="s">
        <v>73</v>
      </c>
      <c r="AE361" t="s">
        <v>77</v>
      </c>
      <c r="AF361" t="s">
        <v>2242</v>
      </c>
      <c r="AG361" t="s">
        <v>78</v>
      </c>
    </row>
    <row r="362" spans="1:33" hidden="1" x14ac:dyDescent="0.25">
      <c r="A362" t="str">
        <f>"1013043579"</f>
        <v>1013043579</v>
      </c>
      <c r="B362" t="str">
        <f>"03366130"</f>
        <v>03366130</v>
      </c>
      <c r="C362" t="s">
        <v>3548</v>
      </c>
      <c r="D362" t="s">
        <v>3549</v>
      </c>
      <c r="E362" t="s">
        <v>3550</v>
      </c>
      <c r="L362" t="s">
        <v>80</v>
      </c>
      <c r="M362" t="s">
        <v>73</v>
      </c>
      <c r="R362" t="s">
        <v>3551</v>
      </c>
      <c r="W362" t="s">
        <v>3552</v>
      </c>
      <c r="X362" t="s">
        <v>275</v>
      </c>
      <c r="Y362" t="s">
        <v>84</v>
      </c>
      <c r="Z362" t="s">
        <v>74</v>
      </c>
      <c r="AA362" t="str">
        <f>"11203-2012"</f>
        <v>11203-2012</v>
      </c>
      <c r="AB362" t="s">
        <v>75</v>
      </c>
      <c r="AC362" t="s">
        <v>76</v>
      </c>
      <c r="AD362" t="s">
        <v>73</v>
      </c>
      <c r="AE362" t="s">
        <v>77</v>
      </c>
      <c r="AF362" t="s">
        <v>2242</v>
      </c>
      <c r="AG362" t="s">
        <v>78</v>
      </c>
    </row>
    <row r="363" spans="1:33" hidden="1" x14ac:dyDescent="0.25">
      <c r="A363" t="str">
        <f>"1962415752"</f>
        <v>1962415752</v>
      </c>
      <c r="B363" t="str">
        <f>"02269643"</f>
        <v>02269643</v>
      </c>
      <c r="C363" t="s">
        <v>3553</v>
      </c>
      <c r="D363" t="s">
        <v>3554</v>
      </c>
      <c r="E363" t="s">
        <v>3555</v>
      </c>
      <c r="L363" t="s">
        <v>80</v>
      </c>
      <c r="M363" t="s">
        <v>73</v>
      </c>
      <c r="R363" t="s">
        <v>3556</v>
      </c>
      <c r="W363" t="s">
        <v>3555</v>
      </c>
      <c r="X363" t="s">
        <v>3557</v>
      </c>
      <c r="Y363" t="s">
        <v>91</v>
      </c>
      <c r="Z363" t="s">
        <v>74</v>
      </c>
      <c r="AA363" t="str">
        <f>"10065-4870"</f>
        <v>10065-4870</v>
      </c>
      <c r="AB363" t="s">
        <v>75</v>
      </c>
      <c r="AC363" t="s">
        <v>76</v>
      </c>
      <c r="AD363" t="s">
        <v>73</v>
      </c>
      <c r="AE363" t="s">
        <v>77</v>
      </c>
      <c r="AF363" t="s">
        <v>2242</v>
      </c>
      <c r="AG363" t="s">
        <v>78</v>
      </c>
    </row>
    <row r="364" spans="1:33" hidden="1" x14ac:dyDescent="0.25">
      <c r="A364" t="str">
        <f>"1700197936"</f>
        <v>1700197936</v>
      </c>
      <c r="B364" t="str">
        <f>"03950772"</f>
        <v>03950772</v>
      </c>
      <c r="C364" t="s">
        <v>3558</v>
      </c>
      <c r="D364" t="s">
        <v>3559</v>
      </c>
      <c r="E364" t="s">
        <v>3560</v>
      </c>
      <c r="G364" t="s">
        <v>2224</v>
      </c>
      <c r="H364" t="s">
        <v>2312</v>
      </c>
      <c r="J364" t="s">
        <v>2226</v>
      </c>
      <c r="L364" t="s">
        <v>80</v>
      </c>
      <c r="M364" t="s">
        <v>73</v>
      </c>
      <c r="R364" t="s">
        <v>2082</v>
      </c>
      <c r="W364" t="s">
        <v>3560</v>
      </c>
      <c r="X364" t="s">
        <v>170</v>
      </c>
      <c r="Y364" t="s">
        <v>91</v>
      </c>
      <c r="Z364" t="s">
        <v>74</v>
      </c>
      <c r="AA364" t="str">
        <f>"10065-4870"</f>
        <v>10065-4870</v>
      </c>
      <c r="AB364" t="s">
        <v>75</v>
      </c>
      <c r="AC364" t="s">
        <v>76</v>
      </c>
      <c r="AD364" t="s">
        <v>73</v>
      </c>
      <c r="AE364" t="s">
        <v>77</v>
      </c>
      <c r="AF364" t="s">
        <v>2242</v>
      </c>
      <c r="AG364" t="s">
        <v>78</v>
      </c>
    </row>
    <row r="365" spans="1:33" hidden="1" x14ac:dyDescent="0.25">
      <c r="A365" t="str">
        <f>"1164584108"</f>
        <v>1164584108</v>
      </c>
      <c r="C365" t="s">
        <v>3561</v>
      </c>
      <c r="G365" t="s">
        <v>2224</v>
      </c>
      <c r="H365" t="s">
        <v>2312</v>
      </c>
      <c r="J365" t="s">
        <v>2226</v>
      </c>
      <c r="K365" t="s">
        <v>171</v>
      </c>
      <c r="L365" t="s">
        <v>96</v>
      </c>
      <c r="M365" t="s">
        <v>73</v>
      </c>
      <c r="R365" t="s">
        <v>3562</v>
      </c>
      <c r="S365" t="s">
        <v>170</v>
      </c>
      <c r="T365" t="s">
        <v>91</v>
      </c>
      <c r="U365" t="s">
        <v>74</v>
      </c>
      <c r="V365" t="str">
        <f>"100214870"</f>
        <v>100214870</v>
      </c>
      <c r="AC365" t="s">
        <v>76</v>
      </c>
      <c r="AD365" t="s">
        <v>73</v>
      </c>
      <c r="AE365" t="s">
        <v>97</v>
      </c>
      <c r="AF365" t="s">
        <v>2242</v>
      </c>
      <c r="AG365" t="s">
        <v>78</v>
      </c>
    </row>
    <row r="366" spans="1:33" hidden="1" x14ac:dyDescent="0.25">
      <c r="A366" t="str">
        <f>"1689016867"</f>
        <v>1689016867</v>
      </c>
      <c r="C366" t="s">
        <v>3563</v>
      </c>
      <c r="G366" t="s">
        <v>2224</v>
      </c>
      <c r="H366" t="s">
        <v>2312</v>
      </c>
      <c r="J366" t="s">
        <v>2226</v>
      </c>
      <c r="K366" t="s">
        <v>171</v>
      </c>
      <c r="L366" t="s">
        <v>96</v>
      </c>
      <c r="M366" t="s">
        <v>73</v>
      </c>
      <c r="R366" t="s">
        <v>3564</v>
      </c>
      <c r="S366" t="s">
        <v>170</v>
      </c>
      <c r="T366" t="s">
        <v>91</v>
      </c>
      <c r="U366" t="s">
        <v>74</v>
      </c>
      <c r="V366" t="str">
        <f>"100654870"</f>
        <v>100654870</v>
      </c>
      <c r="AC366" t="s">
        <v>76</v>
      </c>
      <c r="AD366" t="s">
        <v>73</v>
      </c>
      <c r="AE366" t="s">
        <v>97</v>
      </c>
      <c r="AF366" t="s">
        <v>2242</v>
      </c>
      <c r="AG366" t="s">
        <v>78</v>
      </c>
    </row>
    <row r="367" spans="1:33" hidden="1" x14ac:dyDescent="0.25">
      <c r="A367" t="str">
        <f>"1811907173"</f>
        <v>1811907173</v>
      </c>
      <c r="B367" t="str">
        <f>"01883045"</f>
        <v>01883045</v>
      </c>
      <c r="C367" t="s">
        <v>3565</v>
      </c>
      <c r="D367" t="s">
        <v>3566</v>
      </c>
      <c r="E367" t="s">
        <v>3567</v>
      </c>
      <c r="L367" t="s">
        <v>72</v>
      </c>
      <c r="M367" t="s">
        <v>73</v>
      </c>
      <c r="R367" t="s">
        <v>3568</v>
      </c>
      <c r="W367" t="s">
        <v>3567</v>
      </c>
      <c r="X367" t="s">
        <v>170</v>
      </c>
      <c r="Y367" t="s">
        <v>91</v>
      </c>
      <c r="Z367" t="s">
        <v>74</v>
      </c>
      <c r="AA367" t="str">
        <f>"10065-4870"</f>
        <v>10065-4870</v>
      </c>
      <c r="AB367" t="s">
        <v>75</v>
      </c>
      <c r="AC367" t="s">
        <v>76</v>
      </c>
      <c r="AD367" t="s">
        <v>73</v>
      </c>
      <c r="AE367" t="s">
        <v>77</v>
      </c>
      <c r="AF367" t="s">
        <v>2242</v>
      </c>
      <c r="AG367" t="s">
        <v>78</v>
      </c>
    </row>
    <row r="368" spans="1:33" hidden="1" x14ac:dyDescent="0.25">
      <c r="A368" t="str">
        <f>"1053654533"</f>
        <v>1053654533</v>
      </c>
      <c r="C368" t="s">
        <v>3569</v>
      </c>
      <c r="G368" t="s">
        <v>2224</v>
      </c>
      <c r="H368" t="s">
        <v>2312</v>
      </c>
      <c r="J368" t="s">
        <v>2226</v>
      </c>
      <c r="K368" t="s">
        <v>171</v>
      </c>
      <c r="L368" t="s">
        <v>96</v>
      </c>
      <c r="M368" t="s">
        <v>73</v>
      </c>
      <c r="R368" t="s">
        <v>3570</v>
      </c>
      <c r="S368" t="s">
        <v>3571</v>
      </c>
      <c r="T368" t="s">
        <v>91</v>
      </c>
      <c r="U368" t="s">
        <v>74</v>
      </c>
      <c r="V368" t="str">
        <f>"100323720"</f>
        <v>100323720</v>
      </c>
      <c r="AC368" t="s">
        <v>76</v>
      </c>
      <c r="AD368" t="s">
        <v>73</v>
      </c>
      <c r="AE368" t="s">
        <v>97</v>
      </c>
      <c r="AF368" t="s">
        <v>2228</v>
      </c>
      <c r="AG368" t="s">
        <v>78</v>
      </c>
    </row>
    <row r="369" spans="1:33" hidden="1" x14ac:dyDescent="0.25">
      <c r="A369" t="str">
        <f>"1770825267"</f>
        <v>1770825267</v>
      </c>
      <c r="C369" t="s">
        <v>3572</v>
      </c>
      <c r="G369" t="s">
        <v>2224</v>
      </c>
      <c r="H369" t="s">
        <v>2312</v>
      </c>
      <c r="J369" t="s">
        <v>2226</v>
      </c>
      <c r="K369" t="s">
        <v>171</v>
      </c>
      <c r="L369" t="s">
        <v>96</v>
      </c>
      <c r="M369" t="s">
        <v>73</v>
      </c>
      <c r="R369" t="s">
        <v>3573</v>
      </c>
      <c r="S369" t="s">
        <v>3574</v>
      </c>
      <c r="T369" t="s">
        <v>1733</v>
      </c>
      <c r="U369" t="s">
        <v>519</v>
      </c>
      <c r="V369" t="str">
        <f>"170332339"</f>
        <v>170332339</v>
      </c>
      <c r="AC369" t="s">
        <v>76</v>
      </c>
      <c r="AD369" t="s">
        <v>73</v>
      </c>
      <c r="AE369" t="s">
        <v>97</v>
      </c>
      <c r="AF369" t="s">
        <v>2228</v>
      </c>
      <c r="AG369" t="s">
        <v>78</v>
      </c>
    </row>
    <row r="370" spans="1:33" hidden="1" x14ac:dyDescent="0.25">
      <c r="A370" t="str">
        <f>"1386930600"</f>
        <v>1386930600</v>
      </c>
      <c r="C370" t="s">
        <v>3575</v>
      </c>
      <c r="G370" t="s">
        <v>2224</v>
      </c>
      <c r="H370" t="s">
        <v>2312</v>
      </c>
      <c r="J370" t="s">
        <v>2226</v>
      </c>
      <c r="K370" t="s">
        <v>171</v>
      </c>
      <c r="L370" t="s">
        <v>96</v>
      </c>
      <c r="M370" t="s">
        <v>73</v>
      </c>
      <c r="R370" t="s">
        <v>3576</v>
      </c>
      <c r="S370" t="s">
        <v>3577</v>
      </c>
      <c r="T370" t="s">
        <v>91</v>
      </c>
      <c r="U370" t="s">
        <v>74</v>
      </c>
      <c r="V370" t="str">
        <f>"100334458"</f>
        <v>100334458</v>
      </c>
      <c r="AC370" t="s">
        <v>76</v>
      </c>
      <c r="AD370" t="s">
        <v>73</v>
      </c>
      <c r="AE370" t="s">
        <v>97</v>
      </c>
      <c r="AF370" t="s">
        <v>2398</v>
      </c>
      <c r="AG370" t="s">
        <v>78</v>
      </c>
    </row>
    <row r="371" spans="1:33" hidden="1" x14ac:dyDescent="0.25">
      <c r="A371" t="str">
        <f>"1770699563"</f>
        <v>1770699563</v>
      </c>
      <c r="B371" t="str">
        <f>"02116241"</f>
        <v>02116241</v>
      </c>
      <c r="C371" t="s">
        <v>3578</v>
      </c>
      <c r="D371" t="s">
        <v>3579</v>
      </c>
      <c r="E371" t="s">
        <v>3580</v>
      </c>
      <c r="L371" t="s">
        <v>81</v>
      </c>
      <c r="M371" t="s">
        <v>73</v>
      </c>
      <c r="R371" t="s">
        <v>3581</v>
      </c>
      <c r="W371" t="s">
        <v>3582</v>
      </c>
      <c r="X371" t="s">
        <v>151</v>
      </c>
      <c r="Y371" t="s">
        <v>84</v>
      </c>
      <c r="Z371" t="s">
        <v>74</v>
      </c>
      <c r="AA371" t="str">
        <f>"11219-2916"</f>
        <v>11219-2916</v>
      </c>
      <c r="AB371" t="s">
        <v>75</v>
      </c>
      <c r="AC371" t="s">
        <v>76</v>
      </c>
      <c r="AD371" t="s">
        <v>73</v>
      </c>
      <c r="AE371" t="s">
        <v>77</v>
      </c>
      <c r="AF371" t="s">
        <v>2242</v>
      </c>
      <c r="AG371" t="s">
        <v>78</v>
      </c>
    </row>
    <row r="372" spans="1:33" hidden="1" x14ac:dyDescent="0.25">
      <c r="A372" t="str">
        <f>"1720261563"</f>
        <v>1720261563</v>
      </c>
      <c r="B372" t="str">
        <f>"03344396"</f>
        <v>03344396</v>
      </c>
      <c r="C372" t="s">
        <v>3583</v>
      </c>
      <c r="D372" t="s">
        <v>3584</v>
      </c>
      <c r="E372" t="s">
        <v>3585</v>
      </c>
      <c r="G372" t="s">
        <v>2224</v>
      </c>
      <c r="H372" t="s">
        <v>3586</v>
      </c>
      <c r="J372" t="s">
        <v>2226</v>
      </c>
      <c r="L372" t="s">
        <v>72</v>
      </c>
      <c r="M372" t="s">
        <v>73</v>
      </c>
      <c r="R372" t="s">
        <v>3587</v>
      </c>
      <c r="W372" t="s">
        <v>3585</v>
      </c>
      <c r="X372" t="s">
        <v>3588</v>
      </c>
      <c r="Y372" t="s">
        <v>91</v>
      </c>
      <c r="Z372" t="s">
        <v>74</v>
      </c>
      <c r="AA372" t="str">
        <f>"10065-4870"</f>
        <v>10065-4870</v>
      </c>
      <c r="AB372" t="s">
        <v>75</v>
      </c>
      <c r="AC372" t="s">
        <v>76</v>
      </c>
      <c r="AD372" t="s">
        <v>73</v>
      </c>
      <c r="AE372" t="s">
        <v>77</v>
      </c>
      <c r="AF372" t="s">
        <v>2228</v>
      </c>
      <c r="AG372" t="s">
        <v>78</v>
      </c>
    </row>
    <row r="373" spans="1:33" hidden="1" x14ac:dyDescent="0.25">
      <c r="A373" t="str">
        <f>"1285609180"</f>
        <v>1285609180</v>
      </c>
      <c r="C373" t="s">
        <v>3589</v>
      </c>
      <c r="G373" t="s">
        <v>2224</v>
      </c>
      <c r="H373" t="s">
        <v>3590</v>
      </c>
      <c r="J373" t="s">
        <v>2226</v>
      </c>
      <c r="K373" t="s">
        <v>171</v>
      </c>
      <c r="L373" t="s">
        <v>96</v>
      </c>
      <c r="M373" t="s">
        <v>73</v>
      </c>
      <c r="R373" t="s">
        <v>3591</v>
      </c>
      <c r="S373" t="s">
        <v>540</v>
      </c>
      <c r="T373" t="s">
        <v>541</v>
      </c>
      <c r="U373" t="s">
        <v>519</v>
      </c>
      <c r="V373" t="str">
        <f>"152132546"</f>
        <v>152132546</v>
      </c>
      <c r="AC373" t="s">
        <v>76</v>
      </c>
      <c r="AD373" t="s">
        <v>73</v>
      </c>
      <c r="AE373" t="s">
        <v>97</v>
      </c>
      <c r="AF373" t="s">
        <v>2228</v>
      </c>
      <c r="AG373" t="s">
        <v>78</v>
      </c>
    </row>
    <row r="374" spans="1:33" hidden="1" x14ac:dyDescent="0.25">
      <c r="A374" t="str">
        <f>"1578615779"</f>
        <v>1578615779</v>
      </c>
      <c r="B374" t="str">
        <f>"01381213"</f>
        <v>01381213</v>
      </c>
      <c r="C374" t="s">
        <v>3592</v>
      </c>
      <c r="D374" t="s">
        <v>3593</v>
      </c>
      <c r="E374" t="s">
        <v>3594</v>
      </c>
      <c r="L374" t="s">
        <v>72</v>
      </c>
      <c r="M374" t="s">
        <v>73</v>
      </c>
      <c r="R374" t="s">
        <v>3595</v>
      </c>
      <c r="W374" t="s">
        <v>3594</v>
      </c>
      <c r="X374" t="s">
        <v>3596</v>
      </c>
      <c r="Y374" t="s">
        <v>91</v>
      </c>
      <c r="Z374" t="s">
        <v>74</v>
      </c>
      <c r="AA374" t="str">
        <f>"10032-3720"</f>
        <v>10032-3720</v>
      </c>
      <c r="AB374" t="s">
        <v>75</v>
      </c>
      <c r="AC374" t="s">
        <v>76</v>
      </c>
      <c r="AD374" t="s">
        <v>73</v>
      </c>
      <c r="AE374" t="s">
        <v>77</v>
      </c>
      <c r="AF374" t="s">
        <v>2228</v>
      </c>
      <c r="AG374" t="s">
        <v>78</v>
      </c>
    </row>
    <row r="375" spans="1:33" hidden="1" x14ac:dyDescent="0.25">
      <c r="A375" t="str">
        <f>"1154473932"</f>
        <v>1154473932</v>
      </c>
      <c r="B375" t="str">
        <f>"02671910"</f>
        <v>02671910</v>
      </c>
      <c r="C375" t="s">
        <v>3597</v>
      </c>
      <c r="D375" t="s">
        <v>3598</v>
      </c>
      <c r="E375" t="s">
        <v>3599</v>
      </c>
      <c r="L375" t="s">
        <v>80</v>
      </c>
      <c r="M375" t="s">
        <v>73</v>
      </c>
      <c r="R375" t="s">
        <v>3600</v>
      </c>
      <c r="W375" t="s">
        <v>3601</v>
      </c>
      <c r="X375" t="s">
        <v>167</v>
      </c>
      <c r="Y375" t="s">
        <v>91</v>
      </c>
      <c r="Z375" t="s">
        <v>74</v>
      </c>
      <c r="AA375" t="str">
        <f>"10032-3720"</f>
        <v>10032-3720</v>
      </c>
      <c r="AB375" t="s">
        <v>75</v>
      </c>
      <c r="AC375" t="s">
        <v>76</v>
      </c>
      <c r="AD375" t="s">
        <v>73</v>
      </c>
      <c r="AE375" t="s">
        <v>77</v>
      </c>
      <c r="AF375" t="s">
        <v>2228</v>
      </c>
      <c r="AG375" t="s">
        <v>78</v>
      </c>
    </row>
    <row r="376" spans="1:33" hidden="1" x14ac:dyDescent="0.25">
      <c r="A376" t="str">
        <f>"1710247564"</f>
        <v>1710247564</v>
      </c>
      <c r="B376" t="str">
        <f>"03484282"</f>
        <v>03484282</v>
      </c>
      <c r="C376" t="s">
        <v>3602</v>
      </c>
      <c r="D376" t="s">
        <v>708</v>
      </c>
      <c r="E376" t="s">
        <v>709</v>
      </c>
      <c r="G376" t="s">
        <v>749</v>
      </c>
      <c r="H376" t="s">
        <v>320</v>
      </c>
      <c r="J376" t="s">
        <v>750</v>
      </c>
      <c r="L376" t="s">
        <v>81</v>
      </c>
      <c r="M376" t="s">
        <v>73</v>
      </c>
      <c r="R376" t="s">
        <v>710</v>
      </c>
      <c r="W376" t="s">
        <v>709</v>
      </c>
      <c r="X376" t="s">
        <v>462</v>
      </c>
      <c r="Y376" t="s">
        <v>118</v>
      </c>
      <c r="Z376" t="s">
        <v>74</v>
      </c>
      <c r="AA376" t="str">
        <f>"10459-2417"</f>
        <v>10459-2417</v>
      </c>
      <c r="AB376" t="s">
        <v>75</v>
      </c>
      <c r="AC376" t="s">
        <v>76</v>
      </c>
      <c r="AD376" t="s">
        <v>73</v>
      </c>
      <c r="AE376" t="s">
        <v>77</v>
      </c>
      <c r="AF376" t="s">
        <v>2445</v>
      </c>
      <c r="AG376" t="s">
        <v>78</v>
      </c>
    </row>
    <row r="377" spans="1:33" hidden="1" x14ac:dyDescent="0.25">
      <c r="A377" t="str">
        <f>"1972647410"</f>
        <v>1972647410</v>
      </c>
      <c r="B377" t="str">
        <f>"02924330"</f>
        <v>02924330</v>
      </c>
      <c r="C377" t="s">
        <v>3603</v>
      </c>
      <c r="D377" t="s">
        <v>717</v>
      </c>
      <c r="E377" t="s">
        <v>718</v>
      </c>
      <c r="G377" t="s">
        <v>749</v>
      </c>
      <c r="H377" t="s">
        <v>320</v>
      </c>
      <c r="J377" t="s">
        <v>750</v>
      </c>
      <c r="L377" t="s">
        <v>80</v>
      </c>
      <c r="M377" t="s">
        <v>82</v>
      </c>
      <c r="R377" t="s">
        <v>719</v>
      </c>
      <c r="W377" t="s">
        <v>718</v>
      </c>
      <c r="X377" t="s">
        <v>276</v>
      </c>
      <c r="Y377" t="s">
        <v>240</v>
      </c>
      <c r="Z377" t="s">
        <v>74</v>
      </c>
      <c r="AA377" t="str">
        <f>"11423-2511"</f>
        <v>11423-2511</v>
      </c>
      <c r="AB377" t="s">
        <v>107</v>
      </c>
      <c r="AC377" t="s">
        <v>76</v>
      </c>
      <c r="AD377" t="s">
        <v>73</v>
      </c>
      <c r="AE377" t="s">
        <v>77</v>
      </c>
      <c r="AF377" t="s">
        <v>2445</v>
      </c>
      <c r="AG377" t="s">
        <v>78</v>
      </c>
    </row>
    <row r="378" spans="1:33" hidden="1" x14ac:dyDescent="0.25">
      <c r="A378" t="str">
        <f>"1508075441"</f>
        <v>1508075441</v>
      </c>
      <c r="B378" t="str">
        <f>"02905273"</f>
        <v>02905273</v>
      </c>
      <c r="C378" t="s">
        <v>3604</v>
      </c>
      <c r="D378" t="s">
        <v>886</v>
      </c>
      <c r="E378" t="s">
        <v>887</v>
      </c>
      <c r="G378" t="s">
        <v>749</v>
      </c>
      <c r="H378" t="s">
        <v>320</v>
      </c>
      <c r="J378" t="s">
        <v>750</v>
      </c>
      <c r="L378" t="s">
        <v>81</v>
      </c>
      <c r="M378" t="s">
        <v>82</v>
      </c>
      <c r="R378" t="s">
        <v>888</v>
      </c>
      <c r="W378" t="s">
        <v>889</v>
      </c>
      <c r="X378" t="s">
        <v>620</v>
      </c>
      <c r="Y378" t="s">
        <v>91</v>
      </c>
      <c r="Z378" t="s">
        <v>74</v>
      </c>
      <c r="AA378" t="str">
        <f>"10002-2301"</f>
        <v>10002-2301</v>
      </c>
      <c r="AB378" t="s">
        <v>75</v>
      </c>
      <c r="AC378" t="s">
        <v>76</v>
      </c>
      <c r="AD378" t="s">
        <v>73</v>
      </c>
      <c r="AE378" t="s">
        <v>77</v>
      </c>
      <c r="AF378" t="s">
        <v>2445</v>
      </c>
      <c r="AG378" t="s">
        <v>78</v>
      </c>
    </row>
    <row r="379" spans="1:33" hidden="1" x14ac:dyDescent="0.25">
      <c r="A379" t="str">
        <f>"1881775856"</f>
        <v>1881775856</v>
      </c>
      <c r="B379" t="str">
        <f>"02668055"</f>
        <v>02668055</v>
      </c>
      <c r="C379" t="s">
        <v>3605</v>
      </c>
      <c r="D379" t="s">
        <v>1086</v>
      </c>
      <c r="E379" t="s">
        <v>1087</v>
      </c>
      <c r="G379" t="s">
        <v>749</v>
      </c>
      <c r="H379" t="s">
        <v>320</v>
      </c>
      <c r="J379" t="s">
        <v>750</v>
      </c>
      <c r="L379" t="s">
        <v>81</v>
      </c>
      <c r="M379" t="s">
        <v>82</v>
      </c>
      <c r="R379" t="s">
        <v>1088</v>
      </c>
      <c r="W379" t="s">
        <v>1087</v>
      </c>
      <c r="X379" t="s">
        <v>217</v>
      </c>
      <c r="Y379" t="s">
        <v>118</v>
      </c>
      <c r="Z379" t="s">
        <v>74</v>
      </c>
      <c r="AA379" t="str">
        <f>"10457-7606"</f>
        <v>10457-7606</v>
      </c>
      <c r="AB379" t="s">
        <v>75</v>
      </c>
      <c r="AC379" t="s">
        <v>76</v>
      </c>
      <c r="AD379" t="s">
        <v>73</v>
      </c>
      <c r="AE379" t="s">
        <v>77</v>
      </c>
      <c r="AF379" t="s">
        <v>2445</v>
      </c>
      <c r="AG379" t="s">
        <v>78</v>
      </c>
    </row>
    <row r="380" spans="1:33" hidden="1" x14ac:dyDescent="0.25">
      <c r="A380" t="str">
        <f>"1780609875"</f>
        <v>1780609875</v>
      </c>
      <c r="B380" t="str">
        <f>"03128778"</f>
        <v>03128778</v>
      </c>
      <c r="C380" t="s">
        <v>3606</v>
      </c>
      <c r="D380" t="s">
        <v>3607</v>
      </c>
      <c r="E380" t="s">
        <v>3608</v>
      </c>
      <c r="L380" t="s">
        <v>72</v>
      </c>
      <c r="M380" t="s">
        <v>73</v>
      </c>
      <c r="R380" t="s">
        <v>3609</v>
      </c>
      <c r="W380" t="s">
        <v>3608</v>
      </c>
      <c r="X380" t="s">
        <v>3610</v>
      </c>
      <c r="Y380" t="s">
        <v>91</v>
      </c>
      <c r="Z380" t="s">
        <v>74</v>
      </c>
      <c r="AA380" t="str">
        <f>"10021-4872"</f>
        <v>10021-4872</v>
      </c>
      <c r="AB380" t="s">
        <v>75</v>
      </c>
      <c r="AC380" t="s">
        <v>76</v>
      </c>
      <c r="AD380" t="s">
        <v>73</v>
      </c>
      <c r="AE380" t="s">
        <v>77</v>
      </c>
      <c r="AF380" t="s">
        <v>2242</v>
      </c>
      <c r="AG380" t="s">
        <v>78</v>
      </c>
    </row>
    <row r="381" spans="1:33" hidden="1" x14ac:dyDescent="0.25">
      <c r="A381" t="str">
        <f>"1295758803"</f>
        <v>1295758803</v>
      </c>
      <c r="B381" t="str">
        <f>"00793384"</f>
        <v>00793384</v>
      </c>
      <c r="C381" t="s">
        <v>3611</v>
      </c>
      <c r="D381" t="s">
        <v>3612</v>
      </c>
      <c r="E381" t="s">
        <v>3613</v>
      </c>
      <c r="G381" t="s">
        <v>2224</v>
      </c>
      <c r="H381" t="s">
        <v>2225</v>
      </c>
      <c r="J381" t="s">
        <v>2226</v>
      </c>
      <c r="L381" t="s">
        <v>72</v>
      </c>
      <c r="M381" t="s">
        <v>73</v>
      </c>
      <c r="R381" t="s">
        <v>3614</v>
      </c>
      <c r="W381" t="s">
        <v>3613</v>
      </c>
      <c r="X381" t="s">
        <v>1580</v>
      </c>
      <c r="Y381" t="s">
        <v>91</v>
      </c>
      <c r="Z381" t="s">
        <v>74</v>
      </c>
      <c r="AA381" t="str">
        <f>"10003"</f>
        <v>10003</v>
      </c>
      <c r="AB381" t="s">
        <v>75</v>
      </c>
      <c r="AC381" t="s">
        <v>76</v>
      </c>
      <c r="AD381" t="s">
        <v>73</v>
      </c>
      <c r="AE381" t="s">
        <v>77</v>
      </c>
      <c r="AF381" t="s">
        <v>2254</v>
      </c>
      <c r="AG381" t="s">
        <v>78</v>
      </c>
    </row>
    <row r="382" spans="1:33" hidden="1" x14ac:dyDescent="0.25">
      <c r="A382" t="str">
        <f>"1639293061"</f>
        <v>1639293061</v>
      </c>
      <c r="B382" t="str">
        <f>"02706572"</f>
        <v>02706572</v>
      </c>
      <c r="C382" t="s">
        <v>3615</v>
      </c>
      <c r="D382" t="s">
        <v>3616</v>
      </c>
      <c r="E382" t="s">
        <v>3617</v>
      </c>
      <c r="G382" t="s">
        <v>2224</v>
      </c>
      <c r="H382" t="s">
        <v>2225</v>
      </c>
      <c r="J382" t="s">
        <v>2226</v>
      </c>
      <c r="L382" t="s">
        <v>72</v>
      </c>
      <c r="M382" t="s">
        <v>73</v>
      </c>
      <c r="R382" t="s">
        <v>3618</v>
      </c>
      <c r="W382" t="s">
        <v>3617</v>
      </c>
      <c r="X382" t="s">
        <v>410</v>
      </c>
      <c r="Y382" t="s">
        <v>91</v>
      </c>
      <c r="Z382" t="s">
        <v>74</v>
      </c>
      <c r="AA382" t="str">
        <f>"10032-1559"</f>
        <v>10032-1559</v>
      </c>
      <c r="AB382" t="s">
        <v>113</v>
      </c>
      <c r="AC382" t="s">
        <v>76</v>
      </c>
      <c r="AD382" t="s">
        <v>73</v>
      </c>
      <c r="AE382" t="s">
        <v>77</v>
      </c>
      <c r="AF382" t="s">
        <v>2254</v>
      </c>
      <c r="AG382" t="s">
        <v>78</v>
      </c>
    </row>
    <row r="383" spans="1:33" hidden="1" x14ac:dyDescent="0.25">
      <c r="A383" t="str">
        <f>"1902030125"</f>
        <v>1902030125</v>
      </c>
      <c r="C383" t="s">
        <v>3619</v>
      </c>
      <c r="G383" t="s">
        <v>2224</v>
      </c>
      <c r="H383" t="s">
        <v>2225</v>
      </c>
      <c r="J383" t="s">
        <v>2226</v>
      </c>
      <c r="K383" t="s">
        <v>171</v>
      </c>
      <c r="L383" t="s">
        <v>96</v>
      </c>
      <c r="M383" t="s">
        <v>73</v>
      </c>
      <c r="R383" t="s">
        <v>3620</v>
      </c>
      <c r="S383" t="s">
        <v>3621</v>
      </c>
      <c r="T383" t="s">
        <v>91</v>
      </c>
      <c r="U383" t="s">
        <v>74</v>
      </c>
      <c r="V383" t="str">
        <f>"100210034"</f>
        <v>100210034</v>
      </c>
      <c r="AC383" t="s">
        <v>76</v>
      </c>
      <c r="AD383" t="s">
        <v>73</v>
      </c>
      <c r="AE383" t="s">
        <v>97</v>
      </c>
      <c r="AF383" t="s">
        <v>2242</v>
      </c>
      <c r="AG383" t="s">
        <v>78</v>
      </c>
    </row>
    <row r="384" spans="1:33" hidden="1" x14ac:dyDescent="0.25">
      <c r="A384" t="str">
        <f>"1992995609"</f>
        <v>1992995609</v>
      </c>
      <c r="B384" t="str">
        <f>"03488873"</f>
        <v>03488873</v>
      </c>
      <c r="C384" t="s">
        <v>3622</v>
      </c>
      <c r="D384" t="s">
        <v>3623</v>
      </c>
      <c r="E384" t="s">
        <v>3624</v>
      </c>
      <c r="G384" t="s">
        <v>2224</v>
      </c>
      <c r="H384" t="s">
        <v>2225</v>
      </c>
      <c r="J384" t="s">
        <v>2226</v>
      </c>
      <c r="L384" t="s">
        <v>72</v>
      </c>
      <c r="M384" t="s">
        <v>73</v>
      </c>
      <c r="R384" t="s">
        <v>3625</v>
      </c>
      <c r="W384" t="s">
        <v>3624</v>
      </c>
      <c r="X384" t="s">
        <v>1167</v>
      </c>
      <c r="Y384" t="s">
        <v>91</v>
      </c>
      <c r="Z384" t="s">
        <v>74</v>
      </c>
      <c r="AA384" t="str">
        <f>"10065-4870"</f>
        <v>10065-4870</v>
      </c>
      <c r="AB384" t="s">
        <v>75</v>
      </c>
      <c r="AC384" t="s">
        <v>76</v>
      </c>
      <c r="AD384" t="s">
        <v>73</v>
      </c>
      <c r="AE384" t="s">
        <v>77</v>
      </c>
      <c r="AF384" t="s">
        <v>2254</v>
      </c>
      <c r="AG384" t="s">
        <v>78</v>
      </c>
    </row>
    <row r="385" spans="1:33" hidden="1" x14ac:dyDescent="0.25">
      <c r="A385" t="str">
        <f>"1063662385"</f>
        <v>1063662385</v>
      </c>
      <c r="B385" t="str">
        <f>"01811238"</f>
        <v>01811238</v>
      </c>
      <c r="C385" t="s">
        <v>3626</v>
      </c>
      <c r="D385" t="s">
        <v>3627</v>
      </c>
      <c r="E385" t="s">
        <v>3628</v>
      </c>
      <c r="G385" t="s">
        <v>2224</v>
      </c>
      <c r="H385" t="s">
        <v>2225</v>
      </c>
      <c r="J385" t="s">
        <v>2226</v>
      </c>
      <c r="L385" t="s">
        <v>72</v>
      </c>
      <c r="M385" t="s">
        <v>73</v>
      </c>
      <c r="R385" t="s">
        <v>3629</v>
      </c>
      <c r="W385" t="s">
        <v>3630</v>
      </c>
      <c r="X385" t="s">
        <v>410</v>
      </c>
      <c r="Y385" t="s">
        <v>91</v>
      </c>
      <c r="Z385" t="s">
        <v>74</v>
      </c>
      <c r="AA385" t="str">
        <f>"10032-1559"</f>
        <v>10032-1559</v>
      </c>
      <c r="AB385" t="s">
        <v>106</v>
      </c>
      <c r="AC385" t="s">
        <v>76</v>
      </c>
      <c r="AD385" t="s">
        <v>73</v>
      </c>
      <c r="AE385" t="s">
        <v>77</v>
      </c>
      <c r="AF385" t="s">
        <v>2254</v>
      </c>
      <c r="AG385" t="s">
        <v>78</v>
      </c>
    </row>
    <row r="386" spans="1:33" hidden="1" x14ac:dyDescent="0.25">
      <c r="A386" t="str">
        <f>"1013091040"</f>
        <v>1013091040</v>
      </c>
      <c r="B386" t="str">
        <f>"03110345"</f>
        <v>03110345</v>
      </c>
      <c r="C386" t="s">
        <v>3631</v>
      </c>
      <c r="D386" t="s">
        <v>3632</v>
      </c>
      <c r="E386" t="s">
        <v>3633</v>
      </c>
      <c r="G386" t="s">
        <v>2224</v>
      </c>
      <c r="H386" t="s">
        <v>3634</v>
      </c>
      <c r="J386" t="s">
        <v>2226</v>
      </c>
      <c r="L386" t="s">
        <v>72</v>
      </c>
      <c r="M386" t="s">
        <v>73</v>
      </c>
      <c r="R386" t="s">
        <v>3635</v>
      </c>
      <c r="W386" t="s">
        <v>3633</v>
      </c>
      <c r="X386" t="s">
        <v>170</v>
      </c>
      <c r="Y386" t="s">
        <v>91</v>
      </c>
      <c r="Z386" t="s">
        <v>74</v>
      </c>
      <c r="AA386" t="str">
        <f>"10065-4870"</f>
        <v>10065-4870</v>
      </c>
      <c r="AB386" t="s">
        <v>75</v>
      </c>
      <c r="AC386" t="s">
        <v>76</v>
      </c>
      <c r="AD386" t="s">
        <v>73</v>
      </c>
      <c r="AE386" t="s">
        <v>77</v>
      </c>
      <c r="AF386" t="s">
        <v>2242</v>
      </c>
      <c r="AG386" t="s">
        <v>78</v>
      </c>
    </row>
    <row r="387" spans="1:33" hidden="1" x14ac:dyDescent="0.25">
      <c r="A387" t="str">
        <f>"1023242377"</f>
        <v>1023242377</v>
      </c>
      <c r="B387" t="str">
        <f>"03535595"</f>
        <v>03535595</v>
      </c>
      <c r="C387" t="s">
        <v>3636</v>
      </c>
      <c r="D387" t="s">
        <v>3637</v>
      </c>
      <c r="E387" t="s">
        <v>3638</v>
      </c>
      <c r="G387" t="s">
        <v>2224</v>
      </c>
      <c r="H387" t="s">
        <v>2225</v>
      </c>
      <c r="J387" t="s">
        <v>2226</v>
      </c>
      <c r="L387" t="s">
        <v>72</v>
      </c>
      <c r="M387" t="s">
        <v>73</v>
      </c>
      <c r="R387" t="s">
        <v>3639</v>
      </c>
      <c r="W387" t="s">
        <v>3638</v>
      </c>
      <c r="X387" t="s">
        <v>3640</v>
      </c>
      <c r="Y387" t="s">
        <v>91</v>
      </c>
      <c r="Z387" t="s">
        <v>74</v>
      </c>
      <c r="AA387" t="str">
        <f>"10032-0000"</f>
        <v>10032-0000</v>
      </c>
      <c r="AB387" t="s">
        <v>75</v>
      </c>
      <c r="AC387" t="s">
        <v>76</v>
      </c>
      <c r="AD387" t="s">
        <v>73</v>
      </c>
      <c r="AE387" t="s">
        <v>77</v>
      </c>
      <c r="AF387" t="s">
        <v>2228</v>
      </c>
      <c r="AG387" t="s">
        <v>78</v>
      </c>
    </row>
    <row r="388" spans="1:33" hidden="1" x14ac:dyDescent="0.25">
      <c r="A388" t="str">
        <f>"1164418588"</f>
        <v>1164418588</v>
      </c>
      <c r="B388" t="str">
        <f>"02466535"</f>
        <v>02466535</v>
      </c>
      <c r="C388" t="s">
        <v>3641</v>
      </c>
      <c r="D388" t="s">
        <v>3642</v>
      </c>
      <c r="E388" t="s">
        <v>3643</v>
      </c>
      <c r="G388" t="s">
        <v>2224</v>
      </c>
      <c r="H388" t="s">
        <v>2225</v>
      </c>
      <c r="J388" t="s">
        <v>2226</v>
      </c>
      <c r="L388" t="s">
        <v>72</v>
      </c>
      <c r="M388" t="s">
        <v>73</v>
      </c>
      <c r="R388" t="s">
        <v>3643</v>
      </c>
      <c r="W388" t="s">
        <v>3643</v>
      </c>
      <c r="X388" t="s">
        <v>3643</v>
      </c>
      <c r="Y388" t="s">
        <v>91</v>
      </c>
      <c r="Z388" t="s">
        <v>74</v>
      </c>
      <c r="AA388" t="str">
        <f>"10016"</f>
        <v>10016</v>
      </c>
      <c r="AB388" t="s">
        <v>75</v>
      </c>
      <c r="AC388" t="s">
        <v>76</v>
      </c>
      <c r="AD388" t="s">
        <v>73</v>
      </c>
      <c r="AE388" t="s">
        <v>77</v>
      </c>
      <c r="AF388" t="s">
        <v>2228</v>
      </c>
      <c r="AG388" t="s">
        <v>78</v>
      </c>
    </row>
    <row r="389" spans="1:33" hidden="1" x14ac:dyDescent="0.25">
      <c r="A389" t="str">
        <f>"1164450318"</f>
        <v>1164450318</v>
      </c>
      <c r="B389" t="str">
        <f>"01081612"</f>
        <v>01081612</v>
      </c>
      <c r="C389" t="s">
        <v>3644</v>
      </c>
      <c r="D389" t="s">
        <v>3645</v>
      </c>
      <c r="E389" t="s">
        <v>3646</v>
      </c>
      <c r="G389" t="s">
        <v>2224</v>
      </c>
      <c r="H389" t="s">
        <v>2225</v>
      </c>
      <c r="J389" t="s">
        <v>2226</v>
      </c>
      <c r="L389" t="s">
        <v>72</v>
      </c>
      <c r="M389" t="s">
        <v>73</v>
      </c>
      <c r="R389" t="s">
        <v>3647</v>
      </c>
      <c r="W389" t="s">
        <v>3646</v>
      </c>
      <c r="X389" t="s">
        <v>496</v>
      </c>
      <c r="Y389" t="s">
        <v>91</v>
      </c>
      <c r="Z389" t="s">
        <v>74</v>
      </c>
      <c r="AA389" t="str">
        <f>"10032-3726"</f>
        <v>10032-3726</v>
      </c>
      <c r="AB389" t="s">
        <v>75</v>
      </c>
      <c r="AC389" t="s">
        <v>76</v>
      </c>
      <c r="AD389" t="s">
        <v>73</v>
      </c>
      <c r="AE389" t="s">
        <v>77</v>
      </c>
      <c r="AF389" t="s">
        <v>2254</v>
      </c>
      <c r="AG389" t="s">
        <v>78</v>
      </c>
    </row>
    <row r="390" spans="1:33" hidden="1" x14ac:dyDescent="0.25">
      <c r="A390" t="str">
        <f>"1164457552"</f>
        <v>1164457552</v>
      </c>
      <c r="B390" t="str">
        <f>"01828308"</f>
        <v>01828308</v>
      </c>
      <c r="C390" t="s">
        <v>3648</v>
      </c>
      <c r="D390" t="s">
        <v>3649</v>
      </c>
      <c r="E390" t="s">
        <v>3650</v>
      </c>
      <c r="G390" t="s">
        <v>2224</v>
      </c>
      <c r="H390" t="s">
        <v>2225</v>
      </c>
      <c r="J390" t="s">
        <v>2226</v>
      </c>
      <c r="L390" t="s">
        <v>80</v>
      </c>
      <c r="M390" t="s">
        <v>73</v>
      </c>
      <c r="R390" t="s">
        <v>3650</v>
      </c>
      <c r="W390" t="s">
        <v>3650</v>
      </c>
      <c r="X390" t="s">
        <v>2085</v>
      </c>
      <c r="Y390" t="s">
        <v>91</v>
      </c>
      <c r="Z390" t="s">
        <v>74</v>
      </c>
      <c r="AA390" t="str">
        <f>"10032-3720"</f>
        <v>10032-3720</v>
      </c>
      <c r="AB390" t="s">
        <v>75</v>
      </c>
      <c r="AC390" t="s">
        <v>76</v>
      </c>
      <c r="AD390" t="s">
        <v>73</v>
      </c>
      <c r="AE390" t="s">
        <v>77</v>
      </c>
      <c r="AF390" t="s">
        <v>2228</v>
      </c>
      <c r="AG390" t="s">
        <v>78</v>
      </c>
    </row>
    <row r="391" spans="1:33" hidden="1" x14ac:dyDescent="0.25">
      <c r="A391" t="str">
        <f>"1932241429"</f>
        <v>1932241429</v>
      </c>
      <c r="B391" t="str">
        <f>"02737644"</f>
        <v>02737644</v>
      </c>
      <c r="C391" t="s">
        <v>736</v>
      </c>
      <c r="D391" t="s">
        <v>758</v>
      </c>
      <c r="E391" t="s">
        <v>736</v>
      </c>
      <c r="G391" t="s">
        <v>3651</v>
      </c>
      <c r="H391" t="s">
        <v>1509</v>
      </c>
      <c r="J391" t="s">
        <v>1510</v>
      </c>
      <c r="L391" t="s">
        <v>109</v>
      </c>
      <c r="M391" t="s">
        <v>82</v>
      </c>
      <c r="R391" t="s">
        <v>757</v>
      </c>
      <c r="W391" t="s">
        <v>736</v>
      </c>
      <c r="X391" t="s">
        <v>759</v>
      </c>
      <c r="Y391" t="s">
        <v>118</v>
      </c>
      <c r="Z391" t="s">
        <v>74</v>
      </c>
      <c r="AA391" t="str">
        <f>"10456-7815"</f>
        <v>10456-7815</v>
      </c>
      <c r="AB391" t="s">
        <v>110</v>
      </c>
      <c r="AC391" t="s">
        <v>76</v>
      </c>
      <c r="AD391" t="s">
        <v>73</v>
      </c>
      <c r="AE391" t="s">
        <v>77</v>
      </c>
      <c r="AF391" t="s">
        <v>3652</v>
      </c>
      <c r="AG391" t="s">
        <v>78</v>
      </c>
    </row>
    <row r="392" spans="1:33" hidden="1" x14ac:dyDescent="0.25">
      <c r="A392" t="str">
        <f>"1316114713"</f>
        <v>1316114713</v>
      </c>
      <c r="B392" t="str">
        <f>"03088891"</f>
        <v>03088891</v>
      </c>
      <c r="C392" t="s">
        <v>3653</v>
      </c>
      <c r="D392" t="s">
        <v>3654</v>
      </c>
      <c r="E392" t="s">
        <v>3655</v>
      </c>
      <c r="G392" t="s">
        <v>2514</v>
      </c>
      <c r="H392" t="s">
        <v>3656</v>
      </c>
      <c r="J392" t="s">
        <v>2516</v>
      </c>
      <c r="L392" t="s">
        <v>72</v>
      </c>
      <c r="M392" t="s">
        <v>73</v>
      </c>
      <c r="R392" t="s">
        <v>3657</v>
      </c>
      <c r="W392" t="s">
        <v>3655</v>
      </c>
      <c r="X392" t="s">
        <v>1929</v>
      </c>
      <c r="Y392" t="s">
        <v>91</v>
      </c>
      <c r="Z392" t="s">
        <v>74</v>
      </c>
      <c r="AA392" t="str">
        <f>"10032-4207"</f>
        <v>10032-4207</v>
      </c>
      <c r="AB392" t="s">
        <v>75</v>
      </c>
      <c r="AC392" t="s">
        <v>76</v>
      </c>
      <c r="AD392" t="s">
        <v>73</v>
      </c>
      <c r="AE392" t="s">
        <v>77</v>
      </c>
      <c r="AF392" t="s">
        <v>2518</v>
      </c>
      <c r="AG392" t="s">
        <v>78</v>
      </c>
    </row>
    <row r="393" spans="1:33" hidden="1" x14ac:dyDescent="0.25">
      <c r="A393" t="str">
        <f>"1699084038"</f>
        <v>1699084038</v>
      </c>
      <c r="B393" t="str">
        <f>"04012846"</f>
        <v>04012846</v>
      </c>
      <c r="C393" t="s">
        <v>3658</v>
      </c>
      <c r="D393" t="s">
        <v>3659</v>
      </c>
      <c r="E393" t="s">
        <v>3660</v>
      </c>
      <c r="G393" t="s">
        <v>2514</v>
      </c>
      <c r="H393" t="s">
        <v>3661</v>
      </c>
      <c r="J393" t="s">
        <v>2516</v>
      </c>
      <c r="L393" t="s">
        <v>96</v>
      </c>
      <c r="M393" t="s">
        <v>73</v>
      </c>
      <c r="R393" t="s">
        <v>3662</v>
      </c>
      <c r="W393" t="s">
        <v>3660</v>
      </c>
      <c r="X393" t="s">
        <v>1929</v>
      </c>
      <c r="Y393" t="s">
        <v>91</v>
      </c>
      <c r="Z393" t="s">
        <v>74</v>
      </c>
      <c r="AA393" t="str">
        <f>"10032-4207"</f>
        <v>10032-4207</v>
      </c>
      <c r="AB393" t="s">
        <v>106</v>
      </c>
      <c r="AC393" t="s">
        <v>76</v>
      </c>
      <c r="AD393" t="s">
        <v>73</v>
      </c>
      <c r="AE393" t="s">
        <v>77</v>
      </c>
      <c r="AF393" t="s">
        <v>2518</v>
      </c>
      <c r="AG393" t="s">
        <v>78</v>
      </c>
    </row>
    <row r="394" spans="1:33" hidden="1" x14ac:dyDescent="0.25">
      <c r="A394" t="str">
        <f>"1487741575"</f>
        <v>1487741575</v>
      </c>
      <c r="B394" t="str">
        <f>"01947768"</f>
        <v>01947768</v>
      </c>
      <c r="C394" t="s">
        <v>3663</v>
      </c>
      <c r="D394" t="s">
        <v>3664</v>
      </c>
      <c r="E394" t="s">
        <v>3665</v>
      </c>
      <c r="G394" t="s">
        <v>2224</v>
      </c>
      <c r="H394" t="s">
        <v>2225</v>
      </c>
      <c r="J394" t="s">
        <v>2226</v>
      </c>
      <c r="L394" t="s">
        <v>80</v>
      </c>
      <c r="M394" t="s">
        <v>73</v>
      </c>
      <c r="R394" t="s">
        <v>3666</v>
      </c>
      <c r="W394" t="s">
        <v>3665</v>
      </c>
      <c r="Y394" t="s">
        <v>91</v>
      </c>
      <c r="Z394" t="s">
        <v>74</v>
      </c>
      <c r="AA394" t="str">
        <f>"10065-4870"</f>
        <v>10065-4870</v>
      </c>
      <c r="AB394" t="s">
        <v>75</v>
      </c>
      <c r="AC394" t="s">
        <v>76</v>
      </c>
      <c r="AD394" t="s">
        <v>73</v>
      </c>
      <c r="AE394" t="s">
        <v>77</v>
      </c>
      <c r="AF394" t="s">
        <v>2242</v>
      </c>
      <c r="AG394" t="s">
        <v>78</v>
      </c>
    </row>
    <row r="395" spans="1:33" hidden="1" x14ac:dyDescent="0.25">
      <c r="A395" t="str">
        <f>"1427216175"</f>
        <v>1427216175</v>
      </c>
      <c r="B395" t="str">
        <f>"03292624"</f>
        <v>03292624</v>
      </c>
      <c r="C395" t="s">
        <v>3667</v>
      </c>
      <c r="D395" t="s">
        <v>3668</v>
      </c>
      <c r="E395" t="s">
        <v>3669</v>
      </c>
      <c r="G395" t="s">
        <v>2224</v>
      </c>
      <c r="H395" t="s">
        <v>2225</v>
      </c>
      <c r="J395" t="s">
        <v>2226</v>
      </c>
      <c r="L395" t="s">
        <v>80</v>
      </c>
      <c r="M395" t="s">
        <v>73</v>
      </c>
      <c r="R395" t="s">
        <v>3670</v>
      </c>
      <c r="W395" t="s">
        <v>3671</v>
      </c>
      <c r="X395" t="s">
        <v>1239</v>
      </c>
      <c r="Y395" t="s">
        <v>91</v>
      </c>
      <c r="Z395" t="s">
        <v>74</v>
      </c>
      <c r="AA395" t="str">
        <f>"10032-3722"</f>
        <v>10032-3722</v>
      </c>
      <c r="AB395" t="s">
        <v>75</v>
      </c>
      <c r="AC395" t="s">
        <v>76</v>
      </c>
      <c r="AD395" t="s">
        <v>73</v>
      </c>
      <c r="AE395" t="s">
        <v>77</v>
      </c>
      <c r="AF395" t="s">
        <v>2254</v>
      </c>
      <c r="AG395" t="s">
        <v>78</v>
      </c>
    </row>
    <row r="396" spans="1:33" hidden="1" x14ac:dyDescent="0.25">
      <c r="A396" t="str">
        <f>"1790732352"</f>
        <v>1790732352</v>
      </c>
      <c r="B396" t="str">
        <f>"02365346"</f>
        <v>02365346</v>
      </c>
      <c r="C396" t="s">
        <v>3672</v>
      </c>
      <c r="D396" t="s">
        <v>3673</v>
      </c>
      <c r="E396" t="s">
        <v>3672</v>
      </c>
      <c r="L396" t="s">
        <v>36</v>
      </c>
      <c r="M396" t="s">
        <v>73</v>
      </c>
      <c r="R396" t="s">
        <v>3674</v>
      </c>
      <c r="W396" t="s">
        <v>3672</v>
      </c>
      <c r="X396" t="s">
        <v>1793</v>
      </c>
      <c r="Y396" t="s">
        <v>91</v>
      </c>
      <c r="Z396" t="s">
        <v>74</v>
      </c>
      <c r="AA396" t="str">
        <f>"10032-3724"</f>
        <v>10032-3724</v>
      </c>
      <c r="AB396" t="s">
        <v>114</v>
      </c>
      <c r="AC396" t="s">
        <v>76</v>
      </c>
      <c r="AD396" t="s">
        <v>73</v>
      </c>
      <c r="AE396" t="s">
        <v>77</v>
      </c>
      <c r="AF396" t="s">
        <v>2254</v>
      </c>
      <c r="AG396" t="s">
        <v>78</v>
      </c>
    </row>
    <row r="397" spans="1:33" hidden="1" x14ac:dyDescent="0.25">
      <c r="A397" t="str">
        <f>"1871815241"</f>
        <v>1871815241</v>
      </c>
      <c r="B397" t="str">
        <f>"03337973"</f>
        <v>03337973</v>
      </c>
      <c r="C397" t="s">
        <v>3675</v>
      </c>
      <c r="D397" t="s">
        <v>3676</v>
      </c>
      <c r="E397" t="s">
        <v>3677</v>
      </c>
      <c r="G397" t="s">
        <v>2224</v>
      </c>
      <c r="H397" t="s">
        <v>2225</v>
      </c>
      <c r="J397" t="s">
        <v>2226</v>
      </c>
      <c r="L397" t="s">
        <v>72</v>
      </c>
      <c r="M397" t="s">
        <v>73</v>
      </c>
      <c r="R397" t="s">
        <v>3678</v>
      </c>
      <c r="W397" t="s">
        <v>3677</v>
      </c>
      <c r="X397" t="s">
        <v>167</v>
      </c>
      <c r="Y397" t="s">
        <v>91</v>
      </c>
      <c r="Z397" t="s">
        <v>74</v>
      </c>
      <c r="AA397" t="str">
        <f>"10032-3720"</f>
        <v>10032-3720</v>
      </c>
      <c r="AB397" t="s">
        <v>75</v>
      </c>
      <c r="AC397" t="s">
        <v>76</v>
      </c>
      <c r="AD397" t="s">
        <v>73</v>
      </c>
      <c r="AE397" t="s">
        <v>77</v>
      </c>
      <c r="AF397" t="s">
        <v>2228</v>
      </c>
      <c r="AG397" t="s">
        <v>78</v>
      </c>
    </row>
    <row r="398" spans="1:33" hidden="1" x14ac:dyDescent="0.25">
      <c r="A398" t="str">
        <f>"1356500599"</f>
        <v>1356500599</v>
      </c>
      <c r="B398" t="str">
        <f>"03361837"</f>
        <v>03361837</v>
      </c>
      <c r="C398" t="s">
        <v>3679</v>
      </c>
      <c r="D398" t="s">
        <v>1156</v>
      </c>
      <c r="E398" t="s">
        <v>1157</v>
      </c>
      <c r="G398" t="s">
        <v>2224</v>
      </c>
      <c r="H398" t="s">
        <v>2225</v>
      </c>
      <c r="J398" t="s">
        <v>2226</v>
      </c>
      <c r="L398" t="s">
        <v>81</v>
      </c>
      <c r="M398" t="s">
        <v>82</v>
      </c>
      <c r="R398" t="s">
        <v>1157</v>
      </c>
      <c r="W398" t="s">
        <v>1158</v>
      </c>
      <c r="X398" t="s">
        <v>1159</v>
      </c>
      <c r="Y398" t="s">
        <v>91</v>
      </c>
      <c r="Z398" t="s">
        <v>74</v>
      </c>
      <c r="AA398" t="str">
        <f>"10065-4870"</f>
        <v>10065-4870</v>
      </c>
      <c r="AB398" t="s">
        <v>75</v>
      </c>
      <c r="AC398" t="s">
        <v>76</v>
      </c>
      <c r="AD398" t="s">
        <v>73</v>
      </c>
      <c r="AE398" t="s">
        <v>77</v>
      </c>
      <c r="AF398" t="s">
        <v>2398</v>
      </c>
      <c r="AG398" t="s">
        <v>78</v>
      </c>
    </row>
    <row r="399" spans="1:33" hidden="1" x14ac:dyDescent="0.25">
      <c r="A399" t="str">
        <f>"1962427427"</f>
        <v>1962427427</v>
      </c>
      <c r="B399" t="str">
        <f>"00855647"</f>
        <v>00855647</v>
      </c>
      <c r="C399" t="s">
        <v>1904</v>
      </c>
      <c r="D399" t="s">
        <v>1905</v>
      </c>
      <c r="E399" t="s">
        <v>1906</v>
      </c>
      <c r="G399" t="s">
        <v>2260</v>
      </c>
      <c r="H399" t="s">
        <v>3680</v>
      </c>
      <c r="J399" t="s">
        <v>1512</v>
      </c>
      <c r="L399" t="s">
        <v>80</v>
      </c>
      <c r="M399" t="s">
        <v>73</v>
      </c>
      <c r="R399" t="s">
        <v>1907</v>
      </c>
      <c r="W399" t="s">
        <v>1906</v>
      </c>
      <c r="X399" t="s">
        <v>1908</v>
      </c>
      <c r="Y399" t="s">
        <v>86</v>
      </c>
      <c r="Z399" t="s">
        <v>74</v>
      </c>
      <c r="AA399" t="str">
        <f>"11373-4941"</f>
        <v>11373-4941</v>
      </c>
      <c r="AB399" t="s">
        <v>75</v>
      </c>
      <c r="AC399" t="s">
        <v>76</v>
      </c>
      <c r="AD399" t="s">
        <v>73</v>
      </c>
      <c r="AE399" t="s">
        <v>77</v>
      </c>
      <c r="AF399" t="s">
        <v>2254</v>
      </c>
      <c r="AG399" t="s">
        <v>78</v>
      </c>
    </row>
    <row r="400" spans="1:33" hidden="1" x14ac:dyDescent="0.25">
      <c r="A400" t="str">
        <f>"1003033184"</f>
        <v>1003033184</v>
      </c>
      <c r="B400" t="str">
        <f>"03228984"</f>
        <v>03228984</v>
      </c>
      <c r="C400" t="s">
        <v>3681</v>
      </c>
      <c r="D400" t="s">
        <v>3682</v>
      </c>
      <c r="E400" t="s">
        <v>3683</v>
      </c>
      <c r="L400" t="s">
        <v>72</v>
      </c>
      <c r="M400" t="s">
        <v>73</v>
      </c>
      <c r="R400" t="s">
        <v>3684</v>
      </c>
      <c r="W400" t="s">
        <v>3683</v>
      </c>
      <c r="X400" t="s">
        <v>170</v>
      </c>
      <c r="Y400" t="s">
        <v>91</v>
      </c>
      <c r="Z400" t="s">
        <v>74</v>
      </c>
      <c r="AA400" t="str">
        <f>"10065-4870"</f>
        <v>10065-4870</v>
      </c>
      <c r="AB400" t="s">
        <v>75</v>
      </c>
      <c r="AC400" t="s">
        <v>76</v>
      </c>
      <c r="AD400" t="s">
        <v>73</v>
      </c>
      <c r="AE400" t="s">
        <v>77</v>
      </c>
      <c r="AF400" t="s">
        <v>2242</v>
      </c>
      <c r="AG400" t="s">
        <v>78</v>
      </c>
    </row>
    <row r="401" spans="1:33" hidden="1" x14ac:dyDescent="0.25">
      <c r="A401" t="str">
        <f>"1790826733"</f>
        <v>1790826733</v>
      </c>
      <c r="B401" t="str">
        <f>"02513977"</f>
        <v>02513977</v>
      </c>
      <c r="C401" t="s">
        <v>3685</v>
      </c>
      <c r="D401" t="s">
        <v>3686</v>
      </c>
      <c r="E401" t="s">
        <v>3687</v>
      </c>
      <c r="L401" t="s">
        <v>80</v>
      </c>
      <c r="M401" t="s">
        <v>73</v>
      </c>
      <c r="R401" t="s">
        <v>3688</v>
      </c>
      <c r="W401" t="s">
        <v>3689</v>
      </c>
      <c r="X401" t="s">
        <v>170</v>
      </c>
      <c r="Y401" t="s">
        <v>91</v>
      </c>
      <c r="Z401" t="s">
        <v>74</v>
      </c>
      <c r="AA401" t="str">
        <f>"10065-4870"</f>
        <v>10065-4870</v>
      </c>
      <c r="AB401" t="s">
        <v>75</v>
      </c>
      <c r="AC401" t="s">
        <v>76</v>
      </c>
      <c r="AD401" t="s">
        <v>73</v>
      </c>
      <c r="AE401" t="s">
        <v>77</v>
      </c>
      <c r="AF401" t="s">
        <v>2242</v>
      </c>
      <c r="AG401" t="s">
        <v>78</v>
      </c>
    </row>
    <row r="402" spans="1:33" hidden="1" x14ac:dyDescent="0.25">
      <c r="A402" t="str">
        <f>"1154570984"</f>
        <v>1154570984</v>
      </c>
      <c r="C402" t="s">
        <v>3690</v>
      </c>
      <c r="G402" t="s">
        <v>2224</v>
      </c>
      <c r="H402" t="s">
        <v>2312</v>
      </c>
      <c r="J402" t="s">
        <v>2226</v>
      </c>
      <c r="K402" t="s">
        <v>171</v>
      </c>
      <c r="L402" t="s">
        <v>96</v>
      </c>
      <c r="M402" t="s">
        <v>73</v>
      </c>
      <c r="R402" t="s">
        <v>3691</v>
      </c>
      <c r="S402" t="s">
        <v>3692</v>
      </c>
      <c r="T402" t="s">
        <v>91</v>
      </c>
      <c r="U402" t="s">
        <v>74</v>
      </c>
      <c r="V402" t="str">
        <f>"100323725"</f>
        <v>100323725</v>
      </c>
      <c r="AC402" t="s">
        <v>76</v>
      </c>
      <c r="AD402" t="s">
        <v>73</v>
      </c>
      <c r="AE402" t="s">
        <v>97</v>
      </c>
      <c r="AF402" t="s">
        <v>2228</v>
      </c>
      <c r="AG402" t="s">
        <v>78</v>
      </c>
    </row>
    <row r="403" spans="1:33" hidden="1" x14ac:dyDescent="0.25">
      <c r="A403" t="str">
        <f>"1811275266"</f>
        <v>1811275266</v>
      </c>
      <c r="C403" t="s">
        <v>3693</v>
      </c>
      <c r="G403" t="s">
        <v>2224</v>
      </c>
      <c r="H403" t="s">
        <v>2312</v>
      </c>
      <c r="J403" t="s">
        <v>2226</v>
      </c>
      <c r="K403" t="s">
        <v>171</v>
      </c>
      <c r="L403" t="s">
        <v>96</v>
      </c>
      <c r="M403" t="s">
        <v>73</v>
      </c>
      <c r="R403" t="s">
        <v>3694</v>
      </c>
      <c r="S403" t="s">
        <v>1489</v>
      </c>
      <c r="T403" t="s">
        <v>604</v>
      </c>
      <c r="U403" t="s">
        <v>519</v>
      </c>
      <c r="V403" t="str">
        <f>"190231200"</f>
        <v>190231200</v>
      </c>
      <c r="AC403" t="s">
        <v>76</v>
      </c>
      <c r="AD403" t="s">
        <v>73</v>
      </c>
      <c r="AE403" t="s">
        <v>97</v>
      </c>
      <c r="AF403" t="s">
        <v>2228</v>
      </c>
      <c r="AG403" t="s">
        <v>78</v>
      </c>
    </row>
    <row r="404" spans="1:33" hidden="1" x14ac:dyDescent="0.25">
      <c r="A404" t="str">
        <f>"1912262551"</f>
        <v>1912262551</v>
      </c>
      <c r="C404" t="s">
        <v>3695</v>
      </c>
      <c r="G404" t="s">
        <v>2224</v>
      </c>
      <c r="H404" t="s">
        <v>2312</v>
      </c>
      <c r="J404" t="s">
        <v>2226</v>
      </c>
      <c r="K404" t="s">
        <v>171</v>
      </c>
      <c r="L404" t="s">
        <v>96</v>
      </c>
      <c r="M404" t="s">
        <v>73</v>
      </c>
      <c r="R404" t="s">
        <v>3696</v>
      </c>
      <c r="S404" t="s">
        <v>1688</v>
      </c>
      <c r="T404" t="s">
        <v>1689</v>
      </c>
      <c r="U404" t="s">
        <v>111</v>
      </c>
      <c r="V404" t="str">
        <f>"021245615"</f>
        <v>021245615</v>
      </c>
      <c r="AC404" t="s">
        <v>76</v>
      </c>
      <c r="AD404" t="s">
        <v>73</v>
      </c>
      <c r="AE404" t="s">
        <v>97</v>
      </c>
      <c r="AF404" t="s">
        <v>2228</v>
      </c>
      <c r="AG404" t="s">
        <v>78</v>
      </c>
    </row>
    <row r="405" spans="1:33" hidden="1" x14ac:dyDescent="0.25">
      <c r="A405" t="str">
        <f>"1538425103"</f>
        <v>1538425103</v>
      </c>
      <c r="C405" t="s">
        <v>3697</v>
      </c>
      <c r="G405" t="s">
        <v>2224</v>
      </c>
      <c r="H405" t="s">
        <v>2312</v>
      </c>
      <c r="J405" t="s">
        <v>2226</v>
      </c>
      <c r="K405" t="s">
        <v>171</v>
      </c>
      <c r="L405" t="s">
        <v>96</v>
      </c>
      <c r="M405" t="s">
        <v>73</v>
      </c>
      <c r="R405" t="s">
        <v>3698</v>
      </c>
      <c r="S405" t="s">
        <v>3699</v>
      </c>
      <c r="T405" t="s">
        <v>1570</v>
      </c>
      <c r="U405" t="s">
        <v>578</v>
      </c>
      <c r="V405" t="str">
        <f>"941151931"</f>
        <v>941151931</v>
      </c>
      <c r="AC405" t="s">
        <v>76</v>
      </c>
      <c r="AD405" t="s">
        <v>73</v>
      </c>
      <c r="AE405" t="s">
        <v>97</v>
      </c>
      <c r="AF405" t="s">
        <v>2228</v>
      </c>
      <c r="AG405" t="s">
        <v>78</v>
      </c>
    </row>
    <row r="406" spans="1:33" hidden="1" x14ac:dyDescent="0.25">
      <c r="A406" t="str">
        <f>"1356608558"</f>
        <v>1356608558</v>
      </c>
      <c r="C406" t="s">
        <v>3700</v>
      </c>
      <c r="G406" t="s">
        <v>2224</v>
      </c>
      <c r="H406" t="s">
        <v>2312</v>
      </c>
      <c r="J406" t="s">
        <v>2226</v>
      </c>
      <c r="K406" t="s">
        <v>171</v>
      </c>
      <c r="L406" t="s">
        <v>96</v>
      </c>
      <c r="M406" t="s">
        <v>73</v>
      </c>
      <c r="R406" t="s">
        <v>3701</v>
      </c>
      <c r="S406" t="s">
        <v>3702</v>
      </c>
      <c r="T406" t="s">
        <v>1363</v>
      </c>
      <c r="U406" t="s">
        <v>139</v>
      </c>
      <c r="V406" t="str">
        <f>"088173744"</f>
        <v>088173744</v>
      </c>
      <c r="AC406" t="s">
        <v>76</v>
      </c>
      <c r="AD406" t="s">
        <v>73</v>
      </c>
      <c r="AE406" t="s">
        <v>97</v>
      </c>
      <c r="AF406" t="s">
        <v>2228</v>
      </c>
      <c r="AG406" t="s">
        <v>78</v>
      </c>
    </row>
    <row r="407" spans="1:33" hidden="1" x14ac:dyDescent="0.25">
      <c r="A407" t="str">
        <f>"1427341551"</f>
        <v>1427341551</v>
      </c>
      <c r="B407" t="str">
        <f>"04529228"</f>
        <v>04529228</v>
      </c>
      <c r="C407" t="s">
        <v>3703</v>
      </c>
      <c r="D407" t="s">
        <v>3704</v>
      </c>
      <c r="E407" t="s">
        <v>3705</v>
      </c>
      <c r="G407" t="s">
        <v>2224</v>
      </c>
      <c r="H407" t="s">
        <v>2312</v>
      </c>
      <c r="J407" t="s">
        <v>2226</v>
      </c>
      <c r="L407" t="s">
        <v>96</v>
      </c>
      <c r="M407" t="s">
        <v>73</v>
      </c>
      <c r="R407" t="s">
        <v>3706</v>
      </c>
      <c r="W407" t="s">
        <v>3705</v>
      </c>
      <c r="AB407" t="s">
        <v>75</v>
      </c>
      <c r="AC407" t="s">
        <v>76</v>
      </c>
      <c r="AD407" t="s">
        <v>73</v>
      </c>
      <c r="AE407" t="s">
        <v>77</v>
      </c>
      <c r="AF407" t="s">
        <v>2254</v>
      </c>
      <c r="AG407" t="s">
        <v>78</v>
      </c>
    </row>
    <row r="408" spans="1:33" hidden="1" x14ac:dyDescent="0.25">
      <c r="A408" t="str">
        <f>"1093909483"</f>
        <v>1093909483</v>
      </c>
      <c r="B408" t="str">
        <f>"03202664"</f>
        <v>03202664</v>
      </c>
      <c r="C408" t="s">
        <v>3707</v>
      </c>
      <c r="D408" t="s">
        <v>2192</v>
      </c>
      <c r="E408" t="s">
        <v>2193</v>
      </c>
      <c r="L408" t="s">
        <v>80</v>
      </c>
      <c r="M408" t="s">
        <v>73</v>
      </c>
      <c r="R408" t="s">
        <v>2194</v>
      </c>
      <c r="W408" t="s">
        <v>2195</v>
      </c>
      <c r="X408" t="s">
        <v>1403</v>
      </c>
      <c r="Y408" t="s">
        <v>181</v>
      </c>
      <c r="Z408" t="s">
        <v>74</v>
      </c>
      <c r="AA408" t="str">
        <f>"10604-2907"</f>
        <v>10604-2907</v>
      </c>
      <c r="AB408" t="s">
        <v>75</v>
      </c>
      <c r="AC408" t="s">
        <v>76</v>
      </c>
      <c r="AD408" t="s">
        <v>73</v>
      </c>
      <c r="AE408" t="s">
        <v>77</v>
      </c>
      <c r="AF408" t="s">
        <v>2228</v>
      </c>
      <c r="AG408" t="s">
        <v>78</v>
      </c>
    </row>
    <row r="409" spans="1:33" hidden="1" x14ac:dyDescent="0.25">
      <c r="A409" t="str">
        <f>"1548449465"</f>
        <v>1548449465</v>
      </c>
      <c r="B409" t="str">
        <f>"03572929"</f>
        <v>03572929</v>
      </c>
      <c r="C409" t="s">
        <v>3708</v>
      </c>
      <c r="D409" t="s">
        <v>3709</v>
      </c>
      <c r="E409" t="s">
        <v>3710</v>
      </c>
      <c r="L409" t="s">
        <v>80</v>
      </c>
      <c r="M409" t="s">
        <v>73</v>
      </c>
      <c r="R409" t="s">
        <v>3711</v>
      </c>
      <c r="W409" t="s">
        <v>3710</v>
      </c>
      <c r="X409" t="s">
        <v>167</v>
      </c>
      <c r="Y409" t="s">
        <v>91</v>
      </c>
      <c r="Z409" t="s">
        <v>74</v>
      </c>
      <c r="AA409" t="str">
        <f>"10032-3720"</f>
        <v>10032-3720</v>
      </c>
      <c r="AB409" t="s">
        <v>75</v>
      </c>
      <c r="AC409" t="s">
        <v>76</v>
      </c>
      <c r="AD409" t="s">
        <v>73</v>
      </c>
      <c r="AE409" t="s">
        <v>77</v>
      </c>
      <c r="AF409" t="s">
        <v>2228</v>
      </c>
      <c r="AG409" t="s">
        <v>78</v>
      </c>
    </row>
    <row r="410" spans="1:33" hidden="1" x14ac:dyDescent="0.25">
      <c r="A410" t="str">
        <f>"1740430891"</f>
        <v>1740430891</v>
      </c>
      <c r="B410" t="str">
        <f>"03508830"</f>
        <v>03508830</v>
      </c>
      <c r="C410" t="s">
        <v>3712</v>
      </c>
      <c r="D410" t="s">
        <v>3713</v>
      </c>
      <c r="E410" t="s">
        <v>3714</v>
      </c>
      <c r="G410" t="s">
        <v>2224</v>
      </c>
      <c r="H410" t="s">
        <v>3715</v>
      </c>
      <c r="J410" t="s">
        <v>2226</v>
      </c>
      <c r="L410" t="s">
        <v>80</v>
      </c>
      <c r="M410" t="s">
        <v>73</v>
      </c>
      <c r="R410" t="s">
        <v>3716</v>
      </c>
      <c r="W410" t="s">
        <v>3714</v>
      </c>
      <c r="X410" t="s">
        <v>410</v>
      </c>
      <c r="Y410" t="s">
        <v>91</v>
      </c>
      <c r="Z410" t="s">
        <v>74</v>
      </c>
      <c r="AA410" t="str">
        <f>"10032-1559"</f>
        <v>10032-1559</v>
      </c>
      <c r="AB410" t="s">
        <v>75</v>
      </c>
      <c r="AC410" t="s">
        <v>76</v>
      </c>
      <c r="AD410" t="s">
        <v>73</v>
      </c>
      <c r="AE410" t="s">
        <v>77</v>
      </c>
      <c r="AF410" t="s">
        <v>2228</v>
      </c>
      <c r="AG410" t="s">
        <v>78</v>
      </c>
    </row>
    <row r="411" spans="1:33" hidden="1" x14ac:dyDescent="0.25">
      <c r="A411" t="str">
        <f>"1235394644"</f>
        <v>1235394644</v>
      </c>
      <c r="B411" t="str">
        <f>"03687670"</f>
        <v>03687670</v>
      </c>
      <c r="C411" t="s">
        <v>3717</v>
      </c>
      <c r="D411" t="s">
        <v>3718</v>
      </c>
      <c r="E411" t="s">
        <v>3719</v>
      </c>
      <c r="G411" t="s">
        <v>2224</v>
      </c>
      <c r="H411" t="s">
        <v>3720</v>
      </c>
      <c r="J411" t="s">
        <v>2226</v>
      </c>
      <c r="L411" t="s">
        <v>100</v>
      </c>
      <c r="M411" t="s">
        <v>73</v>
      </c>
      <c r="R411" t="s">
        <v>3721</v>
      </c>
      <c r="W411" t="s">
        <v>3719</v>
      </c>
      <c r="X411" t="s">
        <v>236</v>
      </c>
      <c r="Y411" t="s">
        <v>91</v>
      </c>
      <c r="Z411" t="s">
        <v>74</v>
      </c>
      <c r="AA411" t="str">
        <f>"10034-1159"</f>
        <v>10034-1159</v>
      </c>
      <c r="AB411" t="s">
        <v>75</v>
      </c>
      <c r="AC411" t="s">
        <v>76</v>
      </c>
      <c r="AD411" t="s">
        <v>73</v>
      </c>
      <c r="AE411" t="s">
        <v>77</v>
      </c>
      <c r="AF411" t="s">
        <v>2228</v>
      </c>
      <c r="AG411" t="s">
        <v>78</v>
      </c>
    </row>
    <row r="412" spans="1:33" hidden="1" x14ac:dyDescent="0.25">
      <c r="A412" t="str">
        <f>"1225289523"</f>
        <v>1225289523</v>
      </c>
      <c r="B412" t="str">
        <f>"03079063"</f>
        <v>03079063</v>
      </c>
      <c r="C412" t="s">
        <v>3722</v>
      </c>
      <c r="D412" t="s">
        <v>3723</v>
      </c>
      <c r="E412" t="s">
        <v>3724</v>
      </c>
      <c r="L412" t="s">
        <v>72</v>
      </c>
      <c r="M412" t="s">
        <v>73</v>
      </c>
      <c r="R412" t="s">
        <v>3725</v>
      </c>
      <c r="W412" t="s">
        <v>3724</v>
      </c>
      <c r="X412" t="s">
        <v>628</v>
      </c>
      <c r="Y412" t="s">
        <v>91</v>
      </c>
      <c r="Z412" t="s">
        <v>74</v>
      </c>
      <c r="AA412" t="str">
        <f>"10021-4872"</f>
        <v>10021-4872</v>
      </c>
      <c r="AB412" t="s">
        <v>75</v>
      </c>
      <c r="AC412" t="s">
        <v>76</v>
      </c>
      <c r="AD412" t="s">
        <v>73</v>
      </c>
      <c r="AE412" t="s">
        <v>77</v>
      </c>
      <c r="AF412" t="s">
        <v>2242</v>
      </c>
      <c r="AG412" t="s">
        <v>78</v>
      </c>
    </row>
    <row r="413" spans="1:33" hidden="1" x14ac:dyDescent="0.25">
      <c r="A413" t="str">
        <f>"1700821832"</f>
        <v>1700821832</v>
      </c>
      <c r="B413" t="str">
        <f>"03067907"</f>
        <v>03067907</v>
      </c>
      <c r="C413" t="s">
        <v>606</v>
      </c>
      <c r="D413" t="s">
        <v>607</v>
      </c>
      <c r="E413" t="s">
        <v>608</v>
      </c>
      <c r="G413" t="s">
        <v>2260</v>
      </c>
      <c r="H413" t="s">
        <v>3726</v>
      </c>
      <c r="J413" t="s">
        <v>1512</v>
      </c>
      <c r="L413" t="s">
        <v>80</v>
      </c>
      <c r="M413" t="s">
        <v>73</v>
      </c>
      <c r="R413" t="s">
        <v>609</v>
      </c>
      <c r="W413" t="s">
        <v>608</v>
      </c>
      <c r="X413" t="s">
        <v>610</v>
      </c>
      <c r="Y413" t="s">
        <v>118</v>
      </c>
      <c r="Z413" t="s">
        <v>74</v>
      </c>
      <c r="AA413" t="str">
        <f>"10459-4240"</f>
        <v>10459-4240</v>
      </c>
      <c r="AB413" t="s">
        <v>75</v>
      </c>
      <c r="AC413" t="s">
        <v>76</v>
      </c>
      <c r="AD413" t="s">
        <v>73</v>
      </c>
      <c r="AE413" t="s">
        <v>77</v>
      </c>
      <c r="AF413" t="s">
        <v>2254</v>
      </c>
      <c r="AG413" t="s">
        <v>78</v>
      </c>
    </row>
    <row r="414" spans="1:33" hidden="1" x14ac:dyDescent="0.25">
      <c r="A414" t="str">
        <f>"1396787933"</f>
        <v>1396787933</v>
      </c>
      <c r="C414" t="s">
        <v>3727</v>
      </c>
      <c r="G414" t="s">
        <v>2224</v>
      </c>
      <c r="H414" t="s">
        <v>2312</v>
      </c>
      <c r="J414" t="s">
        <v>2226</v>
      </c>
      <c r="K414" t="s">
        <v>171</v>
      </c>
      <c r="L414" t="s">
        <v>96</v>
      </c>
      <c r="M414" t="s">
        <v>73</v>
      </c>
      <c r="R414" t="s">
        <v>3728</v>
      </c>
      <c r="S414" t="s">
        <v>3729</v>
      </c>
      <c r="T414" t="s">
        <v>577</v>
      </c>
      <c r="U414" t="s">
        <v>578</v>
      </c>
      <c r="V414" t="str">
        <f>"921341098"</f>
        <v>921341098</v>
      </c>
      <c r="AC414" t="s">
        <v>76</v>
      </c>
      <c r="AD414" t="s">
        <v>73</v>
      </c>
      <c r="AE414" t="s">
        <v>97</v>
      </c>
      <c r="AF414" t="s">
        <v>2228</v>
      </c>
      <c r="AG414" t="s">
        <v>78</v>
      </c>
    </row>
    <row r="415" spans="1:33" hidden="1" x14ac:dyDescent="0.25">
      <c r="A415" t="str">
        <f>"1922386838"</f>
        <v>1922386838</v>
      </c>
      <c r="C415" t="s">
        <v>3730</v>
      </c>
      <c r="G415" t="s">
        <v>2224</v>
      </c>
      <c r="H415" t="s">
        <v>2312</v>
      </c>
      <c r="J415" t="s">
        <v>2226</v>
      </c>
      <c r="K415" t="s">
        <v>171</v>
      </c>
      <c r="L415" t="s">
        <v>96</v>
      </c>
      <c r="M415" t="s">
        <v>73</v>
      </c>
      <c r="R415" t="s">
        <v>3731</v>
      </c>
      <c r="S415" t="s">
        <v>369</v>
      </c>
      <c r="T415" t="s">
        <v>370</v>
      </c>
      <c r="U415" t="s">
        <v>211</v>
      </c>
      <c r="V415" t="str">
        <f>"631101010"</f>
        <v>631101010</v>
      </c>
      <c r="AC415" t="s">
        <v>76</v>
      </c>
      <c r="AD415" t="s">
        <v>73</v>
      </c>
      <c r="AE415" t="s">
        <v>97</v>
      </c>
      <c r="AF415" t="s">
        <v>2228</v>
      </c>
      <c r="AG415" t="s">
        <v>78</v>
      </c>
    </row>
    <row r="416" spans="1:33" hidden="1" x14ac:dyDescent="0.25">
      <c r="A416" t="str">
        <f>"1295767358"</f>
        <v>1295767358</v>
      </c>
      <c r="B416" t="str">
        <f>"02677003"</f>
        <v>02677003</v>
      </c>
      <c r="C416" t="s">
        <v>3732</v>
      </c>
      <c r="D416" t="s">
        <v>3733</v>
      </c>
      <c r="E416" t="s">
        <v>3734</v>
      </c>
      <c r="L416" t="s">
        <v>80</v>
      </c>
      <c r="M416" t="s">
        <v>73</v>
      </c>
      <c r="R416" t="s">
        <v>3735</v>
      </c>
      <c r="W416" t="s">
        <v>3734</v>
      </c>
      <c r="X416" t="s">
        <v>167</v>
      </c>
      <c r="Y416" t="s">
        <v>91</v>
      </c>
      <c r="Z416" t="s">
        <v>74</v>
      </c>
      <c r="AA416" t="str">
        <f>"10032-3720"</f>
        <v>10032-3720</v>
      </c>
      <c r="AB416" t="s">
        <v>75</v>
      </c>
      <c r="AC416" t="s">
        <v>76</v>
      </c>
      <c r="AD416" t="s">
        <v>73</v>
      </c>
      <c r="AE416" t="s">
        <v>77</v>
      </c>
      <c r="AF416" t="s">
        <v>2242</v>
      </c>
      <c r="AG416" t="s">
        <v>78</v>
      </c>
    </row>
    <row r="417" spans="1:33" hidden="1" x14ac:dyDescent="0.25">
      <c r="A417" t="str">
        <f>"1093921751"</f>
        <v>1093921751</v>
      </c>
      <c r="B417" t="str">
        <f>"02970987"</f>
        <v>02970987</v>
      </c>
      <c r="C417" t="s">
        <v>3736</v>
      </c>
      <c r="D417" t="s">
        <v>3737</v>
      </c>
      <c r="E417" t="s">
        <v>3738</v>
      </c>
      <c r="L417" t="s">
        <v>80</v>
      </c>
      <c r="M417" t="s">
        <v>73</v>
      </c>
      <c r="R417" t="s">
        <v>3739</v>
      </c>
      <c r="W417" t="s">
        <v>3740</v>
      </c>
      <c r="X417" t="s">
        <v>170</v>
      </c>
      <c r="Y417" t="s">
        <v>91</v>
      </c>
      <c r="Z417" t="s">
        <v>74</v>
      </c>
      <c r="AA417" t="str">
        <f>"10065-4870"</f>
        <v>10065-4870</v>
      </c>
      <c r="AB417" t="s">
        <v>75</v>
      </c>
      <c r="AC417" t="s">
        <v>76</v>
      </c>
      <c r="AD417" t="s">
        <v>73</v>
      </c>
      <c r="AE417" t="s">
        <v>77</v>
      </c>
      <c r="AF417" t="s">
        <v>2242</v>
      </c>
      <c r="AG417" t="s">
        <v>78</v>
      </c>
    </row>
    <row r="418" spans="1:33" hidden="1" x14ac:dyDescent="0.25">
      <c r="A418" t="str">
        <f>"1760448559"</f>
        <v>1760448559</v>
      </c>
      <c r="B418" t="str">
        <f>"02570969"</f>
        <v>02570969</v>
      </c>
      <c r="C418" t="s">
        <v>3741</v>
      </c>
      <c r="D418" t="s">
        <v>3742</v>
      </c>
      <c r="E418" t="s">
        <v>3743</v>
      </c>
      <c r="L418" t="s">
        <v>80</v>
      </c>
      <c r="M418" t="s">
        <v>73</v>
      </c>
      <c r="R418" t="s">
        <v>3744</v>
      </c>
      <c r="W418" t="s">
        <v>3745</v>
      </c>
      <c r="X418" t="s">
        <v>170</v>
      </c>
      <c r="Y418" t="s">
        <v>91</v>
      </c>
      <c r="Z418" t="s">
        <v>74</v>
      </c>
      <c r="AA418" t="str">
        <f>"10065-4870"</f>
        <v>10065-4870</v>
      </c>
      <c r="AB418" t="s">
        <v>75</v>
      </c>
      <c r="AC418" t="s">
        <v>76</v>
      </c>
      <c r="AD418" t="s">
        <v>73</v>
      </c>
      <c r="AE418" t="s">
        <v>77</v>
      </c>
      <c r="AF418" t="s">
        <v>2242</v>
      </c>
      <c r="AG418" t="s">
        <v>78</v>
      </c>
    </row>
    <row r="419" spans="1:33" hidden="1" x14ac:dyDescent="0.25">
      <c r="A419" t="str">
        <f>"1871692210"</f>
        <v>1871692210</v>
      </c>
      <c r="B419" t="str">
        <f>"02204644"</f>
        <v>02204644</v>
      </c>
      <c r="C419" t="s">
        <v>3746</v>
      </c>
      <c r="D419" t="s">
        <v>3747</v>
      </c>
      <c r="E419" t="s">
        <v>3748</v>
      </c>
      <c r="L419" t="s">
        <v>99</v>
      </c>
      <c r="M419" t="s">
        <v>73</v>
      </c>
      <c r="R419" t="s">
        <v>3746</v>
      </c>
      <c r="W419" t="s">
        <v>3498</v>
      </c>
      <c r="X419" t="s">
        <v>170</v>
      </c>
      <c r="Y419" t="s">
        <v>91</v>
      </c>
      <c r="Z419" t="s">
        <v>74</v>
      </c>
      <c r="AA419" t="str">
        <f>"10065-4870"</f>
        <v>10065-4870</v>
      </c>
      <c r="AB419" t="s">
        <v>123</v>
      </c>
      <c r="AC419" t="s">
        <v>76</v>
      </c>
      <c r="AD419" t="s">
        <v>73</v>
      </c>
      <c r="AE419" t="s">
        <v>77</v>
      </c>
      <c r="AF419" t="s">
        <v>2254</v>
      </c>
      <c r="AG419" t="s">
        <v>78</v>
      </c>
    </row>
    <row r="420" spans="1:33" hidden="1" x14ac:dyDescent="0.25">
      <c r="A420" t="str">
        <f>"1407019896"</f>
        <v>1407019896</v>
      </c>
      <c r="B420" t="str">
        <f>"03540154"</f>
        <v>03540154</v>
      </c>
      <c r="C420" t="s">
        <v>3749</v>
      </c>
      <c r="D420" t="s">
        <v>2163</v>
      </c>
      <c r="E420" t="s">
        <v>2164</v>
      </c>
      <c r="G420" t="s">
        <v>2224</v>
      </c>
      <c r="H420" t="s">
        <v>2225</v>
      </c>
      <c r="J420" t="s">
        <v>2226</v>
      </c>
      <c r="L420" t="s">
        <v>72</v>
      </c>
      <c r="M420" t="s">
        <v>73</v>
      </c>
      <c r="R420" t="s">
        <v>2162</v>
      </c>
      <c r="W420" t="s">
        <v>2164</v>
      </c>
      <c r="X420" t="s">
        <v>1397</v>
      </c>
      <c r="Y420" t="s">
        <v>91</v>
      </c>
      <c r="Z420" t="s">
        <v>74</v>
      </c>
      <c r="AA420" t="str">
        <f>"10032-3724"</f>
        <v>10032-3724</v>
      </c>
      <c r="AB420" t="s">
        <v>75</v>
      </c>
      <c r="AC420" t="s">
        <v>76</v>
      </c>
      <c r="AD420" t="s">
        <v>73</v>
      </c>
      <c r="AE420" t="s">
        <v>77</v>
      </c>
      <c r="AF420" t="s">
        <v>2228</v>
      </c>
      <c r="AG420" t="s">
        <v>78</v>
      </c>
    </row>
    <row r="421" spans="1:33" hidden="1" x14ac:dyDescent="0.25">
      <c r="A421" t="str">
        <f>"1194749291"</f>
        <v>1194749291</v>
      </c>
      <c r="B421" t="str">
        <f>"02828031"</f>
        <v>02828031</v>
      </c>
      <c r="C421" t="s">
        <v>3750</v>
      </c>
      <c r="D421" t="s">
        <v>3751</v>
      </c>
      <c r="E421" t="s">
        <v>3752</v>
      </c>
      <c r="G421" t="s">
        <v>2224</v>
      </c>
      <c r="H421" t="s">
        <v>2225</v>
      </c>
      <c r="J421" t="s">
        <v>2226</v>
      </c>
      <c r="L421" t="s">
        <v>72</v>
      </c>
      <c r="M421" t="s">
        <v>73</v>
      </c>
      <c r="R421" t="s">
        <v>3753</v>
      </c>
      <c r="W421" t="s">
        <v>3752</v>
      </c>
      <c r="X421" t="s">
        <v>183</v>
      </c>
      <c r="Y421" t="s">
        <v>91</v>
      </c>
      <c r="Z421" t="s">
        <v>74</v>
      </c>
      <c r="AA421" t="str">
        <f>"10032-3729"</f>
        <v>10032-3729</v>
      </c>
      <c r="AB421" t="s">
        <v>75</v>
      </c>
      <c r="AC421" t="s">
        <v>76</v>
      </c>
      <c r="AD421" t="s">
        <v>73</v>
      </c>
      <c r="AE421" t="s">
        <v>77</v>
      </c>
      <c r="AF421" t="s">
        <v>2228</v>
      </c>
      <c r="AG421" t="s">
        <v>78</v>
      </c>
    </row>
    <row r="422" spans="1:33" hidden="1" x14ac:dyDescent="0.25">
      <c r="A422" t="str">
        <f>"1417024563"</f>
        <v>1417024563</v>
      </c>
      <c r="B422" t="str">
        <f>"01021407"</f>
        <v>01021407</v>
      </c>
      <c r="C422" t="s">
        <v>3754</v>
      </c>
      <c r="D422" t="s">
        <v>3755</v>
      </c>
      <c r="E422" t="s">
        <v>3756</v>
      </c>
      <c r="G422" t="s">
        <v>2224</v>
      </c>
      <c r="H422" t="s">
        <v>2225</v>
      </c>
      <c r="J422" t="s">
        <v>2226</v>
      </c>
      <c r="L422" t="s">
        <v>72</v>
      </c>
      <c r="M422" t="s">
        <v>73</v>
      </c>
      <c r="R422" t="s">
        <v>3757</v>
      </c>
      <c r="W422" t="s">
        <v>3758</v>
      </c>
      <c r="X422" t="s">
        <v>167</v>
      </c>
      <c r="Y422" t="s">
        <v>91</v>
      </c>
      <c r="Z422" t="s">
        <v>74</v>
      </c>
      <c r="AA422" t="str">
        <f>"10032-3720"</f>
        <v>10032-3720</v>
      </c>
      <c r="AB422" t="s">
        <v>75</v>
      </c>
      <c r="AC422" t="s">
        <v>76</v>
      </c>
      <c r="AD422" t="s">
        <v>73</v>
      </c>
      <c r="AE422" t="s">
        <v>77</v>
      </c>
      <c r="AF422" t="s">
        <v>2228</v>
      </c>
      <c r="AG422" t="s">
        <v>78</v>
      </c>
    </row>
    <row r="423" spans="1:33" hidden="1" x14ac:dyDescent="0.25">
      <c r="A423" t="str">
        <f>"1346379914"</f>
        <v>1346379914</v>
      </c>
      <c r="B423" t="str">
        <f>"03068751"</f>
        <v>03068751</v>
      </c>
      <c r="C423" t="s">
        <v>3759</v>
      </c>
      <c r="D423" t="s">
        <v>3760</v>
      </c>
      <c r="E423" t="s">
        <v>3761</v>
      </c>
      <c r="G423" t="s">
        <v>2224</v>
      </c>
      <c r="H423" t="s">
        <v>2225</v>
      </c>
      <c r="J423" t="s">
        <v>2226</v>
      </c>
      <c r="L423" t="s">
        <v>72</v>
      </c>
      <c r="M423" t="s">
        <v>73</v>
      </c>
      <c r="R423" t="s">
        <v>3762</v>
      </c>
      <c r="W423" t="s">
        <v>3761</v>
      </c>
      <c r="X423" t="s">
        <v>2018</v>
      </c>
      <c r="Y423" t="s">
        <v>91</v>
      </c>
      <c r="Z423" t="s">
        <v>74</v>
      </c>
      <c r="AA423" t="str">
        <f>"10032"</f>
        <v>10032</v>
      </c>
      <c r="AB423" t="s">
        <v>113</v>
      </c>
      <c r="AC423" t="s">
        <v>76</v>
      </c>
      <c r="AD423" t="s">
        <v>73</v>
      </c>
      <c r="AE423" t="s">
        <v>77</v>
      </c>
      <c r="AF423" t="s">
        <v>2254</v>
      </c>
      <c r="AG423" t="s">
        <v>78</v>
      </c>
    </row>
    <row r="424" spans="1:33" hidden="1" x14ac:dyDescent="0.25">
      <c r="A424" t="str">
        <f>"1114223773"</f>
        <v>1114223773</v>
      </c>
      <c r="B424" t="str">
        <f>"03950676"</f>
        <v>03950676</v>
      </c>
      <c r="C424" t="s">
        <v>3763</v>
      </c>
      <c r="D424" t="s">
        <v>3764</v>
      </c>
      <c r="E424" t="s">
        <v>3765</v>
      </c>
      <c r="G424" t="s">
        <v>2224</v>
      </c>
      <c r="H424" t="s">
        <v>2225</v>
      </c>
      <c r="J424" t="s">
        <v>2226</v>
      </c>
      <c r="L424" t="s">
        <v>72</v>
      </c>
      <c r="M424" t="s">
        <v>73</v>
      </c>
      <c r="R424" t="s">
        <v>3766</v>
      </c>
      <c r="W424" t="s">
        <v>3765</v>
      </c>
      <c r="X424" t="s">
        <v>170</v>
      </c>
      <c r="Y424" t="s">
        <v>91</v>
      </c>
      <c r="Z424" t="s">
        <v>74</v>
      </c>
      <c r="AA424" t="str">
        <f>"10065-4870"</f>
        <v>10065-4870</v>
      </c>
      <c r="AB424" t="s">
        <v>75</v>
      </c>
      <c r="AC424" t="s">
        <v>76</v>
      </c>
      <c r="AD424" t="s">
        <v>73</v>
      </c>
      <c r="AE424" t="s">
        <v>77</v>
      </c>
      <c r="AF424" t="s">
        <v>2242</v>
      </c>
      <c r="AG424" t="s">
        <v>78</v>
      </c>
    </row>
    <row r="425" spans="1:33" hidden="1" x14ac:dyDescent="0.25">
      <c r="A425" t="str">
        <f>"1124056932"</f>
        <v>1124056932</v>
      </c>
      <c r="B425" t="str">
        <f>"03579682"</f>
        <v>03579682</v>
      </c>
      <c r="C425" t="s">
        <v>3767</v>
      </c>
      <c r="D425" t="s">
        <v>3768</v>
      </c>
      <c r="E425" t="s">
        <v>3769</v>
      </c>
      <c r="G425" t="s">
        <v>2224</v>
      </c>
      <c r="H425" t="s">
        <v>2225</v>
      </c>
      <c r="J425" t="s">
        <v>2226</v>
      </c>
      <c r="L425" t="s">
        <v>80</v>
      </c>
      <c r="M425" t="s">
        <v>73</v>
      </c>
      <c r="R425" t="s">
        <v>3770</v>
      </c>
      <c r="W425" t="s">
        <v>3769</v>
      </c>
      <c r="X425" t="s">
        <v>3771</v>
      </c>
      <c r="Y425" t="s">
        <v>91</v>
      </c>
      <c r="Z425" t="s">
        <v>74</v>
      </c>
      <c r="AA425" t="str">
        <f>"10021-4635"</f>
        <v>10021-4635</v>
      </c>
      <c r="AB425" t="s">
        <v>75</v>
      </c>
      <c r="AC425" t="s">
        <v>76</v>
      </c>
      <c r="AD425" t="s">
        <v>73</v>
      </c>
      <c r="AE425" t="s">
        <v>77</v>
      </c>
      <c r="AF425" t="s">
        <v>2398</v>
      </c>
      <c r="AG425" t="s">
        <v>78</v>
      </c>
    </row>
    <row r="426" spans="1:33" hidden="1" x14ac:dyDescent="0.25">
      <c r="A426" t="str">
        <f>"1124062641"</f>
        <v>1124062641</v>
      </c>
      <c r="B426" t="str">
        <f>"02759108"</f>
        <v>02759108</v>
      </c>
      <c r="C426" t="s">
        <v>3772</v>
      </c>
      <c r="D426" t="s">
        <v>3773</v>
      </c>
      <c r="E426" t="s">
        <v>3774</v>
      </c>
      <c r="G426" t="s">
        <v>2224</v>
      </c>
      <c r="H426" t="s">
        <v>2225</v>
      </c>
      <c r="J426" t="s">
        <v>2226</v>
      </c>
      <c r="L426" t="s">
        <v>100</v>
      </c>
      <c r="M426" t="s">
        <v>73</v>
      </c>
      <c r="R426" t="s">
        <v>3775</v>
      </c>
      <c r="W426" t="s">
        <v>3776</v>
      </c>
      <c r="X426" t="s">
        <v>1444</v>
      </c>
      <c r="Y426" t="s">
        <v>91</v>
      </c>
      <c r="Z426" t="s">
        <v>74</v>
      </c>
      <c r="AA426" t="str">
        <f>"10032-3733"</f>
        <v>10032-3733</v>
      </c>
      <c r="AB426" t="s">
        <v>75</v>
      </c>
      <c r="AC426" t="s">
        <v>76</v>
      </c>
      <c r="AD426" t="s">
        <v>73</v>
      </c>
      <c r="AE426" t="s">
        <v>77</v>
      </c>
      <c r="AF426" t="s">
        <v>2254</v>
      </c>
      <c r="AG426" t="s">
        <v>78</v>
      </c>
    </row>
    <row r="427" spans="1:33" hidden="1" x14ac:dyDescent="0.25">
      <c r="A427" t="str">
        <f>"1063509131"</f>
        <v>1063509131</v>
      </c>
      <c r="B427" t="str">
        <f>"01205325"</f>
        <v>01205325</v>
      </c>
      <c r="C427" t="s">
        <v>3777</v>
      </c>
      <c r="D427" t="s">
        <v>1675</v>
      </c>
      <c r="E427" t="s">
        <v>1676</v>
      </c>
      <c r="G427" t="s">
        <v>2224</v>
      </c>
      <c r="H427" t="s">
        <v>2225</v>
      </c>
      <c r="J427" t="s">
        <v>2226</v>
      </c>
      <c r="L427" t="s">
        <v>88</v>
      </c>
      <c r="M427" t="s">
        <v>73</v>
      </c>
      <c r="R427" t="s">
        <v>1677</v>
      </c>
      <c r="W427" t="s">
        <v>1676</v>
      </c>
      <c r="X427" t="s">
        <v>1678</v>
      </c>
      <c r="Y427" t="s">
        <v>91</v>
      </c>
      <c r="Z427" t="s">
        <v>74</v>
      </c>
      <c r="AA427" t="str">
        <f>"10128-6904"</f>
        <v>10128-6904</v>
      </c>
      <c r="AB427" t="s">
        <v>75</v>
      </c>
      <c r="AC427" t="s">
        <v>76</v>
      </c>
      <c r="AD427" t="s">
        <v>73</v>
      </c>
      <c r="AE427" t="s">
        <v>77</v>
      </c>
      <c r="AF427" t="s">
        <v>2242</v>
      </c>
      <c r="AG427" t="s">
        <v>78</v>
      </c>
    </row>
    <row r="428" spans="1:33" hidden="1" x14ac:dyDescent="0.25">
      <c r="A428" t="str">
        <f>"1508804238"</f>
        <v>1508804238</v>
      </c>
      <c r="B428" t="str">
        <f>"02638631"</f>
        <v>02638631</v>
      </c>
      <c r="C428" t="s">
        <v>3778</v>
      </c>
      <c r="D428" t="s">
        <v>3779</v>
      </c>
      <c r="E428" t="s">
        <v>3780</v>
      </c>
      <c r="G428" t="s">
        <v>2224</v>
      </c>
      <c r="H428" t="s">
        <v>2225</v>
      </c>
      <c r="J428" t="s">
        <v>2226</v>
      </c>
      <c r="L428" t="s">
        <v>80</v>
      </c>
      <c r="M428" t="s">
        <v>73</v>
      </c>
      <c r="R428" t="s">
        <v>3781</v>
      </c>
      <c r="W428" t="s">
        <v>3780</v>
      </c>
      <c r="X428" t="s">
        <v>421</v>
      </c>
      <c r="Y428" t="s">
        <v>118</v>
      </c>
      <c r="Z428" t="s">
        <v>74</v>
      </c>
      <c r="AA428" t="str">
        <f>"10471-1205"</f>
        <v>10471-1205</v>
      </c>
      <c r="AB428" t="s">
        <v>75</v>
      </c>
      <c r="AC428" t="s">
        <v>76</v>
      </c>
      <c r="AD428" t="s">
        <v>73</v>
      </c>
      <c r="AE428" t="s">
        <v>77</v>
      </c>
      <c r="AF428" t="s">
        <v>2254</v>
      </c>
      <c r="AG428" t="s">
        <v>78</v>
      </c>
    </row>
    <row r="429" spans="1:33" hidden="1" x14ac:dyDescent="0.25">
      <c r="A429" t="str">
        <f>"1619928272"</f>
        <v>1619928272</v>
      </c>
      <c r="B429" t="str">
        <f>"01850595"</f>
        <v>01850595</v>
      </c>
      <c r="C429" t="s">
        <v>3782</v>
      </c>
      <c r="D429" t="s">
        <v>3783</v>
      </c>
      <c r="E429" t="s">
        <v>3784</v>
      </c>
      <c r="G429" t="s">
        <v>2224</v>
      </c>
      <c r="H429" t="s">
        <v>2225</v>
      </c>
      <c r="J429" t="s">
        <v>2226</v>
      </c>
      <c r="L429" t="s">
        <v>80</v>
      </c>
      <c r="M429" t="s">
        <v>73</v>
      </c>
      <c r="R429" t="s">
        <v>3785</v>
      </c>
      <c r="W429" t="s">
        <v>3784</v>
      </c>
      <c r="X429" t="s">
        <v>3784</v>
      </c>
      <c r="Y429" t="s">
        <v>84</v>
      </c>
      <c r="Z429" t="s">
        <v>74</v>
      </c>
      <c r="AA429" t="str">
        <f>"11209-3957"</f>
        <v>11209-3957</v>
      </c>
      <c r="AB429" t="s">
        <v>75</v>
      </c>
      <c r="AC429" t="s">
        <v>76</v>
      </c>
      <c r="AD429" t="s">
        <v>73</v>
      </c>
      <c r="AE429" t="s">
        <v>77</v>
      </c>
      <c r="AF429" t="s">
        <v>2228</v>
      </c>
      <c r="AG429" t="s">
        <v>78</v>
      </c>
    </row>
    <row r="430" spans="1:33" hidden="1" x14ac:dyDescent="0.25">
      <c r="A430" t="str">
        <f>"1922257773"</f>
        <v>1922257773</v>
      </c>
      <c r="B430" t="str">
        <f>"03349584"</f>
        <v>03349584</v>
      </c>
      <c r="C430" t="s">
        <v>3786</v>
      </c>
      <c r="D430" t="s">
        <v>3787</v>
      </c>
      <c r="E430" t="s">
        <v>3788</v>
      </c>
      <c r="G430" t="s">
        <v>2224</v>
      </c>
      <c r="H430" t="s">
        <v>2225</v>
      </c>
      <c r="J430" t="s">
        <v>2226</v>
      </c>
      <c r="L430" t="s">
        <v>81</v>
      </c>
      <c r="M430" t="s">
        <v>73</v>
      </c>
      <c r="R430" t="s">
        <v>3789</v>
      </c>
      <c r="W430" t="s">
        <v>3790</v>
      </c>
      <c r="X430" t="s">
        <v>1964</v>
      </c>
      <c r="Y430" t="s">
        <v>91</v>
      </c>
      <c r="Z430" t="s">
        <v>74</v>
      </c>
      <c r="AA430" t="str">
        <f>"10032-3822"</f>
        <v>10032-3822</v>
      </c>
      <c r="AB430" t="s">
        <v>75</v>
      </c>
      <c r="AC430" t="s">
        <v>76</v>
      </c>
      <c r="AD430" t="s">
        <v>73</v>
      </c>
      <c r="AE430" t="s">
        <v>77</v>
      </c>
      <c r="AF430" t="s">
        <v>2228</v>
      </c>
      <c r="AG430" t="s">
        <v>78</v>
      </c>
    </row>
    <row r="431" spans="1:33" hidden="1" x14ac:dyDescent="0.25">
      <c r="A431" t="str">
        <f>"1922279520"</f>
        <v>1922279520</v>
      </c>
      <c r="B431" t="str">
        <f>"03489383"</f>
        <v>03489383</v>
      </c>
      <c r="C431" t="s">
        <v>3791</v>
      </c>
      <c r="D431" t="s">
        <v>3792</v>
      </c>
      <c r="E431" t="s">
        <v>3793</v>
      </c>
      <c r="G431" t="s">
        <v>2224</v>
      </c>
      <c r="H431" t="s">
        <v>2225</v>
      </c>
      <c r="J431" t="s">
        <v>2226</v>
      </c>
      <c r="L431" t="s">
        <v>72</v>
      </c>
      <c r="M431" t="s">
        <v>73</v>
      </c>
      <c r="R431" t="s">
        <v>3794</v>
      </c>
      <c r="W431" t="s">
        <v>3793</v>
      </c>
      <c r="X431" t="s">
        <v>167</v>
      </c>
      <c r="Y431" t="s">
        <v>91</v>
      </c>
      <c r="Z431" t="s">
        <v>74</v>
      </c>
      <c r="AA431" t="str">
        <f>"10032-3720"</f>
        <v>10032-3720</v>
      </c>
      <c r="AB431" t="s">
        <v>75</v>
      </c>
      <c r="AC431" t="s">
        <v>76</v>
      </c>
      <c r="AD431" t="s">
        <v>73</v>
      </c>
      <c r="AE431" t="s">
        <v>77</v>
      </c>
      <c r="AF431" t="s">
        <v>2254</v>
      </c>
      <c r="AG431" t="s">
        <v>78</v>
      </c>
    </row>
    <row r="432" spans="1:33" hidden="1" x14ac:dyDescent="0.25">
      <c r="A432" t="str">
        <f>"1518041045"</f>
        <v>1518041045</v>
      </c>
      <c r="B432" t="str">
        <f>"02905324"</f>
        <v>02905324</v>
      </c>
      <c r="C432" t="s">
        <v>3795</v>
      </c>
      <c r="D432" t="s">
        <v>3796</v>
      </c>
      <c r="E432" t="s">
        <v>3797</v>
      </c>
      <c r="G432" t="s">
        <v>2224</v>
      </c>
      <c r="H432" t="s">
        <v>2225</v>
      </c>
      <c r="J432" t="s">
        <v>2226</v>
      </c>
      <c r="L432" t="s">
        <v>88</v>
      </c>
      <c r="M432" t="s">
        <v>82</v>
      </c>
      <c r="R432" t="s">
        <v>3798</v>
      </c>
      <c r="W432" t="s">
        <v>3797</v>
      </c>
      <c r="X432" t="s">
        <v>167</v>
      </c>
      <c r="Y432" t="s">
        <v>91</v>
      </c>
      <c r="Z432" t="s">
        <v>74</v>
      </c>
      <c r="AA432" t="str">
        <f>"10032-3720"</f>
        <v>10032-3720</v>
      </c>
      <c r="AB432" t="s">
        <v>75</v>
      </c>
      <c r="AC432" t="s">
        <v>76</v>
      </c>
      <c r="AD432" t="s">
        <v>73</v>
      </c>
      <c r="AE432" t="s">
        <v>77</v>
      </c>
      <c r="AF432" t="s">
        <v>2228</v>
      </c>
      <c r="AG432" t="s">
        <v>78</v>
      </c>
    </row>
    <row r="433" spans="1:33" hidden="1" x14ac:dyDescent="0.25">
      <c r="A433" t="str">
        <f>"1295838076"</f>
        <v>1295838076</v>
      </c>
      <c r="B433" t="str">
        <f>"03492477"</f>
        <v>03492477</v>
      </c>
      <c r="C433" t="s">
        <v>3799</v>
      </c>
      <c r="D433" t="s">
        <v>3800</v>
      </c>
      <c r="E433" t="s">
        <v>3801</v>
      </c>
      <c r="G433" t="s">
        <v>2224</v>
      </c>
      <c r="H433" t="s">
        <v>3802</v>
      </c>
      <c r="J433" t="s">
        <v>2226</v>
      </c>
      <c r="L433" t="s">
        <v>72</v>
      </c>
      <c r="M433" t="s">
        <v>73</v>
      </c>
      <c r="R433" t="s">
        <v>3803</v>
      </c>
      <c r="W433" t="s">
        <v>3801</v>
      </c>
      <c r="X433" t="s">
        <v>183</v>
      </c>
      <c r="Y433" t="s">
        <v>91</v>
      </c>
      <c r="Z433" t="s">
        <v>74</v>
      </c>
      <c r="AA433" t="str">
        <f>"10032-3729"</f>
        <v>10032-3729</v>
      </c>
      <c r="AB433" t="s">
        <v>75</v>
      </c>
      <c r="AC433" t="s">
        <v>76</v>
      </c>
      <c r="AD433" t="s">
        <v>73</v>
      </c>
      <c r="AE433" t="s">
        <v>77</v>
      </c>
      <c r="AF433" t="s">
        <v>2228</v>
      </c>
      <c r="AG433" t="s">
        <v>78</v>
      </c>
    </row>
    <row r="434" spans="1:33" hidden="1" x14ac:dyDescent="0.25">
      <c r="A434" t="str">
        <f>"1497828479"</f>
        <v>1497828479</v>
      </c>
      <c r="B434" t="str">
        <f>"01259329"</f>
        <v>01259329</v>
      </c>
      <c r="C434" t="s">
        <v>3804</v>
      </c>
      <c r="D434" t="s">
        <v>3805</v>
      </c>
      <c r="E434" t="s">
        <v>3806</v>
      </c>
      <c r="G434" t="s">
        <v>2224</v>
      </c>
      <c r="H434" t="s">
        <v>2225</v>
      </c>
      <c r="J434" t="s">
        <v>2226</v>
      </c>
      <c r="L434" t="s">
        <v>81</v>
      </c>
      <c r="M434" t="s">
        <v>73</v>
      </c>
      <c r="R434" t="s">
        <v>3807</v>
      </c>
      <c r="W434" t="s">
        <v>3806</v>
      </c>
      <c r="X434" t="s">
        <v>312</v>
      </c>
      <c r="Y434" t="s">
        <v>118</v>
      </c>
      <c r="Z434" t="s">
        <v>74</v>
      </c>
      <c r="AA434" t="str">
        <f>"10457"</f>
        <v>10457</v>
      </c>
      <c r="AB434" t="s">
        <v>75</v>
      </c>
      <c r="AC434" t="s">
        <v>76</v>
      </c>
      <c r="AD434" t="s">
        <v>73</v>
      </c>
      <c r="AE434" t="s">
        <v>77</v>
      </c>
      <c r="AF434" t="s">
        <v>2228</v>
      </c>
      <c r="AG434" t="s">
        <v>78</v>
      </c>
    </row>
    <row r="435" spans="1:33" hidden="1" x14ac:dyDescent="0.25">
      <c r="A435" t="str">
        <f>"1497891394"</f>
        <v>1497891394</v>
      </c>
      <c r="B435" t="str">
        <f>"03464555"</f>
        <v>03464555</v>
      </c>
      <c r="C435" t="s">
        <v>3808</v>
      </c>
      <c r="D435" t="s">
        <v>3809</v>
      </c>
      <c r="E435" t="s">
        <v>3810</v>
      </c>
      <c r="G435" t="s">
        <v>2224</v>
      </c>
      <c r="H435" t="s">
        <v>2225</v>
      </c>
      <c r="J435" t="s">
        <v>2226</v>
      </c>
      <c r="L435" t="s">
        <v>72</v>
      </c>
      <c r="M435" t="s">
        <v>73</v>
      </c>
      <c r="R435" t="s">
        <v>3811</v>
      </c>
      <c r="W435" t="s">
        <v>3812</v>
      </c>
      <c r="X435" t="s">
        <v>167</v>
      </c>
      <c r="Y435" t="s">
        <v>91</v>
      </c>
      <c r="Z435" t="s">
        <v>74</v>
      </c>
      <c r="AA435" t="str">
        <f>"10032-3720"</f>
        <v>10032-3720</v>
      </c>
      <c r="AB435" t="s">
        <v>75</v>
      </c>
      <c r="AC435" t="s">
        <v>76</v>
      </c>
      <c r="AD435" t="s">
        <v>73</v>
      </c>
      <c r="AE435" t="s">
        <v>77</v>
      </c>
      <c r="AF435" t="s">
        <v>2254</v>
      </c>
      <c r="AG435" t="s">
        <v>78</v>
      </c>
    </row>
    <row r="436" spans="1:33" hidden="1" x14ac:dyDescent="0.25">
      <c r="A436" t="str">
        <f>"1447380365"</f>
        <v>1447380365</v>
      </c>
      <c r="B436" t="str">
        <f>"01809521"</f>
        <v>01809521</v>
      </c>
      <c r="C436" t="s">
        <v>3813</v>
      </c>
      <c r="D436" t="s">
        <v>3814</v>
      </c>
      <c r="E436" t="s">
        <v>3815</v>
      </c>
      <c r="G436" t="s">
        <v>2224</v>
      </c>
      <c r="H436" t="s">
        <v>2225</v>
      </c>
      <c r="J436" t="s">
        <v>2226</v>
      </c>
      <c r="L436" t="s">
        <v>80</v>
      </c>
      <c r="M436" t="s">
        <v>73</v>
      </c>
      <c r="R436" t="s">
        <v>3816</v>
      </c>
      <c r="W436" t="s">
        <v>3815</v>
      </c>
      <c r="X436" t="s">
        <v>170</v>
      </c>
      <c r="Y436" t="s">
        <v>91</v>
      </c>
      <c r="Z436" t="s">
        <v>74</v>
      </c>
      <c r="AA436" t="str">
        <f>"10065-4870"</f>
        <v>10065-4870</v>
      </c>
      <c r="AB436" t="s">
        <v>75</v>
      </c>
      <c r="AC436" t="s">
        <v>76</v>
      </c>
      <c r="AD436" t="s">
        <v>73</v>
      </c>
      <c r="AE436" t="s">
        <v>77</v>
      </c>
      <c r="AF436" t="s">
        <v>2242</v>
      </c>
      <c r="AG436" t="s">
        <v>78</v>
      </c>
    </row>
    <row r="437" spans="1:33" hidden="1" x14ac:dyDescent="0.25">
      <c r="A437" t="str">
        <f>"1275548703"</f>
        <v>1275548703</v>
      </c>
      <c r="B437" t="str">
        <f>"00525815"</f>
        <v>00525815</v>
      </c>
      <c r="C437" t="s">
        <v>3817</v>
      </c>
      <c r="D437" t="s">
        <v>3818</v>
      </c>
      <c r="E437" t="s">
        <v>3819</v>
      </c>
      <c r="L437" t="s">
        <v>80</v>
      </c>
      <c r="M437" t="s">
        <v>73</v>
      </c>
      <c r="R437" t="s">
        <v>3820</v>
      </c>
      <c r="W437" t="s">
        <v>3819</v>
      </c>
      <c r="X437" t="s">
        <v>1214</v>
      </c>
      <c r="Y437" t="s">
        <v>91</v>
      </c>
      <c r="Z437" t="s">
        <v>74</v>
      </c>
      <c r="AA437" t="str">
        <f>"10021-4823"</f>
        <v>10021-4823</v>
      </c>
      <c r="AB437" t="s">
        <v>75</v>
      </c>
      <c r="AC437" t="s">
        <v>76</v>
      </c>
      <c r="AD437" t="s">
        <v>73</v>
      </c>
      <c r="AE437" t="s">
        <v>77</v>
      </c>
      <c r="AF437" t="s">
        <v>2242</v>
      </c>
      <c r="AG437" t="s">
        <v>78</v>
      </c>
    </row>
    <row r="438" spans="1:33" hidden="1" x14ac:dyDescent="0.25">
      <c r="A438" t="str">
        <f>"1629237235"</f>
        <v>1629237235</v>
      </c>
      <c r="B438" t="str">
        <f>"03493592"</f>
        <v>03493592</v>
      </c>
      <c r="C438" t="s">
        <v>3821</v>
      </c>
      <c r="D438" t="s">
        <v>3822</v>
      </c>
      <c r="E438" t="s">
        <v>3823</v>
      </c>
      <c r="G438" t="s">
        <v>2224</v>
      </c>
      <c r="H438" t="s">
        <v>2225</v>
      </c>
      <c r="J438" t="s">
        <v>2226</v>
      </c>
      <c r="L438" t="s">
        <v>81</v>
      </c>
      <c r="M438" t="s">
        <v>73</v>
      </c>
      <c r="R438" t="s">
        <v>3824</v>
      </c>
      <c r="W438" t="s">
        <v>3823</v>
      </c>
      <c r="X438" t="s">
        <v>170</v>
      </c>
      <c r="Y438" t="s">
        <v>91</v>
      </c>
      <c r="Z438" t="s">
        <v>74</v>
      </c>
      <c r="AA438" t="str">
        <f>"10065-4870"</f>
        <v>10065-4870</v>
      </c>
      <c r="AB438" t="s">
        <v>75</v>
      </c>
      <c r="AC438" t="s">
        <v>76</v>
      </c>
      <c r="AD438" t="s">
        <v>73</v>
      </c>
      <c r="AE438" t="s">
        <v>77</v>
      </c>
      <c r="AF438" t="s">
        <v>2398</v>
      </c>
      <c r="AG438" t="s">
        <v>78</v>
      </c>
    </row>
    <row r="439" spans="1:33" hidden="1" x14ac:dyDescent="0.25">
      <c r="A439" t="str">
        <f>"1639375645"</f>
        <v>1639375645</v>
      </c>
      <c r="B439" t="str">
        <f>"02903473"</f>
        <v>02903473</v>
      </c>
      <c r="C439" t="s">
        <v>3825</v>
      </c>
      <c r="D439" t="s">
        <v>3826</v>
      </c>
      <c r="E439" t="s">
        <v>3827</v>
      </c>
      <c r="G439" t="s">
        <v>2224</v>
      </c>
      <c r="H439" t="s">
        <v>2225</v>
      </c>
      <c r="J439" t="s">
        <v>2226</v>
      </c>
      <c r="L439" t="s">
        <v>81</v>
      </c>
      <c r="M439" t="s">
        <v>73</v>
      </c>
      <c r="R439" t="s">
        <v>3828</v>
      </c>
      <c r="W439" t="s">
        <v>3829</v>
      </c>
      <c r="X439" t="s">
        <v>1547</v>
      </c>
      <c r="Y439" t="s">
        <v>91</v>
      </c>
      <c r="Z439" t="s">
        <v>74</v>
      </c>
      <c r="AA439" t="str">
        <f>"10029-6542"</f>
        <v>10029-6542</v>
      </c>
      <c r="AB439" t="s">
        <v>75</v>
      </c>
      <c r="AC439" t="s">
        <v>76</v>
      </c>
      <c r="AD439" t="s">
        <v>73</v>
      </c>
      <c r="AE439" t="s">
        <v>77</v>
      </c>
      <c r="AF439" t="s">
        <v>2398</v>
      </c>
      <c r="AG439" t="s">
        <v>78</v>
      </c>
    </row>
    <row r="440" spans="1:33" hidden="1" x14ac:dyDescent="0.25">
      <c r="A440" t="str">
        <f>"1649316670"</f>
        <v>1649316670</v>
      </c>
      <c r="B440" t="str">
        <f>"02383851"</f>
        <v>02383851</v>
      </c>
      <c r="C440" t="s">
        <v>3830</v>
      </c>
      <c r="D440" t="s">
        <v>3831</v>
      </c>
      <c r="E440" t="s">
        <v>3832</v>
      </c>
      <c r="G440" t="s">
        <v>2224</v>
      </c>
      <c r="H440" t="s">
        <v>2225</v>
      </c>
      <c r="J440" t="s">
        <v>2226</v>
      </c>
      <c r="L440" t="s">
        <v>81</v>
      </c>
      <c r="M440" t="s">
        <v>73</v>
      </c>
      <c r="R440" t="s">
        <v>3833</v>
      </c>
      <c r="W440" t="s">
        <v>3834</v>
      </c>
      <c r="X440" t="s">
        <v>2131</v>
      </c>
      <c r="Y440" t="s">
        <v>91</v>
      </c>
      <c r="Z440" t="s">
        <v>74</v>
      </c>
      <c r="AA440" t="str">
        <f>"10010-4237"</f>
        <v>10010-4237</v>
      </c>
      <c r="AB440" t="s">
        <v>75</v>
      </c>
      <c r="AC440" t="s">
        <v>76</v>
      </c>
      <c r="AD440" t="s">
        <v>73</v>
      </c>
      <c r="AE440" t="s">
        <v>77</v>
      </c>
      <c r="AF440" t="s">
        <v>2242</v>
      </c>
      <c r="AG440" t="s">
        <v>78</v>
      </c>
    </row>
    <row r="441" spans="1:33" hidden="1" x14ac:dyDescent="0.25">
      <c r="A441" t="str">
        <f>"1083057061"</f>
        <v>1083057061</v>
      </c>
      <c r="C441" t="s">
        <v>3835</v>
      </c>
      <c r="G441" t="s">
        <v>2224</v>
      </c>
      <c r="H441" t="s">
        <v>2312</v>
      </c>
      <c r="J441" t="s">
        <v>2226</v>
      </c>
      <c r="K441" t="s">
        <v>171</v>
      </c>
      <c r="L441" t="s">
        <v>96</v>
      </c>
      <c r="M441" t="s">
        <v>73</v>
      </c>
      <c r="R441" t="s">
        <v>3836</v>
      </c>
      <c r="S441" t="s">
        <v>1708</v>
      </c>
      <c r="T441" t="s">
        <v>524</v>
      </c>
      <c r="U441" t="s">
        <v>536</v>
      </c>
      <c r="V441" t="str">
        <f>"068304608"</f>
        <v>068304608</v>
      </c>
      <c r="AC441" t="s">
        <v>76</v>
      </c>
      <c r="AD441" t="s">
        <v>73</v>
      </c>
      <c r="AE441" t="s">
        <v>97</v>
      </c>
      <c r="AF441" t="s">
        <v>2242</v>
      </c>
      <c r="AG441" t="s">
        <v>78</v>
      </c>
    </row>
    <row r="442" spans="1:33" hidden="1" x14ac:dyDescent="0.25">
      <c r="A442" t="str">
        <f>"1578527313"</f>
        <v>1578527313</v>
      </c>
      <c r="B442" t="str">
        <f>"02209983"</f>
        <v>02209983</v>
      </c>
      <c r="C442" t="s">
        <v>3837</v>
      </c>
      <c r="D442" t="s">
        <v>3838</v>
      </c>
      <c r="E442" t="s">
        <v>3839</v>
      </c>
      <c r="L442" t="s">
        <v>88</v>
      </c>
      <c r="M442" t="s">
        <v>73</v>
      </c>
      <c r="R442" t="s">
        <v>3840</v>
      </c>
      <c r="W442" t="s">
        <v>3841</v>
      </c>
      <c r="X442" t="s">
        <v>272</v>
      </c>
      <c r="Y442" t="s">
        <v>91</v>
      </c>
      <c r="Z442" t="s">
        <v>74</v>
      </c>
      <c r="AA442" t="str">
        <f>"10038-2612"</f>
        <v>10038-2612</v>
      </c>
      <c r="AB442" t="s">
        <v>75</v>
      </c>
      <c r="AC442" t="s">
        <v>76</v>
      </c>
      <c r="AD442" t="s">
        <v>73</v>
      </c>
      <c r="AE442" t="s">
        <v>77</v>
      </c>
      <c r="AF442" t="s">
        <v>2242</v>
      </c>
      <c r="AG442" t="s">
        <v>78</v>
      </c>
    </row>
    <row r="443" spans="1:33" hidden="1" x14ac:dyDescent="0.25">
      <c r="A443" t="str">
        <f>"1598921728"</f>
        <v>1598921728</v>
      </c>
      <c r="B443" t="str">
        <f>"03189526"</f>
        <v>03189526</v>
      </c>
      <c r="C443" t="s">
        <v>3842</v>
      </c>
      <c r="D443" t="s">
        <v>827</v>
      </c>
      <c r="E443" t="s">
        <v>828</v>
      </c>
      <c r="L443" t="s">
        <v>80</v>
      </c>
      <c r="M443" t="s">
        <v>82</v>
      </c>
      <c r="R443" t="s">
        <v>829</v>
      </c>
      <c r="W443" t="s">
        <v>828</v>
      </c>
      <c r="X443" t="s">
        <v>655</v>
      </c>
      <c r="Y443" t="s">
        <v>149</v>
      </c>
      <c r="Z443" t="s">
        <v>74</v>
      </c>
      <c r="AA443" t="str">
        <f>"11435-4721"</f>
        <v>11435-4721</v>
      </c>
      <c r="AB443" t="s">
        <v>79</v>
      </c>
      <c r="AC443" t="s">
        <v>76</v>
      </c>
      <c r="AD443" t="s">
        <v>73</v>
      </c>
      <c r="AE443" t="s">
        <v>77</v>
      </c>
      <c r="AF443" t="s">
        <v>2398</v>
      </c>
      <c r="AG443" t="s">
        <v>78</v>
      </c>
    </row>
    <row r="444" spans="1:33" hidden="1" x14ac:dyDescent="0.25">
      <c r="A444" t="str">
        <f>"1992900088"</f>
        <v>1992900088</v>
      </c>
      <c r="B444" t="str">
        <f>"03522754"</f>
        <v>03522754</v>
      </c>
      <c r="C444" t="s">
        <v>3843</v>
      </c>
      <c r="D444" t="s">
        <v>1819</v>
      </c>
      <c r="E444" t="s">
        <v>1820</v>
      </c>
      <c r="L444" t="s">
        <v>81</v>
      </c>
      <c r="M444" t="s">
        <v>82</v>
      </c>
      <c r="R444" t="s">
        <v>1821</v>
      </c>
      <c r="W444" t="s">
        <v>1820</v>
      </c>
      <c r="X444" t="s">
        <v>636</v>
      </c>
      <c r="Y444" t="s">
        <v>91</v>
      </c>
      <c r="Z444" t="s">
        <v>74</v>
      </c>
      <c r="AA444" t="str">
        <f>"10026-3138"</f>
        <v>10026-3138</v>
      </c>
      <c r="AB444" t="s">
        <v>75</v>
      </c>
      <c r="AC444" t="s">
        <v>76</v>
      </c>
      <c r="AD444" t="s">
        <v>73</v>
      </c>
      <c r="AE444" t="s">
        <v>77</v>
      </c>
      <c r="AF444" t="s">
        <v>2254</v>
      </c>
      <c r="AG444" t="s">
        <v>78</v>
      </c>
    </row>
    <row r="445" spans="1:33" hidden="1" x14ac:dyDescent="0.25">
      <c r="A445" t="str">
        <f>"1205188992"</f>
        <v>1205188992</v>
      </c>
      <c r="C445" t="s">
        <v>3844</v>
      </c>
      <c r="G445" t="s">
        <v>2224</v>
      </c>
      <c r="H445" t="s">
        <v>2312</v>
      </c>
      <c r="J445" t="s">
        <v>2226</v>
      </c>
      <c r="K445" t="s">
        <v>171</v>
      </c>
      <c r="L445" t="s">
        <v>96</v>
      </c>
      <c r="M445" t="s">
        <v>73</v>
      </c>
      <c r="R445" t="s">
        <v>3845</v>
      </c>
      <c r="S445" t="s">
        <v>3846</v>
      </c>
      <c r="T445" t="s">
        <v>1160</v>
      </c>
      <c r="U445" t="s">
        <v>139</v>
      </c>
      <c r="V445" t="str">
        <f>"070904101"</f>
        <v>070904101</v>
      </c>
      <c r="AC445" t="s">
        <v>76</v>
      </c>
      <c r="AD445" t="s">
        <v>73</v>
      </c>
      <c r="AE445" t="s">
        <v>97</v>
      </c>
      <c r="AF445" t="s">
        <v>2242</v>
      </c>
      <c r="AG445" t="s">
        <v>78</v>
      </c>
    </row>
    <row r="446" spans="1:33" hidden="1" x14ac:dyDescent="0.25">
      <c r="A446" t="str">
        <f>"1467888271"</f>
        <v>1467888271</v>
      </c>
      <c r="B446" t="str">
        <f>"03729279"</f>
        <v>03729279</v>
      </c>
      <c r="C446" t="s">
        <v>3847</v>
      </c>
      <c r="D446" t="s">
        <v>3848</v>
      </c>
      <c r="E446" t="s">
        <v>3849</v>
      </c>
      <c r="G446" t="s">
        <v>2224</v>
      </c>
      <c r="H446" t="s">
        <v>2225</v>
      </c>
      <c r="J446" t="s">
        <v>2226</v>
      </c>
      <c r="L446" t="s">
        <v>72</v>
      </c>
      <c r="M446" t="s">
        <v>73</v>
      </c>
      <c r="R446" t="s">
        <v>3850</v>
      </c>
      <c r="W446" t="s">
        <v>3849</v>
      </c>
      <c r="X446" t="s">
        <v>3851</v>
      </c>
      <c r="Y446" t="s">
        <v>91</v>
      </c>
      <c r="Z446" t="s">
        <v>74</v>
      </c>
      <c r="AA446" t="str">
        <f>"10032-0000"</f>
        <v>10032-0000</v>
      </c>
      <c r="AB446" t="s">
        <v>75</v>
      </c>
      <c r="AC446" t="s">
        <v>76</v>
      </c>
      <c r="AD446" t="s">
        <v>73</v>
      </c>
      <c r="AE446" t="s">
        <v>77</v>
      </c>
      <c r="AF446" t="s">
        <v>2254</v>
      </c>
      <c r="AG446" t="s">
        <v>78</v>
      </c>
    </row>
    <row r="447" spans="1:33" hidden="1" x14ac:dyDescent="0.25">
      <c r="A447" t="str">
        <f>"1477536654"</f>
        <v>1477536654</v>
      </c>
      <c r="B447" t="str">
        <f>"02156572"</f>
        <v>02156572</v>
      </c>
      <c r="C447" t="s">
        <v>3852</v>
      </c>
      <c r="D447" t="s">
        <v>3853</v>
      </c>
      <c r="E447" t="s">
        <v>3854</v>
      </c>
      <c r="G447" t="s">
        <v>2224</v>
      </c>
      <c r="H447" t="s">
        <v>2225</v>
      </c>
      <c r="J447" t="s">
        <v>2226</v>
      </c>
      <c r="L447" t="s">
        <v>72</v>
      </c>
      <c r="M447" t="s">
        <v>73</v>
      </c>
      <c r="R447" t="s">
        <v>3855</v>
      </c>
      <c r="W447" t="s">
        <v>3854</v>
      </c>
      <c r="X447" t="s">
        <v>3856</v>
      </c>
      <c r="Y447" t="s">
        <v>527</v>
      </c>
      <c r="Z447" t="s">
        <v>74</v>
      </c>
      <c r="AA447" t="str">
        <f>"10940-2644"</f>
        <v>10940-2644</v>
      </c>
      <c r="AB447" t="s">
        <v>75</v>
      </c>
      <c r="AC447" t="s">
        <v>76</v>
      </c>
      <c r="AD447" t="s">
        <v>73</v>
      </c>
      <c r="AE447" t="s">
        <v>77</v>
      </c>
      <c r="AF447" t="s">
        <v>2228</v>
      </c>
      <c r="AG447" t="s">
        <v>78</v>
      </c>
    </row>
    <row r="448" spans="1:33" hidden="1" x14ac:dyDescent="0.25">
      <c r="A448" t="str">
        <f>"1477570356"</f>
        <v>1477570356</v>
      </c>
      <c r="B448" t="str">
        <f>"02128536"</f>
        <v>02128536</v>
      </c>
      <c r="C448" t="s">
        <v>3857</v>
      </c>
      <c r="D448" t="s">
        <v>3858</v>
      </c>
      <c r="E448" t="s">
        <v>3859</v>
      </c>
      <c r="G448" t="s">
        <v>2224</v>
      </c>
      <c r="H448" t="s">
        <v>2225</v>
      </c>
      <c r="J448" t="s">
        <v>2226</v>
      </c>
      <c r="L448" t="s">
        <v>72</v>
      </c>
      <c r="M448" t="s">
        <v>73</v>
      </c>
      <c r="R448" t="s">
        <v>3860</v>
      </c>
      <c r="W448" t="s">
        <v>3859</v>
      </c>
      <c r="X448" t="s">
        <v>3861</v>
      </c>
      <c r="Y448" t="s">
        <v>1143</v>
      </c>
      <c r="Z448" t="s">
        <v>536</v>
      </c>
      <c r="AA448" t="str">
        <f>"06519"</f>
        <v>06519</v>
      </c>
      <c r="AB448" t="s">
        <v>75</v>
      </c>
      <c r="AC448" t="s">
        <v>76</v>
      </c>
      <c r="AD448" t="s">
        <v>73</v>
      </c>
      <c r="AE448" t="s">
        <v>77</v>
      </c>
      <c r="AF448" t="s">
        <v>2398</v>
      </c>
      <c r="AG448" t="s">
        <v>78</v>
      </c>
    </row>
    <row r="449" spans="1:33" hidden="1" x14ac:dyDescent="0.25">
      <c r="A449" t="str">
        <f>"1922179936"</f>
        <v>1922179936</v>
      </c>
      <c r="B449" t="str">
        <f>"02439792"</f>
        <v>02439792</v>
      </c>
      <c r="C449" t="s">
        <v>3862</v>
      </c>
      <c r="D449" t="s">
        <v>3863</v>
      </c>
      <c r="E449" t="s">
        <v>3864</v>
      </c>
      <c r="G449" t="s">
        <v>282</v>
      </c>
      <c r="H449" t="s">
        <v>248</v>
      </c>
      <c r="I449">
        <v>2604</v>
      </c>
      <c r="J449" t="s">
        <v>283</v>
      </c>
      <c r="L449" t="s">
        <v>81</v>
      </c>
      <c r="M449" t="s">
        <v>82</v>
      </c>
      <c r="R449" t="s">
        <v>3865</v>
      </c>
      <c r="W449" t="s">
        <v>3865</v>
      </c>
      <c r="X449" t="s">
        <v>1140</v>
      </c>
      <c r="Y449" t="s">
        <v>85</v>
      </c>
      <c r="Z449" t="s">
        <v>74</v>
      </c>
      <c r="AA449" t="str">
        <f>"13905-4178"</f>
        <v>13905-4178</v>
      </c>
      <c r="AB449" t="s">
        <v>75</v>
      </c>
      <c r="AC449" t="s">
        <v>76</v>
      </c>
      <c r="AD449" t="s">
        <v>73</v>
      </c>
      <c r="AE449" t="s">
        <v>77</v>
      </c>
      <c r="AF449" t="s">
        <v>2319</v>
      </c>
      <c r="AG449" t="s">
        <v>78</v>
      </c>
    </row>
    <row r="450" spans="1:33" hidden="1" x14ac:dyDescent="0.25">
      <c r="A450" t="str">
        <f>"1730372160"</f>
        <v>1730372160</v>
      </c>
      <c r="B450" t="str">
        <f>"03391444"</f>
        <v>03391444</v>
      </c>
      <c r="C450" t="s">
        <v>3866</v>
      </c>
      <c r="D450" t="s">
        <v>3867</v>
      </c>
      <c r="E450" t="s">
        <v>3868</v>
      </c>
      <c r="G450" t="s">
        <v>2224</v>
      </c>
      <c r="H450" t="s">
        <v>3869</v>
      </c>
      <c r="J450" t="s">
        <v>2226</v>
      </c>
      <c r="L450" t="s">
        <v>80</v>
      </c>
      <c r="M450" t="s">
        <v>73</v>
      </c>
      <c r="R450" t="s">
        <v>3870</v>
      </c>
      <c r="W450" t="s">
        <v>3868</v>
      </c>
      <c r="X450" t="s">
        <v>167</v>
      </c>
      <c r="Y450" t="s">
        <v>91</v>
      </c>
      <c r="Z450" t="s">
        <v>74</v>
      </c>
      <c r="AA450" t="str">
        <f>"10032-3720"</f>
        <v>10032-3720</v>
      </c>
      <c r="AB450" t="s">
        <v>75</v>
      </c>
      <c r="AC450" t="s">
        <v>76</v>
      </c>
      <c r="AD450" t="s">
        <v>73</v>
      </c>
      <c r="AE450" t="s">
        <v>77</v>
      </c>
      <c r="AF450" t="s">
        <v>2228</v>
      </c>
      <c r="AG450" t="s">
        <v>78</v>
      </c>
    </row>
    <row r="451" spans="1:33" hidden="1" x14ac:dyDescent="0.25">
      <c r="A451" t="str">
        <f>"1447279211"</f>
        <v>1447279211</v>
      </c>
      <c r="B451" t="str">
        <f>"02919588"</f>
        <v>02919588</v>
      </c>
      <c r="C451" t="s">
        <v>3871</v>
      </c>
      <c r="D451" t="s">
        <v>3872</v>
      </c>
      <c r="E451" t="s">
        <v>3873</v>
      </c>
      <c r="G451" t="s">
        <v>2224</v>
      </c>
      <c r="H451" t="s">
        <v>3874</v>
      </c>
      <c r="J451" t="s">
        <v>2226</v>
      </c>
      <c r="L451" t="s">
        <v>80</v>
      </c>
      <c r="M451" t="s">
        <v>73</v>
      </c>
      <c r="R451" t="s">
        <v>3875</v>
      </c>
      <c r="W451" t="s">
        <v>3873</v>
      </c>
      <c r="X451" t="s">
        <v>410</v>
      </c>
      <c r="Y451" t="s">
        <v>91</v>
      </c>
      <c r="Z451" t="s">
        <v>74</v>
      </c>
      <c r="AA451" t="str">
        <f>"10032-1559"</f>
        <v>10032-1559</v>
      </c>
      <c r="AB451" t="s">
        <v>75</v>
      </c>
      <c r="AC451" t="s">
        <v>76</v>
      </c>
      <c r="AD451" t="s">
        <v>73</v>
      </c>
      <c r="AE451" t="s">
        <v>77</v>
      </c>
      <c r="AF451" t="s">
        <v>2228</v>
      </c>
      <c r="AG451" t="s">
        <v>78</v>
      </c>
    </row>
    <row r="452" spans="1:33" hidden="1" x14ac:dyDescent="0.25">
      <c r="A452" t="str">
        <f>"1154657112"</f>
        <v>1154657112</v>
      </c>
      <c r="B452" t="str">
        <f>"03808179"</f>
        <v>03808179</v>
      </c>
      <c r="C452" t="s">
        <v>3876</v>
      </c>
      <c r="D452" t="s">
        <v>3877</v>
      </c>
      <c r="E452" t="s">
        <v>3878</v>
      </c>
      <c r="G452" t="s">
        <v>2224</v>
      </c>
      <c r="H452" t="s">
        <v>3879</v>
      </c>
      <c r="J452" t="s">
        <v>2226</v>
      </c>
      <c r="L452" t="s">
        <v>36</v>
      </c>
      <c r="M452" t="s">
        <v>73</v>
      </c>
      <c r="R452" t="s">
        <v>3880</v>
      </c>
      <c r="W452" t="s">
        <v>3878</v>
      </c>
      <c r="X452" t="s">
        <v>3881</v>
      </c>
      <c r="Y452" t="s">
        <v>91</v>
      </c>
      <c r="Z452" t="s">
        <v>74</v>
      </c>
      <c r="AA452" t="str">
        <f>"10032-3724"</f>
        <v>10032-3724</v>
      </c>
      <c r="AB452" t="s">
        <v>123</v>
      </c>
      <c r="AC452" t="s">
        <v>76</v>
      </c>
      <c r="AD452" t="s">
        <v>73</v>
      </c>
      <c r="AE452" t="s">
        <v>77</v>
      </c>
      <c r="AF452" t="s">
        <v>2254</v>
      </c>
      <c r="AG452" t="s">
        <v>78</v>
      </c>
    </row>
    <row r="453" spans="1:33" hidden="1" x14ac:dyDescent="0.25">
      <c r="A453" t="str">
        <f>"1427464007"</f>
        <v>1427464007</v>
      </c>
      <c r="B453" t="str">
        <f>"03916112"</f>
        <v>03916112</v>
      </c>
      <c r="C453" t="s">
        <v>3882</v>
      </c>
      <c r="D453" t="s">
        <v>711</v>
      </c>
      <c r="E453" t="s">
        <v>712</v>
      </c>
      <c r="G453" t="s">
        <v>749</v>
      </c>
      <c r="H453" t="s">
        <v>320</v>
      </c>
      <c r="J453" t="s">
        <v>750</v>
      </c>
      <c r="L453" t="s">
        <v>80</v>
      </c>
      <c r="M453" t="s">
        <v>73</v>
      </c>
      <c r="R453" t="s">
        <v>713</v>
      </c>
      <c r="W453" t="s">
        <v>714</v>
      </c>
      <c r="X453" t="s">
        <v>636</v>
      </c>
      <c r="Y453" t="s">
        <v>91</v>
      </c>
      <c r="Z453" t="s">
        <v>74</v>
      </c>
      <c r="AA453" t="str">
        <f>"10026-3138"</f>
        <v>10026-3138</v>
      </c>
      <c r="AB453" t="s">
        <v>75</v>
      </c>
      <c r="AC453" t="s">
        <v>76</v>
      </c>
      <c r="AD453" t="s">
        <v>73</v>
      </c>
      <c r="AE453" t="s">
        <v>77</v>
      </c>
      <c r="AF453" t="s">
        <v>2445</v>
      </c>
      <c r="AG453" t="s">
        <v>78</v>
      </c>
    </row>
    <row r="454" spans="1:33" hidden="1" x14ac:dyDescent="0.25">
      <c r="A454" t="str">
        <f>"1376898775"</f>
        <v>1376898775</v>
      </c>
      <c r="B454" t="str">
        <f>"03484879"</f>
        <v>03484879</v>
      </c>
      <c r="C454" t="s">
        <v>951</v>
      </c>
      <c r="D454" t="s">
        <v>952</v>
      </c>
      <c r="E454" t="s">
        <v>953</v>
      </c>
      <c r="G454" t="s">
        <v>749</v>
      </c>
      <c r="H454" t="s">
        <v>320</v>
      </c>
      <c r="J454" t="s">
        <v>750</v>
      </c>
      <c r="L454" t="s">
        <v>81</v>
      </c>
      <c r="M454" t="s">
        <v>82</v>
      </c>
      <c r="R454" t="s">
        <v>954</v>
      </c>
      <c r="W454" t="s">
        <v>955</v>
      </c>
      <c r="X454" t="s">
        <v>655</v>
      </c>
      <c r="Y454" t="s">
        <v>149</v>
      </c>
      <c r="Z454" t="s">
        <v>74</v>
      </c>
      <c r="AA454" t="str">
        <f>"11435-4721"</f>
        <v>11435-4721</v>
      </c>
      <c r="AB454" t="s">
        <v>75</v>
      </c>
      <c r="AC454" t="s">
        <v>76</v>
      </c>
      <c r="AD454" t="s">
        <v>73</v>
      </c>
      <c r="AE454" t="s">
        <v>77</v>
      </c>
      <c r="AF454" t="s">
        <v>2445</v>
      </c>
      <c r="AG454" t="s">
        <v>78</v>
      </c>
    </row>
    <row r="455" spans="1:33" hidden="1" x14ac:dyDescent="0.25">
      <c r="A455" t="str">
        <f>"1336431758"</f>
        <v>1336431758</v>
      </c>
      <c r="C455" t="s">
        <v>3883</v>
      </c>
      <c r="G455" t="s">
        <v>2224</v>
      </c>
      <c r="H455" t="s">
        <v>2312</v>
      </c>
      <c r="J455" t="s">
        <v>2226</v>
      </c>
      <c r="K455" t="s">
        <v>171</v>
      </c>
      <c r="L455" t="s">
        <v>96</v>
      </c>
      <c r="M455" t="s">
        <v>73</v>
      </c>
      <c r="R455" t="s">
        <v>3884</v>
      </c>
      <c r="S455" t="s">
        <v>3885</v>
      </c>
      <c r="T455" t="s">
        <v>1144</v>
      </c>
      <c r="U455" t="s">
        <v>224</v>
      </c>
      <c r="V455" t="str">
        <f>"331361005"</f>
        <v>331361005</v>
      </c>
      <c r="AC455" t="s">
        <v>76</v>
      </c>
      <c r="AD455" t="s">
        <v>73</v>
      </c>
      <c r="AE455" t="s">
        <v>97</v>
      </c>
      <c r="AF455" t="s">
        <v>2254</v>
      </c>
      <c r="AG455" t="s">
        <v>78</v>
      </c>
    </row>
    <row r="456" spans="1:33" hidden="1" x14ac:dyDescent="0.25">
      <c r="A456" t="str">
        <f>"1922181510"</f>
        <v>1922181510</v>
      </c>
      <c r="B456" t="str">
        <f>"01376907"</f>
        <v>01376907</v>
      </c>
      <c r="C456" t="s">
        <v>2175</v>
      </c>
      <c r="D456" t="s">
        <v>1351</v>
      </c>
      <c r="E456" t="s">
        <v>1352</v>
      </c>
      <c r="G456" t="s">
        <v>2260</v>
      </c>
      <c r="H456" t="s">
        <v>3886</v>
      </c>
      <c r="J456" t="s">
        <v>1512</v>
      </c>
      <c r="L456" t="s">
        <v>100</v>
      </c>
      <c r="M456" t="s">
        <v>73</v>
      </c>
      <c r="R456" t="s">
        <v>1353</v>
      </c>
      <c r="W456" t="s">
        <v>1354</v>
      </c>
      <c r="X456" t="s">
        <v>1355</v>
      </c>
      <c r="Y456" t="s">
        <v>216</v>
      </c>
      <c r="Z456" t="s">
        <v>74</v>
      </c>
      <c r="AA456" t="str">
        <f>"11575-1845"</f>
        <v>11575-1845</v>
      </c>
      <c r="AB456" t="s">
        <v>75</v>
      </c>
      <c r="AC456" t="s">
        <v>76</v>
      </c>
      <c r="AD456" t="s">
        <v>73</v>
      </c>
      <c r="AE456" t="s">
        <v>77</v>
      </c>
      <c r="AF456" t="s">
        <v>2398</v>
      </c>
      <c r="AG456" t="s">
        <v>78</v>
      </c>
    </row>
    <row r="457" spans="1:33" hidden="1" x14ac:dyDescent="0.25">
      <c r="A457" t="str">
        <f>"1821156936"</f>
        <v>1821156936</v>
      </c>
      <c r="B457" t="str">
        <f>"00730694"</f>
        <v>00730694</v>
      </c>
      <c r="C457" t="s">
        <v>3887</v>
      </c>
      <c r="D457" t="s">
        <v>293</v>
      </c>
      <c r="E457" t="s">
        <v>294</v>
      </c>
      <c r="G457" t="s">
        <v>2260</v>
      </c>
      <c r="H457" t="s">
        <v>3888</v>
      </c>
      <c r="J457" t="s">
        <v>1512</v>
      </c>
      <c r="L457" t="s">
        <v>88</v>
      </c>
      <c r="M457" t="s">
        <v>73</v>
      </c>
      <c r="R457" t="s">
        <v>292</v>
      </c>
      <c r="W457" t="s">
        <v>294</v>
      </c>
      <c r="X457" t="s">
        <v>295</v>
      </c>
      <c r="Y457" t="s">
        <v>91</v>
      </c>
      <c r="Z457" t="s">
        <v>74</v>
      </c>
      <c r="AA457" t="str">
        <f>"10023-2788"</f>
        <v>10023-2788</v>
      </c>
      <c r="AB457" t="s">
        <v>75</v>
      </c>
      <c r="AC457" t="s">
        <v>76</v>
      </c>
      <c r="AD457" t="s">
        <v>73</v>
      </c>
      <c r="AE457" t="s">
        <v>77</v>
      </c>
      <c r="AF457" t="s">
        <v>2254</v>
      </c>
      <c r="AG457" t="s">
        <v>78</v>
      </c>
    </row>
    <row r="458" spans="1:33" hidden="1" x14ac:dyDescent="0.25">
      <c r="A458" t="str">
        <f>"1952560369"</f>
        <v>1952560369</v>
      </c>
      <c r="B458" t="str">
        <f>"03572850"</f>
        <v>03572850</v>
      </c>
      <c r="C458" t="s">
        <v>3889</v>
      </c>
      <c r="D458" t="s">
        <v>3890</v>
      </c>
      <c r="E458" t="s">
        <v>3891</v>
      </c>
      <c r="L458" t="s">
        <v>80</v>
      </c>
      <c r="M458" t="s">
        <v>73</v>
      </c>
      <c r="R458" t="s">
        <v>3892</v>
      </c>
      <c r="W458" t="s">
        <v>3891</v>
      </c>
      <c r="X458" t="s">
        <v>167</v>
      </c>
      <c r="Y458" t="s">
        <v>91</v>
      </c>
      <c r="Z458" t="s">
        <v>74</v>
      </c>
      <c r="AA458" t="str">
        <f>"10032-3720"</f>
        <v>10032-3720</v>
      </c>
      <c r="AB458" t="s">
        <v>75</v>
      </c>
      <c r="AC458" t="s">
        <v>76</v>
      </c>
      <c r="AD458" t="s">
        <v>73</v>
      </c>
      <c r="AE458" t="s">
        <v>77</v>
      </c>
      <c r="AF458" t="s">
        <v>2228</v>
      </c>
      <c r="AG458" t="s">
        <v>78</v>
      </c>
    </row>
    <row r="459" spans="1:33" hidden="1" x14ac:dyDescent="0.25">
      <c r="A459" t="str">
        <f>"1760641161"</f>
        <v>1760641161</v>
      </c>
      <c r="B459" t="str">
        <f>"03256535"</f>
        <v>03256535</v>
      </c>
      <c r="C459" t="s">
        <v>3893</v>
      </c>
      <c r="D459" t="s">
        <v>3894</v>
      </c>
      <c r="E459" t="s">
        <v>3895</v>
      </c>
      <c r="L459" t="s">
        <v>80</v>
      </c>
      <c r="M459" t="s">
        <v>73</v>
      </c>
      <c r="R459" t="s">
        <v>3896</v>
      </c>
      <c r="W459" t="s">
        <v>3895</v>
      </c>
      <c r="X459" t="s">
        <v>170</v>
      </c>
      <c r="Y459" t="s">
        <v>91</v>
      </c>
      <c r="Z459" t="s">
        <v>74</v>
      </c>
      <c r="AA459" t="str">
        <f>"10065-4870"</f>
        <v>10065-4870</v>
      </c>
      <c r="AB459" t="s">
        <v>75</v>
      </c>
      <c r="AC459" t="s">
        <v>76</v>
      </c>
      <c r="AD459" t="s">
        <v>73</v>
      </c>
      <c r="AE459" t="s">
        <v>77</v>
      </c>
      <c r="AF459" t="s">
        <v>2242</v>
      </c>
      <c r="AG459" t="s">
        <v>78</v>
      </c>
    </row>
    <row r="460" spans="1:33" hidden="1" x14ac:dyDescent="0.25">
      <c r="A460" t="str">
        <f>"1598012007"</f>
        <v>1598012007</v>
      </c>
      <c r="C460" t="s">
        <v>3897</v>
      </c>
      <c r="G460" t="s">
        <v>2224</v>
      </c>
      <c r="H460" t="s">
        <v>2312</v>
      </c>
      <c r="J460" t="s">
        <v>2226</v>
      </c>
      <c r="K460" t="s">
        <v>171</v>
      </c>
      <c r="L460" t="s">
        <v>96</v>
      </c>
      <c r="M460" t="s">
        <v>73</v>
      </c>
      <c r="R460" t="s">
        <v>3898</v>
      </c>
      <c r="S460" t="s">
        <v>3899</v>
      </c>
      <c r="T460" t="s">
        <v>91</v>
      </c>
      <c r="U460" t="s">
        <v>74</v>
      </c>
      <c r="V460" t="str">
        <f>"100016551"</f>
        <v>100016551</v>
      </c>
      <c r="AC460" t="s">
        <v>76</v>
      </c>
      <c r="AD460" t="s">
        <v>73</v>
      </c>
      <c r="AE460" t="s">
        <v>97</v>
      </c>
      <c r="AF460" t="s">
        <v>2242</v>
      </c>
      <c r="AG460" t="s">
        <v>78</v>
      </c>
    </row>
    <row r="461" spans="1:33" hidden="1" x14ac:dyDescent="0.25">
      <c r="A461" t="str">
        <f>"1720424906"</f>
        <v>1720424906</v>
      </c>
      <c r="C461" t="s">
        <v>3900</v>
      </c>
      <c r="G461" t="s">
        <v>2224</v>
      </c>
      <c r="H461" t="s">
        <v>2312</v>
      </c>
      <c r="J461" t="s">
        <v>2226</v>
      </c>
      <c r="K461" t="s">
        <v>171</v>
      </c>
      <c r="L461" t="s">
        <v>96</v>
      </c>
      <c r="M461" t="s">
        <v>73</v>
      </c>
      <c r="R461" t="s">
        <v>3901</v>
      </c>
      <c r="S461" t="s">
        <v>170</v>
      </c>
      <c r="T461" t="s">
        <v>91</v>
      </c>
      <c r="U461" t="s">
        <v>74</v>
      </c>
      <c r="V461" t="str">
        <f>"100654870"</f>
        <v>100654870</v>
      </c>
      <c r="AC461" t="s">
        <v>76</v>
      </c>
      <c r="AD461" t="s">
        <v>73</v>
      </c>
      <c r="AE461" t="s">
        <v>97</v>
      </c>
      <c r="AF461" t="s">
        <v>2242</v>
      </c>
      <c r="AG461" t="s">
        <v>78</v>
      </c>
    </row>
    <row r="462" spans="1:33" hidden="1" x14ac:dyDescent="0.25">
      <c r="A462" t="str">
        <f>"1407140288"</f>
        <v>1407140288</v>
      </c>
      <c r="C462" t="s">
        <v>3902</v>
      </c>
      <c r="G462" t="s">
        <v>2224</v>
      </c>
      <c r="H462" t="s">
        <v>2312</v>
      </c>
      <c r="J462" t="s">
        <v>2226</v>
      </c>
      <c r="K462" t="s">
        <v>171</v>
      </c>
      <c r="L462" t="s">
        <v>72</v>
      </c>
      <c r="M462" t="s">
        <v>73</v>
      </c>
      <c r="R462" t="s">
        <v>3903</v>
      </c>
      <c r="S462" t="s">
        <v>3904</v>
      </c>
      <c r="T462" t="s">
        <v>91</v>
      </c>
      <c r="U462" t="s">
        <v>74</v>
      </c>
      <c r="V462" t="str">
        <f>"100654870"</f>
        <v>100654870</v>
      </c>
      <c r="AC462" t="s">
        <v>76</v>
      </c>
      <c r="AD462" t="s">
        <v>73</v>
      </c>
      <c r="AE462" t="s">
        <v>97</v>
      </c>
      <c r="AF462" t="s">
        <v>2242</v>
      </c>
      <c r="AG462" t="s">
        <v>78</v>
      </c>
    </row>
    <row r="463" spans="1:33" hidden="1" x14ac:dyDescent="0.25">
      <c r="A463" t="str">
        <f>"1215193685"</f>
        <v>1215193685</v>
      </c>
      <c r="C463" t="s">
        <v>3905</v>
      </c>
      <c r="G463" t="s">
        <v>2224</v>
      </c>
      <c r="H463" t="s">
        <v>2312</v>
      </c>
      <c r="J463" t="s">
        <v>2226</v>
      </c>
      <c r="K463" t="s">
        <v>171</v>
      </c>
      <c r="L463" t="s">
        <v>96</v>
      </c>
      <c r="M463" t="s">
        <v>73</v>
      </c>
      <c r="R463" t="s">
        <v>3906</v>
      </c>
      <c r="S463" t="s">
        <v>170</v>
      </c>
      <c r="T463" t="s">
        <v>91</v>
      </c>
      <c r="U463" t="s">
        <v>74</v>
      </c>
      <c r="V463" t="str">
        <f>"100654870"</f>
        <v>100654870</v>
      </c>
      <c r="AC463" t="s">
        <v>76</v>
      </c>
      <c r="AD463" t="s">
        <v>73</v>
      </c>
      <c r="AE463" t="s">
        <v>97</v>
      </c>
      <c r="AF463" t="s">
        <v>2242</v>
      </c>
      <c r="AG463" t="s">
        <v>78</v>
      </c>
    </row>
    <row r="464" spans="1:33" hidden="1" x14ac:dyDescent="0.25">
      <c r="A464" t="str">
        <f>"1720282056"</f>
        <v>1720282056</v>
      </c>
      <c r="C464" t="s">
        <v>3907</v>
      </c>
      <c r="G464" t="s">
        <v>2224</v>
      </c>
      <c r="H464" t="s">
        <v>2312</v>
      </c>
      <c r="J464" t="s">
        <v>2226</v>
      </c>
      <c r="K464" t="s">
        <v>171</v>
      </c>
      <c r="L464" t="s">
        <v>72</v>
      </c>
      <c r="M464" t="s">
        <v>73</v>
      </c>
      <c r="R464" t="s">
        <v>1301</v>
      </c>
      <c r="S464" t="s">
        <v>170</v>
      </c>
      <c r="T464" t="s">
        <v>91</v>
      </c>
      <c r="U464" t="s">
        <v>74</v>
      </c>
      <c r="V464" t="str">
        <f>"100214870"</f>
        <v>100214870</v>
      </c>
      <c r="AC464" t="s">
        <v>76</v>
      </c>
      <c r="AD464" t="s">
        <v>73</v>
      </c>
      <c r="AE464" t="s">
        <v>97</v>
      </c>
      <c r="AF464" t="s">
        <v>2242</v>
      </c>
      <c r="AG464" t="s">
        <v>78</v>
      </c>
    </row>
    <row r="465" spans="1:33" hidden="1" x14ac:dyDescent="0.25">
      <c r="A465" t="str">
        <f>"1407983786"</f>
        <v>1407983786</v>
      </c>
      <c r="B465" t="str">
        <f>"01919548"</f>
        <v>01919548</v>
      </c>
      <c r="C465" t="s">
        <v>3908</v>
      </c>
      <c r="D465" t="s">
        <v>3909</v>
      </c>
      <c r="E465" t="s">
        <v>3910</v>
      </c>
      <c r="L465" t="s">
        <v>80</v>
      </c>
      <c r="M465" t="s">
        <v>73</v>
      </c>
      <c r="R465" t="s">
        <v>3910</v>
      </c>
      <c r="W465" t="s">
        <v>3910</v>
      </c>
      <c r="X465" t="s">
        <v>3910</v>
      </c>
      <c r="Y465" t="s">
        <v>91</v>
      </c>
      <c r="Z465" t="s">
        <v>74</v>
      </c>
      <c r="AA465" t="str">
        <f>"10032-3720"</f>
        <v>10032-3720</v>
      </c>
      <c r="AB465" t="s">
        <v>75</v>
      </c>
      <c r="AC465" t="s">
        <v>76</v>
      </c>
      <c r="AD465" t="s">
        <v>73</v>
      </c>
      <c r="AE465" t="s">
        <v>77</v>
      </c>
      <c r="AF465" t="s">
        <v>2228</v>
      </c>
      <c r="AG465" t="s">
        <v>78</v>
      </c>
    </row>
    <row r="466" spans="1:33" hidden="1" x14ac:dyDescent="0.25">
      <c r="A466" t="str">
        <f>"1457488736"</f>
        <v>1457488736</v>
      </c>
      <c r="B466" t="str">
        <f>"02862857"</f>
        <v>02862857</v>
      </c>
      <c r="C466" t="s">
        <v>3911</v>
      </c>
      <c r="D466" t="s">
        <v>3912</v>
      </c>
      <c r="E466" t="s">
        <v>3913</v>
      </c>
      <c r="L466" t="s">
        <v>80</v>
      </c>
      <c r="M466" t="s">
        <v>73</v>
      </c>
      <c r="R466" t="s">
        <v>3913</v>
      </c>
      <c r="W466" t="s">
        <v>3913</v>
      </c>
      <c r="X466" t="s">
        <v>3477</v>
      </c>
      <c r="Y466" t="s">
        <v>91</v>
      </c>
      <c r="Z466" t="s">
        <v>74</v>
      </c>
      <c r="AA466" t="str">
        <f>"10032-3725"</f>
        <v>10032-3725</v>
      </c>
      <c r="AB466" t="s">
        <v>75</v>
      </c>
      <c r="AC466" t="s">
        <v>76</v>
      </c>
      <c r="AD466" t="s">
        <v>73</v>
      </c>
      <c r="AE466" t="s">
        <v>77</v>
      </c>
      <c r="AF466" t="s">
        <v>2228</v>
      </c>
      <c r="AG466" t="s">
        <v>78</v>
      </c>
    </row>
    <row r="467" spans="1:33" hidden="1" x14ac:dyDescent="0.25">
      <c r="A467" t="str">
        <f>"1922135227"</f>
        <v>1922135227</v>
      </c>
      <c r="B467" t="str">
        <f>"01885249"</f>
        <v>01885249</v>
      </c>
      <c r="C467" t="s">
        <v>3914</v>
      </c>
      <c r="D467" t="s">
        <v>3915</v>
      </c>
      <c r="E467" t="s">
        <v>3916</v>
      </c>
      <c r="L467" t="s">
        <v>80</v>
      </c>
      <c r="M467" t="s">
        <v>73</v>
      </c>
      <c r="R467" t="s">
        <v>3916</v>
      </c>
      <c r="W467" t="s">
        <v>3916</v>
      </c>
      <c r="X467" t="s">
        <v>3916</v>
      </c>
      <c r="Y467" t="s">
        <v>91</v>
      </c>
      <c r="Z467" t="s">
        <v>74</v>
      </c>
      <c r="AA467" t="str">
        <f>"10032-3720"</f>
        <v>10032-3720</v>
      </c>
      <c r="AB467" t="s">
        <v>75</v>
      </c>
      <c r="AC467" t="s">
        <v>76</v>
      </c>
      <c r="AD467" t="s">
        <v>73</v>
      </c>
      <c r="AE467" t="s">
        <v>77</v>
      </c>
      <c r="AF467" t="s">
        <v>2228</v>
      </c>
      <c r="AG467" t="s">
        <v>78</v>
      </c>
    </row>
    <row r="468" spans="1:33" hidden="1" x14ac:dyDescent="0.25">
      <c r="A468" t="str">
        <f>"1336405380"</f>
        <v>1336405380</v>
      </c>
      <c r="C468" t="s">
        <v>3917</v>
      </c>
      <c r="G468" t="s">
        <v>2224</v>
      </c>
      <c r="H468" t="s">
        <v>2312</v>
      </c>
      <c r="J468" t="s">
        <v>2226</v>
      </c>
      <c r="K468" t="s">
        <v>171</v>
      </c>
      <c r="L468" t="s">
        <v>96</v>
      </c>
      <c r="M468" t="s">
        <v>73</v>
      </c>
      <c r="R468" t="s">
        <v>3918</v>
      </c>
      <c r="S468" t="s">
        <v>3919</v>
      </c>
      <c r="T468" t="s">
        <v>91</v>
      </c>
      <c r="U468" t="s">
        <v>74</v>
      </c>
      <c r="V468" t="str">
        <f>"100323733"</f>
        <v>100323733</v>
      </c>
      <c r="AC468" t="s">
        <v>76</v>
      </c>
      <c r="AD468" t="s">
        <v>73</v>
      </c>
      <c r="AE468" t="s">
        <v>97</v>
      </c>
      <c r="AF468" t="s">
        <v>2228</v>
      </c>
      <c r="AG468" t="s">
        <v>78</v>
      </c>
    </row>
    <row r="469" spans="1:33" hidden="1" x14ac:dyDescent="0.25">
      <c r="A469" t="str">
        <f>"1932493103"</f>
        <v>1932493103</v>
      </c>
      <c r="B469" t="str">
        <f>"04492848"</f>
        <v>04492848</v>
      </c>
      <c r="C469" t="s">
        <v>3920</v>
      </c>
      <c r="D469" t="s">
        <v>3921</v>
      </c>
      <c r="E469" t="s">
        <v>3922</v>
      </c>
      <c r="G469" t="s">
        <v>2224</v>
      </c>
      <c r="H469" t="s">
        <v>2312</v>
      </c>
      <c r="J469" t="s">
        <v>2226</v>
      </c>
      <c r="L469" t="s">
        <v>96</v>
      </c>
      <c r="M469" t="s">
        <v>73</v>
      </c>
      <c r="R469" t="s">
        <v>3922</v>
      </c>
      <c r="W469" t="s">
        <v>3922</v>
      </c>
      <c r="AB469" t="s">
        <v>75</v>
      </c>
      <c r="AC469" t="s">
        <v>76</v>
      </c>
      <c r="AD469" t="s">
        <v>73</v>
      </c>
      <c r="AE469" t="s">
        <v>77</v>
      </c>
      <c r="AF469" t="s">
        <v>2228</v>
      </c>
      <c r="AG469" t="s">
        <v>78</v>
      </c>
    </row>
    <row r="470" spans="1:33" hidden="1" x14ac:dyDescent="0.25">
      <c r="A470" t="str">
        <f>"1821416686"</f>
        <v>1821416686</v>
      </c>
      <c r="C470" t="s">
        <v>3923</v>
      </c>
      <c r="G470" t="s">
        <v>2224</v>
      </c>
      <c r="H470" t="s">
        <v>2312</v>
      </c>
      <c r="J470" t="s">
        <v>2226</v>
      </c>
      <c r="K470" t="s">
        <v>171</v>
      </c>
      <c r="L470" t="s">
        <v>96</v>
      </c>
      <c r="M470" t="s">
        <v>73</v>
      </c>
      <c r="R470" t="s">
        <v>3924</v>
      </c>
      <c r="S470" t="s">
        <v>3925</v>
      </c>
      <c r="T470" t="s">
        <v>91</v>
      </c>
      <c r="U470" t="s">
        <v>74</v>
      </c>
      <c r="V470" t="str">
        <f>"100323720"</f>
        <v>100323720</v>
      </c>
      <c r="AC470" t="s">
        <v>76</v>
      </c>
      <c r="AD470" t="s">
        <v>73</v>
      </c>
      <c r="AE470" t="s">
        <v>97</v>
      </c>
      <c r="AF470" t="s">
        <v>2228</v>
      </c>
      <c r="AG470" t="s">
        <v>78</v>
      </c>
    </row>
    <row r="471" spans="1:33" hidden="1" x14ac:dyDescent="0.25">
      <c r="A471" t="str">
        <f>"1982022018"</f>
        <v>1982022018</v>
      </c>
      <c r="C471" t="s">
        <v>3926</v>
      </c>
      <c r="G471" t="s">
        <v>2224</v>
      </c>
      <c r="H471" t="s">
        <v>2312</v>
      </c>
      <c r="J471" t="s">
        <v>2226</v>
      </c>
      <c r="K471" t="s">
        <v>171</v>
      </c>
      <c r="L471" t="s">
        <v>96</v>
      </c>
      <c r="M471" t="s">
        <v>73</v>
      </c>
      <c r="R471" t="s">
        <v>3927</v>
      </c>
      <c r="S471" t="s">
        <v>2442</v>
      </c>
      <c r="T471" t="s">
        <v>91</v>
      </c>
      <c r="U471" t="s">
        <v>74</v>
      </c>
      <c r="V471" t="str">
        <f>"100323720"</f>
        <v>100323720</v>
      </c>
      <c r="AC471" t="s">
        <v>76</v>
      </c>
      <c r="AD471" t="s">
        <v>73</v>
      </c>
      <c r="AE471" t="s">
        <v>97</v>
      </c>
      <c r="AF471" t="s">
        <v>2228</v>
      </c>
      <c r="AG471" t="s">
        <v>78</v>
      </c>
    </row>
    <row r="472" spans="1:33" hidden="1" x14ac:dyDescent="0.25">
      <c r="A472" t="str">
        <f>"1811288830"</f>
        <v>1811288830</v>
      </c>
      <c r="C472" t="s">
        <v>3928</v>
      </c>
      <c r="G472" t="s">
        <v>2224</v>
      </c>
      <c r="H472" t="s">
        <v>2312</v>
      </c>
      <c r="J472" t="s">
        <v>2226</v>
      </c>
      <c r="K472" t="s">
        <v>171</v>
      </c>
      <c r="L472" t="s">
        <v>96</v>
      </c>
      <c r="M472" t="s">
        <v>73</v>
      </c>
      <c r="R472" t="s">
        <v>3929</v>
      </c>
      <c r="S472" t="s">
        <v>3930</v>
      </c>
      <c r="T472" t="s">
        <v>3931</v>
      </c>
      <c r="U472" t="s">
        <v>929</v>
      </c>
      <c r="V472" t="str">
        <f>"774795575"</f>
        <v>774795575</v>
      </c>
      <c r="AC472" t="s">
        <v>76</v>
      </c>
      <c r="AD472" t="s">
        <v>73</v>
      </c>
      <c r="AE472" t="s">
        <v>97</v>
      </c>
      <c r="AF472" t="s">
        <v>2254</v>
      </c>
      <c r="AG472" t="s">
        <v>78</v>
      </c>
    </row>
    <row r="473" spans="1:33" hidden="1" x14ac:dyDescent="0.25">
      <c r="A473" t="str">
        <f>"1962818161"</f>
        <v>1962818161</v>
      </c>
      <c r="C473" t="s">
        <v>3932</v>
      </c>
      <c r="G473" t="s">
        <v>2224</v>
      </c>
      <c r="H473" t="s">
        <v>2312</v>
      </c>
      <c r="J473" t="s">
        <v>2226</v>
      </c>
      <c r="K473" t="s">
        <v>171</v>
      </c>
      <c r="L473" t="s">
        <v>96</v>
      </c>
      <c r="M473" t="s">
        <v>73</v>
      </c>
      <c r="R473" t="s">
        <v>3933</v>
      </c>
      <c r="S473" t="s">
        <v>1444</v>
      </c>
      <c r="T473" t="s">
        <v>91</v>
      </c>
      <c r="U473" t="s">
        <v>74</v>
      </c>
      <c r="V473" t="str">
        <f>"100323733"</f>
        <v>100323733</v>
      </c>
      <c r="AC473" t="s">
        <v>76</v>
      </c>
      <c r="AD473" t="s">
        <v>73</v>
      </c>
      <c r="AE473" t="s">
        <v>97</v>
      </c>
      <c r="AF473" t="s">
        <v>2228</v>
      </c>
      <c r="AG473" t="s">
        <v>78</v>
      </c>
    </row>
    <row r="474" spans="1:33" hidden="1" x14ac:dyDescent="0.25">
      <c r="A474" t="str">
        <f>"1912249574"</f>
        <v>1912249574</v>
      </c>
      <c r="C474" t="s">
        <v>3934</v>
      </c>
      <c r="G474" t="s">
        <v>2224</v>
      </c>
      <c r="H474" t="s">
        <v>2312</v>
      </c>
      <c r="J474" t="s">
        <v>2226</v>
      </c>
      <c r="K474" t="s">
        <v>171</v>
      </c>
      <c r="L474" t="s">
        <v>96</v>
      </c>
      <c r="M474" t="s">
        <v>73</v>
      </c>
      <c r="R474" t="s">
        <v>3935</v>
      </c>
      <c r="S474" t="s">
        <v>3936</v>
      </c>
      <c r="T474" t="s">
        <v>91</v>
      </c>
      <c r="U474" t="s">
        <v>74</v>
      </c>
      <c r="V474" t="str">
        <f>"100323720"</f>
        <v>100323720</v>
      </c>
      <c r="AC474" t="s">
        <v>76</v>
      </c>
      <c r="AD474" t="s">
        <v>73</v>
      </c>
      <c r="AE474" t="s">
        <v>97</v>
      </c>
      <c r="AF474" t="s">
        <v>2228</v>
      </c>
      <c r="AG474" t="s">
        <v>78</v>
      </c>
    </row>
    <row r="475" spans="1:33" hidden="1" x14ac:dyDescent="0.25">
      <c r="A475" t="str">
        <f>"1972921542"</f>
        <v>1972921542</v>
      </c>
      <c r="C475" t="s">
        <v>3937</v>
      </c>
      <c r="G475" t="s">
        <v>2224</v>
      </c>
      <c r="H475" t="s">
        <v>2312</v>
      </c>
      <c r="J475" t="s">
        <v>2226</v>
      </c>
      <c r="K475" t="s">
        <v>171</v>
      </c>
      <c r="L475" t="s">
        <v>96</v>
      </c>
      <c r="M475" t="s">
        <v>73</v>
      </c>
      <c r="R475" t="s">
        <v>3938</v>
      </c>
      <c r="S475" t="s">
        <v>2442</v>
      </c>
      <c r="T475" t="s">
        <v>91</v>
      </c>
      <c r="U475" t="s">
        <v>74</v>
      </c>
      <c r="V475" t="str">
        <f>"100323720"</f>
        <v>100323720</v>
      </c>
      <c r="AC475" t="s">
        <v>76</v>
      </c>
      <c r="AD475" t="s">
        <v>73</v>
      </c>
      <c r="AE475" t="s">
        <v>97</v>
      </c>
      <c r="AF475" t="s">
        <v>2228</v>
      </c>
      <c r="AG475" t="s">
        <v>78</v>
      </c>
    </row>
    <row r="476" spans="1:33" hidden="1" x14ac:dyDescent="0.25">
      <c r="A476" t="str">
        <f>"1063778520"</f>
        <v>1063778520</v>
      </c>
      <c r="C476" t="s">
        <v>3939</v>
      </c>
      <c r="G476" t="s">
        <v>2224</v>
      </c>
      <c r="H476" t="s">
        <v>2312</v>
      </c>
      <c r="J476" t="s">
        <v>2226</v>
      </c>
      <c r="K476" t="s">
        <v>171</v>
      </c>
      <c r="L476" t="s">
        <v>96</v>
      </c>
      <c r="M476" t="s">
        <v>73</v>
      </c>
      <c r="R476" t="s">
        <v>3940</v>
      </c>
      <c r="S476" t="s">
        <v>3941</v>
      </c>
      <c r="T476" t="s">
        <v>1670</v>
      </c>
      <c r="U476" t="s">
        <v>1172</v>
      </c>
      <c r="V476" t="str">
        <f>"968164801"</f>
        <v>968164801</v>
      </c>
      <c r="AC476" t="s">
        <v>76</v>
      </c>
      <c r="AD476" t="s">
        <v>73</v>
      </c>
      <c r="AE476" t="s">
        <v>97</v>
      </c>
      <c r="AF476" t="s">
        <v>2228</v>
      </c>
      <c r="AG476" t="s">
        <v>78</v>
      </c>
    </row>
    <row r="477" spans="1:33" hidden="1" x14ac:dyDescent="0.25">
      <c r="A477" t="str">
        <f>"1275809220"</f>
        <v>1275809220</v>
      </c>
      <c r="B477" t="str">
        <f>"04604404"</f>
        <v>04604404</v>
      </c>
      <c r="C477" t="s">
        <v>3942</v>
      </c>
      <c r="D477" t="s">
        <v>3943</v>
      </c>
      <c r="E477" t="s">
        <v>3944</v>
      </c>
      <c r="G477" t="s">
        <v>2224</v>
      </c>
      <c r="H477" t="s">
        <v>2312</v>
      </c>
      <c r="J477" t="s">
        <v>2226</v>
      </c>
      <c r="L477" t="s">
        <v>96</v>
      </c>
      <c r="M477" t="s">
        <v>73</v>
      </c>
      <c r="R477" t="s">
        <v>3945</v>
      </c>
      <c r="W477" t="s">
        <v>3944</v>
      </c>
      <c r="AB477" t="s">
        <v>75</v>
      </c>
      <c r="AC477" t="s">
        <v>76</v>
      </c>
      <c r="AD477" t="s">
        <v>73</v>
      </c>
      <c r="AE477" t="s">
        <v>77</v>
      </c>
      <c r="AF477" t="s">
        <v>2228</v>
      </c>
      <c r="AG477" t="s">
        <v>78</v>
      </c>
    </row>
    <row r="478" spans="1:33" hidden="1" x14ac:dyDescent="0.25">
      <c r="A478" t="str">
        <f>"1194880641"</f>
        <v>1194880641</v>
      </c>
      <c r="B478" t="str">
        <f>"00174305"</f>
        <v>00174305</v>
      </c>
      <c r="C478" t="s">
        <v>3946</v>
      </c>
      <c r="D478" t="s">
        <v>3947</v>
      </c>
      <c r="E478" t="s">
        <v>3948</v>
      </c>
      <c r="G478" t="s">
        <v>2224</v>
      </c>
      <c r="H478" t="s">
        <v>2225</v>
      </c>
      <c r="J478" t="s">
        <v>2226</v>
      </c>
      <c r="L478" t="s">
        <v>72</v>
      </c>
      <c r="M478" t="s">
        <v>73</v>
      </c>
      <c r="R478" t="s">
        <v>3949</v>
      </c>
      <c r="W478" t="s">
        <v>3948</v>
      </c>
      <c r="X478" t="s">
        <v>3950</v>
      </c>
      <c r="Y478" t="s">
        <v>1272</v>
      </c>
      <c r="Z478" t="s">
        <v>74</v>
      </c>
      <c r="AA478" t="str">
        <f>"11577-1065"</f>
        <v>11577-1065</v>
      </c>
      <c r="AB478" t="s">
        <v>75</v>
      </c>
      <c r="AC478" t="s">
        <v>76</v>
      </c>
      <c r="AD478" t="s">
        <v>73</v>
      </c>
      <c r="AE478" t="s">
        <v>77</v>
      </c>
      <c r="AF478" t="s">
        <v>2254</v>
      </c>
      <c r="AG478" t="s">
        <v>78</v>
      </c>
    </row>
    <row r="479" spans="1:33" hidden="1" x14ac:dyDescent="0.25">
      <c r="A479" t="str">
        <f>"1194886614"</f>
        <v>1194886614</v>
      </c>
      <c r="B479" t="str">
        <f>"00297049"</f>
        <v>00297049</v>
      </c>
      <c r="C479" t="s">
        <v>3951</v>
      </c>
      <c r="D479" t="s">
        <v>3952</v>
      </c>
      <c r="E479" t="s">
        <v>2139</v>
      </c>
      <c r="G479" t="s">
        <v>2224</v>
      </c>
      <c r="H479" t="s">
        <v>2225</v>
      </c>
      <c r="J479" t="s">
        <v>2226</v>
      </c>
      <c r="L479" t="s">
        <v>80</v>
      </c>
      <c r="M479" t="s">
        <v>73</v>
      </c>
      <c r="R479" t="s">
        <v>2140</v>
      </c>
      <c r="W479" t="s">
        <v>3953</v>
      </c>
      <c r="X479" t="s">
        <v>3954</v>
      </c>
      <c r="Y479" t="s">
        <v>580</v>
      </c>
      <c r="Z479" t="s">
        <v>74</v>
      </c>
      <c r="AA479" t="str">
        <f>"10901-5152"</f>
        <v>10901-5152</v>
      </c>
      <c r="AB479" t="s">
        <v>75</v>
      </c>
      <c r="AC479" t="s">
        <v>76</v>
      </c>
      <c r="AD479" t="s">
        <v>73</v>
      </c>
      <c r="AE479" t="s">
        <v>77</v>
      </c>
      <c r="AF479" t="s">
        <v>2228</v>
      </c>
      <c r="AG479" t="s">
        <v>78</v>
      </c>
    </row>
    <row r="480" spans="1:33" hidden="1" x14ac:dyDescent="0.25">
      <c r="A480" t="str">
        <f>"1194893669"</f>
        <v>1194893669</v>
      </c>
      <c r="B480" t="str">
        <f>"00960701"</f>
        <v>00960701</v>
      </c>
      <c r="C480" t="s">
        <v>3955</v>
      </c>
      <c r="D480" t="s">
        <v>3956</v>
      </c>
      <c r="E480" t="s">
        <v>3957</v>
      </c>
      <c r="G480" t="s">
        <v>2224</v>
      </c>
      <c r="H480" t="s">
        <v>2225</v>
      </c>
      <c r="J480" t="s">
        <v>2226</v>
      </c>
      <c r="L480" t="s">
        <v>72</v>
      </c>
      <c r="M480" t="s">
        <v>73</v>
      </c>
      <c r="R480" t="s">
        <v>3958</v>
      </c>
      <c r="W480" t="s">
        <v>3957</v>
      </c>
      <c r="Y480" t="s">
        <v>91</v>
      </c>
      <c r="Z480" t="s">
        <v>74</v>
      </c>
      <c r="AA480" t="str">
        <f>"10032-3720"</f>
        <v>10032-3720</v>
      </c>
      <c r="AB480" t="s">
        <v>75</v>
      </c>
      <c r="AC480" t="s">
        <v>76</v>
      </c>
      <c r="AD480" t="s">
        <v>73</v>
      </c>
      <c r="AE480" t="s">
        <v>77</v>
      </c>
      <c r="AF480" t="s">
        <v>2228</v>
      </c>
      <c r="AG480" t="s">
        <v>78</v>
      </c>
    </row>
    <row r="481" spans="1:33" hidden="1" x14ac:dyDescent="0.25">
      <c r="A481" t="str">
        <f>"1033300231"</f>
        <v>1033300231</v>
      </c>
      <c r="B481" t="str">
        <f>"03151622"</f>
        <v>03151622</v>
      </c>
      <c r="C481" t="s">
        <v>3959</v>
      </c>
      <c r="D481" t="s">
        <v>3960</v>
      </c>
      <c r="E481" t="s">
        <v>3961</v>
      </c>
      <c r="G481" t="s">
        <v>2224</v>
      </c>
      <c r="H481" t="s">
        <v>3962</v>
      </c>
      <c r="J481" t="s">
        <v>2226</v>
      </c>
      <c r="L481" t="s">
        <v>81</v>
      </c>
      <c r="M481" t="s">
        <v>82</v>
      </c>
      <c r="R481" t="s">
        <v>3963</v>
      </c>
      <c r="W481" t="s">
        <v>3964</v>
      </c>
      <c r="X481" t="s">
        <v>1219</v>
      </c>
      <c r="Y481" t="s">
        <v>118</v>
      </c>
      <c r="Z481" t="s">
        <v>74</v>
      </c>
      <c r="AA481" t="str">
        <f>"10467-2401"</f>
        <v>10467-2401</v>
      </c>
      <c r="AB481" t="s">
        <v>75</v>
      </c>
      <c r="AC481" t="s">
        <v>76</v>
      </c>
      <c r="AD481" t="s">
        <v>73</v>
      </c>
      <c r="AE481" t="s">
        <v>77</v>
      </c>
      <c r="AF481" t="s">
        <v>2254</v>
      </c>
      <c r="AG481" t="s">
        <v>78</v>
      </c>
    </row>
    <row r="482" spans="1:33" hidden="1" x14ac:dyDescent="0.25">
      <c r="A482" t="str">
        <f>"1013133909"</f>
        <v>1013133909</v>
      </c>
      <c r="B482" t="str">
        <f>"03657316"</f>
        <v>03657316</v>
      </c>
      <c r="C482" t="s">
        <v>3965</v>
      </c>
      <c r="D482" t="s">
        <v>3966</v>
      </c>
      <c r="E482" t="s">
        <v>3967</v>
      </c>
      <c r="G482" t="s">
        <v>2514</v>
      </c>
      <c r="H482" t="s">
        <v>3968</v>
      </c>
      <c r="J482" t="s">
        <v>2516</v>
      </c>
      <c r="L482" t="s">
        <v>72</v>
      </c>
      <c r="M482" t="s">
        <v>73</v>
      </c>
      <c r="R482" t="s">
        <v>3969</v>
      </c>
      <c r="W482" t="s">
        <v>3967</v>
      </c>
      <c r="X482" t="s">
        <v>1929</v>
      </c>
      <c r="Y482" t="s">
        <v>91</v>
      </c>
      <c r="Z482" t="s">
        <v>74</v>
      </c>
      <c r="AA482" t="str">
        <f>"10032-4207"</f>
        <v>10032-4207</v>
      </c>
      <c r="AB482" t="s">
        <v>75</v>
      </c>
      <c r="AC482" t="s">
        <v>76</v>
      </c>
      <c r="AD482" t="s">
        <v>73</v>
      </c>
      <c r="AE482" t="s">
        <v>77</v>
      </c>
      <c r="AF482" t="s">
        <v>2518</v>
      </c>
      <c r="AG482" t="s">
        <v>78</v>
      </c>
    </row>
    <row r="483" spans="1:33" hidden="1" x14ac:dyDescent="0.25">
      <c r="A483" t="str">
        <f>"1093944183"</f>
        <v>1093944183</v>
      </c>
      <c r="B483" t="str">
        <f>"03223489"</f>
        <v>03223489</v>
      </c>
      <c r="C483" t="s">
        <v>3970</v>
      </c>
      <c r="D483" t="s">
        <v>3971</v>
      </c>
      <c r="E483" t="s">
        <v>3972</v>
      </c>
      <c r="G483" t="s">
        <v>2224</v>
      </c>
      <c r="H483" t="s">
        <v>2225</v>
      </c>
      <c r="J483" t="s">
        <v>2226</v>
      </c>
      <c r="L483" t="s">
        <v>81</v>
      </c>
      <c r="M483" t="s">
        <v>82</v>
      </c>
      <c r="R483" t="s">
        <v>3973</v>
      </c>
      <c r="W483" t="s">
        <v>3974</v>
      </c>
      <c r="X483" t="s">
        <v>3407</v>
      </c>
      <c r="Y483" t="s">
        <v>91</v>
      </c>
      <c r="Z483" t="s">
        <v>74</v>
      </c>
      <c r="AA483" t="str">
        <f>"10032-3720"</f>
        <v>10032-3720</v>
      </c>
      <c r="AB483" t="s">
        <v>75</v>
      </c>
      <c r="AC483" t="s">
        <v>76</v>
      </c>
      <c r="AD483" t="s">
        <v>73</v>
      </c>
      <c r="AE483" t="s">
        <v>77</v>
      </c>
      <c r="AF483" t="s">
        <v>2254</v>
      </c>
      <c r="AG483" t="s">
        <v>78</v>
      </c>
    </row>
    <row r="484" spans="1:33" hidden="1" x14ac:dyDescent="0.25">
      <c r="A484" t="str">
        <f>"1497028419"</f>
        <v>1497028419</v>
      </c>
      <c r="B484" t="str">
        <f>"03433589"</f>
        <v>03433589</v>
      </c>
      <c r="C484" t="s">
        <v>3975</v>
      </c>
      <c r="D484" t="s">
        <v>3976</v>
      </c>
      <c r="E484" t="s">
        <v>3977</v>
      </c>
      <c r="G484" t="s">
        <v>2224</v>
      </c>
      <c r="H484" t="s">
        <v>2225</v>
      </c>
      <c r="J484" t="s">
        <v>2226</v>
      </c>
      <c r="L484" t="s">
        <v>81</v>
      </c>
      <c r="M484" t="s">
        <v>73</v>
      </c>
      <c r="R484" t="s">
        <v>3978</v>
      </c>
      <c r="W484" t="s">
        <v>3977</v>
      </c>
      <c r="X484" t="s">
        <v>628</v>
      </c>
      <c r="Y484" t="s">
        <v>91</v>
      </c>
      <c r="Z484" t="s">
        <v>74</v>
      </c>
      <c r="AA484" t="str">
        <f>"10021-4872"</f>
        <v>10021-4872</v>
      </c>
      <c r="AB484" t="s">
        <v>75</v>
      </c>
      <c r="AC484" t="s">
        <v>76</v>
      </c>
      <c r="AD484" t="s">
        <v>73</v>
      </c>
      <c r="AE484" t="s">
        <v>77</v>
      </c>
      <c r="AF484" t="s">
        <v>2242</v>
      </c>
      <c r="AG484" t="s">
        <v>78</v>
      </c>
    </row>
    <row r="485" spans="1:33" hidden="1" x14ac:dyDescent="0.25">
      <c r="A485" t="str">
        <f>"1114160223"</f>
        <v>1114160223</v>
      </c>
      <c r="B485" t="str">
        <f>"03923755"</f>
        <v>03923755</v>
      </c>
      <c r="C485" t="s">
        <v>3979</v>
      </c>
      <c r="D485" t="s">
        <v>3980</v>
      </c>
      <c r="E485" t="s">
        <v>3981</v>
      </c>
      <c r="G485" t="s">
        <v>2224</v>
      </c>
      <c r="H485" t="s">
        <v>2225</v>
      </c>
      <c r="J485" t="s">
        <v>2226</v>
      </c>
      <c r="L485" t="s">
        <v>72</v>
      </c>
      <c r="M485" t="s">
        <v>73</v>
      </c>
      <c r="R485" t="s">
        <v>3981</v>
      </c>
      <c r="W485" t="s">
        <v>3981</v>
      </c>
      <c r="X485" t="s">
        <v>410</v>
      </c>
      <c r="Y485" t="s">
        <v>91</v>
      </c>
      <c r="Z485" t="s">
        <v>74</v>
      </c>
      <c r="AA485" t="str">
        <f>"10032-1559"</f>
        <v>10032-1559</v>
      </c>
      <c r="AB485" t="s">
        <v>75</v>
      </c>
      <c r="AC485" t="s">
        <v>76</v>
      </c>
      <c r="AD485" t="s">
        <v>73</v>
      </c>
      <c r="AE485" t="s">
        <v>77</v>
      </c>
      <c r="AF485" t="s">
        <v>2228</v>
      </c>
      <c r="AG485" t="s">
        <v>78</v>
      </c>
    </row>
    <row r="486" spans="1:33" hidden="1" x14ac:dyDescent="0.25">
      <c r="A486" t="str">
        <f>"1609164078"</f>
        <v>1609164078</v>
      </c>
      <c r="B486" t="str">
        <f>"03624944"</f>
        <v>03624944</v>
      </c>
      <c r="C486" t="s">
        <v>3982</v>
      </c>
      <c r="D486" t="s">
        <v>1455</v>
      </c>
      <c r="E486" t="s">
        <v>1456</v>
      </c>
      <c r="G486" t="s">
        <v>2224</v>
      </c>
      <c r="H486" t="s">
        <v>2225</v>
      </c>
      <c r="J486" t="s">
        <v>2226</v>
      </c>
      <c r="L486" t="s">
        <v>72</v>
      </c>
      <c r="M486" t="s">
        <v>73</v>
      </c>
      <c r="R486" t="s">
        <v>1457</v>
      </c>
      <c r="W486" t="s">
        <v>1456</v>
      </c>
      <c r="X486" t="s">
        <v>1458</v>
      </c>
      <c r="Y486" t="s">
        <v>118</v>
      </c>
      <c r="Z486" t="s">
        <v>74</v>
      </c>
      <c r="AA486" t="str">
        <f>"10467-0000"</f>
        <v>10467-0000</v>
      </c>
      <c r="AB486" t="s">
        <v>75</v>
      </c>
      <c r="AC486" t="s">
        <v>76</v>
      </c>
      <c r="AD486" t="s">
        <v>73</v>
      </c>
      <c r="AE486" t="s">
        <v>77</v>
      </c>
      <c r="AF486" t="s">
        <v>2398</v>
      </c>
      <c r="AG486" t="s">
        <v>78</v>
      </c>
    </row>
    <row r="487" spans="1:33" hidden="1" x14ac:dyDescent="0.25">
      <c r="A487" t="str">
        <f>"1801123013"</f>
        <v>1801123013</v>
      </c>
      <c r="B487" t="str">
        <f>"03347486"</f>
        <v>03347486</v>
      </c>
      <c r="C487" t="s">
        <v>3983</v>
      </c>
      <c r="D487" t="s">
        <v>3984</v>
      </c>
      <c r="E487" t="s">
        <v>3985</v>
      </c>
      <c r="G487" t="s">
        <v>2224</v>
      </c>
      <c r="H487" t="s">
        <v>2225</v>
      </c>
      <c r="J487" t="s">
        <v>2226</v>
      </c>
      <c r="L487" t="s">
        <v>72</v>
      </c>
      <c r="M487" t="s">
        <v>73</v>
      </c>
      <c r="R487" t="s">
        <v>3986</v>
      </c>
      <c r="W487" t="s">
        <v>3985</v>
      </c>
      <c r="X487" t="s">
        <v>3189</v>
      </c>
      <c r="Y487" t="s">
        <v>91</v>
      </c>
      <c r="Z487" t="s">
        <v>74</v>
      </c>
      <c r="AA487" t="str">
        <f>"10032-1559"</f>
        <v>10032-1559</v>
      </c>
      <c r="AB487" t="s">
        <v>113</v>
      </c>
      <c r="AC487" t="s">
        <v>76</v>
      </c>
      <c r="AD487" t="s">
        <v>73</v>
      </c>
      <c r="AE487" t="s">
        <v>77</v>
      </c>
      <c r="AF487" t="s">
        <v>2254</v>
      </c>
      <c r="AG487" t="s">
        <v>78</v>
      </c>
    </row>
    <row r="488" spans="1:33" hidden="1" x14ac:dyDescent="0.25">
      <c r="A488" t="str">
        <f>"1801813621"</f>
        <v>1801813621</v>
      </c>
      <c r="B488" t="str">
        <f>"02023132"</f>
        <v>02023132</v>
      </c>
      <c r="C488" t="s">
        <v>3987</v>
      </c>
      <c r="D488" t="s">
        <v>3988</v>
      </c>
      <c r="E488" t="s">
        <v>3989</v>
      </c>
      <c r="G488" t="s">
        <v>2224</v>
      </c>
      <c r="H488" t="s">
        <v>2225</v>
      </c>
      <c r="J488" t="s">
        <v>2226</v>
      </c>
      <c r="L488" t="s">
        <v>80</v>
      </c>
      <c r="M488" t="s">
        <v>82</v>
      </c>
      <c r="R488" t="s">
        <v>3990</v>
      </c>
      <c r="W488" t="s">
        <v>3989</v>
      </c>
      <c r="AB488" t="s">
        <v>75</v>
      </c>
      <c r="AC488" t="s">
        <v>76</v>
      </c>
      <c r="AD488" t="s">
        <v>73</v>
      </c>
      <c r="AE488" t="s">
        <v>77</v>
      </c>
      <c r="AF488" t="s">
        <v>2228</v>
      </c>
      <c r="AG488" t="s">
        <v>78</v>
      </c>
    </row>
    <row r="489" spans="1:33" hidden="1" x14ac:dyDescent="0.25">
      <c r="A489" t="str">
        <f>"1801822622"</f>
        <v>1801822622</v>
      </c>
      <c r="B489" t="str">
        <f>"02768876"</f>
        <v>02768876</v>
      </c>
      <c r="C489" t="s">
        <v>3991</v>
      </c>
      <c r="D489" t="s">
        <v>3992</v>
      </c>
      <c r="E489" t="s">
        <v>3993</v>
      </c>
      <c r="G489" t="s">
        <v>2224</v>
      </c>
      <c r="H489" t="s">
        <v>2225</v>
      </c>
      <c r="J489" t="s">
        <v>2226</v>
      </c>
      <c r="L489" t="s">
        <v>80</v>
      </c>
      <c r="M489" t="s">
        <v>73</v>
      </c>
      <c r="R489" t="s">
        <v>3994</v>
      </c>
      <c r="W489" t="s">
        <v>3993</v>
      </c>
      <c r="X489" t="s">
        <v>1748</v>
      </c>
      <c r="Y489" t="s">
        <v>91</v>
      </c>
      <c r="Z489" t="s">
        <v>74</v>
      </c>
      <c r="AA489" t="str">
        <f>"10032-3720"</f>
        <v>10032-3720</v>
      </c>
      <c r="AB489" t="s">
        <v>75</v>
      </c>
      <c r="AC489" t="s">
        <v>76</v>
      </c>
      <c r="AD489" t="s">
        <v>73</v>
      </c>
      <c r="AE489" t="s">
        <v>77</v>
      </c>
      <c r="AF489" t="s">
        <v>2228</v>
      </c>
      <c r="AG489" t="s">
        <v>78</v>
      </c>
    </row>
    <row r="490" spans="1:33" hidden="1" x14ac:dyDescent="0.25">
      <c r="A490" t="str">
        <f>"1215055231"</f>
        <v>1215055231</v>
      </c>
      <c r="B490" t="str">
        <f>"02021034"</f>
        <v>02021034</v>
      </c>
      <c r="C490" t="s">
        <v>3995</v>
      </c>
      <c r="D490" t="s">
        <v>3996</v>
      </c>
      <c r="E490" t="s">
        <v>3997</v>
      </c>
      <c r="G490" t="s">
        <v>2224</v>
      </c>
      <c r="H490" t="s">
        <v>3998</v>
      </c>
      <c r="J490" t="s">
        <v>2226</v>
      </c>
      <c r="L490" t="s">
        <v>80</v>
      </c>
      <c r="M490" t="s">
        <v>73</v>
      </c>
      <c r="R490" t="s">
        <v>3999</v>
      </c>
      <c r="W490" t="s">
        <v>4000</v>
      </c>
      <c r="X490" t="s">
        <v>160</v>
      </c>
      <c r="Y490" t="s">
        <v>144</v>
      </c>
      <c r="Z490" t="s">
        <v>74</v>
      </c>
      <c r="AA490" t="str">
        <f>"11040-1402"</f>
        <v>11040-1402</v>
      </c>
      <c r="AB490" t="s">
        <v>75</v>
      </c>
      <c r="AC490" t="s">
        <v>76</v>
      </c>
      <c r="AD490" t="s">
        <v>73</v>
      </c>
      <c r="AE490" t="s">
        <v>77</v>
      </c>
      <c r="AF490" t="s">
        <v>2228</v>
      </c>
      <c r="AG490" t="s">
        <v>78</v>
      </c>
    </row>
    <row r="491" spans="1:33" hidden="1" x14ac:dyDescent="0.25">
      <c r="A491" t="str">
        <f>"1952430498"</f>
        <v>1952430498</v>
      </c>
      <c r="B491" t="str">
        <f>"02862797"</f>
        <v>02862797</v>
      </c>
      <c r="C491" t="s">
        <v>4001</v>
      </c>
      <c r="D491" t="s">
        <v>4002</v>
      </c>
      <c r="E491" t="s">
        <v>4003</v>
      </c>
      <c r="L491" t="s">
        <v>80</v>
      </c>
      <c r="M491" t="s">
        <v>73</v>
      </c>
      <c r="R491" t="s">
        <v>4003</v>
      </c>
      <c r="W491" t="s">
        <v>4003</v>
      </c>
      <c r="X491" t="s">
        <v>3477</v>
      </c>
      <c r="Y491" t="s">
        <v>91</v>
      </c>
      <c r="Z491" t="s">
        <v>74</v>
      </c>
      <c r="AA491" t="str">
        <f>"10032-3725"</f>
        <v>10032-3725</v>
      </c>
      <c r="AB491" t="s">
        <v>75</v>
      </c>
      <c r="AC491" t="s">
        <v>76</v>
      </c>
      <c r="AD491" t="s">
        <v>73</v>
      </c>
      <c r="AE491" t="s">
        <v>77</v>
      </c>
      <c r="AF491" t="s">
        <v>2228</v>
      </c>
      <c r="AG491" t="s">
        <v>78</v>
      </c>
    </row>
    <row r="492" spans="1:33" hidden="1" x14ac:dyDescent="0.25">
      <c r="A492" t="str">
        <f>"1811024169"</f>
        <v>1811024169</v>
      </c>
      <c r="B492" t="str">
        <f>"01811187"</f>
        <v>01811187</v>
      </c>
      <c r="C492" t="s">
        <v>4004</v>
      </c>
      <c r="D492" t="s">
        <v>4005</v>
      </c>
      <c r="E492" t="s">
        <v>4006</v>
      </c>
      <c r="L492" t="s">
        <v>80</v>
      </c>
      <c r="M492" t="s">
        <v>73</v>
      </c>
      <c r="R492" t="s">
        <v>4007</v>
      </c>
      <c r="W492" t="s">
        <v>4006</v>
      </c>
      <c r="X492" t="s">
        <v>4006</v>
      </c>
      <c r="Y492" t="s">
        <v>91</v>
      </c>
      <c r="Z492" t="s">
        <v>74</v>
      </c>
      <c r="AA492" t="str">
        <f>"10032-3720"</f>
        <v>10032-3720</v>
      </c>
      <c r="AB492" t="s">
        <v>75</v>
      </c>
      <c r="AC492" t="s">
        <v>76</v>
      </c>
      <c r="AD492" t="s">
        <v>73</v>
      </c>
      <c r="AE492" t="s">
        <v>77</v>
      </c>
      <c r="AF492" t="s">
        <v>2228</v>
      </c>
      <c r="AG492" t="s">
        <v>78</v>
      </c>
    </row>
    <row r="493" spans="1:33" hidden="1" x14ac:dyDescent="0.25">
      <c r="A493" t="str">
        <f>"1851581219"</f>
        <v>1851581219</v>
      </c>
      <c r="B493" t="str">
        <f>"02967182"</f>
        <v>02967182</v>
      </c>
      <c r="C493" t="s">
        <v>4008</v>
      </c>
      <c r="D493" t="s">
        <v>4009</v>
      </c>
      <c r="E493" t="s">
        <v>4010</v>
      </c>
      <c r="G493" t="s">
        <v>2224</v>
      </c>
      <c r="H493" t="s">
        <v>2225</v>
      </c>
      <c r="J493" t="s">
        <v>2226</v>
      </c>
      <c r="L493" t="s">
        <v>72</v>
      </c>
      <c r="M493" t="s">
        <v>82</v>
      </c>
      <c r="R493" t="s">
        <v>4011</v>
      </c>
      <c r="W493" t="s">
        <v>4012</v>
      </c>
      <c r="X493" t="s">
        <v>167</v>
      </c>
      <c r="Y493" t="s">
        <v>91</v>
      </c>
      <c r="Z493" t="s">
        <v>74</v>
      </c>
      <c r="AA493" t="str">
        <f>"10032-3720"</f>
        <v>10032-3720</v>
      </c>
      <c r="AB493" t="s">
        <v>75</v>
      </c>
      <c r="AC493" t="s">
        <v>76</v>
      </c>
      <c r="AD493" t="s">
        <v>73</v>
      </c>
      <c r="AE493" t="s">
        <v>77</v>
      </c>
      <c r="AF493" t="s">
        <v>2254</v>
      </c>
      <c r="AG493" t="s">
        <v>78</v>
      </c>
    </row>
    <row r="494" spans="1:33" hidden="1" x14ac:dyDescent="0.25">
      <c r="A494" t="str">
        <f>"1861464679"</f>
        <v>1861464679</v>
      </c>
      <c r="B494" t="str">
        <f>"02310290"</f>
        <v>02310290</v>
      </c>
      <c r="C494" t="s">
        <v>4013</v>
      </c>
      <c r="D494" t="s">
        <v>4014</v>
      </c>
      <c r="E494" t="s">
        <v>4015</v>
      </c>
      <c r="G494" t="s">
        <v>2224</v>
      </c>
      <c r="H494" t="s">
        <v>2225</v>
      </c>
      <c r="J494" t="s">
        <v>2226</v>
      </c>
      <c r="L494" t="s">
        <v>72</v>
      </c>
      <c r="M494" t="s">
        <v>73</v>
      </c>
      <c r="R494" t="s">
        <v>4016</v>
      </c>
      <c r="W494" t="s">
        <v>4015</v>
      </c>
      <c r="X494" t="s">
        <v>159</v>
      </c>
      <c r="Y494" t="s">
        <v>91</v>
      </c>
      <c r="Z494" t="s">
        <v>74</v>
      </c>
      <c r="AA494" t="str">
        <f>"10029-7404"</f>
        <v>10029-7404</v>
      </c>
      <c r="AB494" t="s">
        <v>75</v>
      </c>
      <c r="AC494" t="s">
        <v>76</v>
      </c>
      <c r="AD494" t="s">
        <v>73</v>
      </c>
      <c r="AE494" t="s">
        <v>77</v>
      </c>
      <c r="AF494" t="s">
        <v>2228</v>
      </c>
      <c r="AG494" t="s">
        <v>78</v>
      </c>
    </row>
    <row r="495" spans="1:33" hidden="1" x14ac:dyDescent="0.25">
      <c r="A495" t="str">
        <f>"1851710586"</f>
        <v>1851710586</v>
      </c>
      <c r="C495" t="s">
        <v>4017</v>
      </c>
      <c r="G495" t="s">
        <v>2224</v>
      </c>
      <c r="H495" t="s">
        <v>2312</v>
      </c>
      <c r="J495" t="s">
        <v>2226</v>
      </c>
      <c r="K495" t="s">
        <v>171</v>
      </c>
      <c r="L495" t="s">
        <v>96</v>
      </c>
      <c r="M495" t="s">
        <v>73</v>
      </c>
      <c r="R495" t="s">
        <v>4018</v>
      </c>
      <c r="S495" t="s">
        <v>2314</v>
      </c>
      <c r="T495" t="s">
        <v>91</v>
      </c>
      <c r="U495" t="s">
        <v>74</v>
      </c>
      <c r="V495" t="str">
        <f>"100654870"</f>
        <v>100654870</v>
      </c>
      <c r="AC495" t="s">
        <v>76</v>
      </c>
      <c r="AD495" t="s">
        <v>73</v>
      </c>
      <c r="AE495" t="s">
        <v>97</v>
      </c>
      <c r="AF495" t="s">
        <v>2242</v>
      </c>
      <c r="AG495" t="s">
        <v>78</v>
      </c>
    </row>
    <row r="496" spans="1:33" hidden="1" x14ac:dyDescent="0.25">
      <c r="A496" t="str">
        <f>"1295027837"</f>
        <v>1295027837</v>
      </c>
      <c r="C496" t="s">
        <v>4019</v>
      </c>
      <c r="G496" t="s">
        <v>2224</v>
      </c>
      <c r="H496" t="s">
        <v>2312</v>
      </c>
      <c r="J496" t="s">
        <v>2226</v>
      </c>
      <c r="K496" t="s">
        <v>171</v>
      </c>
      <c r="L496" t="s">
        <v>96</v>
      </c>
      <c r="M496" t="s">
        <v>73</v>
      </c>
      <c r="R496" t="s">
        <v>4020</v>
      </c>
      <c r="S496" t="s">
        <v>4021</v>
      </c>
      <c r="T496" t="s">
        <v>1188</v>
      </c>
      <c r="U496" t="s">
        <v>597</v>
      </c>
      <c r="V496" t="str">
        <f>"981042420"</f>
        <v>981042420</v>
      </c>
      <c r="AC496" t="s">
        <v>76</v>
      </c>
      <c r="AD496" t="s">
        <v>73</v>
      </c>
      <c r="AE496" t="s">
        <v>97</v>
      </c>
      <c r="AF496" t="s">
        <v>2242</v>
      </c>
      <c r="AG496" t="s">
        <v>78</v>
      </c>
    </row>
    <row r="497" spans="1:33" hidden="1" x14ac:dyDescent="0.25">
      <c r="A497" t="str">
        <f>"1659534097"</f>
        <v>1659534097</v>
      </c>
      <c r="B497" t="str">
        <f>"03375142"</f>
        <v>03375142</v>
      </c>
      <c r="C497" t="s">
        <v>4022</v>
      </c>
      <c r="D497" t="s">
        <v>4023</v>
      </c>
      <c r="E497" t="s">
        <v>4024</v>
      </c>
      <c r="G497" t="s">
        <v>2224</v>
      </c>
      <c r="H497" t="s">
        <v>2225</v>
      </c>
      <c r="J497" t="s">
        <v>2226</v>
      </c>
      <c r="L497" t="s">
        <v>80</v>
      </c>
      <c r="M497" t="s">
        <v>73</v>
      </c>
      <c r="R497" t="s">
        <v>4024</v>
      </c>
      <c r="W497" t="s">
        <v>4024</v>
      </c>
      <c r="X497" t="s">
        <v>170</v>
      </c>
      <c r="Y497" t="s">
        <v>91</v>
      </c>
      <c r="Z497" t="s">
        <v>74</v>
      </c>
      <c r="AA497" t="str">
        <f>"10065-4870"</f>
        <v>10065-4870</v>
      </c>
      <c r="AB497" t="s">
        <v>75</v>
      </c>
      <c r="AC497" t="s">
        <v>76</v>
      </c>
      <c r="AD497" t="s">
        <v>73</v>
      </c>
      <c r="AE497" t="s">
        <v>77</v>
      </c>
      <c r="AF497" t="s">
        <v>2398</v>
      </c>
      <c r="AG497" t="s">
        <v>78</v>
      </c>
    </row>
    <row r="498" spans="1:33" hidden="1" x14ac:dyDescent="0.25">
      <c r="A498" t="str">
        <f>"1598063729"</f>
        <v>1598063729</v>
      </c>
      <c r="B498" t="str">
        <f>"03333979"</f>
        <v>03333979</v>
      </c>
      <c r="C498" t="s">
        <v>4025</v>
      </c>
      <c r="D498" t="s">
        <v>4026</v>
      </c>
      <c r="E498" t="s">
        <v>4027</v>
      </c>
      <c r="G498" t="s">
        <v>2224</v>
      </c>
      <c r="H498" t="s">
        <v>2225</v>
      </c>
      <c r="J498" t="s">
        <v>2226</v>
      </c>
      <c r="L498" t="s">
        <v>88</v>
      </c>
      <c r="M498" t="s">
        <v>73</v>
      </c>
      <c r="R498" t="s">
        <v>4028</v>
      </c>
      <c r="W498" t="s">
        <v>4027</v>
      </c>
      <c r="X498" t="s">
        <v>628</v>
      </c>
      <c r="Y498" t="s">
        <v>91</v>
      </c>
      <c r="Z498" t="s">
        <v>74</v>
      </c>
      <c r="AA498" t="str">
        <f>"10021-4872"</f>
        <v>10021-4872</v>
      </c>
      <c r="AB498" t="s">
        <v>75</v>
      </c>
      <c r="AC498" t="s">
        <v>76</v>
      </c>
      <c r="AD498" t="s">
        <v>73</v>
      </c>
      <c r="AE498" t="s">
        <v>77</v>
      </c>
      <c r="AF498" t="s">
        <v>2242</v>
      </c>
      <c r="AG498" t="s">
        <v>78</v>
      </c>
    </row>
    <row r="499" spans="1:33" hidden="1" x14ac:dyDescent="0.25">
      <c r="A499" t="str">
        <f>"1821258823"</f>
        <v>1821258823</v>
      </c>
      <c r="B499" t="str">
        <f>"03468531"</f>
        <v>03468531</v>
      </c>
      <c r="C499" t="s">
        <v>4029</v>
      </c>
      <c r="D499" t="s">
        <v>4030</v>
      </c>
      <c r="E499" t="s">
        <v>4031</v>
      </c>
      <c r="G499" t="s">
        <v>2224</v>
      </c>
      <c r="H499" t="s">
        <v>2225</v>
      </c>
      <c r="J499" t="s">
        <v>2226</v>
      </c>
      <c r="L499" t="s">
        <v>72</v>
      </c>
      <c r="M499" t="s">
        <v>73</v>
      </c>
      <c r="R499" t="s">
        <v>4032</v>
      </c>
      <c r="W499" t="s">
        <v>4031</v>
      </c>
      <c r="X499" t="s">
        <v>167</v>
      </c>
      <c r="Y499" t="s">
        <v>91</v>
      </c>
      <c r="Z499" t="s">
        <v>74</v>
      </c>
      <c r="AA499" t="str">
        <f>"10032-3720"</f>
        <v>10032-3720</v>
      </c>
      <c r="AB499" t="s">
        <v>75</v>
      </c>
      <c r="AC499" t="s">
        <v>76</v>
      </c>
      <c r="AD499" t="s">
        <v>73</v>
      </c>
      <c r="AE499" t="s">
        <v>77</v>
      </c>
      <c r="AF499" t="s">
        <v>2228</v>
      </c>
      <c r="AG499" t="s">
        <v>78</v>
      </c>
    </row>
    <row r="500" spans="1:33" hidden="1" x14ac:dyDescent="0.25">
      <c r="A500" t="str">
        <f>"1831131358"</f>
        <v>1831131358</v>
      </c>
      <c r="B500" t="str">
        <f>"00429983"</f>
        <v>00429983</v>
      </c>
      <c r="C500" t="s">
        <v>4033</v>
      </c>
      <c r="D500" t="s">
        <v>4034</v>
      </c>
      <c r="E500" t="s">
        <v>4035</v>
      </c>
      <c r="G500" t="s">
        <v>2224</v>
      </c>
      <c r="H500" t="s">
        <v>2225</v>
      </c>
      <c r="J500" t="s">
        <v>2226</v>
      </c>
      <c r="L500" t="s">
        <v>72</v>
      </c>
      <c r="M500" t="s">
        <v>73</v>
      </c>
      <c r="R500" t="s">
        <v>4036</v>
      </c>
      <c r="W500" t="s">
        <v>4035</v>
      </c>
      <c r="X500" t="s">
        <v>4037</v>
      </c>
      <c r="Y500" t="s">
        <v>91</v>
      </c>
      <c r="Z500" t="s">
        <v>74</v>
      </c>
      <c r="AA500" t="str">
        <f>"10021-4849"</f>
        <v>10021-4849</v>
      </c>
      <c r="AB500" t="s">
        <v>75</v>
      </c>
      <c r="AC500" t="s">
        <v>76</v>
      </c>
      <c r="AD500" t="s">
        <v>73</v>
      </c>
      <c r="AE500" t="s">
        <v>77</v>
      </c>
      <c r="AF500" t="s">
        <v>2398</v>
      </c>
      <c r="AG500" t="s">
        <v>78</v>
      </c>
    </row>
    <row r="501" spans="1:33" hidden="1" x14ac:dyDescent="0.25">
      <c r="A501" t="str">
        <f>"1831135276"</f>
        <v>1831135276</v>
      </c>
      <c r="B501" t="str">
        <f>"02756614"</f>
        <v>02756614</v>
      </c>
      <c r="C501" t="s">
        <v>4038</v>
      </c>
      <c r="D501" t="s">
        <v>4039</v>
      </c>
      <c r="E501" t="s">
        <v>4040</v>
      </c>
      <c r="G501" t="s">
        <v>2224</v>
      </c>
      <c r="H501" t="s">
        <v>2225</v>
      </c>
      <c r="J501" t="s">
        <v>2226</v>
      </c>
      <c r="L501" t="s">
        <v>80</v>
      </c>
      <c r="M501" t="s">
        <v>73</v>
      </c>
      <c r="R501" t="s">
        <v>4041</v>
      </c>
      <c r="W501" t="s">
        <v>4040</v>
      </c>
      <c r="X501" t="s">
        <v>170</v>
      </c>
      <c r="Y501" t="s">
        <v>91</v>
      </c>
      <c r="Z501" t="s">
        <v>74</v>
      </c>
      <c r="AA501" t="str">
        <f>"10065-4870"</f>
        <v>10065-4870</v>
      </c>
      <c r="AB501" t="s">
        <v>75</v>
      </c>
      <c r="AC501" t="s">
        <v>76</v>
      </c>
      <c r="AD501" t="s">
        <v>73</v>
      </c>
      <c r="AE501" t="s">
        <v>77</v>
      </c>
      <c r="AF501" t="s">
        <v>2254</v>
      </c>
      <c r="AG501" t="s">
        <v>78</v>
      </c>
    </row>
    <row r="502" spans="1:33" hidden="1" x14ac:dyDescent="0.25">
      <c r="A502" t="str">
        <f>"1831170976"</f>
        <v>1831170976</v>
      </c>
      <c r="B502" t="str">
        <f>"02374918"</f>
        <v>02374918</v>
      </c>
      <c r="C502" t="s">
        <v>4042</v>
      </c>
      <c r="D502" t="s">
        <v>4043</v>
      </c>
      <c r="E502" t="s">
        <v>4044</v>
      </c>
      <c r="G502" t="s">
        <v>2224</v>
      </c>
      <c r="H502" t="s">
        <v>2225</v>
      </c>
      <c r="J502" t="s">
        <v>2226</v>
      </c>
      <c r="L502" t="s">
        <v>80</v>
      </c>
      <c r="M502" t="s">
        <v>73</v>
      </c>
      <c r="R502" t="s">
        <v>4045</v>
      </c>
      <c r="W502" t="s">
        <v>4046</v>
      </c>
      <c r="X502" t="s">
        <v>4047</v>
      </c>
      <c r="Y502" t="s">
        <v>91</v>
      </c>
      <c r="Z502" t="s">
        <v>74</v>
      </c>
      <c r="AA502" t="str">
        <f>"10065-4870"</f>
        <v>10065-4870</v>
      </c>
      <c r="AB502" t="s">
        <v>75</v>
      </c>
      <c r="AC502" t="s">
        <v>76</v>
      </c>
      <c r="AD502" t="s">
        <v>73</v>
      </c>
      <c r="AE502" t="s">
        <v>77</v>
      </c>
      <c r="AF502" t="s">
        <v>2242</v>
      </c>
      <c r="AG502" t="s">
        <v>78</v>
      </c>
    </row>
    <row r="503" spans="1:33" hidden="1" x14ac:dyDescent="0.25">
      <c r="A503" t="str">
        <f>"1477720126"</f>
        <v>1477720126</v>
      </c>
      <c r="B503" t="str">
        <f>"03784787"</f>
        <v>03784787</v>
      </c>
      <c r="C503" t="s">
        <v>4048</v>
      </c>
      <c r="D503" t="s">
        <v>4049</v>
      </c>
      <c r="E503" t="s">
        <v>4050</v>
      </c>
      <c r="G503" t="s">
        <v>2224</v>
      </c>
      <c r="H503" t="s">
        <v>2225</v>
      </c>
      <c r="J503" t="s">
        <v>2226</v>
      </c>
      <c r="L503" t="s">
        <v>96</v>
      </c>
      <c r="M503" t="s">
        <v>73</v>
      </c>
      <c r="R503" t="s">
        <v>4050</v>
      </c>
      <c r="W503" t="s">
        <v>4050</v>
      </c>
      <c r="X503" t="s">
        <v>4051</v>
      </c>
      <c r="Y503" t="s">
        <v>91</v>
      </c>
      <c r="Z503" t="s">
        <v>74</v>
      </c>
      <c r="AA503" t="str">
        <f>"10032-3729"</f>
        <v>10032-3729</v>
      </c>
      <c r="AB503" t="s">
        <v>75</v>
      </c>
      <c r="AC503" t="s">
        <v>76</v>
      </c>
      <c r="AD503" t="s">
        <v>73</v>
      </c>
      <c r="AE503" t="s">
        <v>77</v>
      </c>
      <c r="AF503" t="s">
        <v>2228</v>
      </c>
      <c r="AG503" t="s">
        <v>78</v>
      </c>
    </row>
    <row r="504" spans="1:33" hidden="1" x14ac:dyDescent="0.25">
      <c r="A504" t="str">
        <f>"1053545566"</f>
        <v>1053545566</v>
      </c>
      <c r="B504" t="str">
        <f>"03919266"</f>
        <v>03919266</v>
      </c>
      <c r="C504" t="s">
        <v>4052</v>
      </c>
      <c r="D504" t="s">
        <v>4053</v>
      </c>
      <c r="E504" t="s">
        <v>4054</v>
      </c>
      <c r="G504" t="s">
        <v>2224</v>
      </c>
      <c r="H504" t="s">
        <v>2225</v>
      </c>
      <c r="J504" t="s">
        <v>2226</v>
      </c>
      <c r="L504" t="s">
        <v>100</v>
      </c>
      <c r="M504" t="s">
        <v>73</v>
      </c>
      <c r="R504" t="s">
        <v>4055</v>
      </c>
      <c r="W504" t="s">
        <v>4056</v>
      </c>
      <c r="X504" t="s">
        <v>4057</v>
      </c>
      <c r="Y504" t="s">
        <v>91</v>
      </c>
      <c r="Z504" t="s">
        <v>74</v>
      </c>
      <c r="AA504" t="str">
        <f>"10032-1559"</f>
        <v>10032-1559</v>
      </c>
      <c r="AB504" t="s">
        <v>75</v>
      </c>
      <c r="AC504" t="s">
        <v>76</v>
      </c>
      <c r="AD504" t="s">
        <v>73</v>
      </c>
      <c r="AE504" t="s">
        <v>77</v>
      </c>
      <c r="AF504" t="s">
        <v>2228</v>
      </c>
      <c r="AG504" t="s">
        <v>78</v>
      </c>
    </row>
    <row r="505" spans="1:33" hidden="1" x14ac:dyDescent="0.25">
      <c r="A505" t="str">
        <f>"1376855197"</f>
        <v>1376855197</v>
      </c>
      <c r="C505" t="s">
        <v>4058</v>
      </c>
      <c r="G505" t="s">
        <v>2224</v>
      </c>
      <c r="H505" t="s">
        <v>2312</v>
      </c>
      <c r="J505" t="s">
        <v>2226</v>
      </c>
      <c r="K505" t="s">
        <v>171</v>
      </c>
      <c r="L505" t="s">
        <v>96</v>
      </c>
      <c r="M505" t="s">
        <v>73</v>
      </c>
      <c r="R505" t="s">
        <v>4059</v>
      </c>
      <c r="S505" t="s">
        <v>4060</v>
      </c>
      <c r="T505" t="s">
        <v>589</v>
      </c>
      <c r="U505" t="s">
        <v>536</v>
      </c>
      <c r="V505" t="str">
        <f>"069023628"</f>
        <v>069023628</v>
      </c>
      <c r="AC505" t="s">
        <v>76</v>
      </c>
      <c r="AD505" t="s">
        <v>73</v>
      </c>
      <c r="AE505" t="s">
        <v>97</v>
      </c>
      <c r="AF505" t="s">
        <v>2242</v>
      </c>
      <c r="AG505" t="s">
        <v>78</v>
      </c>
    </row>
    <row r="506" spans="1:33" hidden="1" x14ac:dyDescent="0.25">
      <c r="A506" t="str">
        <f>"1992940860"</f>
        <v>1992940860</v>
      </c>
      <c r="B506" t="str">
        <f>"03866671"</f>
        <v>03866671</v>
      </c>
      <c r="C506" t="s">
        <v>4061</v>
      </c>
      <c r="D506" t="s">
        <v>4062</v>
      </c>
      <c r="E506" t="s">
        <v>4063</v>
      </c>
      <c r="G506" t="s">
        <v>2224</v>
      </c>
      <c r="H506" t="s">
        <v>2225</v>
      </c>
      <c r="J506" t="s">
        <v>2226</v>
      </c>
      <c r="L506" t="s">
        <v>72</v>
      </c>
      <c r="M506" t="s">
        <v>73</v>
      </c>
      <c r="R506" t="s">
        <v>4064</v>
      </c>
      <c r="W506" t="s">
        <v>4063</v>
      </c>
      <c r="X506" t="s">
        <v>1698</v>
      </c>
      <c r="Y506" t="s">
        <v>91</v>
      </c>
      <c r="Z506" t="s">
        <v>74</v>
      </c>
      <c r="AA506" t="str">
        <f>"10032-3725"</f>
        <v>10032-3725</v>
      </c>
      <c r="AB506" t="s">
        <v>75</v>
      </c>
      <c r="AC506" t="s">
        <v>76</v>
      </c>
      <c r="AD506" t="s">
        <v>73</v>
      </c>
      <c r="AE506" t="s">
        <v>77</v>
      </c>
      <c r="AF506" t="s">
        <v>2228</v>
      </c>
      <c r="AG506" t="s">
        <v>78</v>
      </c>
    </row>
    <row r="507" spans="1:33" hidden="1" x14ac:dyDescent="0.25">
      <c r="A507" t="str">
        <f>"1164413332"</f>
        <v>1164413332</v>
      </c>
      <c r="B507" t="str">
        <f>"03061516"</f>
        <v>03061516</v>
      </c>
      <c r="C507" t="s">
        <v>4065</v>
      </c>
      <c r="D507" t="s">
        <v>4066</v>
      </c>
      <c r="E507" t="s">
        <v>4067</v>
      </c>
      <c r="G507" t="s">
        <v>2224</v>
      </c>
      <c r="H507" t="s">
        <v>2225</v>
      </c>
      <c r="J507" t="s">
        <v>2226</v>
      </c>
      <c r="L507" t="s">
        <v>80</v>
      </c>
      <c r="M507" t="s">
        <v>73</v>
      </c>
      <c r="R507" t="s">
        <v>4068</v>
      </c>
      <c r="W507" t="s">
        <v>4069</v>
      </c>
      <c r="X507" t="s">
        <v>183</v>
      </c>
      <c r="Y507" t="s">
        <v>91</v>
      </c>
      <c r="Z507" t="s">
        <v>74</v>
      </c>
      <c r="AA507" t="str">
        <f>"10032-3729"</f>
        <v>10032-3729</v>
      </c>
      <c r="AB507" t="s">
        <v>75</v>
      </c>
      <c r="AC507" t="s">
        <v>76</v>
      </c>
      <c r="AD507" t="s">
        <v>73</v>
      </c>
      <c r="AE507" t="s">
        <v>77</v>
      </c>
      <c r="AF507" t="s">
        <v>2228</v>
      </c>
      <c r="AG507" t="s">
        <v>78</v>
      </c>
    </row>
    <row r="508" spans="1:33" hidden="1" x14ac:dyDescent="0.25">
      <c r="A508" t="str">
        <f>"1831100882"</f>
        <v>1831100882</v>
      </c>
      <c r="B508" t="str">
        <f>"01829652"</f>
        <v>01829652</v>
      </c>
      <c r="C508" t="s">
        <v>3498</v>
      </c>
      <c r="D508" t="s">
        <v>4070</v>
      </c>
      <c r="E508" t="s">
        <v>4071</v>
      </c>
      <c r="L508" t="s">
        <v>10</v>
      </c>
      <c r="M508" t="s">
        <v>73</v>
      </c>
      <c r="R508" t="s">
        <v>3498</v>
      </c>
      <c r="W508" t="s">
        <v>3498</v>
      </c>
      <c r="X508" t="s">
        <v>4072</v>
      </c>
      <c r="Y508" t="s">
        <v>91</v>
      </c>
      <c r="Z508" t="s">
        <v>74</v>
      </c>
      <c r="AA508" t="str">
        <f>"10065-4870"</f>
        <v>10065-4870</v>
      </c>
      <c r="AB508" t="s">
        <v>114</v>
      </c>
      <c r="AC508" t="s">
        <v>76</v>
      </c>
      <c r="AD508" t="s">
        <v>73</v>
      </c>
      <c r="AE508" t="s">
        <v>77</v>
      </c>
      <c r="AF508" t="s">
        <v>2254</v>
      </c>
      <c r="AG508" t="s">
        <v>78</v>
      </c>
    </row>
    <row r="509" spans="1:33" hidden="1" x14ac:dyDescent="0.25">
      <c r="A509" t="str">
        <f>"1275554289"</f>
        <v>1275554289</v>
      </c>
      <c r="B509" t="str">
        <f>"02168550"</f>
        <v>02168550</v>
      </c>
      <c r="C509" t="s">
        <v>4073</v>
      </c>
      <c r="D509" t="s">
        <v>4074</v>
      </c>
      <c r="E509" t="s">
        <v>4075</v>
      </c>
      <c r="G509" t="s">
        <v>2224</v>
      </c>
      <c r="H509" t="s">
        <v>2225</v>
      </c>
      <c r="J509" t="s">
        <v>2226</v>
      </c>
      <c r="L509" t="s">
        <v>120</v>
      </c>
      <c r="M509" t="s">
        <v>82</v>
      </c>
      <c r="R509" t="s">
        <v>4076</v>
      </c>
      <c r="W509" t="s">
        <v>4075</v>
      </c>
      <c r="X509" t="s">
        <v>1911</v>
      </c>
      <c r="Y509" t="s">
        <v>91</v>
      </c>
      <c r="Z509" t="s">
        <v>74</v>
      </c>
      <c r="AA509" t="str">
        <f>"10029-2314"</f>
        <v>10029-2314</v>
      </c>
      <c r="AB509" t="s">
        <v>75</v>
      </c>
      <c r="AC509" t="s">
        <v>76</v>
      </c>
      <c r="AD509" t="s">
        <v>73</v>
      </c>
      <c r="AE509" t="s">
        <v>77</v>
      </c>
      <c r="AF509" t="s">
        <v>2228</v>
      </c>
      <c r="AG509" t="s">
        <v>78</v>
      </c>
    </row>
    <row r="510" spans="1:33" hidden="1" x14ac:dyDescent="0.25">
      <c r="A510" t="str">
        <f>"1699835363"</f>
        <v>1699835363</v>
      </c>
      <c r="B510" t="str">
        <f>"00341075"</f>
        <v>00341075</v>
      </c>
      <c r="C510" t="s">
        <v>4077</v>
      </c>
      <c r="D510" t="s">
        <v>4078</v>
      </c>
      <c r="E510" t="s">
        <v>4079</v>
      </c>
      <c r="G510" t="s">
        <v>2224</v>
      </c>
      <c r="H510" t="s">
        <v>2225</v>
      </c>
      <c r="J510" t="s">
        <v>2226</v>
      </c>
      <c r="L510" t="s">
        <v>72</v>
      </c>
      <c r="M510" t="s">
        <v>73</v>
      </c>
      <c r="R510" t="s">
        <v>4080</v>
      </c>
      <c r="W510" t="s">
        <v>4079</v>
      </c>
      <c r="X510" t="s">
        <v>550</v>
      </c>
      <c r="Y510" t="s">
        <v>91</v>
      </c>
      <c r="Z510" t="s">
        <v>74</v>
      </c>
      <c r="AA510" t="str">
        <f>"10029-6500"</f>
        <v>10029-6500</v>
      </c>
      <c r="AB510" t="s">
        <v>75</v>
      </c>
      <c r="AC510" t="s">
        <v>76</v>
      </c>
      <c r="AD510" t="s">
        <v>73</v>
      </c>
      <c r="AE510" t="s">
        <v>77</v>
      </c>
      <c r="AF510" t="s">
        <v>2254</v>
      </c>
      <c r="AG510" t="s">
        <v>78</v>
      </c>
    </row>
    <row r="511" spans="1:33" hidden="1" x14ac:dyDescent="0.25">
      <c r="A511" t="str">
        <f>"1023130101"</f>
        <v>1023130101</v>
      </c>
      <c r="B511" t="str">
        <f>"03101306"</f>
        <v>03101306</v>
      </c>
      <c r="C511" t="s">
        <v>4081</v>
      </c>
      <c r="D511" t="s">
        <v>4082</v>
      </c>
      <c r="E511" t="s">
        <v>4083</v>
      </c>
      <c r="G511" t="s">
        <v>2224</v>
      </c>
      <c r="H511" t="s">
        <v>2225</v>
      </c>
      <c r="J511" t="s">
        <v>2226</v>
      </c>
      <c r="L511" t="s">
        <v>80</v>
      </c>
      <c r="M511" t="s">
        <v>82</v>
      </c>
      <c r="R511" t="s">
        <v>2010</v>
      </c>
      <c r="W511" t="s">
        <v>4083</v>
      </c>
      <c r="X511" t="s">
        <v>167</v>
      </c>
      <c r="Y511" t="s">
        <v>91</v>
      </c>
      <c r="Z511" t="s">
        <v>74</v>
      </c>
      <c r="AA511" t="str">
        <f>"10032-3720"</f>
        <v>10032-3720</v>
      </c>
      <c r="AB511" t="s">
        <v>75</v>
      </c>
      <c r="AC511" t="s">
        <v>76</v>
      </c>
      <c r="AD511" t="s">
        <v>73</v>
      </c>
      <c r="AE511" t="s">
        <v>77</v>
      </c>
      <c r="AF511" t="s">
        <v>2228</v>
      </c>
      <c r="AG511" t="s">
        <v>78</v>
      </c>
    </row>
    <row r="512" spans="1:33" hidden="1" x14ac:dyDescent="0.25">
      <c r="A512" t="str">
        <f>"1730232331"</f>
        <v>1730232331</v>
      </c>
      <c r="B512" t="str">
        <f>"03696260"</f>
        <v>03696260</v>
      </c>
      <c r="C512" t="s">
        <v>4084</v>
      </c>
      <c r="D512" t="s">
        <v>4085</v>
      </c>
      <c r="E512" t="s">
        <v>4086</v>
      </c>
      <c r="G512" t="s">
        <v>2224</v>
      </c>
      <c r="H512" t="s">
        <v>2225</v>
      </c>
      <c r="J512" t="s">
        <v>2226</v>
      </c>
      <c r="L512" t="s">
        <v>72</v>
      </c>
      <c r="M512" t="s">
        <v>73</v>
      </c>
      <c r="R512" t="s">
        <v>4087</v>
      </c>
      <c r="W512" t="s">
        <v>4086</v>
      </c>
      <c r="X512" t="s">
        <v>410</v>
      </c>
      <c r="Y512" t="s">
        <v>91</v>
      </c>
      <c r="Z512" t="s">
        <v>74</v>
      </c>
      <c r="AA512" t="str">
        <f>"10032-1559"</f>
        <v>10032-1559</v>
      </c>
      <c r="AB512" t="s">
        <v>113</v>
      </c>
      <c r="AC512" t="s">
        <v>76</v>
      </c>
      <c r="AD512" t="s">
        <v>73</v>
      </c>
      <c r="AE512" t="s">
        <v>77</v>
      </c>
      <c r="AF512" t="s">
        <v>2228</v>
      </c>
      <c r="AG512" t="s">
        <v>78</v>
      </c>
    </row>
    <row r="513" spans="1:33" hidden="1" x14ac:dyDescent="0.25">
      <c r="A513" t="str">
        <f>"1396776191"</f>
        <v>1396776191</v>
      </c>
      <c r="B513" t="str">
        <f>"03268137"</f>
        <v>03268137</v>
      </c>
      <c r="C513" t="s">
        <v>4088</v>
      </c>
      <c r="D513" t="s">
        <v>4089</v>
      </c>
      <c r="E513" t="s">
        <v>4090</v>
      </c>
      <c r="G513" t="s">
        <v>2224</v>
      </c>
      <c r="H513" t="s">
        <v>2225</v>
      </c>
      <c r="J513" t="s">
        <v>2226</v>
      </c>
      <c r="L513" t="s">
        <v>81</v>
      </c>
      <c r="M513" t="s">
        <v>73</v>
      </c>
      <c r="R513" t="s">
        <v>4091</v>
      </c>
      <c r="W513" t="s">
        <v>4090</v>
      </c>
      <c r="X513" t="s">
        <v>628</v>
      </c>
      <c r="Y513" t="s">
        <v>91</v>
      </c>
      <c r="Z513" t="s">
        <v>74</v>
      </c>
      <c r="AA513" t="str">
        <f>"10021-4872"</f>
        <v>10021-4872</v>
      </c>
      <c r="AB513" t="s">
        <v>75</v>
      </c>
      <c r="AC513" t="s">
        <v>76</v>
      </c>
      <c r="AD513" t="s">
        <v>73</v>
      </c>
      <c r="AE513" t="s">
        <v>77</v>
      </c>
      <c r="AF513" t="s">
        <v>2398</v>
      </c>
      <c r="AG513" t="s">
        <v>78</v>
      </c>
    </row>
    <row r="514" spans="1:33" hidden="1" x14ac:dyDescent="0.25">
      <c r="A514" t="str">
        <f>"1811180359"</f>
        <v>1811180359</v>
      </c>
      <c r="B514" t="str">
        <f>"03375202"</f>
        <v>03375202</v>
      </c>
      <c r="C514" t="s">
        <v>4092</v>
      </c>
      <c r="D514" t="s">
        <v>4093</v>
      </c>
      <c r="E514" t="s">
        <v>4094</v>
      </c>
      <c r="G514" t="s">
        <v>2224</v>
      </c>
      <c r="H514" t="s">
        <v>2225</v>
      </c>
      <c r="J514" t="s">
        <v>2226</v>
      </c>
      <c r="L514" t="s">
        <v>80</v>
      </c>
      <c r="M514" t="s">
        <v>73</v>
      </c>
      <c r="R514" t="s">
        <v>4095</v>
      </c>
      <c r="W514" t="s">
        <v>4094</v>
      </c>
      <c r="X514" t="s">
        <v>1748</v>
      </c>
      <c r="Y514" t="s">
        <v>91</v>
      </c>
      <c r="Z514" t="s">
        <v>74</v>
      </c>
      <c r="AA514" t="str">
        <f>"10032-3720"</f>
        <v>10032-3720</v>
      </c>
      <c r="AB514" t="s">
        <v>75</v>
      </c>
      <c r="AC514" t="s">
        <v>76</v>
      </c>
      <c r="AD514" t="s">
        <v>73</v>
      </c>
      <c r="AE514" t="s">
        <v>77</v>
      </c>
      <c r="AF514" t="s">
        <v>2228</v>
      </c>
      <c r="AG514" t="s">
        <v>78</v>
      </c>
    </row>
    <row r="515" spans="1:33" hidden="1" x14ac:dyDescent="0.25">
      <c r="A515" t="str">
        <f>"1821006636"</f>
        <v>1821006636</v>
      </c>
      <c r="B515" t="str">
        <f>"02424775"</f>
        <v>02424775</v>
      </c>
      <c r="C515" t="s">
        <v>4096</v>
      </c>
      <c r="D515" t="s">
        <v>4097</v>
      </c>
      <c r="E515" t="s">
        <v>4098</v>
      </c>
      <c r="G515" t="s">
        <v>2224</v>
      </c>
      <c r="H515" t="s">
        <v>2225</v>
      </c>
      <c r="J515" t="s">
        <v>2226</v>
      </c>
      <c r="L515" t="s">
        <v>72</v>
      </c>
      <c r="M515" t="s">
        <v>73</v>
      </c>
      <c r="R515" t="s">
        <v>4099</v>
      </c>
      <c r="W515" t="s">
        <v>4100</v>
      </c>
      <c r="X515" t="s">
        <v>1958</v>
      </c>
      <c r="Y515" t="s">
        <v>91</v>
      </c>
      <c r="Z515" t="s">
        <v>74</v>
      </c>
      <c r="AA515" t="str">
        <f>"10032-3735"</f>
        <v>10032-3735</v>
      </c>
      <c r="AB515" t="s">
        <v>75</v>
      </c>
      <c r="AC515" t="s">
        <v>76</v>
      </c>
      <c r="AD515" t="s">
        <v>73</v>
      </c>
      <c r="AE515" t="s">
        <v>77</v>
      </c>
      <c r="AF515" t="s">
        <v>2254</v>
      </c>
      <c r="AG515" t="s">
        <v>78</v>
      </c>
    </row>
    <row r="516" spans="1:33" hidden="1" x14ac:dyDescent="0.25">
      <c r="A516" t="str">
        <f>"1821017229"</f>
        <v>1821017229</v>
      </c>
      <c r="B516" t="str">
        <f>"01848186"</f>
        <v>01848186</v>
      </c>
      <c r="C516" t="s">
        <v>4101</v>
      </c>
      <c r="D516" t="s">
        <v>4102</v>
      </c>
      <c r="E516" t="s">
        <v>4103</v>
      </c>
      <c r="G516" t="s">
        <v>2224</v>
      </c>
      <c r="H516" t="s">
        <v>2225</v>
      </c>
      <c r="J516" t="s">
        <v>2226</v>
      </c>
      <c r="L516" t="s">
        <v>72</v>
      </c>
      <c r="M516" t="s">
        <v>73</v>
      </c>
      <c r="R516" t="s">
        <v>4103</v>
      </c>
      <c r="W516" t="s">
        <v>4104</v>
      </c>
      <c r="X516" t="s">
        <v>1214</v>
      </c>
      <c r="Y516" t="s">
        <v>91</v>
      </c>
      <c r="Z516" t="s">
        <v>74</v>
      </c>
      <c r="AA516" t="str">
        <f>"10021-4823"</f>
        <v>10021-4823</v>
      </c>
      <c r="AB516" t="s">
        <v>75</v>
      </c>
      <c r="AC516" t="s">
        <v>76</v>
      </c>
      <c r="AD516" t="s">
        <v>73</v>
      </c>
      <c r="AE516" t="s">
        <v>77</v>
      </c>
      <c r="AF516" t="s">
        <v>2398</v>
      </c>
      <c r="AG516" t="s">
        <v>78</v>
      </c>
    </row>
    <row r="517" spans="1:33" hidden="1" x14ac:dyDescent="0.25">
      <c r="A517" t="str">
        <f>"1083837157"</f>
        <v>1083837157</v>
      </c>
      <c r="B517" t="str">
        <f>"00310985"</f>
        <v>00310985</v>
      </c>
      <c r="C517" t="s">
        <v>4105</v>
      </c>
      <c r="D517" t="s">
        <v>232</v>
      </c>
      <c r="E517" t="s">
        <v>233</v>
      </c>
      <c r="G517" t="s">
        <v>4106</v>
      </c>
      <c r="H517" t="s">
        <v>274</v>
      </c>
      <c r="J517" t="s">
        <v>2141</v>
      </c>
      <c r="L517" t="s">
        <v>101</v>
      </c>
      <c r="M517" t="s">
        <v>82</v>
      </c>
      <c r="R517" t="s">
        <v>234</v>
      </c>
      <c r="W517" t="s">
        <v>233</v>
      </c>
      <c r="X517" t="s">
        <v>219</v>
      </c>
      <c r="Y517" t="s">
        <v>131</v>
      </c>
      <c r="Z517" t="s">
        <v>74</v>
      </c>
      <c r="AA517" t="str">
        <f>"11360-2810"</f>
        <v>11360-2810</v>
      </c>
      <c r="AB517" t="s">
        <v>102</v>
      </c>
      <c r="AC517" t="s">
        <v>76</v>
      </c>
      <c r="AD517" t="s">
        <v>73</v>
      </c>
      <c r="AE517" t="s">
        <v>77</v>
      </c>
      <c r="AF517" t="s">
        <v>2398</v>
      </c>
      <c r="AG517" t="s">
        <v>78</v>
      </c>
    </row>
    <row r="518" spans="1:33" hidden="1" x14ac:dyDescent="0.25">
      <c r="A518" t="str">
        <f>"1205903002"</f>
        <v>1205903002</v>
      </c>
      <c r="B518" t="str">
        <f>"00689221"</f>
        <v>00689221</v>
      </c>
      <c r="C518" t="s">
        <v>4107</v>
      </c>
      <c r="D518" t="s">
        <v>4108</v>
      </c>
      <c r="E518" t="s">
        <v>4109</v>
      </c>
      <c r="G518" t="s">
        <v>2224</v>
      </c>
      <c r="H518" t="s">
        <v>2225</v>
      </c>
      <c r="J518" t="s">
        <v>2226</v>
      </c>
      <c r="L518" t="s">
        <v>72</v>
      </c>
      <c r="M518" t="s">
        <v>73</v>
      </c>
      <c r="R518" t="s">
        <v>4110</v>
      </c>
      <c r="W518" t="s">
        <v>4109</v>
      </c>
      <c r="X518" t="s">
        <v>4111</v>
      </c>
      <c r="Y518" t="s">
        <v>91</v>
      </c>
      <c r="Z518" t="s">
        <v>74</v>
      </c>
      <c r="AA518" t="str">
        <f>"10032-3726"</f>
        <v>10032-3726</v>
      </c>
      <c r="AB518" t="s">
        <v>75</v>
      </c>
      <c r="AC518" t="s">
        <v>76</v>
      </c>
      <c r="AD518" t="s">
        <v>73</v>
      </c>
      <c r="AE518" t="s">
        <v>77</v>
      </c>
      <c r="AF518" t="s">
        <v>2254</v>
      </c>
      <c r="AG518" t="s">
        <v>78</v>
      </c>
    </row>
    <row r="519" spans="1:33" hidden="1" x14ac:dyDescent="0.25">
      <c r="A519" t="str">
        <f>"1366889636"</f>
        <v>1366889636</v>
      </c>
      <c r="B519" t="str">
        <f>"03693721"</f>
        <v>03693721</v>
      </c>
      <c r="C519" t="s">
        <v>4112</v>
      </c>
      <c r="D519" t="s">
        <v>4113</v>
      </c>
      <c r="E519" t="s">
        <v>4114</v>
      </c>
      <c r="G519" t="s">
        <v>2514</v>
      </c>
      <c r="H519" t="s">
        <v>4115</v>
      </c>
      <c r="J519" t="s">
        <v>2516</v>
      </c>
      <c r="L519" t="s">
        <v>72</v>
      </c>
      <c r="M519" t="s">
        <v>73</v>
      </c>
      <c r="R519" t="s">
        <v>4116</v>
      </c>
      <c r="W519" t="s">
        <v>4114</v>
      </c>
      <c r="X519" t="s">
        <v>1929</v>
      </c>
      <c r="Y519" t="s">
        <v>91</v>
      </c>
      <c r="Z519" t="s">
        <v>74</v>
      </c>
      <c r="AA519" t="str">
        <f>"10032-4207"</f>
        <v>10032-4207</v>
      </c>
      <c r="AB519" t="s">
        <v>75</v>
      </c>
      <c r="AC519" t="s">
        <v>76</v>
      </c>
      <c r="AD519" t="s">
        <v>73</v>
      </c>
      <c r="AE519" t="s">
        <v>77</v>
      </c>
      <c r="AF519" t="s">
        <v>2518</v>
      </c>
      <c r="AG519" t="s">
        <v>78</v>
      </c>
    </row>
    <row r="520" spans="1:33" hidden="1" x14ac:dyDescent="0.25">
      <c r="A520" t="str">
        <f>"1588968432"</f>
        <v>1588968432</v>
      </c>
      <c r="B520" t="str">
        <f>"03813605"</f>
        <v>03813605</v>
      </c>
      <c r="C520" t="s">
        <v>4117</v>
      </c>
      <c r="D520" t="s">
        <v>1528</v>
      </c>
      <c r="E520" t="s">
        <v>1529</v>
      </c>
      <c r="G520" t="s">
        <v>2514</v>
      </c>
      <c r="H520" t="s">
        <v>4118</v>
      </c>
      <c r="J520" t="s">
        <v>2516</v>
      </c>
      <c r="L520" t="s">
        <v>72</v>
      </c>
      <c r="M520" t="s">
        <v>73</v>
      </c>
      <c r="R520" t="s">
        <v>1530</v>
      </c>
      <c r="W520" t="s">
        <v>1529</v>
      </c>
      <c r="X520" t="s">
        <v>1527</v>
      </c>
      <c r="Y520" t="s">
        <v>91</v>
      </c>
      <c r="Z520" t="s">
        <v>74</v>
      </c>
      <c r="AA520" t="str">
        <f>"10018-7598"</f>
        <v>10018-7598</v>
      </c>
      <c r="AB520" t="s">
        <v>75</v>
      </c>
      <c r="AC520" t="s">
        <v>76</v>
      </c>
      <c r="AD520" t="s">
        <v>73</v>
      </c>
      <c r="AE520" t="s">
        <v>77</v>
      </c>
      <c r="AF520" t="s">
        <v>2518</v>
      </c>
      <c r="AG520" t="s">
        <v>78</v>
      </c>
    </row>
    <row r="521" spans="1:33" hidden="1" x14ac:dyDescent="0.25">
      <c r="A521" t="str">
        <f>"1184745069"</f>
        <v>1184745069</v>
      </c>
      <c r="B521" t="str">
        <f>"01854104"</f>
        <v>01854104</v>
      </c>
      <c r="C521" t="s">
        <v>4119</v>
      </c>
      <c r="D521" t="s">
        <v>4120</v>
      </c>
      <c r="E521" t="s">
        <v>4121</v>
      </c>
      <c r="G521" t="s">
        <v>2514</v>
      </c>
      <c r="H521" t="s">
        <v>4122</v>
      </c>
      <c r="J521" t="s">
        <v>2516</v>
      </c>
      <c r="L521" t="s">
        <v>72</v>
      </c>
      <c r="M521" t="s">
        <v>73</v>
      </c>
      <c r="R521" t="s">
        <v>4123</v>
      </c>
      <c r="W521" t="s">
        <v>4121</v>
      </c>
      <c r="X521" t="s">
        <v>4124</v>
      </c>
      <c r="Y521" t="s">
        <v>118</v>
      </c>
      <c r="Z521" t="s">
        <v>74</v>
      </c>
      <c r="AA521" t="str">
        <f>"10461-0000"</f>
        <v>10461-0000</v>
      </c>
      <c r="AB521" t="s">
        <v>75</v>
      </c>
      <c r="AC521" t="s">
        <v>76</v>
      </c>
      <c r="AD521" t="s">
        <v>73</v>
      </c>
      <c r="AE521" t="s">
        <v>77</v>
      </c>
      <c r="AF521" t="s">
        <v>2518</v>
      </c>
      <c r="AG521" t="s">
        <v>78</v>
      </c>
    </row>
    <row r="522" spans="1:33" hidden="1" x14ac:dyDescent="0.25">
      <c r="A522" t="str">
        <f>"1790888063"</f>
        <v>1790888063</v>
      </c>
      <c r="B522" t="str">
        <f>"01362078"</f>
        <v>01362078</v>
      </c>
      <c r="C522" t="s">
        <v>4125</v>
      </c>
      <c r="D522" t="s">
        <v>4126</v>
      </c>
      <c r="E522" t="s">
        <v>4127</v>
      </c>
      <c r="G522" t="s">
        <v>2224</v>
      </c>
      <c r="H522" t="s">
        <v>2225</v>
      </c>
      <c r="J522" t="s">
        <v>2226</v>
      </c>
      <c r="L522" t="s">
        <v>88</v>
      </c>
      <c r="M522" t="s">
        <v>82</v>
      </c>
      <c r="R522" t="s">
        <v>4128</v>
      </c>
      <c r="W522" t="s">
        <v>4127</v>
      </c>
      <c r="X522" t="s">
        <v>196</v>
      </c>
      <c r="Y522" t="s">
        <v>86</v>
      </c>
      <c r="Z522" t="s">
        <v>74</v>
      </c>
      <c r="AA522" t="str">
        <f>"11373-1329"</f>
        <v>11373-1329</v>
      </c>
      <c r="AB522" t="s">
        <v>75</v>
      </c>
      <c r="AC522" t="s">
        <v>76</v>
      </c>
      <c r="AD522" t="s">
        <v>73</v>
      </c>
      <c r="AE522" t="s">
        <v>77</v>
      </c>
      <c r="AF522" t="s">
        <v>2254</v>
      </c>
      <c r="AG522" t="s">
        <v>78</v>
      </c>
    </row>
    <row r="523" spans="1:33" hidden="1" x14ac:dyDescent="0.25">
      <c r="A523" t="str">
        <f>"1205815792"</f>
        <v>1205815792</v>
      </c>
      <c r="B523" t="str">
        <f>"01369057"</f>
        <v>01369057</v>
      </c>
      <c r="C523" t="s">
        <v>4129</v>
      </c>
      <c r="D523" t="s">
        <v>4130</v>
      </c>
      <c r="E523" t="s">
        <v>4131</v>
      </c>
      <c r="G523" t="s">
        <v>2224</v>
      </c>
      <c r="H523" t="s">
        <v>2225</v>
      </c>
      <c r="J523" t="s">
        <v>2226</v>
      </c>
      <c r="L523" t="s">
        <v>81</v>
      </c>
      <c r="M523" t="s">
        <v>82</v>
      </c>
      <c r="R523" t="s">
        <v>4132</v>
      </c>
      <c r="W523" t="s">
        <v>4131</v>
      </c>
      <c r="X523" t="s">
        <v>4133</v>
      </c>
      <c r="Y523" t="s">
        <v>91</v>
      </c>
      <c r="Z523" t="s">
        <v>74</v>
      </c>
      <c r="AA523" t="str">
        <f>"10032-3725"</f>
        <v>10032-3725</v>
      </c>
      <c r="AB523" t="s">
        <v>75</v>
      </c>
      <c r="AC523" t="s">
        <v>76</v>
      </c>
      <c r="AD523" t="s">
        <v>73</v>
      </c>
      <c r="AE523" t="s">
        <v>77</v>
      </c>
      <c r="AF523" t="s">
        <v>2228</v>
      </c>
      <c r="AG523" t="s">
        <v>78</v>
      </c>
    </row>
    <row r="524" spans="1:33" hidden="1" x14ac:dyDescent="0.25">
      <c r="A524" t="str">
        <f>"1467646281"</f>
        <v>1467646281</v>
      </c>
      <c r="C524" t="s">
        <v>4134</v>
      </c>
      <c r="G524" t="s">
        <v>4135</v>
      </c>
      <c r="H524" t="s">
        <v>305</v>
      </c>
      <c r="J524" t="s">
        <v>306</v>
      </c>
      <c r="K524" t="s">
        <v>36</v>
      </c>
      <c r="L524" t="s">
        <v>96</v>
      </c>
      <c r="M524" t="s">
        <v>73</v>
      </c>
      <c r="R524" t="s">
        <v>307</v>
      </c>
      <c r="S524" t="s">
        <v>308</v>
      </c>
      <c r="T524" t="s">
        <v>91</v>
      </c>
      <c r="U524" t="s">
        <v>74</v>
      </c>
      <c r="V524" t="str">
        <f>"100131207"</f>
        <v>100131207</v>
      </c>
      <c r="AC524" t="s">
        <v>76</v>
      </c>
      <c r="AD524" t="s">
        <v>73</v>
      </c>
      <c r="AE524" t="s">
        <v>97</v>
      </c>
      <c r="AF524" t="s">
        <v>2254</v>
      </c>
      <c r="AG524" t="s">
        <v>78</v>
      </c>
    </row>
    <row r="525" spans="1:33" hidden="1" x14ac:dyDescent="0.25">
      <c r="A525" t="str">
        <f>"1831207513"</f>
        <v>1831207513</v>
      </c>
      <c r="B525" t="str">
        <f>"03007370"</f>
        <v>03007370</v>
      </c>
      <c r="C525" t="s">
        <v>4136</v>
      </c>
      <c r="D525" t="s">
        <v>1768</v>
      </c>
      <c r="E525" t="s">
        <v>1769</v>
      </c>
      <c r="G525" t="s">
        <v>4137</v>
      </c>
      <c r="H525" t="s">
        <v>1891</v>
      </c>
      <c r="J525" t="s">
        <v>4138</v>
      </c>
      <c r="L525" t="s">
        <v>36</v>
      </c>
      <c r="M525" t="s">
        <v>82</v>
      </c>
      <c r="R525" t="s">
        <v>1782</v>
      </c>
      <c r="W525" t="s">
        <v>1783</v>
      </c>
      <c r="X525" t="s">
        <v>1380</v>
      </c>
      <c r="Y525" t="s">
        <v>91</v>
      </c>
      <c r="Z525" t="s">
        <v>74</v>
      </c>
      <c r="AA525" t="str">
        <f>"10011-3601"</f>
        <v>10011-3601</v>
      </c>
      <c r="AB525" t="s">
        <v>102</v>
      </c>
      <c r="AC525" t="s">
        <v>76</v>
      </c>
      <c r="AD525" t="s">
        <v>73</v>
      </c>
      <c r="AE525" t="s">
        <v>77</v>
      </c>
      <c r="AF525" t="s">
        <v>2254</v>
      </c>
      <c r="AG525" t="s">
        <v>78</v>
      </c>
    </row>
    <row r="526" spans="1:33" hidden="1" x14ac:dyDescent="0.25">
      <c r="A526" t="str">
        <f>"1699709725"</f>
        <v>1699709725</v>
      </c>
      <c r="B526" t="str">
        <f>"03335724"</f>
        <v>03335724</v>
      </c>
      <c r="C526" t="s">
        <v>4139</v>
      </c>
      <c r="D526" t="s">
        <v>4140</v>
      </c>
      <c r="E526" t="s">
        <v>4141</v>
      </c>
      <c r="G526" t="s">
        <v>2224</v>
      </c>
      <c r="H526" t="s">
        <v>2225</v>
      </c>
      <c r="J526" t="s">
        <v>2226</v>
      </c>
      <c r="L526" t="s">
        <v>81</v>
      </c>
      <c r="M526" t="s">
        <v>73</v>
      </c>
      <c r="R526" t="s">
        <v>4142</v>
      </c>
      <c r="W526" t="s">
        <v>4141</v>
      </c>
      <c r="X526" t="s">
        <v>4143</v>
      </c>
      <c r="Y526" t="s">
        <v>91</v>
      </c>
      <c r="Z526" t="s">
        <v>74</v>
      </c>
      <c r="AA526" t="str">
        <f>"10065-4870"</f>
        <v>10065-4870</v>
      </c>
      <c r="AB526" t="s">
        <v>75</v>
      </c>
      <c r="AC526" t="s">
        <v>76</v>
      </c>
      <c r="AD526" t="s">
        <v>73</v>
      </c>
      <c r="AE526" t="s">
        <v>77</v>
      </c>
      <c r="AF526" t="s">
        <v>2398</v>
      </c>
      <c r="AG526" t="s">
        <v>78</v>
      </c>
    </row>
    <row r="527" spans="1:33" hidden="1" x14ac:dyDescent="0.25">
      <c r="A527" t="str">
        <f>"1699715730"</f>
        <v>1699715730</v>
      </c>
      <c r="B527" t="str">
        <f>"03174756"</f>
        <v>03174756</v>
      </c>
      <c r="C527" t="s">
        <v>4144</v>
      </c>
      <c r="D527" t="s">
        <v>4145</v>
      </c>
      <c r="E527" t="s">
        <v>4146</v>
      </c>
      <c r="G527" t="s">
        <v>2224</v>
      </c>
      <c r="H527" t="s">
        <v>2225</v>
      </c>
      <c r="J527" t="s">
        <v>2226</v>
      </c>
      <c r="L527" t="s">
        <v>72</v>
      </c>
      <c r="M527" t="s">
        <v>73</v>
      </c>
      <c r="R527" t="s">
        <v>4147</v>
      </c>
      <c r="W527" t="s">
        <v>4146</v>
      </c>
      <c r="X527" t="s">
        <v>410</v>
      </c>
      <c r="Y527" t="s">
        <v>91</v>
      </c>
      <c r="Z527" t="s">
        <v>74</v>
      </c>
      <c r="AA527" t="str">
        <f>"10032-1559"</f>
        <v>10032-1559</v>
      </c>
      <c r="AB527" t="s">
        <v>106</v>
      </c>
      <c r="AC527" t="s">
        <v>76</v>
      </c>
      <c r="AD527" t="s">
        <v>73</v>
      </c>
      <c r="AE527" t="s">
        <v>77</v>
      </c>
      <c r="AF527" t="s">
        <v>2254</v>
      </c>
      <c r="AG527" t="s">
        <v>78</v>
      </c>
    </row>
    <row r="528" spans="1:33" hidden="1" x14ac:dyDescent="0.25">
      <c r="A528" t="str">
        <f>"1316189699"</f>
        <v>1316189699</v>
      </c>
      <c r="B528" t="str">
        <f>"03108050"</f>
        <v>03108050</v>
      </c>
      <c r="C528" t="s">
        <v>4148</v>
      </c>
      <c r="D528" t="s">
        <v>4149</v>
      </c>
      <c r="E528" t="s">
        <v>4150</v>
      </c>
      <c r="G528" t="s">
        <v>2224</v>
      </c>
      <c r="H528" t="s">
        <v>2225</v>
      </c>
      <c r="J528" t="s">
        <v>2226</v>
      </c>
      <c r="L528" t="s">
        <v>96</v>
      </c>
      <c r="M528" t="s">
        <v>73</v>
      </c>
      <c r="R528" t="s">
        <v>4151</v>
      </c>
      <c r="W528" t="s">
        <v>4152</v>
      </c>
      <c r="X528" t="s">
        <v>4153</v>
      </c>
      <c r="Y528" t="s">
        <v>91</v>
      </c>
      <c r="Z528" t="s">
        <v>74</v>
      </c>
      <c r="AA528" t="str">
        <f>"10021-4872"</f>
        <v>10021-4872</v>
      </c>
      <c r="AB528" t="s">
        <v>106</v>
      </c>
      <c r="AC528" t="s">
        <v>76</v>
      </c>
      <c r="AD528" t="s">
        <v>73</v>
      </c>
      <c r="AE528" t="s">
        <v>77</v>
      </c>
      <c r="AF528" t="s">
        <v>2398</v>
      </c>
      <c r="AG528" t="s">
        <v>78</v>
      </c>
    </row>
    <row r="529" spans="1:33" hidden="1" x14ac:dyDescent="0.25">
      <c r="A529" t="str">
        <f>"1417910498"</f>
        <v>1417910498</v>
      </c>
      <c r="B529" t="str">
        <f>"01551968"</f>
        <v>01551968</v>
      </c>
      <c r="C529" t="s">
        <v>4154</v>
      </c>
      <c r="D529" t="s">
        <v>4155</v>
      </c>
      <c r="E529" t="s">
        <v>4156</v>
      </c>
      <c r="G529" t="s">
        <v>2224</v>
      </c>
      <c r="H529" t="s">
        <v>4157</v>
      </c>
      <c r="J529" t="s">
        <v>2226</v>
      </c>
      <c r="L529" t="s">
        <v>72</v>
      </c>
      <c r="M529" t="s">
        <v>73</v>
      </c>
      <c r="R529" t="s">
        <v>4158</v>
      </c>
      <c r="W529" t="s">
        <v>4156</v>
      </c>
      <c r="X529" t="s">
        <v>4159</v>
      </c>
      <c r="Y529" t="s">
        <v>91</v>
      </c>
      <c r="Z529" t="s">
        <v>74</v>
      </c>
      <c r="AA529" t="str">
        <f>"10032-3720"</f>
        <v>10032-3720</v>
      </c>
      <c r="AB529" t="s">
        <v>75</v>
      </c>
      <c r="AC529" t="s">
        <v>76</v>
      </c>
      <c r="AD529" t="s">
        <v>73</v>
      </c>
      <c r="AE529" t="s">
        <v>77</v>
      </c>
      <c r="AF529" t="s">
        <v>2228</v>
      </c>
      <c r="AG529" t="s">
        <v>78</v>
      </c>
    </row>
    <row r="530" spans="1:33" hidden="1" x14ac:dyDescent="0.25">
      <c r="A530" t="str">
        <f>"1235542689"</f>
        <v>1235542689</v>
      </c>
      <c r="C530" t="s">
        <v>4160</v>
      </c>
      <c r="G530" t="s">
        <v>2224</v>
      </c>
      <c r="H530" t="s">
        <v>2312</v>
      </c>
      <c r="J530" t="s">
        <v>2226</v>
      </c>
      <c r="K530" t="s">
        <v>171</v>
      </c>
      <c r="L530" t="s">
        <v>72</v>
      </c>
      <c r="M530" t="s">
        <v>73</v>
      </c>
      <c r="R530" t="s">
        <v>837</v>
      </c>
      <c r="S530" t="s">
        <v>657</v>
      </c>
      <c r="T530" t="s">
        <v>118</v>
      </c>
      <c r="U530" t="s">
        <v>74</v>
      </c>
      <c r="V530" t="str">
        <f>"104574501"</f>
        <v>104574501</v>
      </c>
      <c r="AC530" t="s">
        <v>76</v>
      </c>
      <c r="AD530" t="s">
        <v>73</v>
      </c>
      <c r="AE530" t="s">
        <v>97</v>
      </c>
      <c r="AF530" t="s">
        <v>2398</v>
      </c>
      <c r="AG530" t="s">
        <v>78</v>
      </c>
    </row>
    <row r="531" spans="1:33" hidden="1" x14ac:dyDescent="0.25">
      <c r="A531" t="str">
        <f>"1386905909"</f>
        <v>1386905909</v>
      </c>
      <c r="B531" t="str">
        <f>"03473998"</f>
        <v>03473998</v>
      </c>
      <c r="C531" t="s">
        <v>4161</v>
      </c>
      <c r="D531" t="s">
        <v>1051</v>
      </c>
      <c r="E531" t="s">
        <v>1052</v>
      </c>
      <c r="L531" t="s">
        <v>72</v>
      </c>
      <c r="M531" t="s">
        <v>73</v>
      </c>
      <c r="R531" t="s">
        <v>1053</v>
      </c>
      <c r="W531" t="s">
        <v>1052</v>
      </c>
      <c r="X531" t="s">
        <v>217</v>
      </c>
      <c r="Y531" t="s">
        <v>118</v>
      </c>
      <c r="Z531" t="s">
        <v>74</v>
      </c>
      <c r="AA531" t="str">
        <f>"10457-7606"</f>
        <v>10457-7606</v>
      </c>
      <c r="AB531" t="s">
        <v>75</v>
      </c>
      <c r="AC531" t="s">
        <v>76</v>
      </c>
      <c r="AD531" t="s">
        <v>73</v>
      </c>
      <c r="AE531" t="s">
        <v>77</v>
      </c>
      <c r="AF531" t="s">
        <v>2228</v>
      </c>
      <c r="AG531" t="s">
        <v>78</v>
      </c>
    </row>
    <row r="532" spans="1:33" hidden="1" x14ac:dyDescent="0.25">
      <c r="A532" t="str">
        <f>"1992867618"</f>
        <v>1992867618</v>
      </c>
      <c r="B532" t="str">
        <f>"03625183"</f>
        <v>03625183</v>
      </c>
      <c r="C532" t="s">
        <v>4162</v>
      </c>
      <c r="D532" t="s">
        <v>4163</v>
      </c>
      <c r="E532" t="s">
        <v>4164</v>
      </c>
      <c r="G532" t="s">
        <v>2224</v>
      </c>
      <c r="H532" t="s">
        <v>4165</v>
      </c>
      <c r="J532" t="s">
        <v>2226</v>
      </c>
      <c r="L532" t="s">
        <v>100</v>
      </c>
      <c r="M532" t="s">
        <v>73</v>
      </c>
      <c r="R532" t="s">
        <v>4166</v>
      </c>
      <c r="W532" t="s">
        <v>4164</v>
      </c>
      <c r="X532" t="s">
        <v>236</v>
      </c>
      <c r="Y532" t="s">
        <v>91</v>
      </c>
      <c r="Z532" t="s">
        <v>74</v>
      </c>
      <c r="AA532" t="str">
        <f>"10034-1159"</f>
        <v>10034-1159</v>
      </c>
      <c r="AB532" t="s">
        <v>75</v>
      </c>
      <c r="AC532" t="s">
        <v>76</v>
      </c>
      <c r="AD532" t="s">
        <v>73</v>
      </c>
      <c r="AE532" t="s">
        <v>77</v>
      </c>
      <c r="AF532" t="s">
        <v>2254</v>
      </c>
      <c r="AG532" t="s">
        <v>78</v>
      </c>
    </row>
    <row r="533" spans="1:33" hidden="1" x14ac:dyDescent="0.25">
      <c r="A533" t="str">
        <f>"1881891661"</f>
        <v>1881891661</v>
      </c>
      <c r="B533" t="str">
        <f>"03366983"</f>
        <v>03366983</v>
      </c>
      <c r="C533" t="s">
        <v>4167</v>
      </c>
      <c r="D533" t="s">
        <v>4168</v>
      </c>
      <c r="E533" t="s">
        <v>4169</v>
      </c>
      <c r="G533" t="s">
        <v>2224</v>
      </c>
      <c r="H533" t="s">
        <v>4170</v>
      </c>
      <c r="J533" t="s">
        <v>2226</v>
      </c>
      <c r="L533" t="s">
        <v>80</v>
      </c>
      <c r="M533" t="s">
        <v>73</v>
      </c>
      <c r="R533" t="s">
        <v>4171</v>
      </c>
      <c r="W533" t="s">
        <v>4169</v>
      </c>
      <c r="X533" t="s">
        <v>4172</v>
      </c>
      <c r="Y533" t="s">
        <v>91</v>
      </c>
      <c r="Z533" t="s">
        <v>74</v>
      </c>
      <c r="AA533" t="str">
        <f>"10065-4870"</f>
        <v>10065-4870</v>
      </c>
      <c r="AB533" t="s">
        <v>75</v>
      </c>
      <c r="AC533" t="s">
        <v>76</v>
      </c>
      <c r="AD533" t="s">
        <v>73</v>
      </c>
      <c r="AE533" t="s">
        <v>77</v>
      </c>
      <c r="AF533" t="s">
        <v>2398</v>
      </c>
      <c r="AG533" t="s">
        <v>78</v>
      </c>
    </row>
    <row r="534" spans="1:33" hidden="1" x14ac:dyDescent="0.25">
      <c r="A534" t="str">
        <f>"1265676324"</f>
        <v>1265676324</v>
      </c>
      <c r="B534" t="str">
        <f>"03466048"</f>
        <v>03466048</v>
      </c>
      <c r="C534" t="s">
        <v>4173</v>
      </c>
      <c r="D534" t="s">
        <v>4174</v>
      </c>
      <c r="E534" t="s">
        <v>4175</v>
      </c>
      <c r="G534" t="s">
        <v>2224</v>
      </c>
      <c r="H534" t="s">
        <v>3998</v>
      </c>
      <c r="J534" t="s">
        <v>2226</v>
      </c>
      <c r="L534" t="s">
        <v>72</v>
      </c>
      <c r="M534" t="s">
        <v>73</v>
      </c>
      <c r="R534" t="s">
        <v>4176</v>
      </c>
      <c r="W534" t="s">
        <v>4175</v>
      </c>
      <c r="X534" t="s">
        <v>4177</v>
      </c>
      <c r="Y534" t="s">
        <v>91</v>
      </c>
      <c r="Z534" t="s">
        <v>74</v>
      </c>
      <c r="AA534" t="str">
        <f>"10032-3720"</f>
        <v>10032-3720</v>
      </c>
      <c r="AB534" t="s">
        <v>75</v>
      </c>
      <c r="AC534" t="s">
        <v>76</v>
      </c>
      <c r="AD534" t="s">
        <v>73</v>
      </c>
      <c r="AE534" t="s">
        <v>77</v>
      </c>
      <c r="AF534" t="s">
        <v>2228</v>
      </c>
      <c r="AG534" t="s">
        <v>78</v>
      </c>
    </row>
    <row r="535" spans="1:33" hidden="1" x14ac:dyDescent="0.25">
      <c r="A535" t="str">
        <f>"1902082654"</f>
        <v>1902082654</v>
      </c>
      <c r="B535" t="str">
        <f>"03797284"</f>
        <v>03797284</v>
      </c>
      <c r="C535" t="s">
        <v>4178</v>
      </c>
      <c r="D535" t="s">
        <v>4179</v>
      </c>
      <c r="E535" t="s">
        <v>4180</v>
      </c>
      <c r="G535" t="s">
        <v>2224</v>
      </c>
      <c r="H535" t="s">
        <v>2768</v>
      </c>
      <c r="J535" t="s">
        <v>2226</v>
      </c>
      <c r="L535" t="s">
        <v>72</v>
      </c>
      <c r="M535" t="s">
        <v>73</v>
      </c>
      <c r="R535" t="s">
        <v>4181</v>
      </c>
      <c r="W535" t="s">
        <v>4180</v>
      </c>
      <c r="X535" t="s">
        <v>410</v>
      </c>
      <c r="Y535" t="s">
        <v>91</v>
      </c>
      <c r="Z535" t="s">
        <v>74</v>
      </c>
      <c r="AA535" t="str">
        <f>"10032-1559"</f>
        <v>10032-1559</v>
      </c>
      <c r="AB535" t="s">
        <v>75</v>
      </c>
      <c r="AC535" t="s">
        <v>76</v>
      </c>
      <c r="AD535" t="s">
        <v>73</v>
      </c>
      <c r="AE535" t="s">
        <v>77</v>
      </c>
      <c r="AF535" t="s">
        <v>2228</v>
      </c>
      <c r="AG535" t="s">
        <v>78</v>
      </c>
    </row>
    <row r="536" spans="1:33" hidden="1" x14ac:dyDescent="0.25">
      <c r="A536" t="str">
        <f>"1699730143"</f>
        <v>1699730143</v>
      </c>
      <c r="B536" t="str">
        <f>"03299676"</f>
        <v>03299676</v>
      </c>
      <c r="C536" t="s">
        <v>4182</v>
      </c>
      <c r="D536" t="s">
        <v>4183</v>
      </c>
      <c r="E536" t="s">
        <v>4184</v>
      </c>
      <c r="G536" t="s">
        <v>2224</v>
      </c>
      <c r="H536" t="s">
        <v>2772</v>
      </c>
      <c r="J536" t="s">
        <v>2226</v>
      </c>
      <c r="L536" t="s">
        <v>72</v>
      </c>
      <c r="M536" t="s">
        <v>73</v>
      </c>
      <c r="R536" t="s">
        <v>4185</v>
      </c>
      <c r="W536" t="s">
        <v>4184</v>
      </c>
      <c r="X536" t="s">
        <v>167</v>
      </c>
      <c r="Y536" t="s">
        <v>91</v>
      </c>
      <c r="Z536" t="s">
        <v>74</v>
      </c>
      <c r="AA536" t="str">
        <f>"10032-3720"</f>
        <v>10032-3720</v>
      </c>
      <c r="AB536" t="s">
        <v>75</v>
      </c>
      <c r="AC536" t="s">
        <v>76</v>
      </c>
      <c r="AD536" t="s">
        <v>73</v>
      </c>
      <c r="AE536" t="s">
        <v>77</v>
      </c>
      <c r="AF536" t="s">
        <v>2228</v>
      </c>
      <c r="AG536" t="s">
        <v>78</v>
      </c>
    </row>
    <row r="537" spans="1:33" hidden="1" x14ac:dyDescent="0.25">
      <c r="A537" t="str">
        <f>"1710900212"</f>
        <v>1710900212</v>
      </c>
      <c r="B537" t="str">
        <f>"03824224"</f>
        <v>03824224</v>
      </c>
      <c r="C537" t="s">
        <v>4186</v>
      </c>
      <c r="D537" t="s">
        <v>4187</v>
      </c>
      <c r="E537" t="s">
        <v>4188</v>
      </c>
      <c r="G537" t="s">
        <v>2224</v>
      </c>
      <c r="H537" t="s">
        <v>4189</v>
      </c>
      <c r="J537" t="s">
        <v>2226</v>
      </c>
      <c r="L537" t="s">
        <v>100</v>
      </c>
      <c r="M537" t="s">
        <v>73</v>
      </c>
      <c r="R537" t="s">
        <v>4190</v>
      </c>
      <c r="W537" t="s">
        <v>4188</v>
      </c>
      <c r="X537" t="s">
        <v>1444</v>
      </c>
      <c r="Y537" t="s">
        <v>91</v>
      </c>
      <c r="Z537" t="s">
        <v>74</v>
      </c>
      <c r="AA537" t="str">
        <f>"10032-3733"</f>
        <v>10032-3733</v>
      </c>
      <c r="AB537" t="s">
        <v>75</v>
      </c>
      <c r="AC537" t="s">
        <v>76</v>
      </c>
      <c r="AD537" t="s">
        <v>73</v>
      </c>
      <c r="AE537" t="s">
        <v>77</v>
      </c>
      <c r="AF537" t="s">
        <v>2228</v>
      </c>
      <c r="AG537" t="s">
        <v>78</v>
      </c>
    </row>
    <row r="538" spans="1:33" hidden="1" x14ac:dyDescent="0.25">
      <c r="A538" t="str">
        <f>"1801070180"</f>
        <v>1801070180</v>
      </c>
      <c r="B538" t="str">
        <f>"02322181"</f>
        <v>02322181</v>
      </c>
      <c r="C538" t="s">
        <v>4191</v>
      </c>
      <c r="D538" t="s">
        <v>4192</v>
      </c>
      <c r="E538" t="s">
        <v>4193</v>
      </c>
      <c r="G538" t="s">
        <v>2224</v>
      </c>
      <c r="H538" t="s">
        <v>4194</v>
      </c>
      <c r="J538" t="s">
        <v>2226</v>
      </c>
      <c r="L538" t="s">
        <v>72</v>
      </c>
      <c r="M538" t="s">
        <v>73</v>
      </c>
      <c r="R538" t="s">
        <v>4195</v>
      </c>
      <c r="W538" t="s">
        <v>4193</v>
      </c>
      <c r="X538" t="s">
        <v>117</v>
      </c>
      <c r="Y538" t="s">
        <v>118</v>
      </c>
      <c r="Z538" t="s">
        <v>74</v>
      </c>
      <c r="AA538" t="str">
        <f>"10461-1138"</f>
        <v>10461-1138</v>
      </c>
      <c r="AB538" t="s">
        <v>75</v>
      </c>
      <c r="AC538" t="s">
        <v>76</v>
      </c>
      <c r="AD538" t="s">
        <v>73</v>
      </c>
      <c r="AE538" t="s">
        <v>77</v>
      </c>
      <c r="AF538" t="s">
        <v>2242</v>
      </c>
      <c r="AG538" t="s">
        <v>78</v>
      </c>
    </row>
    <row r="539" spans="1:33" hidden="1" x14ac:dyDescent="0.25">
      <c r="A539" t="str">
        <f>"1659388494"</f>
        <v>1659388494</v>
      </c>
      <c r="B539" t="str">
        <f>"03192629"</f>
        <v>03192629</v>
      </c>
      <c r="C539" t="s">
        <v>4196</v>
      </c>
      <c r="D539" t="s">
        <v>4197</v>
      </c>
      <c r="E539" t="s">
        <v>4198</v>
      </c>
      <c r="G539" t="s">
        <v>2224</v>
      </c>
      <c r="H539" t="s">
        <v>3087</v>
      </c>
      <c r="J539" t="s">
        <v>2226</v>
      </c>
      <c r="L539" t="s">
        <v>72</v>
      </c>
      <c r="M539" t="s">
        <v>73</v>
      </c>
      <c r="R539" t="s">
        <v>4199</v>
      </c>
      <c r="W539" t="s">
        <v>4198</v>
      </c>
      <c r="X539" t="s">
        <v>167</v>
      </c>
      <c r="Y539" t="s">
        <v>91</v>
      </c>
      <c r="Z539" t="s">
        <v>74</v>
      </c>
      <c r="AA539" t="str">
        <f>"10032-3720"</f>
        <v>10032-3720</v>
      </c>
      <c r="AB539" t="s">
        <v>75</v>
      </c>
      <c r="AC539" t="s">
        <v>76</v>
      </c>
      <c r="AD539" t="s">
        <v>73</v>
      </c>
      <c r="AE539" t="s">
        <v>77</v>
      </c>
      <c r="AF539" t="s">
        <v>2228</v>
      </c>
      <c r="AG539" t="s">
        <v>78</v>
      </c>
    </row>
    <row r="540" spans="1:33" hidden="1" x14ac:dyDescent="0.25">
      <c r="A540" t="str">
        <f>"1063474849"</f>
        <v>1063474849</v>
      </c>
      <c r="B540" t="str">
        <f>"01625350"</f>
        <v>01625350</v>
      </c>
      <c r="C540" t="s">
        <v>4200</v>
      </c>
      <c r="D540" t="s">
        <v>4201</v>
      </c>
      <c r="E540" t="s">
        <v>4202</v>
      </c>
      <c r="G540" t="s">
        <v>2224</v>
      </c>
      <c r="H540" t="s">
        <v>3092</v>
      </c>
      <c r="J540" t="s">
        <v>2226</v>
      </c>
      <c r="L540" t="s">
        <v>80</v>
      </c>
      <c r="M540" t="s">
        <v>73</v>
      </c>
      <c r="R540" t="s">
        <v>4203</v>
      </c>
      <c r="W540" t="s">
        <v>4202</v>
      </c>
      <c r="X540" t="s">
        <v>4204</v>
      </c>
      <c r="Y540" t="s">
        <v>91</v>
      </c>
      <c r="Z540" t="s">
        <v>74</v>
      </c>
      <c r="AA540" t="str">
        <f>"10021-9809"</f>
        <v>10021-9809</v>
      </c>
      <c r="AB540" t="s">
        <v>75</v>
      </c>
      <c r="AC540" t="s">
        <v>76</v>
      </c>
      <c r="AD540" t="s">
        <v>73</v>
      </c>
      <c r="AE540" t="s">
        <v>77</v>
      </c>
      <c r="AF540" t="s">
        <v>2242</v>
      </c>
      <c r="AG540" t="s">
        <v>78</v>
      </c>
    </row>
    <row r="541" spans="1:33" hidden="1" x14ac:dyDescent="0.25">
      <c r="A541" t="str">
        <f>"1063783181"</f>
        <v>1063783181</v>
      </c>
      <c r="B541" t="str">
        <f>"03474637"</f>
        <v>03474637</v>
      </c>
      <c r="C541" t="s">
        <v>4205</v>
      </c>
      <c r="D541" t="s">
        <v>4206</v>
      </c>
      <c r="E541" t="s">
        <v>4207</v>
      </c>
      <c r="L541" t="s">
        <v>72</v>
      </c>
      <c r="M541" t="s">
        <v>73</v>
      </c>
      <c r="R541" t="s">
        <v>4208</v>
      </c>
      <c r="W541" t="s">
        <v>4207</v>
      </c>
      <c r="X541" t="s">
        <v>1379</v>
      </c>
      <c r="Y541" t="s">
        <v>91</v>
      </c>
      <c r="Z541" t="s">
        <v>74</v>
      </c>
      <c r="AA541" t="str">
        <f>"10032-3720"</f>
        <v>10032-3720</v>
      </c>
      <c r="AB541" t="s">
        <v>75</v>
      </c>
      <c r="AC541" t="s">
        <v>76</v>
      </c>
      <c r="AD541" t="s">
        <v>73</v>
      </c>
      <c r="AE541" t="s">
        <v>77</v>
      </c>
      <c r="AF541" t="s">
        <v>2254</v>
      </c>
      <c r="AG541" t="s">
        <v>78</v>
      </c>
    </row>
    <row r="542" spans="1:33" hidden="1" x14ac:dyDescent="0.25">
      <c r="A542" t="str">
        <f>"1770727166"</f>
        <v>1770727166</v>
      </c>
      <c r="B542" t="str">
        <f>"03152105"</f>
        <v>03152105</v>
      </c>
      <c r="C542" t="s">
        <v>4209</v>
      </c>
      <c r="D542" t="s">
        <v>1347</v>
      </c>
      <c r="E542" t="s">
        <v>1348</v>
      </c>
      <c r="L542" t="s">
        <v>72</v>
      </c>
      <c r="M542" t="s">
        <v>73</v>
      </c>
      <c r="R542" t="s">
        <v>1349</v>
      </c>
      <c r="W542" t="s">
        <v>1350</v>
      </c>
      <c r="X542" t="s">
        <v>543</v>
      </c>
      <c r="Y542" t="s">
        <v>118</v>
      </c>
      <c r="Z542" t="s">
        <v>74</v>
      </c>
      <c r="AA542" t="str">
        <f>"10467-2404"</f>
        <v>10467-2404</v>
      </c>
      <c r="AB542" t="s">
        <v>75</v>
      </c>
      <c r="AC542" t="s">
        <v>76</v>
      </c>
      <c r="AD542" t="s">
        <v>73</v>
      </c>
      <c r="AE542" t="s">
        <v>77</v>
      </c>
      <c r="AF542" t="s">
        <v>2228</v>
      </c>
      <c r="AG542" t="s">
        <v>78</v>
      </c>
    </row>
    <row r="543" spans="1:33" hidden="1" x14ac:dyDescent="0.25">
      <c r="A543" t="str">
        <f>"1033374145"</f>
        <v>1033374145</v>
      </c>
      <c r="C543" t="s">
        <v>4210</v>
      </c>
      <c r="G543" t="s">
        <v>2224</v>
      </c>
      <c r="H543" t="s">
        <v>2312</v>
      </c>
      <c r="J543" t="s">
        <v>2226</v>
      </c>
      <c r="K543" t="s">
        <v>171</v>
      </c>
      <c r="L543" t="s">
        <v>96</v>
      </c>
      <c r="M543" t="s">
        <v>73</v>
      </c>
      <c r="R543" t="s">
        <v>4211</v>
      </c>
      <c r="S543" t="s">
        <v>170</v>
      </c>
      <c r="T543" t="s">
        <v>91</v>
      </c>
      <c r="U543" t="s">
        <v>74</v>
      </c>
      <c r="V543" t="str">
        <f>"100654870"</f>
        <v>100654870</v>
      </c>
      <c r="AC543" t="s">
        <v>76</v>
      </c>
      <c r="AD543" t="s">
        <v>73</v>
      </c>
      <c r="AE543" t="s">
        <v>97</v>
      </c>
      <c r="AF543" t="s">
        <v>2242</v>
      </c>
      <c r="AG543" t="s">
        <v>78</v>
      </c>
    </row>
    <row r="544" spans="1:33" hidden="1" x14ac:dyDescent="0.25">
      <c r="A544" t="str">
        <f>"1912010711"</f>
        <v>1912010711</v>
      </c>
      <c r="B544" t="str">
        <f>"02549806"</f>
        <v>02549806</v>
      </c>
      <c r="C544" t="s">
        <v>4212</v>
      </c>
      <c r="D544" t="s">
        <v>4213</v>
      </c>
      <c r="E544" t="s">
        <v>4214</v>
      </c>
      <c r="L544" t="s">
        <v>80</v>
      </c>
      <c r="M544" t="s">
        <v>73</v>
      </c>
      <c r="R544" t="s">
        <v>4215</v>
      </c>
      <c r="W544" t="s">
        <v>4214</v>
      </c>
      <c r="X544" t="s">
        <v>151</v>
      </c>
      <c r="Y544" t="s">
        <v>84</v>
      </c>
      <c r="Z544" t="s">
        <v>74</v>
      </c>
      <c r="AA544" t="str">
        <f>"11219-2916"</f>
        <v>11219-2916</v>
      </c>
      <c r="AB544" t="s">
        <v>75</v>
      </c>
      <c r="AC544" t="s">
        <v>76</v>
      </c>
      <c r="AD544" t="s">
        <v>73</v>
      </c>
      <c r="AE544" t="s">
        <v>77</v>
      </c>
      <c r="AF544" t="s">
        <v>2242</v>
      </c>
      <c r="AG544" t="s">
        <v>78</v>
      </c>
    </row>
    <row r="545" spans="1:33" hidden="1" x14ac:dyDescent="0.25">
      <c r="A545" t="str">
        <f>"1912174533"</f>
        <v>1912174533</v>
      </c>
      <c r="B545" t="str">
        <f>"03917842"</f>
        <v>03917842</v>
      </c>
      <c r="C545" t="s">
        <v>4216</v>
      </c>
      <c r="D545" t="s">
        <v>4217</v>
      </c>
      <c r="E545" t="s">
        <v>4218</v>
      </c>
      <c r="L545" t="s">
        <v>80</v>
      </c>
      <c r="M545" t="s">
        <v>73</v>
      </c>
      <c r="R545" t="s">
        <v>4219</v>
      </c>
      <c r="W545" t="s">
        <v>4218</v>
      </c>
      <c r="X545" t="s">
        <v>170</v>
      </c>
      <c r="Y545" t="s">
        <v>91</v>
      </c>
      <c r="Z545" t="s">
        <v>74</v>
      </c>
      <c r="AA545" t="str">
        <f>"10065-4870"</f>
        <v>10065-4870</v>
      </c>
      <c r="AB545" t="s">
        <v>75</v>
      </c>
      <c r="AC545" t="s">
        <v>76</v>
      </c>
      <c r="AD545" t="s">
        <v>73</v>
      </c>
      <c r="AE545" t="s">
        <v>77</v>
      </c>
      <c r="AF545" t="s">
        <v>2242</v>
      </c>
      <c r="AG545" t="s">
        <v>78</v>
      </c>
    </row>
    <row r="546" spans="1:33" hidden="1" x14ac:dyDescent="0.25">
      <c r="A546" t="str">
        <f>"1114132842"</f>
        <v>1114132842</v>
      </c>
      <c r="B546" t="str">
        <f>"02872315"</f>
        <v>02872315</v>
      </c>
      <c r="C546" t="s">
        <v>4220</v>
      </c>
      <c r="D546" t="s">
        <v>4221</v>
      </c>
      <c r="E546" t="s">
        <v>4222</v>
      </c>
      <c r="L546" t="s">
        <v>88</v>
      </c>
      <c r="M546" t="s">
        <v>73</v>
      </c>
      <c r="R546" t="s">
        <v>4223</v>
      </c>
      <c r="W546" t="s">
        <v>4222</v>
      </c>
      <c r="X546" t="s">
        <v>1167</v>
      </c>
      <c r="Y546" t="s">
        <v>91</v>
      </c>
      <c r="Z546" t="s">
        <v>74</v>
      </c>
      <c r="AA546" t="str">
        <f>"10065-4870"</f>
        <v>10065-4870</v>
      </c>
      <c r="AB546" t="s">
        <v>75</v>
      </c>
      <c r="AC546" t="s">
        <v>76</v>
      </c>
      <c r="AD546" t="s">
        <v>73</v>
      </c>
      <c r="AE546" t="s">
        <v>77</v>
      </c>
      <c r="AF546" t="s">
        <v>2242</v>
      </c>
      <c r="AG546" t="s">
        <v>78</v>
      </c>
    </row>
    <row r="547" spans="1:33" hidden="1" x14ac:dyDescent="0.25">
      <c r="A547" t="str">
        <f>"1033558945"</f>
        <v>1033558945</v>
      </c>
      <c r="C547" t="s">
        <v>4224</v>
      </c>
      <c r="G547" t="s">
        <v>2224</v>
      </c>
      <c r="H547" t="s">
        <v>2312</v>
      </c>
      <c r="J547" t="s">
        <v>2226</v>
      </c>
      <c r="K547" t="s">
        <v>171</v>
      </c>
      <c r="L547" t="s">
        <v>96</v>
      </c>
      <c r="M547" t="s">
        <v>73</v>
      </c>
      <c r="R547" t="s">
        <v>4225</v>
      </c>
      <c r="S547" t="s">
        <v>4226</v>
      </c>
      <c r="T547" t="s">
        <v>573</v>
      </c>
      <c r="U547" t="s">
        <v>111</v>
      </c>
      <c r="V547" t="str">
        <f>"021385502"</f>
        <v>021385502</v>
      </c>
      <c r="AC547" t="s">
        <v>76</v>
      </c>
      <c r="AD547" t="s">
        <v>73</v>
      </c>
      <c r="AE547" t="s">
        <v>97</v>
      </c>
      <c r="AF547" t="s">
        <v>2254</v>
      </c>
      <c r="AG547" t="s">
        <v>78</v>
      </c>
    </row>
    <row r="548" spans="1:33" hidden="1" x14ac:dyDescent="0.25">
      <c r="A548" t="str">
        <f>"1568861706"</f>
        <v>1568861706</v>
      </c>
      <c r="C548" t="s">
        <v>4227</v>
      </c>
      <c r="G548" t="s">
        <v>2224</v>
      </c>
      <c r="H548" t="s">
        <v>2312</v>
      </c>
      <c r="J548" t="s">
        <v>2226</v>
      </c>
      <c r="K548" t="s">
        <v>171</v>
      </c>
      <c r="L548" t="s">
        <v>96</v>
      </c>
      <c r="M548" t="s">
        <v>73</v>
      </c>
      <c r="R548" t="s">
        <v>4228</v>
      </c>
      <c r="S548" t="s">
        <v>4229</v>
      </c>
      <c r="T548" t="s">
        <v>1925</v>
      </c>
      <c r="U548" t="s">
        <v>139</v>
      </c>
      <c r="V548" t="str">
        <f>"070953904"</f>
        <v>070953904</v>
      </c>
      <c r="AC548" t="s">
        <v>76</v>
      </c>
      <c r="AD548" t="s">
        <v>73</v>
      </c>
      <c r="AE548" t="s">
        <v>97</v>
      </c>
      <c r="AF548" t="s">
        <v>2242</v>
      </c>
      <c r="AG548" t="s">
        <v>78</v>
      </c>
    </row>
    <row r="549" spans="1:33" hidden="1" x14ac:dyDescent="0.25">
      <c r="A549" t="str">
        <f>"1285950725"</f>
        <v>1285950725</v>
      </c>
      <c r="C549" t="s">
        <v>4230</v>
      </c>
      <c r="G549" t="s">
        <v>2224</v>
      </c>
      <c r="H549" t="s">
        <v>2312</v>
      </c>
      <c r="J549" t="s">
        <v>2226</v>
      </c>
      <c r="K549" t="s">
        <v>171</v>
      </c>
      <c r="L549" t="s">
        <v>96</v>
      </c>
      <c r="M549" t="s">
        <v>73</v>
      </c>
      <c r="R549" t="s">
        <v>4231</v>
      </c>
      <c r="S549" t="s">
        <v>594</v>
      </c>
      <c r="T549" t="s">
        <v>595</v>
      </c>
      <c r="U549" t="s">
        <v>508</v>
      </c>
      <c r="V549" t="str">
        <f>"044016616"</f>
        <v>044016616</v>
      </c>
      <c r="AC549" t="s">
        <v>76</v>
      </c>
      <c r="AD549" t="s">
        <v>73</v>
      </c>
      <c r="AE549" t="s">
        <v>97</v>
      </c>
      <c r="AF549" t="s">
        <v>2254</v>
      </c>
      <c r="AG549" t="s">
        <v>78</v>
      </c>
    </row>
    <row r="550" spans="1:33" hidden="1" x14ac:dyDescent="0.25">
      <c r="A550" t="str">
        <f>"1811254725"</f>
        <v>1811254725</v>
      </c>
      <c r="B550" t="str">
        <f>"03814142"</f>
        <v>03814142</v>
      </c>
      <c r="C550" t="s">
        <v>4232</v>
      </c>
      <c r="D550" t="s">
        <v>715</v>
      </c>
      <c r="E550" t="s">
        <v>716</v>
      </c>
      <c r="L550" t="s">
        <v>80</v>
      </c>
      <c r="M550" t="s">
        <v>73</v>
      </c>
      <c r="R550" t="s">
        <v>716</v>
      </c>
      <c r="W550" t="s">
        <v>716</v>
      </c>
      <c r="X550" t="s">
        <v>636</v>
      </c>
      <c r="Y550" t="s">
        <v>91</v>
      </c>
      <c r="Z550" t="s">
        <v>74</v>
      </c>
      <c r="AA550" t="str">
        <f>"10026-3138"</f>
        <v>10026-3138</v>
      </c>
      <c r="AB550" t="s">
        <v>115</v>
      </c>
      <c r="AC550" t="s">
        <v>76</v>
      </c>
      <c r="AD550" t="s">
        <v>73</v>
      </c>
      <c r="AE550" t="s">
        <v>77</v>
      </c>
      <c r="AF550" t="s">
        <v>2398</v>
      </c>
      <c r="AG550" t="s">
        <v>78</v>
      </c>
    </row>
    <row r="551" spans="1:33" hidden="1" x14ac:dyDescent="0.25">
      <c r="A551" t="str">
        <f>"1538482823"</f>
        <v>1538482823</v>
      </c>
      <c r="B551" t="str">
        <f>"03527479"</f>
        <v>03527479</v>
      </c>
      <c r="C551" t="s">
        <v>4233</v>
      </c>
      <c r="D551" t="s">
        <v>4234</v>
      </c>
      <c r="E551" t="s">
        <v>4235</v>
      </c>
      <c r="G551" t="s">
        <v>2224</v>
      </c>
      <c r="H551" t="s">
        <v>4236</v>
      </c>
      <c r="J551" t="s">
        <v>2226</v>
      </c>
      <c r="L551" t="s">
        <v>72</v>
      </c>
      <c r="M551" t="s">
        <v>73</v>
      </c>
      <c r="R551" t="s">
        <v>4237</v>
      </c>
      <c r="W551" t="s">
        <v>4238</v>
      </c>
      <c r="X551" t="s">
        <v>167</v>
      </c>
      <c r="Y551" t="s">
        <v>91</v>
      </c>
      <c r="Z551" t="s">
        <v>74</v>
      </c>
      <c r="AA551" t="str">
        <f>"10032-3720"</f>
        <v>10032-3720</v>
      </c>
      <c r="AB551" t="s">
        <v>75</v>
      </c>
      <c r="AC551" t="s">
        <v>76</v>
      </c>
      <c r="AD551" t="s">
        <v>73</v>
      </c>
      <c r="AE551" t="s">
        <v>77</v>
      </c>
      <c r="AF551" t="s">
        <v>2228</v>
      </c>
      <c r="AG551" t="s">
        <v>78</v>
      </c>
    </row>
    <row r="552" spans="1:33" hidden="1" x14ac:dyDescent="0.25">
      <c r="A552" t="str">
        <f>"1225019342"</f>
        <v>1225019342</v>
      </c>
      <c r="B552" t="str">
        <f>"03425225"</f>
        <v>03425225</v>
      </c>
      <c r="C552" t="s">
        <v>4239</v>
      </c>
      <c r="D552" t="s">
        <v>4240</v>
      </c>
      <c r="E552" t="s">
        <v>4241</v>
      </c>
      <c r="G552" t="s">
        <v>2224</v>
      </c>
      <c r="H552" t="s">
        <v>4242</v>
      </c>
      <c r="J552" t="s">
        <v>2226</v>
      </c>
      <c r="L552" t="s">
        <v>80</v>
      </c>
      <c r="M552" t="s">
        <v>73</v>
      </c>
      <c r="R552" t="s">
        <v>4243</v>
      </c>
      <c r="W552" t="s">
        <v>4241</v>
      </c>
      <c r="X552" t="s">
        <v>4244</v>
      </c>
      <c r="Y552" t="s">
        <v>91</v>
      </c>
      <c r="Z552" t="s">
        <v>74</v>
      </c>
      <c r="AA552" t="str">
        <f>"10032-3720"</f>
        <v>10032-3720</v>
      </c>
      <c r="AB552" t="s">
        <v>75</v>
      </c>
      <c r="AC552" t="s">
        <v>76</v>
      </c>
      <c r="AD552" t="s">
        <v>73</v>
      </c>
      <c r="AE552" t="s">
        <v>77</v>
      </c>
      <c r="AF552" t="s">
        <v>2254</v>
      </c>
      <c r="AG552" t="s">
        <v>78</v>
      </c>
    </row>
    <row r="553" spans="1:33" hidden="1" x14ac:dyDescent="0.25">
      <c r="A553" t="str">
        <f>"1992832190"</f>
        <v>1992832190</v>
      </c>
      <c r="B553" t="str">
        <f>"02863183"</f>
        <v>02863183</v>
      </c>
      <c r="C553" t="s">
        <v>4245</v>
      </c>
      <c r="D553" t="s">
        <v>4246</v>
      </c>
      <c r="E553" t="s">
        <v>4247</v>
      </c>
      <c r="L553" t="s">
        <v>80</v>
      </c>
      <c r="M553" t="s">
        <v>73</v>
      </c>
      <c r="R553" t="s">
        <v>4247</v>
      </c>
      <c r="W553" t="s">
        <v>4247</v>
      </c>
      <c r="X553" t="s">
        <v>3477</v>
      </c>
      <c r="Y553" t="s">
        <v>91</v>
      </c>
      <c r="Z553" t="s">
        <v>74</v>
      </c>
      <c r="AA553" t="str">
        <f>"10032-3725"</f>
        <v>10032-3725</v>
      </c>
      <c r="AB553" t="s">
        <v>75</v>
      </c>
      <c r="AC553" t="s">
        <v>76</v>
      </c>
      <c r="AD553" t="s">
        <v>73</v>
      </c>
      <c r="AE553" t="s">
        <v>77</v>
      </c>
      <c r="AF553" t="s">
        <v>2228</v>
      </c>
      <c r="AG553" t="s">
        <v>78</v>
      </c>
    </row>
    <row r="554" spans="1:33" hidden="1" x14ac:dyDescent="0.25">
      <c r="C554" t="s">
        <v>4248</v>
      </c>
      <c r="K554" t="s">
        <v>587</v>
      </c>
      <c r="L554" t="s">
        <v>94</v>
      </c>
      <c r="M554" t="s">
        <v>73</v>
      </c>
      <c r="P554" t="s">
        <v>74</v>
      </c>
      <c r="AC554" t="s">
        <v>76</v>
      </c>
      <c r="AD554" t="s">
        <v>73</v>
      </c>
      <c r="AE554" t="s">
        <v>95</v>
      </c>
      <c r="AF554" t="s">
        <v>2398</v>
      </c>
      <c r="AG554" t="s">
        <v>78</v>
      </c>
    </row>
    <row r="555" spans="1:33" hidden="1" x14ac:dyDescent="0.25">
      <c r="A555" t="str">
        <f>"1508933151"</f>
        <v>1508933151</v>
      </c>
      <c r="B555" t="str">
        <f>"01607381"</f>
        <v>01607381</v>
      </c>
      <c r="C555" t="s">
        <v>4249</v>
      </c>
      <c r="D555" t="s">
        <v>4250</v>
      </c>
      <c r="E555" t="s">
        <v>4251</v>
      </c>
      <c r="G555" t="s">
        <v>2224</v>
      </c>
      <c r="H555" t="s">
        <v>2225</v>
      </c>
      <c r="J555" t="s">
        <v>2226</v>
      </c>
      <c r="L555" t="s">
        <v>72</v>
      </c>
      <c r="M555" t="s">
        <v>73</v>
      </c>
      <c r="R555" t="s">
        <v>4252</v>
      </c>
      <c r="W555" t="s">
        <v>4251</v>
      </c>
      <c r="X555" t="s">
        <v>559</v>
      </c>
      <c r="Y555" t="s">
        <v>91</v>
      </c>
      <c r="Z555" t="s">
        <v>74</v>
      </c>
      <c r="AA555" t="str">
        <f>"10032-3725"</f>
        <v>10032-3725</v>
      </c>
      <c r="AB555" t="s">
        <v>75</v>
      </c>
      <c r="AC555" t="s">
        <v>76</v>
      </c>
      <c r="AD555" t="s">
        <v>73</v>
      </c>
      <c r="AE555" t="s">
        <v>77</v>
      </c>
      <c r="AF555" t="s">
        <v>2254</v>
      </c>
      <c r="AG555" t="s">
        <v>78</v>
      </c>
    </row>
    <row r="556" spans="1:33" hidden="1" x14ac:dyDescent="0.25">
      <c r="A556" t="str">
        <f>"1508977208"</f>
        <v>1508977208</v>
      </c>
      <c r="B556" t="str">
        <f>"02656962"</f>
        <v>02656962</v>
      </c>
      <c r="C556" t="s">
        <v>4253</v>
      </c>
      <c r="D556" t="s">
        <v>1716</v>
      </c>
      <c r="E556" t="s">
        <v>1717</v>
      </c>
      <c r="G556" t="s">
        <v>2224</v>
      </c>
      <c r="H556" t="s">
        <v>2225</v>
      </c>
      <c r="J556" t="s">
        <v>2226</v>
      </c>
      <c r="L556" t="s">
        <v>81</v>
      </c>
      <c r="M556" t="s">
        <v>82</v>
      </c>
      <c r="R556" t="s">
        <v>1718</v>
      </c>
      <c r="W556" t="s">
        <v>1717</v>
      </c>
      <c r="X556" t="s">
        <v>1719</v>
      </c>
      <c r="Y556" t="s">
        <v>116</v>
      </c>
      <c r="Z556" t="s">
        <v>74</v>
      </c>
      <c r="AA556" t="str">
        <f>"11372-6339"</f>
        <v>11372-6339</v>
      </c>
      <c r="AB556" t="s">
        <v>75</v>
      </c>
      <c r="AC556" t="s">
        <v>76</v>
      </c>
      <c r="AD556" t="s">
        <v>73</v>
      </c>
      <c r="AE556" t="s">
        <v>77</v>
      </c>
      <c r="AF556" t="s">
        <v>2242</v>
      </c>
      <c r="AG556" t="s">
        <v>78</v>
      </c>
    </row>
    <row r="557" spans="1:33" hidden="1" x14ac:dyDescent="0.25">
      <c r="A557" t="str">
        <f>"1023201480"</f>
        <v>1023201480</v>
      </c>
      <c r="B557" t="str">
        <f>"03940190"</f>
        <v>03940190</v>
      </c>
      <c r="C557" t="s">
        <v>1913</v>
      </c>
      <c r="D557" t="s">
        <v>1343</v>
      </c>
      <c r="E557" t="s">
        <v>1344</v>
      </c>
      <c r="G557" t="s">
        <v>2260</v>
      </c>
      <c r="H557" t="s">
        <v>4254</v>
      </c>
      <c r="J557" t="s">
        <v>1512</v>
      </c>
      <c r="L557" t="s">
        <v>72</v>
      </c>
      <c r="M557" t="s">
        <v>73</v>
      </c>
      <c r="R557" t="s">
        <v>1345</v>
      </c>
      <c r="W557" t="s">
        <v>1344</v>
      </c>
      <c r="X557" t="s">
        <v>1346</v>
      </c>
      <c r="Y557" t="s">
        <v>182</v>
      </c>
      <c r="Z557" t="s">
        <v>74</v>
      </c>
      <c r="AA557" t="str">
        <f>"12401-3931"</f>
        <v>12401-3931</v>
      </c>
      <c r="AB557" t="s">
        <v>75</v>
      </c>
      <c r="AC557" t="s">
        <v>76</v>
      </c>
      <c r="AD557" t="s">
        <v>73</v>
      </c>
      <c r="AE557" t="s">
        <v>77</v>
      </c>
      <c r="AF557" t="s">
        <v>2254</v>
      </c>
      <c r="AG557" t="s">
        <v>78</v>
      </c>
    </row>
    <row r="558" spans="1:33" hidden="1" x14ac:dyDescent="0.25">
      <c r="A558" t="str">
        <f>"1649608951"</f>
        <v>1649608951</v>
      </c>
      <c r="B558" t="str">
        <f>"03746632"</f>
        <v>03746632</v>
      </c>
      <c r="C558" t="s">
        <v>700</v>
      </c>
      <c r="D558" t="s">
        <v>701</v>
      </c>
      <c r="E558" t="s">
        <v>702</v>
      </c>
      <c r="G558" t="s">
        <v>2260</v>
      </c>
      <c r="H558" t="s">
        <v>4255</v>
      </c>
      <c r="J558" t="s">
        <v>1512</v>
      </c>
      <c r="L558" t="s">
        <v>96</v>
      </c>
      <c r="M558" t="s">
        <v>82</v>
      </c>
      <c r="R558" t="s">
        <v>703</v>
      </c>
      <c r="W558" t="s">
        <v>702</v>
      </c>
      <c r="X558" t="s">
        <v>704</v>
      </c>
      <c r="Y558" t="s">
        <v>91</v>
      </c>
      <c r="Z558" t="s">
        <v>74</v>
      </c>
      <c r="AA558" t="str">
        <f>"10035-4521"</f>
        <v>10035-4521</v>
      </c>
      <c r="AB558" t="s">
        <v>75</v>
      </c>
      <c r="AC558" t="s">
        <v>76</v>
      </c>
      <c r="AD558" t="s">
        <v>73</v>
      </c>
      <c r="AE558" t="s">
        <v>77</v>
      </c>
      <c r="AF558" t="s">
        <v>2254</v>
      </c>
      <c r="AG558" t="s">
        <v>78</v>
      </c>
    </row>
    <row r="559" spans="1:33" hidden="1" x14ac:dyDescent="0.25">
      <c r="A559" t="str">
        <f>"1508983479"</f>
        <v>1508983479</v>
      </c>
      <c r="B559" t="str">
        <f>"01042364"</f>
        <v>01042364</v>
      </c>
      <c r="C559" t="s">
        <v>4256</v>
      </c>
      <c r="D559" t="s">
        <v>4257</v>
      </c>
      <c r="E559" t="s">
        <v>4258</v>
      </c>
      <c r="G559" t="s">
        <v>2224</v>
      </c>
      <c r="H559" t="s">
        <v>2225</v>
      </c>
      <c r="J559" t="s">
        <v>2226</v>
      </c>
      <c r="L559" t="s">
        <v>72</v>
      </c>
      <c r="M559" t="s">
        <v>73</v>
      </c>
      <c r="R559" t="s">
        <v>4259</v>
      </c>
      <c r="W559" t="s">
        <v>4258</v>
      </c>
      <c r="X559" t="s">
        <v>333</v>
      </c>
      <c r="Y559" t="s">
        <v>91</v>
      </c>
      <c r="Z559" t="s">
        <v>74</v>
      </c>
      <c r="AA559" t="str">
        <f>"10019"</f>
        <v>10019</v>
      </c>
      <c r="AB559" t="s">
        <v>75</v>
      </c>
      <c r="AC559" t="s">
        <v>76</v>
      </c>
      <c r="AD559" t="s">
        <v>73</v>
      </c>
      <c r="AE559" t="s">
        <v>77</v>
      </c>
      <c r="AF559" t="s">
        <v>2254</v>
      </c>
      <c r="AG559" t="s">
        <v>78</v>
      </c>
    </row>
    <row r="560" spans="1:33" hidden="1" x14ac:dyDescent="0.25">
      <c r="A560" t="str">
        <f>"1518025667"</f>
        <v>1518025667</v>
      </c>
      <c r="B560" t="str">
        <f>"01182094"</f>
        <v>01182094</v>
      </c>
      <c r="C560" t="s">
        <v>4260</v>
      </c>
      <c r="D560" t="s">
        <v>4261</v>
      </c>
      <c r="E560" t="s">
        <v>4262</v>
      </c>
      <c r="G560" t="s">
        <v>2224</v>
      </c>
      <c r="H560" t="s">
        <v>2225</v>
      </c>
      <c r="J560" t="s">
        <v>2226</v>
      </c>
      <c r="L560" t="s">
        <v>72</v>
      </c>
      <c r="M560" t="s">
        <v>73</v>
      </c>
      <c r="R560" t="s">
        <v>4263</v>
      </c>
      <c r="W560" t="s">
        <v>4262</v>
      </c>
      <c r="Y560" t="s">
        <v>91</v>
      </c>
      <c r="Z560" t="s">
        <v>74</v>
      </c>
      <c r="AA560" t="str">
        <f>"10032-3720"</f>
        <v>10032-3720</v>
      </c>
      <c r="AB560" t="s">
        <v>75</v>
      </c>
      <c r="AC560" t="s">
        <v>76</v>
      </c>
      <c r="AD560" t="s">
        <v>73</v>
      </c>
      <c r="AE560" t="s">
        <v>77</v>
      </c>
      <c r="AF560" t="s">
        <v>2228</v>
      </c>
      <c r="AG560" t="s">
        <v>78</v>
      </c>
    </row>
    <row r="561" spans="1:33" hidden="1" x14ac:dyDescent="0.25">
      <c r="A561" t="str">
        <f>"1972693331"</f>
        <v>1972693331</v>
      </c>
      <c r="B561" t="str">
        <f>"02842771"</f>
        <v>02842771</v>
      </c>
      <c r="C561" t="s">
        <v>4264</v>
      </c>
      <c r="D561" t="s">
        <v>4265</v>
      </c>
      <c r="E561" t="s">
        <v>4266</v>
      </c>
      <c r="L561" t="s">
        <v>72</v>
      </c>
      <c r="M561" t="s">
        <v>73</v>
      </c>
      <c r="R561" t="s">
        <v>4267</v>
      </c>
      <c r="W561" t="s">
        <v>4266</v>
      </c>
      <c r="X561" t="s">
        <v>158</v>
      </c>
      <c r="Y561" t="s">
        <v>91</v>
      </c>
      <c r="Z561" t="s">
        <v>74</v>
      </c>
      <c r="AA561" t="str">
        <f>"10035-2709"</f>
        <v>10035-2709</v>
      </c>
      <c r="AB561" t="s">
        <v>75</v>
      </c>
      <c r="AC561" t="s">
        <v>76</v>
      </c>
      <c r="AD561" t="s">
        <v>73</v>
      </c>
      <c r="AE561" t="s">
        <v>77</v>
      </c>
      <c r="AF561" t="s">
        <v>2228</v>
      </c>
      <c r="AG561" t="s">
        <v>78</v>
      </c>
    </row>
    <row r="562" spans="1:33" hidden="1" x14ac:dyDescent="0.25">
      <c r="A562" t="str">
        <f>"1043634009"</f>
        <v>1043634009</v>
      </c>
      <c r="B562" t="str">
        <f>"03879994"</f>
        <v>03879994</v>
      </c>
      <c r="C562" t="s">
        <v>4268</v>
      </c>
      <c r="D562" t="s">
        <v>785</v>
      </c>
      <c r="E562" t="s">
        <v>786</v>
      </c>
      <c r="G562" t="s">
        <v>749</v>
      </c>
      <c r="H562" t="s">
        <v>320</v>
      </c>
      <c r="J562" t="s">
        <v>750</v>
      </c>
      <c r="L562" t="s">
        <v>81</v>
      </c>
      <c r="M562" t="s">
        <v>73</v>
      </c>
      <c r="R562" t="s">
        <v>787</v>
      </c>
      <c r="W562" t="s">
        <v>788</v>
      </c>
      <c r="X562" t="s">
        <v>789</v>
      </c>
      <c r="Y562" t="s">
        <v>84</v>
      </c>
      <c r="Z562" t="s">
        <v>74</v>
      </c>
      <c r="AA562" t="str">
        <f>"11225-5417"</f>
        <v>11225-5417</v>
      </c>
      <c r="AB562" t="s">
        <v>75</v>
      </c>
      <c r="AC562" t="s">
        <v>76</v>
      </c>
      <c r="AD562" t="s">
        <v>73</v>
      </c>
      <c r="AE562" t="s">
        <v>77</v>
      </c>
      <c r="AF562" t="s">
        <v>2445</v>
      </c>
      <c r="AG562" t="s">
        <v>78</v>
      </c>
    </row>
    <row r="563" spans="1:33" hidden="1" x14ac:dyDescent="0.25">
      <c r="A563" t="str">
        <f>"1790079648"</f>
        <v>1790079648</v>
      </c>
      <c r="B563" t="str">
        <f>"03916709"</f>
        <v>03916709</v>
      </c>
      <c r="C563" t="s">
        <v>4269</v>
      </c>
      <c r="D563" t="s">
        <v>1097</v>
      </c>
      <c r="E563" t="s">
        <v>1098</v>
      </c>
      <c r="G563" t="s">
        <v>749</v>
      </c>
      <c r="H563" t="s">
        <v>320</v>
      </c>
      <c r="J563" t="s">
        <v>750</v>
      </c>
      <c r="L563" t="s">
        <v>81</v>
      </c>
      <c r="M563" t="s">
        <v>73</v>
      </c>
      <c r="R563" t="s">
        <v>1098</v>
      </c>
      <c r="W563" t="s">
        <v>1098</v>
      </c>
      <c r="X563" t="s">
        <v>683</v>
      </c>
      <c r="Y563" t="s">
        <v>118</v>
      </c>
      <c r="Z563" t="s">
        <v>74</v>
      </c>
      <c r="AA563" t="str">
        <f>"10459-3204"</f>
        <v>10459-3204</v>
      </c>
      <c r="AB563" t="s">
        <v>75</v>
      </c>
      <c r="AC563" t="s">
        <v>76</v>
      </c>
      <c r="AD563" t="s">
        <v>73</v>
      </c>
      <c r="AE563" t="s">
        <v>77</v>
      </c>
      <c r="AF563" t="s">
        <v>2445</v>
      </c>
      <c r="AG563" t="s">
        <v>78</v>
      </c>
    </row>
    <row r="564" spans="1:33" hidden="1" x14ac:dyDescent="0.25">
      <c r="A564" t="str">
        <f>"1629303672"</f>
        <v>1629303672</v>
      </c>
      <c r="B564" t="str">
        <f>"03518650"</f>
        <v>03518650</v>
      </c>
      <c r="C564" t="s">
        <v>4270</v>
      </c>
      <c r="D564" t="s">
        <v>616</v>
      </c>
      <c r="E564" t="s">
        <v>617</v>
      </c>
      <c r="G564" t="s">
        <v>749</v>
      </c>
      <c r="H564" t="s">
        <v>320</v>
      </c>
      <c r="J564" t="s">
        <v>750</v>
      </c>
      <c r="L564" t="s">
        <v>81</v>
      </c>
      <c r="M564" t="s">
        <v>82</v>
      </c>
      <c r="R564" t="s">
        <v>618</v>
      </c>
      <c r="W564" t="s">
        <v>619</v>
      </c>
      <c r="X564" t="s">
        <v>620</v>
      </c>
      <c r="Y564" t="s">
        <v>91</v>
      </c>
      <c r="Z564" t="s">
        <v>74</v>
      </c>
      <c r="AA564" t="str">
        <f>"10002-2301"</f>
        <v>10002-2301</v>
      </c>
      <c r="AB564" t="s">
        <v>75</v>
      </c>
      <c r="AC564" t="s">
        <v>76</v>
      </c>
      <c r="AD564" t="s">
        <v>73</v>
      </c>
      <c r="AE564" t="s">
        <v>77</v>
      </c>
      <c r="AF564" t="s">
        <v>2445</v>
      </c>
      <c r="AG564" t="s">
        <v>78</v>
      </c>
    </row>
    <row r="565" spans="1:33" hidden="1" x14ac:dyDescent="0.25">
      <c r="A565" t="str">
        <f>"1861682270"</f>
        <v>1861682270</v>
      </c>
      <c r="B565" t="str">
        <f>"03914849"</f>
        <v>03914849</v>
      </c>
      <c r="C565" t="s">
        <v>4271</v>
      </c>
      <c r="D565" t="s">
        <v>1089</v>
      </c>
      <c r="E565" t="s">
        <v>1090</v>
      </c>
      <c r="G565" t="s">
        <v>749</v>
      </c>
      <c r="H565" t="s">
        <v>320</v>
      </c>
      <c r="J565" t="s">
        <v>750</v>
      </c>
      <c r="L565" t="s">
        <v>81</v>
      </c>
      <c r="M565" t="s">
        <v>73</v>
      </c>
      <c r="R565" t="s">
        <v>1091</v>
      </c>
      <c r="W565" t="s">
        <v>1092</v>
      </c>
      <c r="X565" t="s">
        <v>683</v>
      </c>
      <c r="Y565" t="s">
        <v>118</v>
      </c>
      <c r="Z565" t="s">
        <v>74</v>
      </c>
      <c r="AA565" t="str">
        <f>"10459-3204"</f>
        <v>10459-3204</v>
      </c>
      <c r="AB565" t="s">
        <v>75</v>
      </c>
      <c r="AC565" t="s">
        <v>76</v>
      </c>
      <c r="AD565" t="s">
        <v>73</v>
      </c>
      <c r="AE565" t="s">
        <v>77</v>
      </c>
      <c r="AF565" t="s">
        <v>2445</v>
      </c>
      <c r="AG565" t="s">
        <v>78</v>
      </c>
    </row>
    <row r="566" spans="1:33" hidden="1" x14ac:dyDescent="0.25">
      <c r="A566" t="str">
        <f>"1033353685"</f>
        <v>1033353685</v>
      </c>
      <c r="B566" t="str">
        <f>"03166272"</f>
        <v>03166272</v>
      </c>
      <c r="C566" t="s">
        <v>4272</v>
      </c>
      <c r="D566" t="s">
        <v>676</v>
      </c>
      <c r="E566" t="s">
        <v>677</v>
      </c>
      <c r="G566" t="s">
        <v>749</v>
      </c>
      <c r="H566" t="s">
        <v>320</v>
      </c>
      <c r="J566" t="s">
        <v>750</v>
      </c>
      <c r="L566" t="s">
        <v>81</v>
      </c>
      <c r="M566" t="s">
        <v>82</v>
      </c>
      <c r="R566" t="s">
        <v>678</v>
      </c>
      <c r="W566" t="s">
        <v>677</v>
      </c>
      <c r="X566" t="s">
        <v>654</v>
      </c>
      <c r="Y566" t="s">
        <v>162</v>
      </c>
      <c r="Z566" t="s">
        <v>74</v>
      </c>
      <c r="AA566" t="str">
        <f>"11106-4705"</f>
        <v>11106-4705</v>
      </c>
      <c r="AB566" t="s">
        <v>75</v>
      </c>
      <c r="AC566" t="s">
        <v>76</v>
      </c>
      <c r="AD566" t="s">
        <v>73</v>
      </c>
      <c r="AE566" t="s">
        <v>77</v>
      </c>
      <c r="AF566" t="s">
        <v>2445</v>
      </c>
      <c r="AG566" t="s">
        <v>78</v>
      </c>
    </row>
    <row r="567" spans="1:33" hidden="1" x14ac:dyDescent="0.25">
      <c r="A567" t="str">
        <f>"1407147754"</f>
        <v>1407147754</v>
      </c>
      <c r="B567" t="str">
        <f>"03529279"</f>
        <v>03529279</v>
      </c>
      <c r="C567" t="s">
        <v>4273</v>
      </c>
      <c r="D567" t="s">
        <v>684</v>
      </c>
      <c r="E567" t="s">
        <v>685</v>
      </c>
      <c r="G567" t="s">
        <v>749</v>
      </c>
      <c r="H567" t="s">
        <v>320</v>
      </c>
      <c r="J567" t="s">
        <v>750</v>
      </c>
      <c r="L567" t="s">
        <v>81</v>
      </c>
      <c r="M567" t="s">
        <v>82</v>
      </c>
      <c r="R567" t="s">
        <v>686</v>
      </c>
      <c r="W567" t="s">
        <v>685</v>
      </c>
      <c r="X567" t="s">
        <v>687</v>
      </c>
      <c r="Y567" t="s">
        <v>154</v>
      </c>
      <c r="Z567" t="s">
        <v>74</v>
      </c>
      <c r="AA567" t="str">
        <f>"11550-4364"</f>
        <v>11550-4364</v>
      </c>
      <c r="AB567" t="s">
        <v>75</v>
      </c>
      <c r="AC567" t="s">
        <v>76</v>
      </c>
      <c r="AD567" t="s">
        <v>73</v>
      </c>
      <c r="AE567" t="s">
        <v>77</v>
      </c>
      <c r="AF567" t="s">
        <v>2445</v>
      </c>
      <c r="AG567" t="s">
        <v>78</v>
      </c>
    </row>
    <row r="568" spans="1:33" hidden="1" x14ac:dyDescent="0.25">
      <c r="A568" t="str">
        <f>"1750391629"</f>
        <v>1750391629</v>
      </c>
      <c r="B568" t="str">
        <f>"02800948"</f>
        <v>02800948</v>
      </c>
      <c r="C568" t="s">
        <v>4274</v>
      </c>
      <c r="D568" t="s">
        <v>854</v>
      </c>
      <c r="E568" t="s">
        <v>855</v>
      </c>
      <c r="G568" t="s">
        <v>749</v>
      </c>
      <c r="H568" t="s">
        <v>320</v>
      </c>
      <c r="J568" t="s">
        <v>750</v>
      </c>
      <c r="L568" t="s">
        <v>81</v>
      </c>
      <c r="M568" t="s">
        <v>82</v>
      </c>
      <c r="R568" t="s">
        <v>856</v>
      </c>
      <c r="W568" t="s">
        <v>855</v>
      </c>
      <c r="X568" t="s">
        <v>857</v>
      </c>
      <c r="Y568" t="s">
        <v>858</v>
      </c>
      <c r="Z568" t="s">
        <v>74</v>
      </c>
      <c r="AA568" t="str">
        <f>"11565-1330"</f>
        <v>11565-1330</v>
      </c>
      <c r="AB568" t="s">
        <v>75</v>
      </c>
      <c r="AC568" t="s">
        <v>76</v>
      </c>
      <c r="AD568" t="s">
        <v>73</v>
      </c>
      <c r="AE568" t="s">
        <v>77</v>
      </c>
      <c r="AF568" t="s">
        <v>2445</v>
      </c>
      <c r="AG568" t="s">
        <v>78</v>
      </c>
    </row>
    <row r="569" spans="1:33" hidden="1" x14ac:dyDescent="0.25">
      <c r="A569" t="str">
        <f>"1356584429"</f>
        <v>1356584429</v>
      </c>
      <c r="B569" t="str">
        <f>"03603532"</f>
        <v>03603532</v>
      </c>
      <c r="C569" t="s">
        <v>4275</v>
      </c>
      <c r="D569" t="s">
        <v>4276</v>
      </c>
      <c r="E569" t="s">
        <v>4277</v>
      </c>
      <c r="G569" t="s">
        <v>2224</v>
      </c>
      <c r="H569" t="s">
        <v>2225</v>
      </c>
      <c r="J569" t="s">
        <v>2226</v>
      </c>
      <c r="L569" t="s">
        <v>72</v>
      </c>
      <c r="M569" t="s">
        <v>73</v>
      </c>
      <c r="R569" t="s">
        <v>4277</v>
      </c>
      <c r="W569" t="s">
        <v>4278</v>
      </c>
      <c r="X569" t="s">
        <v>496</v>
      </c>
      <c r="Y569" t="s">
        <v>91</v>
      </c>
      <c r="Z569" t="s">
        <v>74</v>
      </c>
      <c r="AA569" t="str">
        <f>"10032-3726"</f>
        <v>10032-3726</v>
      </c>
      <c r="AB569" t="s">
        <v>75</v>
      </c>
      <c r="AC569" t="s">
        <v>76</v>
      </c>
      <c r="AD569" t="s">
        <v>73</v>
      </c>
      <c r="AE569" t="s">
        <v>77</v>
      </c>
      <c r="AF569" t="s">
        <v>2254</v>
      </c>
      <c r="AG569" t="s">
        <v>78</v>
      </c>
    </row>
    <row r="570" spans="1:33" hidden="1" x14ac:dyDescent="0.25">
      <c r="A570" t="str">
        <f>"1669625133"</f>
        <v>1669625133</v>
      </c>
      <c r="B570" t="str">
        <f>"03118572"</f>
        <v>03118572</v>
      </c>
      <c r="C570" t="s">
        <v>4279</v>
      </c>
      <c r="D570" t="s">
        <v>4280</v>
      </c>
      <c r="E570" t="s">
        <v>4281</v>
      </c>
      <c r="G570" t="s">
        <v>2224</v>
      </c>
      <c r="H570" t="s">
        <v>2225</v>
      </c>
      <c r="J570" t="s">
        <v>2226</v>
      </c>
      <c r="L570" t="s">
        <v>72</v>
      </c>
      <c r="M570" t="s">
        <v>73</v>
      </c>
      <c r="R570" t="s">
        <v>4282</v>
      </c>
      <c r="W570" t="s">
        <v>4283</v>
      </c>
      <c r="X570" t="s">
        <v>496</v>
      </c>
      <c r="Y570" t="s">
        <v>91</v>
      </c>
      <c r="Z570" t="s">
        <v>74</v>
      </c>
      <c r="AA570" t="str">
        <f>"10032-3726"</f>
        <v>10032-3726</v>
      </c>
      <c r="AB570" t="s">
        <v>75</v>
      </c>
      <c r="AC570" t="s">
        <v>76</v>
      </c>
      <c r="AD570" t="s">
        <v>73</v>
      </c>
      <c r="AE570" t="s">
        <v>77</v>
      </c>
      <c r="AF570" t="s">
        <v>2228</v>
      </c>
      <c r="AG570" t="s">
        <v>78</v>
      </c>
    </row>
    <row r="571" spans="1:33" hidden="1" x14ac:dyDescent="0.25">
      <c r="A571" t="str">
        <f>"1053496372"</f>
        <v>1053496372</v>
      </c>
      <c r="B571" t="str">
        <f>"02395233"</f>
        <v>02395233</v>
      </c>
      <c r="C571" t="s">
        <v>4284</v>
      </c>
      <c r="D571" t="s">
        <v>4285</v>
      </c>
      <c r="E571" t="s">
        <v>4286</v>
      </c>
      <c r="G571" t="s">
        <v>2224</v>
      </c>
      <c r="H571" t="s">
        <v>2225</v>
      </c>
      <c r="J571" t="s">
        <v>2226</v>
      </c>
      <c r="L571" t="s">
        <v>81</v>
      </c>
      <c r="M571" t="s">
        <v>82</v>
      </c>
      <c r="R571" t="s">
        <v>4287</v>
      </c>
      <c r="W571" t="s">
        <v>4286</v>
      </c>
      <c r="X571" t="s">
        <v>1141</v>
      </c>
      <c r="Y571" t="s">
        <v>118</v>
      </c>
      <c r="Z571" t="s">
        <v>74</v>
      </c>
      <c r="AA571" t="str">
        <f>"10458-4799"</f>
        <v>10458-4799</v>
      </c>
      <c r="AB571" t="s">
        <v>75</v>
      </c>
      <c r="AC571" t="s">
        <v>76</v>
      </c>
      <c r="AD571" t="s">
        <v>73</v>
      </c>
      <c r="AE571" t="s">
        <v>77</v>
      </c>
      <c r="AF571" t="s">
        <v>2228</v>
      </c>
      <c r="AG571" t="s">
        <v>78</v>
      </c>
    </row>
    <row r="572" spans="1:33" hidden="1" x14ac:dyDescent="0.25">
      <c r="A572" t="str">
        <f>"1225136682"</f>
        <v>1225136682</v>
      </c>
      <c r="B572" t="str">
        <f>"02574716"</f>
        <v>02574716</v>
      </c>
      <c r="C572" t="s">
        <v>4288</v>
      </c>
      <c r="D572" t="s">
        <v>4289</v>
      </c>
      <c r="E572" t="s">
        <v>4290</v>
      </c>
      <c r="L572" t="s">
        <v>88</v>
      </c>
      <c r="M572" t="s">
        <v>73</v>
      </c>
      <c r="R572" t="s">
        <v>1540</v>
      </c>
      <c r="W572" t="s">
        <v>4290</v>
      </c>
      <c r="X572" t="s">
        <v>1679</v>
      </c>
      <c r="Y572" t="s">
        <v>91</v>
      </c>
      <c r="Z572" t="s">
        <v>74</v>
      </c>
      <c r="AA572" t="str">
        <f>"10032-3720"</f>
        <v>10032-3720</v>
      </c>
      <c r="AB572" t="s">
        <v>75</v>
      </c>
      <c r="AC572" t="s">
        <v>76</v>
      </c>
      <c r="AD572" t="s">
        <v>73</v>
      </c>
      <c r="AE572" t="s">
        <v>77</v>
      </c>
      <c r="AF572" t="s">
        <v>2242</v>
      </c>
      <c r="AG572" t="s">
        <v>78</v>
      </c>
    </row>
    <row r="573" spans="1:33" hidden="1" x14ac:dyDescent="0.25">
      <c r="A573" t="str">
        <f>"1255576153"</f>
        <v>1255576153</v>
      </c>
      <c r="B573" t="str">
        <f>"03579068"</f>
        <v>03579068</v>
      </c>
      <c r="C573" t="s">
        <v>4291</v>
      </c>
      <c r="D573" t="s">
        <v>4292</v>
      </c>
      <c r="E573" t="s">
        <v>4293</v>
      </c>
      <c r="G573" t="s">
        <v>2224</v>
      </c>
      <c r="H573" t="s">
        <v>2225</v>
      </c>
      <c r="J573" t="s">
        <v>2226</v>
      </c>
      <c r="L573" t="s">
        <v>72</v>
      </c>
      <c r="M573" t="s">
        <v>73</v>
      </c>
      <c r="R573" t="s">
        <v>4293</v>
      </c>
      <c r="W573" t="s">
        <v>4293</v>
      </c>
      <c r="X573" t="s">
        <v>410</v>
      </c>
      <c r="Y573" t="s">
        <v>91</v>
      </c>
      <c r="Z573" t="s">
        <v>74</v>
      </c>
      <c r="AA573" t="str">
        <f>"10032-1559"</f>
        <v>10032-1559</v>
      </c>
      <c r="AB573" t="s">
        <v>113</v>
      </c>
      <c r="AC573" t="s">
        <v>76</v>
      </c>
      <c r="AD573" t="s">
        <v>73</v>
      </c>
      <c r="AE573" t="s">
        <v>77</v>
      </c>
      <c r="AF573" t="s">
        <v>2254</v>
      </c>
      <c r="AG573" t="s">
        <v>78</v>
      </c>
    </row>
    <row r="574" spans="1:33" hidden="1" x14ac:dyDescent="0.25">
      <c r="A574" t="str">
        <f>"1518061928"</f>
        <v>1518061928</v>
      </c>
      <c r="B574" t="str">
        <f>"02998401"</f>
        <v>02998401</v>
      </c>
      <c r="C574" t="s">
        <v>4294</v>
      </c>
      <c r="D574" t="s">
        <v>3459</v>
      </c>
      <c r="E574" t="s">
        <v>3460</v>
      </c>
      <c r="G574" t="s">
        <v>2224</v>
      </c>
      <c r="H574" t="s">
        <v>2225</v>
      </c>
      <c r="J574" t="s">
        <v>2226</v>
      </c>
      <c r="L574" t="s">
        <v>444</v>
      </c>
      <c r="M574" t="s">
        <v>82</v>
      </c>
      <c r="R574" t="s">
        <v>3461</v>
      </c>
      <c r="W574" t="s">
        <v>3462</v>
      </c>
      <c r="X574" t="s">
        <v>167</v>
      </c>
      <c r="Y574" t="s">
        <v>91</v>
      </c>
      <c r="Z574" t="s">
        <v>74</v>
      </c>
      <c r="AA574" t="str">
        <f>"10032-3720"</f>
        <v>10032-3720</v>
      </c>
      <c r="AB574" t="s">
        <v>90</v>
      </c>
      <c r="AC574" t="s">
        <v>76</v>
      </c>
      <c r="AD574" t="s">
        <v>73</v>
      </c>
      <c r="AE574" t="s">
        <v>77</v>
      </c>
      <c r="AF574" t="s">
        <v>2228</v>
      </c>
      <c r="AG574" t="s">
        <v>78</v>
      </c>
    </row>
    <row r="575" spans="1:33" hidden="1" x14ac:dyDescent="0.25">
      <c r="A575" t="str">
        <f>"1609970011"</f>
        <v>1609970011</v>
      </c>
      <c r="B575" t="str">
        <f>"02998410"</f>
        <v>02998410</v>
      </c>
      <c r="C575" t="s">
        <v>4295</v>
      </c>
      <c r="D575" t="s">
        <v>3459</v>
      </c>
      <c r="E575" t="s">
        <v>3460</v>
      </c>
      <c r="G575" t="s">
        <v>2224</v>
      </c>
      <c r="H575" t="s">
        <v>2225</v>
      </c>
      <c r="J575" t="s">
        <v>2226</v>
      </c>
      <c r="L575" t="s">
        <v>444</v>
      </c>
      <c r="M575" t="s">
        <v>82</v>
      </c>
      <c r="R575" t="s">
        <v>3461</v>
      </c>
      <c r="W575" t="s">
        <v>3462</v>
      </c>
      <c r="X575" t="s">
        <v>167</v>
      </c>
      <c r="Y575" t="s">
        <v>91</v>
      </c>
      <c r="Z575" t="s">
        <v>74</v>
      </c>
      <c r="AA575" t="str">
        <f>"10032-3720"</f>
        <v>10032-3720</v>
      </c>
      <c r="AB575" t="s">
        <v>90</v>
      </c>
      <c r="AC575" t="s">
        <v>76</v>
      </c>
      <c r="AD575" t="s">
        <v>73</v>
      </c>
      <c r="AE575" t="s">
        <v>77</v>
      </c>
      <c r="AF575" t="s">
        <v>2228</v>
      </c>
      <c r="AG575" t="s">
        <v>78</v>
      </c>
    </row>
    <row r="576" spans="1:33" hidden="1" x14ac:dyDescent="0.25">
      <c r="A576" t="str">
        <f>"1255499109"</f>
        <v>1255499109</v>
      </c>
      <c r="B576" t="str">
        <f>"02615236"</f>
        <v>02615236</v>
      </c>
      <c r="C576" t="s">
        <v>4296</v>
      </c>
      <c r="D576" t="s">
        <v>4297</v>
      </c>
      <c r="E576" t="s">
        <v>4298</v>
      </c>
      <c r="G576" t="s">
        <v>2224</v>
      </c>
      <c r="H576" t="s">
        <v>2225</v>
      </c>
      <c r="J576" t="s">
        <v>2226</v>
      </c>
      <c r="L576" t="s">
        <v>81</v>
      </c>
      <c r="M576" t="s">
        <v>82</v>
      </c>
      <c r="R576" t="s">
        <v>4299</v>
      </c>
      <c r="W576" t="s">
        <v>4300</v>
      </c>
      <c r="X576" t="s">
        <v>2115</v>
      </c>
      <c r="Y576" t="s">
        <v>91</v>
      </c>
      <c r="Z576" t="s">
        <v>74</v>
      </c>
      <c r="AA576" t="str">
        <f>"10032-7104"</f>
        <v>10032-7104</v>
      </c>
      <c r="AB576" t="s">
        <v>75</v>
      </c>
      <c r="AC576" t="s">
        <v>76</v>
      </c>
      <c r="AD576" t="s">
        <v>73</v>
      </c>
      <c r="AE576" t="s">
        <v>77</v>
      </c>
      <c r="AF576" t="s">
        <v>2254</v>
      </c>
      <c r="AG576" t="s">
        <v>78</v>
      </c>
    </row>
    <row r="577" spans="1:33" hidden="1" x14ac:dyDescent="0.25">
      <c r="A577" t="str">
        <f>"1265871008"</f>
        <v>1265871008</v>
      </c>
      <c r="B577" t="str">
        <f>"03688406"</f>
        <v>03688406</v>
      </c>
      <c r="C577" t="s">
        <v>4301</v>
      </c>
      <c r="D577" t="s">
        <v>1368</v>
      </c>
      <c r="E577" t="s">
        <v>1369</v>
      </c>
      <c r="G577" t="s">
        <v>2224</v>
      </c>
      <c r="H577" t="s">
        <v>2225</v>
      </c>
      <c r="J577" t="s">
        <v>2226</v>
      </c>
      <c r="L577" t="s">
        <v>72</v>
      </c>
      <c r="M577" t="s">
        <v>73</v>
      </c>
      <c r="R577" t="s">
        <v>1369</v>
      </c>
      <c r="W577" t="s">
        <v>1370</v>
      </c>
      <c r="X577" t="s">
        <v>170</v>
      </c>
      <c r="Y577" t="s">
        <v>91</v>
      </c>
      <c r="Z577" t="s">
        <v>74</v>
      </c>
      <c r="AA577" t="str">
        <f>"10065-4870"</f>
        <v>10065-4870</v>
      </c>
      <c r="AB577" t="s">
        <v>75</v>
      </c>
      <c r="AC577" t="s">
        <v>76</v>
      </c>
      <c r="AD577" t="s">
        <v>73</v>
      </c>
      <c r="AE577" t="s">
        <v>77</v>
      </c>
      <c r="AF577" t="s">
        <v>2254</v>
      </c>
      <c r="AG577" t="s">
        <v>78</v>
      </c>
    </row>
    <row r="578" spans="1:33" hidden="1" x14ac:dyDescent="0.25">
      <c r="A578" t="str">
        <f>"1396025953"</f>
        <v>1396025953</v>
      </c>
      <c r="B578" t="str">
        <f>"03384172"</f>
        <v>03384172</v>
      </c>
      <c r="C578" t="s">
        <v>4302</v>
      </c>
      <c r="D578" t="s">
        <v>4303</v>
      </c>
      <c r="E578" t="s">
        <v>4304</v>
      </c>
      <c r="G578" t="s">
        <v>2224</v>
      </c>
      <c r="H578" t="s">
        <v>2225</v>
      </c>
      <c r="J578" t="s">
        <v>2226</v>
      </c>
      <c r="L578" t="s">
        <v>72</v>
      </c>
      <c r="M578" t="s">
        <v>73</v>
      </c>
      <c r="R578" t="s">
        <v>4305</v>
      </c>
      <c r="W578" t="s">
        <v>4304</v>
      </c>
      <c r="X578" t="s">
        <v>410</v>
      </c>
      <c r="Y578" t="s">
        <v>91</v>
      </c>
      <c r="Z578" t="s">
        <v>74</v>
      </c>
      <c r="AA578" t="str">
        <f>"10032-1559"</f>
        <v>10032-1559</v>
      </c>
      <c r="AB578" t="s">
        <v>113</v>
      </c>
      <c r="AC578" t="s">
        <v>76</v>
      </c>
      <c r="AD578" t="s">
        <v>73</v>
      </c>
      <c r="AE578" t="s">
        <v>77</v>
      </c>
      <c r="AF578" t="s">
        <v>2254</v>
      </c>
      <c r="AG578" t="s">
        <v>78</v>
      </c>
    </row>
    <row r="579" spans="1:33" hidden="1" x14ac:dyDescent="0.25">
      <c r="A579" t="str">
        <f>"1396718284"</f>
        <v>1396718284</v>
      </c>
      <c r="B579" t="str">
        <f>"03835816"</f>
        <v>03835816</v>
      </c>
      <c r="C579" t="s">
        <v>4306</v>
      </c>
      <c r="D579" t="s">
        <v>4307</v>
      </c>
      <c r="E579" t="s">
        <v>4308</v>
      </c>
      <c r="G579" t="s">
        <v>2224</v>
      </c>
      <c r="H579" t="s">
        <v>2225</v>
      </c>
      <c r="J579" t="s">
        <v>2226</v>
      </c>
      <c r="L579" t="s">
        <v>80</v>
      </c>
      <c r="M579" t="s">
        <v>73</v>
      </c>
      <c r="R579" t="s">
        <v>4309</v>
      </c>
      <c r="W579" t="s">
        <v>4310</v>
      </c>
      <c r="X579" t="s">
        <v>628</v>
      </c>
      <c r="Y579" t="s">
        <v>91</v>
      </c>
      <c r="Z579" t="s">
        <v>74</v>
      </c>
      <c r="AA579" t="str">
        <f>"10021-4872"</f>
        <v>10021-4872</v>
      </c>
      <c r="AB579" t="s">
        <v>75</v>
      </c>
      <c r="AC579" t="s">
        <v>76</v>
      </c>
      <c r="AD579" t="s">
        <v>73</v>
      </c>
      <c r="AE579" t="s">
        <v>77</v>
      </c>
      <c r="AF579" t="s">
        <v>2242</v>
      </c>
      <c r="AG579" t="s">
        <v>78</v>
      </c>
    </row>
    <row r="580" spans="1:33" hidden="1" x14ac:dyDescent="0.25">
      <c r="A580" t="str">
        <f>"1831288158"</f>
        <v>1831288158</v>
      </c>
      <c r="B580" t="str">
        <f>"01612995"</f>
        <v>01612995</v>
      </c>
      <c r="C580" t="s">
        <v>4311</v>
      </c>
      <c r="D580" t="s">
        <v>4312</v>
      </c>
      <c r="E580" t="s">
        <v>4313</v>
      </c>
      <c r="G580" t="s">
        <v>2224</v>
      </c>
      <c r="H580" t="s">
        <v>2225</v>
      </c>
      <c r="J580" t="s">
        <v>2226</v>
      </c>
      <c r="L580" t="s">
        <v>80</v>
      </c>
      <c r="M580" t="s">
        <v>73</v>
      </c>
      <c r="R580" t="s">
        <v>4314</v>
      </c>
      <c r="W580" t="s">
        <v>4313</v>
      </c>
      <c r="X580" t="s">
        <v>1152</v>
      </c>
      <c r="Y580" t="s">
        <v>1139</v>
      </c>
      <c r="Z580" t="s">
        <v>74</v>
      </c>
      <c r="AA580" t="str">
        <f>"14432-1122"</f>
        <v>14432-1122</v>
      </c>
      <c r="AB580" t="s">
        <v>75</v>
      </c>
      <c r="AC580" t="s">
        <v>76</v>
      </c>
      <c r="AD580" t="s">
        <v>73</v>
      </c>
      <c r="AE580" t="s">
        <v>77</v>
      </c>
      <c r="AF580" t="s">
        <v>2254</v>
      </c>
      <c r="AG580" t="s">
        <v>78</v>
      </c>
    </row>
    <row r="581" spans="1:33" hidden="1" x14ac:dyDescent="0.25">
      <c r="A581" t="str">
        <f>"1235100173"</f>
        <v>1235100173</v>
      </c>
      <c r="B581" t="str">
        <f>"01507271"</f>
        <v>01507271</v>
      </c>
      <c r="C581" t="s">
        <v>4315</v>
      </c>
      <c r="D581" t="s">
        <v>1393</v>
      </c>
      <c r="E581" t="s">
        <v>1394</v>
      </c>
      <c r="G581" t="s">
        <v>2224</v>
      </c>
      <c r="H581" t="s">
        <v>2225</v>
      </c>
      <c r="J581" t="s">
        <v>2226</v>
      </c>
      <c r="L581" t="s">
        <v>88</v>
      </c>
      <c r="M581" t="s">
        <v>82</v>
      </c>
      <c r="R581" t="s">
        <v>1395</v>
      </c>
      <c r="W581" t="s">
        <v>1394</v>
      </c>
      <c r="X581" t="s">
        <v>1396</v>
      </c>
      <c r="Y581" t="s">
        <v>91</v>
      </c>
      <c r="Z581" t="s">
        <v>74</v>
      </c>
      <c r="AA581" t="str">
        <f>"10032-3720"</f>
        <v>10032-3720</v>
      </c>
      <c r="AB581" t="s">
        <v>75</v>
      </c>
      <c r="AC581" t="s">
        <v>76</v>
      </c>
      <c r="AD581" t="s">
        <v>73</v>
      </c>
      <c r="AE581" t="s">
        <v>77</v>
      </c>
      <c r="AF581" t="s">
        <v>2228</v>
      </c>
      <c r="AG581" t="s">
        <v>78</v>
      </c>
    </row>
    <row r="582" spans="1:33" hidden="1" x14ac:dyDescent="0.25">
      <c r="A582" t="str">
        <f>"1235196452"</f>
        <v>1235196452</v>
      </c>
      <c r="B582" t="str">
        <f>"03276868"</f>
        <v>03276868</v>
      </c>
      <c r="C582" t="s">
        <v>4316</v>
      </c>
      <c r="D582" t="s">
        <v>4317</v>
      </c>
      <c r="E582" t="s">
        <v>1569</v>
      </c>
      <c r="G582" t="s">
        <v>2224</v>
      </c>
      <c r="H582" t="s">
        <v>2225</v>
      </c>
      <c r="J582" t="s">
        <v>2226</v>
      </c>
      <c r="L582" t="s">
        <v>72</v>
      </c>
      <c r="M582" t="s">
        <v>73</v>
      </c>
      <c r="R582" t="s">
        <v>1970</v>
      </c>
      <c r="W582" t="s">
        <v>1569</v>
      </c>
      <c r="X582" t="s">
        <v>4318</v>
      </c>
      <c r="Y582" t="s">
        <v>1760</v>
      </c>
      <c r="Z582" t="s">
        <v>139</v>
      </c>
      <c r="AA582" t="str">
        <f>"07013-3520"</f>
        <v>07013-3520</v>
      </c>
      <c r="AB582" t="s">
        <v>75</v>
      </c>
      <c r="AC582" t="s">
        <v>76</v>
      </c>
      <c r="AD582" t="s">
        <v>73</v>
      </c>
      <c r="AE582" t="s">
        <v>77</v>
      </c>
      <c r="AF582" t="s">
        <v>2254</v>
      </c>
      <c r="AG582" t="s">
        <v>78</v>
      </c>
    </row>
    <row r="583" spans="1:33" hidden="1" x14ac:dyDescent="0.25">
      <c r="A583" t="str">
        <f>"1447308945"</f>
        <v>1447308945</v>
      </c>
      <c r="B583" t="str">
        <f>"01208566"</f>
        <v>01208566</v>
      </c>
      <c r="C583" t="s">
        <v>4319</v>
      </c>
      <c r="D583" t="s">
        <v>440</v>
      </c>
      <c r="E583" t="s">
        <v>441</v>
      </c>
      <c r="G583" t="s">
        <v>2224</v>
      </c>
      <c r="H583" t="s">
        <v>2225</v>
      </c>
      <c r="J583" t="s">
        <v>2226</v>
      </c>
      <c r="L583" t="s">
        <v>80</v>
      </c>
      <c r="M583" t="s">
        <v>73</v>
      </c>
      <c r="R583" t="s">
        <v>442</v>
      </c>
      <c r="W583" t="s">
        <v>441</v>
      </c>
      <c r="X583" t="s">
        <v>443</v>
      </c>
      <c r="Y583" t="s">
        <v>118</v>
      </c>
      <c r="Z583" t="s">
        <v>74</v>
      </c>
      <c r="AA583" t="str">
        <f>"10455-2726"</f>
        <v>10455-2726</v>
      </c>
      <c r="AB583" t="s">
        <v>75</v>
      </c>
      <c r="AC583" t="s">
        <v>76</v>
      </c>
      <c r="AD583" t="s">
        <v>73</v>
      </c>
      <c r="AE583" t="s">
        <v>77</v>
      </c>
      <c r="AF583" t="s">
        <v>2228</v>
      </c>
      <c r="AG583" t="s">
        <v>78</v>
      </c>
    </row>
    <row r="584" spans="1:33" hidden="1" x14ac:dyDescent="0.25">
      <c r="A584" t="str">
        <f>"1447309240"</f>
        <v>1447309240</v>
      </c>
      <c r="B584" t="str">
        <f>"00592416"</f>
        <v>00592416</v>
      </c>
      <c r="C584" t="s">
        <v>4320</v>
      </c>
      <c r="D584" t="s">
        <v>4321</v>
      </c>
      <c r="E584" t="s">
        <v>4322</v>
      </c>
      <c r="G584" t="s">
        <v>2224</v>
      </c>
      <c r="H584" t="s">
        <v>2225</v>
      </c>
      <c r="J584" t="s">
        <v>2226</v>
      </c>
      <c r="L584" t="s">
        <v>72</v>
      </c>
      <c r="M584" t="s">
        <v>73</v>
      </c>
      <c r="R584" t="s">
        <v>4323</v>
      </c>
      <c r="W584" t="s">
        <v>4322</v>
      </c>
      <c r="X584" t="s">
        <v>1584</v>
      </c>
      <c r="Y584" t="s">
        <v>91</v>
      </c>
      <c r="Z584" t="s">
        <v>74</v>
      </c>
      <c r="AA584" t="str">
        <f>"10032-3720"</f>
        <v>10032-3720</v>
      </c>
      <c r="AB584" t="s">
        <v>75</v>
      </c>
      <c r="AC584" t="s">
        <v>76</v>
      </c>
      <c r="AD584" t="s">
        <v>73</v>
      </c>
      <c r="AE584" t="s">
        <v>77</v>
      </c>
      <c r="AF584" t="s">
        <v>2228</v>
      </c>
      <c r="AG584" t="s">
        <v>78</v>
      </c>
    </row>
    <row r="585" spans="1:33" hidden="1" x14ac:dyDescent="0.25">
      <c r="A585" t="str">
        <f>"1992892061"</f>
        <v>1992892061</v>
      </c>
      <c r="B585" t="str">
        <f>"00818593"</f>
        <v>00818593</v>
      </c>
      <c r="C585" t="s">
        <v>4324</v>
      </c>
      <c r="D585" t="s">
        <v>4325</v>
      </c>
      <c r="E585" t="s">
        <v>4326</v>
      </c>
      <c r="G585" t="s">
        <v>2224</v>
      </c>
      <c r="H585" t="s">
        <v>2225</v>
      </c>
      <c r="J585" t="s">
        <v>2226</v>
      </c>
      <c r="L585" t="s">
        <v>80</v>
      </c>
      <c r="M585" t="s">
        <v>73</v>
      </c>
      <c r="R585" t="s">
        <v>4327</v>
      </c>
      <c r="W585" t="s">
        <v>4326</v>
      </c>
      <c r="X585" t="s">
        <v>170</v>
      </c>
      <c r="Y585" t="s">
        <v>91</v>
      </c>
      <c r="Z585" t="s">
        <v>74</v>
      </c>
      <c r="AA585" t="str">
        <f>"10065-4870"</f>
        <v>10065-4870</v>
      </c>
      <c r="AB585" t="s">
        <v>75</v>
      </c>
      <c r="AC585" t="s">
        <v>76</v>
      </c>
      <c r="AD585" t="s">
        <v>73</v>
      </c>
      <c r="AE585" t="s">
        <v>77</v>
      </c>
      <c r="AF585" t="s">
        <v>2242</v>
      </c>
      <c r="AG585" t="s">
        <v>78</v>
      </c>
    </row>
    <row r="586" spans="1:33" hidden="1" x14ac:dyDescent="0.25">
      <c r="A586" t="str">
        <f>"1730108754"</f>
        <v>1730108754</v>
      </c>
      <c r="B586" t="str">
        <f>"02885096"</f>
        <v>02885096</v>
      </c>
      <c r="C586" t="s">
        <v>4328</v>
      </c>
      <c r="D586" t="s">
        <v>4329</v>
      </c>
      <c r="E586" t="s">
        <v>4330</v>
      </c>
      <c r="G586" t="s">
        <v>2224</v>
      </c>
      <c r="H586" t="s">
        <v>2225</v>
      </c>
      <c r="J586" t="s">
        <v>2226</v>
      </c>
      <c r="L586" t="s">
        <v>72</v>
      </c>
      <c r="M586" t="s">
        <v>73</v>
      </c>
      <c r="R586" t="s">
        <v>4331</v>
      </c>
      <c r="W586" t="s">
        <v>4330</v>
      </c>
      <c r="X586" t="s">
        <v>4332</v>
      </c>
      <c r="Y586" t="s">
        <v>91</v>
      </c>
      <c r="Z586" t="s">
        <v>74</v>
      </c>
      <c r="AA586" t="str">
        <f>"10032"</f>
        <v>10032</v>
      </c>
      <c r="AB586" t="s">
        <v>75</v>
      </c>
      <c r="AC586" t="s">
        <v>76</v>
      </c>
      <c r="AD586" t="s">
        <v>73</v>
      </c>
      <c r="AE586" t="s">
        <v>77</v>
      </c>
      <c r="AF586" t="s">
        <v>2254</v>
      </c>
      <c r="AG586" t="s">
        <v>78</v>
      </c>
    </row>
    <row r="587" spans="1:33" hidden="1" x14ac:dyDescent="0.25">
      <c r="A587" t="str">
        <f>"1881873891"</f>
        <v>1881873891</v>
      </c>
      <c r="B587" t="str">
        <f>"03159639"</f>
        <v>03159639</v>
      </c>
      <c r="C587" t="s">
        <v>4333</v>
      </c>
      <c r="D587" t="s">
        <v>4334</v>
      </c>
      <c r="E587" t="s">
        <v>4335</v>
      </c>
      <c r="G587" t="s">
        <v>2224</v>
      </c>
      <c r="H587" t="s">
        <v>2225</v>
      </c>
      <c r="J587" t="s">
        <v>2226</v>
      </c>
      <c r="L587" t="s">
        <v>72</v>
      </c>
      <c r="M587" t="s">
        <v>73</v>
      </c>
      <c r="R587" t="s">
        <v>4336</v>
      </c>
      <c r="W587" t="s">
        <v>4335</v>
      </c>
      <c r="X587" t="s">
        <v>183</v>
      </c>
      <c r="Y587" t="s">
        <v>91</v>
      </c>
      <c r="Z587" t="s">
        <v>74</v>
      </c>
      <c r="AA587" t="str">
        <f>"10032-3729"</f>
        <v>10032-3729</v>
      </c>
      <c r="AB587" t="s">
        <v>75</v>
      </c>
      <c r="AC587" t="s">
        <v>76</v>
      </c>
      <c r="AD587" t="s">
        <v>73</v>
      </c>
      <c r="AE587" t="s">
        <v>77</v>
      </c>
      <c r="AF587" t="s">
        <v>2254</v>
      </c>
      <c r="AG587" t="s">
        <v>78</v>
      </c>
    </row>
    <row r="588" spans="1:33" hidden="1" x14ac:dyDescent="0.25">
      <c r="A588" t="str">
        <f>"1881903003"</f>
        <v>1881903003</v>
      </c>
      <c r="B588" t="str">
        <f>"03546036"</f>
        <v>03546036</v>
      </c>
      <c r="C588" t="s">
        <v>4337</v>
      </c>
      <c r="D588" t="s">
        <v>4338</v>
      </c>
      <c r="E588" t="s">
        <v>4339</v>
      </c>
      <c r="G588" t="s">
        <v>2224</v>
      </c>
      <c r="H588" t="s">
        <v>2225</v>
      </c>
      <c r="J588" t="s">
        <v>2226</v>
      </c>
      <c r="L588" t="s">
        <v>72</v>
      </c>
      <c r="M588" t="s">
        <v>73</v>
      </c>
      <c r="R588" t="s">
        <v>4340</v>
      </c>
      <c r="W588" t="s">
        <v>4341</v>
      </c>
      <c r="X588" t="s">
        <v>1784</v>
      </c>
      <c r="Y588" t="s">
        <v>91</v>
      </c>
      <c r="Z588" t="s">
        <v>74</v>
      </c>
      <c r="AA588" t="str">
        <f>"10032-3724"</f>
        <v>10032-3724</v>
      </c>
      <c r="AB588" t="s">
        <v>113</v>
      </c>
      <c r="AC588" t="s">
        <v>76</v>
      </c>
      <c r="AD588" t="s">
        <v>73</v>
      </c>
      <c r="AE588" t="s">
        <v>77</v>
      </c>
      <c r="AF588" t="s">
        <v>2228</v>
      </c>
      <c r="AG588" t="s">
        <v>78</v>
      </c>
    </row>
    <row r="589" spans="1:33" hidden="1" x14ac:dyDescent="0.25">
      <c r="A589" t="str">
        <f>"1881970119"</f>
        <v>1881970119</v>
      </c>
      <c r="B589" t="str">
        <f>"03393780"</f>
        <v>03393780</v>
      </c>
      <c r="C589" t="s">
        <v>4342</v>
      </c>
      <c r="D589" t="s">
        <v>4343</v>
      </c>
      <c r="E589" t="s">
        <v>4344</v>
      </c>
      <c r="G589" t="s">
        <v>2224</v>
      </c>
      <c r="H589" t="s">
        <v>2225</v>
      </c>
      <c r="J589" t="s">
        <v>2226</v>
      </c>
      <c r="L589" t="s">
        <v>72</v>
      </c>
      <c r="M589" t="s">
        <v>73</v>
      </c>
      <c r="R589" t="s">
        <v>4344</v>
      </c>
      <c r="W589" t="s">
        <v>4345</v>
      </c>
      <c r="X589" t="s">
        <v>167</v>
      </c>
      <c r="Y589" t="s">
        <v>91</v>
      </c>
      <c r="Z589" t="s">
        <v>74</v>
      </c>
      <c r="AA589" t="str">
        <f>"10032-3720"</f>
        <v>10032-3720</v>
      </c>
      <c r="AB589" t="s">
        <v>122</v>
      </c>
      <c r="AC589" t="s">
        <v>76</v>
      </c>
      <c r="AD589" t="s">
        <v>73</v>
      </c>
      <c r="AE589" t="s">
        <v>77</v>
      </c>
      <c r="AF589" t="s">
        <v>2228</v>
      </c>
      <c r="AG589" t="s">
        <v>78</v>
      </c>
    </row>
    <row r="590" spans="1:33" hidden="1" x14ac:dyDescent="0.25">
      <c r="B590" t="str">
        <f>"02256031"</f>
        <v>02256031</v>
      </c>
      <c r="C590" t="s">
        <v>326</v>
      </c>
      <c r="D590" t="s">
        <v>327</v>
      </c>
      <c r="E590" t="s">
        <v>328</v>
      </c>
      <c r="L590" t="s">
        <v>36</v>
      </c>
      <c r="M590" t="s">
        <v>82</v>
      </c>
      <c r="W590" t="s">
        <v>326</v>
      </c>
      <c r="X590" t="s">
        <v>1869</v>
      </c>
      <c r="Y590" t="s">
        <v>91</v>
      </c>
      <c r="Z590" t="s">
        <v>74</v>
      </c>
      <c r="AA590" t="str">
        <f>"10003-2332"</f>
        <v>10003-2332</v>
      </c>
      <c r="AB590" t="s">
        <v>92</v>
      </c>
      <c r="AC590" t="s">
        <v>76</v>
      </c>
      <c r="AD590" t="s">
        <v>73</v>
      </c>
      <c r="AE590" t="s">
        <v>77</v>
      </c>
      <c r="AF590" t="s">
        <v>2254</v>
      </c>
      <c r="AG590" t="s">
        <v>78</v>
      </c>
    </row>
    <row r="591" spans="1:33" hidden="1" x14ac:dyDescent="0.25">
      <c r="A591" t="str">
        <f>"1417261298"</f>
        <v>1417261298</v>
      </c>
      <c r="C591" t="s">
        <v>279</v>
      </c>
      <c r="G591" t="s">
        <v>4346</v>
      </c>
      <c r="H591" t="s">
        <v>248</v>
      </c>
      <c r="I591">
        <v>2604</v>
      </c>
      <c r="J591" t="s">
        <v>283</v>
      </c>
      <c r="K591" t="s">
        <v>9</v>
      </c>
      <c r="L591" t="s">
        <v>96</v>
      </c>
      <c r="M591" t="s">
        <v>73</v>
      </c>
      <c r="R591" t="s">
        <v>284</v>
      </c>
      <c r="S591" t="s">
        <v>2121</v>
      </c>
      <c r="T591" t="s">
        <v>91</v>
      </c>
      <c r="U591" t="s">
        <v>74</v>
      </c>
      <c r="V591" t="str">
        <f>"100134135"</f>
        <v>100134135</v>
      </c>
      <c r="AC591" t="s">
        <v>76</v>
      </c>
      <c r="AD591" t="s">
        <v>73</v>
      </c>
      <c r="AE591" t="s">
        <v>97</v>
      </c>
      <c r="AF591" t="s">
        <v>2319</v>
      </c>
      <c r="AG591" t="s">
        <v>78</v>
      </c>
    </row>
    <row r="592" spans="1:33" hidden="1" x14ac:dyDescent="0.25">
      <c r="A592" t="str">
        <f>"1093094732"</f>
        <v>1093094732</v>
      </c>
      <c r="B592" t="str">
        <f>"03625216"</f>
        <v>03625216</v>
      </c>
      <c r="C592" t="s">
        <v>4347</v>
      </c>
      <c r="D592" t="s">
        <v>4348</v>
      </c>
      <c r="E592" t="s">
        <v>4349</v>
      </c>
      <c r="L592" t="s">
        <v>72</v>
      </c>
      <c r="M592" t="s">
        <v>73</v>
      </c>
      <c r="R592" t="s">
        <v>4350</v>
      </c>
      <c r="W592" t="s">
        <v>4351</v>
      </c>
      <c r="X592" t="s">
        <v>170</v>
      </c>
      <c r="Y592" t="s">
        <v>91</v>
      </c>
      <c r="Z592" t="s">
        <v>74</v>
      </c>
      <c r="AA592" t="str">
        <f>"10065-4870"</f>
        <v>10065-4870</v>
      </c>
      <c r="AB592" t="s">
        <v>75</v>
      </c>
      <c r="AC592" t="s">
        <v>76</v>
      </c>
      <c r="AD592" t="s">
        <v>73</v>
      </c>
      <c r="AE592" t="s">
        <v>77</v>
      </c>
      <c r="AF592" t="s">
        <v>2242</v>
      </c>
      <c r="AG592" t="s">
        <v>78</v>
      </c>
    </row>
    <row r="593" spans="1:33" hidden="1" x14ac:dyDescent="0.25">
      <c r="A593" t="str">
        <f>"1760649180"</f>
        <v>1760649180</v>
      </c>
      <c r="B593" t="str">
        <f>"03565400"</f>
        <v>03565400</v>
      </c>
      <c r="C593" t="s">
        <v>4352</v>
      </c>
      <c r="D593" t="s">
        <v>4353</v>
      </c>
      <c r="E593" t="s">
        <v>4354</v>
      </c>
      <c r="G593" t="s">
        <v>2224</v>
      </c>
      <c r="H593" t="s">
        <v>2225</v>
      </c>
      <c r="J593" t="s">
        <v>2226</v>
      </c>
      <c r="L593" t="s">
        <v>80</v>
      </c>
      <c r="M593" t="s">
        <v>73</v>
      </c>
      <c r="R593" t="s">
        <v>4355</v>
      </c>
      <c r="W593" t="s">
        <v>4354</v>
      </c>
      <c r="X593" t="s">
        <v>1583</v>
      </c>
      <c r="Y593" t="s">
        <v>91</v>
      </c>
      <c r="Z593" t="s">
        <v>74</v>
      </c>
      <c r="AA593" t="str">
        <f>"10021-9800"</f>
        <v>10021-9800</v>
      </c>
      <c r="AB593" t="s">
        <v>75</v>
      </c>
      <c r="AC593" t="s">
        <v>76</v>
      </c>
      <c r="AD593" t="s">
        <v>73</v>
      </c>
      <c r="AE593" t="s">
        <v>77</v>
      </c>
      <c r="AF593" t="s">
        <v>2398</v>
      </c>
      <c r="AG593" t="s">
        <v>78</v>
      </c>
    </row>
    <row r="594" spans="1:33" hidden="1" x14ac:dyDescent="0.25">
      <c r="A594" t="str">
        <f>"1487869814"</f>
        <v>1487869814</v>
      </c>
      <c r="B594" t="str">
        <f>"02448837"</f>
        <v>02448837</v>
      </c>
      <c r="C594" t="s">
        <v>4356</v>
      </c>
      <c r="D594" t="s">
        <v>4357</v>
      </c>
      <c r="E594" t="s">
        <v>4358</v>
      </c>
      <c r="G594" t="s">
        <v>2514</v>
      </c>
      <c r="H594" t="s">
        <v>4359</v>
      </c>
      <c r="J594" t="s">
        <v>2516</v>
      </c>
      <c r="L594" t="s">
        <v>96</v>
      </c>
      <c r="M594" t="s">
        <v>73</v>
      </c>
      <c r="R594" t="s">
        <v>4360</v>
      </c>
      <c r="W594" t="s">
        <v>4358</v>
      </c>
      <c r="X594" t="s">
        <v>1929</v>
      </c>
      <c r="Y594" t="s">
        <v>91</v>
      </c>
      <c r="Z594" t="s">
        <v>74</v>
      </c>
      <c r="AA594" t="str">
        <f>"10032-4207"</f>
        <v>10032-4207</v>
      </c>
      <c r="AB594" t="s">
        <v>106</v>
      </c>
      <c r="AC594" t="s">
        <v>76</v>
      </c>
      <c r="AD594" t="s">
        <v>73</v>
      </c>
      <c r="AE594" t="s">
        <v>77</v>
      </c>
      <c r="AF594" t="s">
        <v>2518</v>
      </c>
      <c r="AG594" t="s">
        <v>78</v>
      </c>
    </row>
    <row r="595" spans="1:33" hidden="1" x14ac:dyDescent="0.25">
      <c r="A595" t="str">
        <f>"1023327640"</f>
        <v>1023327640</v>
      </c>
      <c r="B595" t="str">
        <f>"03658179"</f>
        <v>03658179</v>
      </c>
      <c r="C595" t="s">
        <v>4361</v>
      </c>
      <c r="D595" t="s">
        <v>4362</v>
      </c>
      <c r="E595" t="s">
        <v>4363</v>
      </c>
      <c r="G595" t="s">
        <v>2514</v>
      </c>
      <c r="H595" t="s">
        <v>4364</v>
      </c>
      <c r="J595" t="s">
        <v>2516</v>
      </c>
      <c r="L595" t="s">
        <v>96</v>
      </c>
      <c r="M595" t="s">
        <v>73</v>
      </c>
      <c r="R595" t="s">
        <v>4365</v>
      </c>
      <c r="W595" t="s">
        <v>4363</v>
      </c>
      <c r="X595" t="s">
        <v>1929</v>
      </c>
      <c r="Y595" t="s">
        <v>91</v>
      </c>
      <c r="Z595" t="s">
        <v>74</v>
      </c>
      <c r="AA595" t="str">
        <f>"10032-4207"</f>
        <v>10032-4207</v>
      </c>
      <c r="AB595" t="s">
        <v>107</v>
      </c>
      <c r="AC595" t="s">
        <v>76</v>
      </c>
      <c r="AD595" t="s">
        <v>73</v>
      </c>
      <c r="AE595" t="s">
        <v>77</v>
      </c>
      <c r="AF595" t="s">
        <v>2518</v>
      </c>
      <c r="AG595" t="s">
        <v>78</v>
      </c>
    </row>
    <row r="596" spans="1:33" hidden="1" x14ac:dyDescent="0.25">
      <c r="A596" t="str">
        <f>"1356355507"</f>
        <v>1356355507</v>
      </c>
      <c r="B596" t="str">
        <f>"02386345"</f>
        <v>02386345</v>
      </c>
      <c r="C596" t="s">
        <v>4366</v>
      </c>
      <c r="D596" t="s">
        <v>4367</v>
      </c>
      <c r="E596" t="s">
        <v>4368</v>
      </c>
      <c r="L596" t="s">
        <v>80</v>
      </c>
      <c r="M596" t="s">
        <v>73</v>
      </c>
      <c r="R596" t="s">
        <v>4369</v>
      </c>
      <c r="W596" t="s">
        <v>4368</v>
      </c>
      <c r="X596" t="s">
        <v>4370</v>
      </c>
      <c r="Y596" t="s">
        <v>91</v>
      </c>
      <c r="Z596" t="s">
        <v>74</v>
      </c>
      <c r="AA596" t="str">
        <f>"10032-3720"</f>
        <v>10032-3720</v>
      </c>
      <c r="AB596" t="s">
        <v>75</v>
      </c>
      <c r="AC596" t="s">
        <v>76</v>
      </c>
      <c r="AD596" t="s">
        <v>73</v>
      </c>
      <c r="AE596" t="s">
        <v>77</v>
      </c>
      <c r="AF596" t="s">
        <v>2242</v>
      </c>
      <c r="AG596" t="s">
        <v>78</v>
      </c>
    </row>
    <row r="597" spans="1:33" x14ac:dyDescent="0.25">
      <c r="A597" t="str">
        <f>"1689844458"</f>
        <v>1689844458</v>
      </c>
      <c r="C597" t="s">
        <v>4371</v>
      </c>
      <c r="K597" t="s">
        <v>36</v>
      </c>
      <c r="L597" t="s">
        <v>96</v>
      </c>
      <c r="M597" t="s">
        <v>73</v>
      </c>
      <c r="R597" t="s">
        <v>4371</v>
      </c>
      <c r="S597" t="s">
        <v>4372</v>
      </c>
      <c r="T597" t="s">
        <v>91</v>
      </c>
      <c r="U597" t="s">
        <v>74</v>
      </c>
      <c r="V597" t="str">
        <f>"100215663"</f>
        <v>100215663</v>
      </c>
      <c r="AC597" t="s">
        <v>76</v>
      </c>
      <c r="AD597" t="s">
        <v>73</v>
      </c>
      <c r="AE597" t="s">
        <v>97</v>
      </c>
      <c r="AF597" t="s">
        <v>2254</v>
      </c>
      <c r="AG597" t="s">
        <v>78</v>
      </c>
    </row>
    <row r="598" spans="1:33" hidden="1" x14ac:dyDescent="0.25">
      <c r="A598" t="str">
        <f>"1952498024"</f>
        <v>1952498024</v>
      </c>
      <c r="B598" t="str">
        <f>"00947306"</f>
        <v>00947306</v>
      </c>
      <c r="C598" t="s">
        <v>4373</v>
      </c>
      <c r="D598" t="s">
        <v>4374</v>
      </c>
      <c r="E598" t="s">
        <v>4375</v>
      </c>
      <c r="G598" t="s">
        <v>2224</v>
      </c>
      <c r="H598" t="s">
        <v>2225</v>
      </c>
      <c r="J598" t="s">
        <v>2226</v>
      </c>
      <c r="L598" t="s">
        <v>81</v>
      </c>
      <c r="M598" t="s">
        <v>73</v>
      </c>
      <c r="R598" t="s">
        <v>4376</v>
      </c>
      <c r="W598" t="s">
        <v>4375</v>
      </c>
      <c r="X598" t="s">
        <v>628</v>
      </c>
      <c r="Y598" t="s">
        <v>91</v>
      </c>
      <c r="Z598" t="s">
        <v>74</v>
      </c>
      <c r="AA598" t="str">
        <f>"10021-4872"</f>
        <v>10021-4872</v>
      </c>
      <c r="AB598" t="s">
        <v>75</v>
      </c>
      <c r="AC598" t="s">
        <v>76</v>
      </c>
      <c r="AD598" t="s">
        <v>73</v>
      </c>
      <c r="AE598" t="s">
        <v>77</v>
      </c>
      <c r="AF598" t="s">
        <v>2242</v>
      </c>
      <c r="AG598" t="s">
        <v>78</v>
      </c>
    </row>
    <row r="599" spans="1:33" hidden="1" x14ac:dyDescent="0.25">
      <c r="A599" t="str">
        <f>"1568408771"</f>
        <v>1568408771</v>
      </c>
      <c r="B599" t="str">
        <f>"01884519"</f>
        <v>01884519</v>
      </c>
      <c r="C599" t="s">
        <v>4377</v>
      </c>
      <c r="D599" t="s">
        <v>4378</v>
      </c>
      <c r="E599" t="s">
        <v>4379</v>
      </c>
      <c r="L599" t="s">
        <v>80</v>
      </c>
      <c r="M599" t="s">
        <v>73</v>
      </c>
      <c r="R599" t="s">
        <v>4380</v>
      </c>
      <c r="W599" t="s">
        <v>4379</v>
      </c>
      <c r="X599" t="s">
        <v>2365</v>
      </c>
      <c r="Y599" t="s">
        <v>91</v>
      </c>
      <c r="Z599" t="s">
        <v>74</v>
      </c>
      <c r="AA599" t="str">
        <f>"10065-4870"</f>
        <v>10065-4870</v>
      </c>
      <c r="AB599" t="s">
        <v>75</v>
      </c>
      <c r="AC599" t="s">
        <v>76</v>
      </c>
      <c r="AD599" t="s">
        <v>73</v>
      </c>
      <c r="AE599" t="s">
        <v>77</v>
      </c>
      <c r="AF599" t="s">
        <v>2242</v>
      </c>
      <c r="AG599" t="s">
        <v>78</v>
      </c>
    </row>
    <row r="600" spans="1:33" hidden="1" x14ac:dyDescent="0.25">
      <c r="A600" t="str">
        <f>"1710313580"</f>
        <v>1710313580</v>
      </c>
      <c r="B600" t="str">
        <f>"03743780"</f>
        <v>03743780</v>
      </c>
      <c r="C600" t="s">
        <v>4381</v>
      </c>
      <c r="D600" t="s">
        <v>4382</v>
      </c>
      <c r="E600" t="s">
        <v>4383</v>
      </c>
      <c r="G600" t="s">
        <v>2224</v>
      </c>
      <c r="H600" t="s">
        <v>2225</v>
      </c>
      <c r="J600" t="s">
        <v>2226</v>
      </c>
      <c r="L600" t="s">
        <v>72</v>
      </c>
      <c r="M600" t="s">
        <v>73</v>
      </c>
      <c r="R600" t="s">
        <v>4383</v>
      </c>
      <c r="W600" t="s">
        <v>4383</v>
      </c>
      <c r="X600" t="s">
        <v>4384</v>
      </c>
      <c r="Y600" t="s">
        <v>118</v>
      </c>
      <c r="Z600" t="s">
        <v>74</v>
      </c>
      <c r="AA600" t="str">
        <f>"10463-5079"</f>
        <v>10463-5079</v>
      </c>
      <c r="AB600" t="s">
        <v>75</v>
      </c>
      <c r="AC600" t="s">
        <v>76</v>
      </c>
      <c r="AD600" t="s">
        <v>73</v>
      </c>
      <c r="AE600" t="s">
        <v>77</v>
      </c>
      <c r="AF600" t="s">
        <v>2228</v>
      </c>
      <c r="AG600" t="s">
        <v>78</v>
      </c>
    </row>
    <row r="601" spans="1:33" hidden="1" x14ac:dyDescent="0.25">
      <c r="A601" t="str">
        <f>"1750356887"</f>
        <v>1750356887</v>
      </c>
      <c r="B601" t="str">
        <f>"00894853"</f>
        <v>00894853</v>
      </c>
      <c r="C601" t="s">
        <v>4385</v>
      </c>
      <c r="D601" t="s">
        <v>4386</v>
      </c>
      <c r="E601" t="s">
        <v>4387</v>
      </c>
      <c r="G601" t="s">
        <v>2224</v>
      </c>
      <c r="H601" t="s">
        <v>2225</v>
      </c>
      <c r="J601" t="s">
        <v>2226</v>
      </c>
      <c r="L601" t="s">
        <v>88</v>
      </c>
      <c r="M601" t="s">
        <v>73</v>
      </c>
      <c r="R601" t="s">
        <v>4388</v>
      </c>
      <c r="W601" t="s">
        <v>4387</v>
      </c>
      <c r="Y601" t="s">
        <v>91</v>
      </c>
      <c r="Z601" t="s">
        <v>74</v>
      </c>
      <c r="AA601" t="str">
        <f>"10032-1559"</f>
        <v>10032-1559</v>
      </c>
      <c r="AB601" t="s">
        <v>75</v>
      </c>
      <c r="AC601" t="s">
        <v>76</v>
      </c>
      <c r="AD601" t="s">
        <v>73</v>
      </c>
      <c r="AE601" t="s">
        <v>77</v>
      </c>
      <c r="AF601" t="s">
        <v>2254</v>
      </c>
      <c r="AG601" t="s">
        <v>78</v>
      </c>
    </row>
    <row r="602" spans="1:33" hidden="1" x14ac:dyDescent="0.25">
      <c r="A602" t="str">
        <f>"1124203773"</f>
        <v>1124203773</v>
      </c>
      <c r="B602" t="str">
        <f>"03485274"</f>
        <v>03485274</v>
      </c>
      <c r="C602" t="s">
        <v>4389</v>
      </c>
      <c r="D602" t="s">
        <v>4390</v>
      </c>
      <c r="E602" t="s">
        <v>4391</v>
      </c>
      <c r="G602" t="s">
        <v>2224</v>
      </c>
      <c r="H602" t="s">
        <v>2225</v>
      </c>
      <c r="J602" t="s">
        <v>2226</v>
      </c>
      <c r="L602" t="s">
        <v>80</v>
      </c>
      <c r="M602" t="s">
        <v>73</v>
      </c>
      <c r="R602" t="s">
        <v>4392</v>
      </c>
      <c r="W602" t="s">
        <v>4391</v>
      </c>
      <c r="X602" t="s">
        <v>4393</v>
      </c>
      <c r="Y602" t="s">
        <v>91</v>
      </c>
      <c r="Z602" t="s">
        <v>74</v>
      </c>
      <c r="AA602" t="str">
        <f>"10021-5663"</f>
        <v>10021-5663</v>
      </c>
      <c r="AB602" t="s">
        <v>75</v>
      </c>
      <c r="AC602" t="s">
        <v>76</v>
      </c>
      <c r="AD602" t="s">
        <v>73</v>
      </c>
      <c r="AE602" t="s">
        <v>77</v>
      </c>
      <c r="AF602" t="s">
        <v>2398</v>
      </c>
      <c r="AG602" t="s">
        <v>78</v>
      </c>
    </row>
    <row r="603" spans="1:33" hidden="1" x14ac:dyDescent="0.25">
      <c r="A603" t="str">
        <f>"1891843934"</f>
        <v>1891843934</v>
      </c>
      <c r="B603" t="str">
        <f>"01167046"</f>
        <v>01167046</v>
      </c>
      <c r="C603" t="s">
        <v>4394</v>
      </c>
      <c r="D603" t="s">
        <v>4395</v>
      </c>
      <c r="E603" t="s">
        <v>4396</v>
      </c>
      <c r="G603" t="s">
        <v>2224</v>
      </c>
      <c r="H603" t="s">
        <v>2225</v>
      </c>
      <c r="J603" t="s">
        <v>2226</v>
      </c>
      <c r="L603" t="s">
        <v>72</v>
      </c>
      <c r="M603" t="s">
        <v>73</v>
      </c>
      <c r="R603" t="s">
        <v>4397</v>
      </c>
      <c r="W603" t="s">
        <v>4396</v>
      </c>
      <c r="X603" t="s">
        <v>4398</v>
      </c>
      <c r="Y603" t="s">
        <v>91</v>
      </c>
      <c r="Z603" t="s">
        <v>74</v>
      </c>
      <c r="AA603" t="str">
        <f>"10032-3726"</f>
        <v>10032-3726</v>
      </c>
      <c r="AB603" t="s">
        <v>75</v>
      </c>
      <c r="AC603" t="s">
        <v>76</v>
      </c>
      <c r="AD603" t="s">
        <v>73</v>
      </c>
      <c r="AE603" t="s">
        <v>77</v>
      </c>
      <c r="AF603" t="s">
        <v>2228</v>
      </c>
      <c r="AG603" t="s">
        <v>78</v>
      </c>
    </row>
    <row r="604" spans="1:33" hidden="1" x14ac:dyDescent="0.25">
      <c r="A604" t="str">
        <f>"1891940938"</f>
        <v>1891940938</v>
      </c>
      <c r="B604" t="str">
        <f>"02184325"</f>
        <v>02184325</v>
      </c>
      <c r="C604" t="s">
        <v>4399</v>
      </c>
      <c r="D604" t="s">
        <v>4400</v>
      </c>
      <c r="E604" t="s">
        <v>4401</v>
      </c>
      <c r="G604" t="s">
        <v>2224</v>
      </c>
      <c r="H604" t="s">
        <v>2225</v>
      </c>
      <c r="J604" t="s">
        <v>2226</v>
      </c>
      <c r="L604" t="s">
        <v>72</v>
      </c>
      <c r="M604" t="s">
        <v>73</v>
      </c>
      <c r="R604" t="s">
        <v>4402</v>
      </c>
      <c r="W604" t="s">
        <v>4401</v>
      </c>
      <c r="X604" t="s">
        <v>1679</v>
      </c>
      <c r="Y604" t="s">
        <v>91</v>
      </c>
      <c r="Z604" t="s">
        <v>74</v>
      </c>
      <c r="AA604" t="str">
        <f>"10032-3720"</f>
        <v>10032-3720</v>
      </c>
      <c r="AB604" t="s">
        <v>75</v>
      </c>
      <c r="AC604" t="s">
        <v>76</v>
      </c>
      <c r="AD604" t="s">
        <v>73</v>
      </c>
      <c r="AE604" t="s">
        <v>77</v>
      </c>
      <c r="AF604" t="s">
        <v>2228</v>
      </c>
      <c r="AG604" t="s">
        <v>78</v>
      </c>
    </row>
    <row r="605" spans="1:33" hidden="1" x14ac:dyDescent="0.25">
      <c r="A605" t="str">
        <f>"1841446218"</f>
        <v>1841446218</v>
      </c>
      <c r="B605" t="str">
        <f>"03421881"</f>
        <v>03421881</v>
      </c>
      <c r="C605" t="s">
        <v>4403</v>
      </c>
      <c r="D605" t="s">
        <v>2032</v>
      </c>
      <c r="E605" t="s">
        <v>2033</v>
      </c>
      <c r="G605" t="s">
        <v>2224</v>
      </c>
      <c r="H605" t="s">
        <v>2225</v>
      </c>
      <c r="J605" t="s">
        <v>2226</v>
      </c>
      <c r="L605" t="s">
        <v>80</v>
      </c>
      <c r="M605" t="s">
        <v>73</v>
      </c>
      <c r="R605" t="s">
        <v>2034</v>
      </c>
      <c r="W605" t="s">
        <v>2033</v>
      </c>
      <c r="X605" t="s">
        <v>1214</v>
      </c>
      <c r="Y605" t="s">
        <v>91</v>
      </c>
      <c r="Z605" t="s">
        <v>74</v>
      </c>
      <c r="AA605" t="str">
        <f>"10021-4823"</f>
        <v>10021-4823</v>
      </c>
      <c r="AB605" t="s">
        <v>75</v>
      </c>
      <c r="AC605" t="s">
        <v>76</v>
      </c>
      <c r="AD605" t="s">
        <v>73</v>
      </c>
      <c r="AE605" t="s">
        <v>77</v>
      </c>
      <c r="AF605" t="s">
        <v>2242</v>
      </c>
      <c r="AG605" t="s">
        <v>78</v>
      </c>
    </row>
    <row r="606" spans="1:33" hidden="1" x14ac:dyDescent="0.25">
      <c r="A606" t="str">
        <f>"1104037316"</f>
        <v>1104037316</v>
      </c>
      <c r="B606" t="str">
        <f>"03510001"</f>
        <v>03510001</v>
      </c>
      <c r="C606" t="s">
        <v>4404</v>
      </c>
      <c r="D606" t="s">
        <v>4405</v>
      </c>
      <c r="E606" t="s">
        <v>4406</v>
      </c>
      <c r="G606" t="s">
        <v>2224</v>
      </c>
      <c r="H606" t="s">
        <v>2225</v>
      </c>
      <c r="J606" t="s">
        <v>2226</v>
      </c>
      <c r="L606" t="s">
        <v>80</v>
      </c>
      <c r="M606" t="s">
        <v>73</v>
      </c>
      <c r="R606" t="s">
        <v>4407</v>
      </c>
      <c r="W606" t="s">
        <v>4406</v>
      </c>
      <c r="X606" t="s">
        <v>4408</v>
      </c>
      <c r="Y606" t="s">
        <v>91</v>
      </c>
      <c r="Z606" t="s">
        <v>74</v>
      </c>
      <c r="AA606" t="str">
        <f>"10019-6113"</f>
        <v>10019-6113</v>
      </c>
      <c r="AB606" t="s">
        <v>75</v>
      </c>
      <c r="AC606" t="s">
        <v>76</v>
      </c>
      <c r="AD606" t="s">
        <v>73</v>
      </c>
      <c r="AE606" t="s">
        <v>77</v>
      </c>
      <c r="AF606" t="s">
        <v>2228</v>
      </c>
      <c r="AG606" t="s">
        <v>78</v>
      </c>
    </row>
    <row r="607" spans="1:33" hidden="1" x14ac:dyDescent="0.25">
      <c r="A607" t="str">
        <f>"1194876177"</f>
        <v>1194876177</v>
      </c>
      <c r="B607" t="str">
        <f>"01079170"</f>
        <v>01079170</v>
      </c>
      <c r="C607" t="s">
        <v>4409</v>
      </c>
      <c r="D607" t="s">
        <v>4410</v>
      </c>
      <c r="E607" t="s">
        <v>4411</v>
      </c>
      <c r="G607" t="s">
        <v>2224</v>
      </c>
      <c r="H607" t="s">
        <v>2225</v>
      </c>
      <c r="J607" t="s">
        <v>2226</v>
      </c>
      <c r="L607" t="s">
        <v>72</v>
      </c>
      <c r="M607" t="s">
        <v>73</v>
      </c>
      <c r="R607" t="s">
        <v>4412</v>
      </c>
      <c r="W607" t="s">
        <v>4411</v>
      </c>
      <c r="X607" t="s">
        <v>496</v>
      </c>
      <c r="Y607" t="s">
        <v>91</v>
      </c>
      <c r="Z607" t="s">
        <v>74</v>
      </c>
      <c r="AA607" t="str">
        <f>"10032-3726"</f>
        <v>10032-3726</v>
      </c>
      <c r="AB607" t="s">
        <v>75</v>
      </c>
      <c r="AC607" t="s">
        <v>76</v>
      </c>
      <c r="AD607" t="s">
        <v>73</v>
      </c>
      <c r="AE607" t="s">
        <v>77</v>
      </c>
      <c r="AF607" t="s">
        <v>2254</v>
      </c>
      <c r="AG607" t="s">
        <v>78</v>
      </c>
    </row>
    <row r="608" spans="1:33" hidden="1" x14ac:dyDescent="0.25">
      <c r="A608" t="str">
        <f>"1508883497"</f>
        <v>1508883497</v>
      </c>
      <c r="B608" t="str">
        <f>"01144545"</f>
        <v>01144545</v>
      </c>
      <c r="C608" t="s">
        <v>4413</v>
      </c>
      <c r="D608" t="s">
        <v>4414</v>
      </c>
      <c r="E608" t="s">
        <v>4415</v>
      </c>
      <c r="G608" t="s">
        <v>2224</v>
      </c>
      <c r="H608" t="s">
        <v>2225</v>
      </c>
      <c r="J608" t="s">
        <v>2226</v>
      </c>
      <c r="L608" t="s">
        <v>80</v>
      </c>
      <c r="M608" t="s">
        <v>73</v>
      </c>
      <c r="R608" t="s">
        <v>4416</v>
      </c>
      <c r="W608" t="s">
        <v>4415</v>
      </c>
      <c r="Y608" t="s">
        <v>91</v>
      </c>
      <c r="Z608" t="s">
        <v>74</v>
      </c>
      <c r="AA608" t="str">
        <f>"10032-3724"</f>
        <v>10032-3724</v>
      </c>
      <c r="AB608" t="s">
        <v>75</v>
      </c>
      <c r="AC608" t="s">
        <v>76</v>
      </c>
      <c r="AD608" t="s">
        <v>73</v>
      </c>
      <c r="AE608" t="s">
        <v>77</v>
      </c>
      <c r="AF608" t="s">
        <v>2228</v>
      </c>
      <c r="AG608" t="s">
        <v>78</v>
      </c>
    </row>
    <row r="609" spans="1:33" hidden="1" x14ac:dyDescent="0.25">
      <c r="A609" t="str">
        <f>"1669480117"</f>
        <v>1669480117</v>
      </c>
      <c r="B609" t="str">
        <f>"03172956"</f>
        <v>03172956</v>
      </c>
      <c r="C609" t="s">
        <v>3746</v>
      </c>
      <c r="D609" t="s">
        <v>4417</v>
      </c>
      <c r="E609" t="s">
        <v>4418</v>
      </c>
      <c r="L609" t="s">
        <v>36</v>
      </c>
      <c r="M609" t="s">
        <v>73</v>
      </c>
      <c r="R609" t="s">
        <v>3498</v>
      </c>
      <c r="W609" t="s">
        <v>3498</v>
      </c>
      <c r="X609" t="s">
        <v>1885</v>
      </c>
      <c r="Y609" t="s">
        <v>91</v>
      </c>
      <c r="Z609" t="s">
        <v>74</v>
      </c>
      <c r="AA609" t="str">
        <f>"10021-5663"</f>
        <v>10021-5663</v>
      </c>
      <c r="AB609" t="s">
        <v>114</v>
      </c>
      <c r="AC609" t="s">
        <v>76</v>
      </c>
      <c r="AD609" t="s">
        <v>73</v>
      </c>
      <c r="AE609" t="s">
        <v>77</v>
      </c>
      <c r="AF609" t="s">
        <v>2254</v>
      </c>
      <c r="AG609" t="s">
        <v>78</v>
      </c>
    </row>
    <row r="610" spans="1:33" hidden="1" x14ac:dyDescent="0.25">
      <c r="A610" t="str">
        <f>"1790801074"</f>
        <v>1790801074</v>
      </c>
      <c r="C610" t="s">
        <v>3746</v>
      </c>
      <c r="K610" t="s">
        <v>36</v>
      </c>
      <c r="L610" t="s">
        <v>96</v>
      </c>
      <c r="M610" t="s">
        <v>73</v>
      </c>
      <c r="R610" t="s">
        <v>3746</v>
      </c>
      <c r="S610" t="s">
        <v>4419</v>
      </c>
      <c r="T610" t="s">
        <v>91</v>
      </c>
      <c r="U610" t="s">
        <v>74</v>
      </c>
      <c r="V610" t="str">
        <f>"100214870"</f>
        <v>100214870</v>
      </c>
      <c r="AC610" t="s">
        <v>76</v>
      </c>
      <c r="AD610" t="s">
        <v>73</v>
      </c>
      <c r="AE610" t="s">
        <v>97</v>
      </c>
      <c r="AF610" t="s">
        <v>2254</v>
      </c>
      <c r="AG610" t="s">
        <v>78</v>
      </c>
    </row>
    <row r="611" spans="1:33" hidden="1" x14ac:dyDescent="0.25">
      <c r="A611" t="str">
        <f>"1386772531"</f>
        <v>1386772531</v>
      </c>
      <c r="B611" t="str">
        <f>"01958227"</f>
        <v>01958227</v>
      </c>
      <c r="C611" t="s">
        <v>4420</v>
      </c>
      <c r="D611" t="s">
        <v>4421</v>
      </c>
      <c r="E611" t="s">
        <v>4422</v>
      </c>
      <c r="G611" t="s">
        <v>2224</v>
      </c>
      <c r="H611" t="s">
        <v>2225</v>
      </c>
      <c r="J611" t="s">
        <v>2226</v>
      </c>
      <c r="L611" t="s">
        <v>72</v>
      </c>
      <c r="M611" t="s">
        <v>73</v>
      </c>
      <c r="R611" t="s">
        <v>4423</v>
      </c>
      <c r="W611" t="s">
        <v>4422</v>
      </c>
      <c r="X611" t="s">
        <v>4424</v>
      </c>
      <c r="Y611" t="s">
        <v>91</v>
      </c>
      <c r="Z611" t="s">
        <v>74</v>
      </c>
      <c r="AA611" t="str">
        <f>"10021-9800"</f>
        <v>10021-9800</v>
      </c>
      <c r="AB611" t="s">
        <v>75</v>
      </c>
      <c r="AC611" t="s">
        <v>76</v>
      </c>
      <c r="AD611" t="s">
        <v>73</v>
      </c>
      <c r="AE611" t="s">
        <v>77</v>
      </c>
      <c r="AF611" t="s">
        <v>2254</v>
      </c>
      <c r="AG611" t="s">
        <v>78</v>
      </c>
    </row>
    <row r="612" spans="1:33" hidden="1" x14ac:dyDescent="0.25">
      <c r="A612" t="str">
        <f>"1447386578"</f>
        <v>1447386578</v>
      </c>
      <c r="B612" t="str">
        <f>"01765228"</f>
        <v>01765228</v>
      </c>
      <c r="C612" t="s">
        <v>4425</v>
      </c>
      <c r="D612" t="s">
        <v>4426</v>
      </c>
      <c r="E612" t="s">
        <v>4427</v>
      </c>
      <c r="G612" t="s">
        <v>2224</v>
      </c>
      <c r="H612" t="s">
        <v>2225</v>
      </c>
      <c r="J612" t="s">
        <v>2226</v>
      </c>
      <c r="L612" t="s">
        <v>72</v>
      </c>
      <c r="M612" t="s">
        <v>73</v>
      </c>
      <c r="R612" t="s">
        <v>4428</v>
      </c>
      <c r="W612" t="s">
        <v>4427</v>
      </c>
      <c r="X612" t="s">
        <v>4429</v>
      </c>
      <c r="Y612" t="s">
        <v>91</v>
      </c>
      <c r="Z612" t="s">
        <v>74</v>
      </c>
      <c r="AA612" t="str">
        <f>"10032-3726"</f>
        <v>10032-3726</v>
      </c>
      <c r="AB612" t="s">
        <v>75</v>
      </c>
      <c r="AC612" t="s">
        <v>76</v>
      </c>
      <c r="AD612" t="s">
        <v>73</v>
      </c>
      <c r="AE612" t="s">
        <v>77</v>
      </c>
      <c r="AF612" t="s">
        <v>2254</v>
      </c>
      <c r="AG612" t="s">
        <v>78</v>
      </c>
    </row>
    <row r="613" spans="1:33" hidden="1" x14ac:dyDescent="0.25">
      <c r="A613" t="str">
        <f>"1861571390"</f>
        <v>1861571390</v>
      </c>
      <c r="B613" t="str">
        <f>"02951664"</f>
        <v>02951664</v>
      </c>
      <c r="C613" t="s">
        <v>4430</v>
      </c>
      <c r="D613" t="s">
        <v>4431</v>
      </c>
      <c r="E613" t="s">
        <v>4432</v>
      </c>
      <c r="G613" t="s">
        <v>2224</v>
      </c>
      <c r="H613" t="s">
        <v>2225</v>
      </c>
      <c r="J613" t="s">
        <v>2226</v>
      </c>
      <c r="L613" t="s">
        <v>100</v>
      </c>
      <c r="M613" t="s">
        <v>73</v>
      </c>
      <c r="R613" t="s">
        <v>4433</v>
      </c>
      <c r="W613" t="s">
        <v>4434</v>
      </c>
      <c r="X613" t="s">
        <v>1383</v>
      </c>
      <c r="Y613" t="s">
        <v>84</v>
      </c>
      <c r="Z613" t="s">
        <v>74</v>
      </c>
      <c r="AA613" t="str">
        <f>"11219-3424"</f>
        <v>11219-3424</v>
      </c>
      <c r="AB613" t="s">
        <v>113</v>
      </c>
      <c r="AC613" t="s">
        <v>76</v>
      </c>
      <c r="AD613" t="s">
        <v>73</v>
      </c>
      <c r="AE613" t="s">
        <v>77</v>
      </c>
      <c r="AF613" t="s">
        <v>2228</v>
      </c>
      <c r="AG613" t="s">
        <v>78</v>
      </c>
    </row>
    <row r="614" spans="1:33" hidden="1" x14ac:dyDescent="0.25">
      <c r="A614" t="str">
        <f>"1659303220"</f>
        <v>1659303220</v>
      </c>
      <c r="B614" t="str">
        <f>"01345826"</f>
        <v>01345826</v>
      </c>
      <c r="C614" t="s">
        <v>4435</v>
      </c>
      <c r="D614" t="s">
        <v>4436</v>
      </c>
      <c r="E614" t="s">
        <v>4437</v>
      </c>
      <c r="G614" t="s">
        <v>2224</v>
      </c>
      <c r="H614" t="s">
        <v>2225</v>
      </c>
      <c r="J614" t="s">
        <v>2226</v>
      </c>
      <c r="L614" t="s">
        <v>100</v>
      </c>
      <c r="M614" t="s">
        <v>73</v>
      </c>
      <c r="R614" t="s">
        <v>4438</v>
      </c>
      <c r="W614" t="s">
        <v>4439</v>
      </c>
      <c r="X614" t="s">
        <v>410</v>
      </c>
      <c r="Y614" t="s">
        <v>91</v>
      </c>
      <c r="Z614" t="s">
        <v>74</v>
      </c>
      <c r="AA614" t="str">
        <f>"10032-1559"</f>
        <v>10032-1559</v>
      </c>
      <c r="AB614" t="s">
        <v>75</v>
      </c>
      <c r="AC614" t="s">
        <v>76</v>
      </c>
      <c r="AD614" t="s">
        <v>73</v>
      </c>
      <c r="AE614" t="s">
        <v>77</v>
      </c>
      <c r="AF614" t="s">
        <v>2228</v>
      </c>
      <c r="AG614" t="s">
        <v>78</v>
      </c>
    </row>
    <row r="615" spans="1:33" x14ac:dyDescent="0.25">
      <c r="A615" t="str">
        <f>"1447430152"</f>
        <v>1447430152</v>
      </c>
      <c r="B615" t="str">
        <f>"03095127"</f>
        <v>03095127</v>
      </c>
      <c r="C615" t="s">
        <v>4440</v>
      </c>
      <c r="D615" t="s">
        <v>4441</v>
      </c>
      <c r="E615" t="s">
        <v>4442</v>
      </c>
      <c r="L615" t="s">
        <v>36</v>
      </c>
      <c r="M615" t="s">
        <v>73</v>
      </c>
      <c r="R615" t="s">
        <v>4440</v>
      </c>
      <c r="W615" t="s">
        <v>4442</v>
      </c>
      <c r="X615" t="s">
        <v>4443</v>
      </c>
      <c r="Y615" t="s">
        <v>91</v>
      </c>
      <c r="Z615" t="s">
        <v>74</v>
      </c>
      <c r="AA615" t="str">
        <f>"10021-9800"</f>
        <v>10021-9800</v>
      </c>
      <c r="AB615" t="s">
        <v>110</v>
      </c>
      <c r="AC615" t="s">
        <v>76</v>
      </c>
      <c r="AD615" t="s">
        <v>73</v>
      </c>
      <c r="AE615" t="s">
        <v>77</v>
      </c>
      <c r="AF615" t="s">
        <v>2254</v>
      </c>
      <c r="AG615" t="s">
        <v>78</v>
      </c>
    </row>
    <row r="616" spans="1:33" hidden="1" x14ac:dyDescent="0.25">
      <c r="A616" t="str">
        <f>"1275640955"</f>
        <v>1275640955</v>
      </c>
      <c r="B616" t="str">
        <f>"02677269"</f>
        <v>02677269</v>
      </c>
      <c r="C616" t="s">
        <v>4444</v>
      </c>
      <c r="D616" t="s">
        <v>4445</v>
      </c>
      <c r="E616" t="s">
        <v>4446</v>
      </c>
      <c r="G616" t="s">
        <v>2224</v>
      </c>
      <c r="H616" t="s">
        <v>2225</v>
      </c>
      <c r="J616" t="s">
        <v>2226</v>
      </c>
      <c r="L616" t="s">
        <v>88</v>
      </c>
      <c r="M616" t="s">
        <v>82</v>
      </c>
      <c r="R616" t="s">
        <v>4447</v>
      </c>
      <c r="W616" t="s">
        <v>4446</v>
      </c>
      <c r="X616" t="s">
        <v>290</v>
      </c>
      <c r="Y616" t="s">
        <v>91</v>
      </c>
      <c r="Z616" t="s">
        <v>74</v>
      </c>
      <c r="AA616" t="str">
        <f>"10037-1802"</f>
        <v>10037-1802</v>
      </c>
      <c r="AB616" t="s">
        <v>75</v>
      </c>
      <c r="AC616" t="s">
        <v>76</v>
      </c>
      <c r="AD616" t="s">
        <v>73</v>
      </c>
      <c r="AE616" t="s">
        <v>77</v>
      </c>
      <c r="AF616" t="s">
        <v>2228</v>
      </c>
      <c r="AG616" t="s">
        <v>78</v>
      </c>
    </row>
    <row r="617" spans="1:33" hidden="1" x14ac:dyDescent="0.25">
      <c r="A617" t="str">
        <f>"1952498032"</f>
        <v>1952498032</v>
      </c>
      <c r="B617" t="str">
        <f>"00892535"</f>
        <v>00892535</v>
      </c>
      <c r="C617" t="s">
        <v>4448</v>
      </c>
      <c r="D617" t="s">
        <v>4449</v>
      </c>
      <c r="E617" t="s">
        <v>4450</v>
      </c>
      <c r="G617" t="s">
        <v>2224</v>
      </c>
      <c r="H617" t="s">
        <v>2225</v>
      </c>
      <c r="J617" t="s">
        <v>2226</v>
      </c>
      <c r="L617" t="s">
        <v>88</v>
      </c>
      <c r="M617" t="s">
        <v>73</v>
      </c>
      <c r="R617" t="s">
        <v>4451</v>
      </c>
      <c r="W617" t="s">
        <v>4450</v>
      </c>
      <c r="X617" t="s">
        <v>4452</v>
      </c>
      <c r="Y617" t="s">
        <v>91</v>
      </c>
      <c r="Z617" t="s">
        <v>74</v>
      </c>
      <c r="AA617" t="str">
        <f>"10021-4872"</f>
        <v>10021-4872</v>
      </c>
      <c r="AB617" t="s">
        <v>75</v>
      </c>
      <c r="AC617" t="s">
        <v>76</v>
      </c>
      <c r="AD617" t="s">
        <v>73</v>
      </c>
      <c r="AE617" t="s">
        <v>77</v>
      </c>
      <c r="AF617" t="s">
        <v>2398</v>
      </c>
      <c r="AG617" t="s">
        <v>78</v>
      </c>
    </row>
    <row r="618" spans="1:33" hidden="1" x14ac:dyDescent="0.25">
      <c r="A618" t="str">
        <f>"1952547192"</f>
        <v>1952547192</v>
      </c>
      <c r="B618" t="str">
        <f>"03404639"</f>
        <v>03404639</v>
      </c>
      <c r="C618" t="s">
        <v>4453</v>
      </c>
      <c r="D618" t="s">
        <v>2170</v>
      </c>
      <c r="E618" t="s">
        <v>2171</v>
      </c>
      <c r="L618" t="s">
        <v>80</v>
      </c>
      <c r="M618" t="s">
        <v>82</v>
      </c>
      <c r="R618" t="s">
        <v>2171</v>
      </c>
      <c r="W618" t="s">
        <v>2171</v>
      </c>
      <c r="X618" t="s">
        <v>789</v>
      </c>
      <c r="Y618" t="s">
        <v>84</v>
      </c>
      <c r="Z618" t="s">
        <v>74</v>
      </c>
      <c r="AA618" t="str">
        <f>"11225-5417"</f>
        <v>11225-5417</v>
      </c>
      <c r="AB618" t="s">
        <v>75</v>
      </c>
      <c r="AC618" t="s">
        <v>76</v>
      </c>
      <c r="AD618" t="s">
        <v>73</v>
      </c>
      <c r="AE618" t="s">
        <v>77</v>
      </c>
      <c r="AF618" t="s">
        <v>2254</v>
      </c>
      <c r="AG618" t="s">
        <v>78</v>
      </c>
    </row>
    <row r="619" spans="1:33" hidden="1" x14ac:dyDescent="0.25">
      <c r="A619" t="str">
        <f>"1861581670"</f>
        <v>1861581670</v>
      </c>
      <c r="B619" t="str">
        <f>"00435070"</f>
        <v>00435070</v>
      </c>
      <c r="C619" t="s">
        <v>4454</v>
      </c>
      <c r="D619" t="s">
        <v>4455</v>
      </c>
      <c r="E619" t="s">
        <v>4456</v>
      </c>
      <c r="G619" t="s">
        <v>2224</v>
      </c>
      <c r="H619" t="s">
        <v>2225</v>
      </c>
      <c r="J619" t="s">
        <v>2226</v>
      </c>
      <c r="L619" t="s">
        <v>81</v>
      </c>
      <c r="M619" t="s">
        <v>82</v>
      </c>
      <c r="R619" t="s">
        <v>4457</v>
      </c>
      <c r="W619" t="s">
        <v>4456</v>
      </c>
      <c r="X619" t="s">
        <v>4458</v>
      </c>
      <c r="Y619" t="s">
        <v>91</v>
      </c>
      <c r="Z619" t="s">
        <v>74</v>
      </c>
      <c r="AA619" t="str">
        <f>"10032-3720"</f>
        <v>10032-3720</v>
      </c>
      <c r="AB619" t="s">
        <v>75</v>
      </c>
      <c r="AC619" t="s">
        <v>76</v>
      </c>
      <c r="AD619" t="s">
        <v>73</v>
      </c>
      <c r="AE619" t="s">
        <v>77</v>
      </c>
      <c r="AF619" t="s">
        <v>2228</v>
      </c>
      <c r="AG619" t="s">
        <v>78</v>
      </c>
    </row>
    <row r="620" spans="1:33" hidden="1" x14ac:dyDescent="0.25">
      <c r="A620" t="str">
        <f>"1598164113"</f>
        <v>1598164113</v>
      </c>
      <c r="C620" t="s">
        <v>4459</v>
      </c>
      <c r="G620" t="s">
        <v>2224</v>
      </c>
      <c r="H620" t="s">
        <v>2312</v>
      </c>
      <c r="J620" t="s">
        <v>2226</v>
      </c>
      <c r="K620" t="s">
        <v>171</v>
      </c>
      <c r="L620" t="s">
        <v>96</v>
      </c>
      <c r="M620" t="s">
        <v>73</v>
      </c>
      <c r="R620" t="s">
        <v>4460</v>
      </c>
      <c r="S620" t="s">
        <v>4461</v>
      </c>
      <c r="T620" t="s">
        <v>91</v>
      </c>
      <c r="U620" t="s">
        <v>74</v>
      </c>
      <c r="V620" t="str">
        <f>"100225252"</f>
        <v>100225252</v>
      </c>
      <c r="AC620" t="s">
        <v>76</v>
      </c>
      <c r="AD620" t="s">
        <v>73</v>
      </c>
      <c r="AE620" t="s">
        <v>97</v>
      </c>
      <c r="AF620" t="s">
        <v>2242</v>
      </c>
      <c r="AG620" t="s">
        <v>78</v>
      </c>
    </row>
    <row r="621" spans="1:33" hidden="1" x14ac:dyDescent="0.25">
      <c r="A621" t="str">
        <f>"1952613697"</f>
        <v>1952613697</v>
      </c>
      <c r="B621" t="str">
        <f>"04502796"</f>
        <v>04502796</v>
      </c>
      <c r="C621" t="s">
        <v>4462</v>
      </c>
      <c r="D621" t="s">
        <v>4463</v>
      </c>
      <c r="E621" t="s">
        <v>4464</v>
      </c>
      <c r="G621" t="s">
        <v>2224</v>
      </c>
      <c r="H621" t="s">
        <v>2312</v>
      </c>
      <c r="J621" t="s">
        <v>2226</v>
      </c>
      <c r="L621" t="s">
        <v>96</v>
      </c>
      <c r="M621" t="s">
        <v>73</v>
      </c>
      <c r="R621" t="s">
        <v>4465</v>
      </c>
      <c r="W621" t="s">
        <v>4464</v>
      </c>
      <c r="AB621" t="s">
        <v>75</v>
      </c>
      <c r="AC621" t="s">
        <v>76</v>
      </c>
      <c r="AD621" t="s">
        <v>73</v>
      </c>
      <c r="AE621" t="s">
        <v>77</v>
      </c>
      <c r="AF621" t="s">
        <v>2254</v>
      </c>
      <c r="AG621" t="s">
        <v>78</v>
      </c>
    </row>
    <row r="622" spans="1:33" hidden="1" x14ac:dyDescent="0.25">
      <c r="A622" t="str">
        <f>"1932441524"</f>
        <v>1932441524</v>
      </c>
      <c r="C622" t="s">
        <v>4466</v>
      </c>
      <c r="G622" t="s">
        <v>2224</v>
      </c>
      <c r="H622" t="s">
        <v>2312</v>
      </c>
      <c r="J622" t="s">
        <v>2226</v>
      </c>
      <c r="K622" t="s">
        <v>171</v>
      </c>
      <c r="L622" t="s">
        <v>96</v>
      </c>
      <c r="M622" t="s">
        <v>73</v>
      </c>
      <c r="R622" t="s">
        <v>4467</v>
      </c>
      <c r="S622" t="s">
        <v>2693</v>
      </c>
      <c r="T622" t="s">
        <v>91</v>
      </c>
      <c r="U622" t="s">
        <v>74</v>
      </c>
      <c r="V622" t="str">
        <f>"100654870"</f>
        <v>100654870</v>
      </c>
      <c r="AC622" t="s">
        <v>76</v>
      </c>
      <c r="AD622" t="s">
        <v>73</v>
      </c>
      <c r="AE622" t="s">
        <v>97</v>
      </c>
      <c r="AF622" t="s">
        <v>2242</v>
      </c>
      <c r="AG622" t="s">
        <v>78</v>
      </c>
    </row>
    <row r="623" spans="1:33" hidden="1" x14ac:dyDescent="0.25">
      <c r="A623" t="str">
        <f>"1831408590"</f>
        <v>1831408590</v>
      </c>
      <c r="C623" t="s">
        <v>4468</v>
      </c>
      <c r="G623" t="s">
        <v>2514</v>
      </c>
      <c r="H623" t="s">
        <v>4469</v>
      </c>
      <c r="J623" t="s">
        <v>2516</v>
      </c>
      <c r="K623" t="s">
        <v>507</v>
      </c>
      <c r="L623" t="s">
        <v>96</v>
      </c>
      <c r="M623" t="s">
        <v>73</v>
      </c>
      <c r="R623" t="s">
        <v>4470</v>
      </c>
      <c r="S623" t="s">
        <v>1377</v>
      </c>
      <c r="T623" t="s">
        <v>91</v>
      </c>
      <c r="U623" t="s">
        <v>74</v>
      </c>
      <c r="V623" t="str">
        <f>"100401602"</f>
        <v>100401602</v>
      </c>
      <c r="AC623" t="s">
        <v>76</v>
      </c>
      <c r="AD623" t="s">
        <v>73</v>
      </c>
      <c r="AE623" t="s">
        <v>97</v>
      </c>
      <c r="AF623" t="s">
        <v>2518</v>
      </c>
      <c r="AG623" t="s">
        <v>78</v>
      </c>
    </row>
    <row r="624" spans="1:33" hidden="1" x14ac:dyDescent="0.25">
      <c r="A624" t="str">
        <f>"1598073553"</f>
        <v>1598073553</v>
      </c>
      <c r="C624" t="s">
        <v>4471</v>
      </c>
      <c r="G624" t="s">
        <v>2514</v>
      </c>
      <c r="H624" t="s">
        <v>4472</v>
      </c>
      <c r="J624" t="s">
        <v>2516</v>
      </c>
      <c r="K624" t="s">
        <v>507</v>
      </c>
      <c r="L624" t="s">
        <v>96</v>
      </c>
      <c r="M624" t="s">
        <v>73</v>
      </c>
      <c r="R624" t="s">
        <v>4473</v>
      </c>
      <c r="S624" t="s">
        <v>4474</v>
      </c>
      <c r="T624" t="s">
        <v>91</v>
      </c>
      <c r="U624" t="s">
        <v>74</v>
      </c>
      <c r="V624" t="str">
        <f>"100324207"</f>
        <v>100324207</v>
      </c>
      <c r="AC624" t="s">
        <v>76</v>
      </c>
      <c r="AD624" t="s">
        <v>73</v>
      </c>
      <c r="AE624" t="s">
        <v>97</v>
      </c>
      <c r="AF624" t="s">
        <v>2518</v>
      </c>
      <c r="AG624" t="s">
        <v>78</v>
      </c>
    </row>
    <row r="625" spans="1:33" hidden="1" x14ac:dyDescent="0.25">
      <c r="A625" t="str">
        <f>"1922316165"</f>
        <v>1922316165</v>
      </c>
      <c r="B625" t="str">
        <f>"03697385"</f>
        <v>03697385</v>
      </c>
      <c r="C625" t="s">
        <v>4475</v>
      </c>
      <c r="D625" t="s">
        <v>4476</v>
      </c>
      <c r="E625" t="s">
        <v>4477</v>
      </c>
      <c r="G625" t="s">
        <v>2514</v>
      </c>
      <c r="H625" t="s">
        <v>4478</v>
      </c>
      <c r="J625" t="s">
        <v>2516</v>
      </c>
      <c r="L625" t="s">
        <v>96</v>
      </c>
      <c r="M625" t="s">
        <v>73</v>
      </c>
      <c r="R625" t="s">
        <v>4479</v>
      </c>
      <c r="W625" t="s">
        <v>4477</v>
      </c>
      <c r="X625" t="s">
        <v>1377</v>
      </c>
      <c r="Y625" t="s">
        <v>91</v>
      </c>
      <c r="Z625" t="s">
        <v>74</v>
      </c>
      <c r="AA625" t="str">
        <f>"10040-1602"</f>
        <v>10040-1602</v>
      </c>
      <c r="AB625" t="s">
        <v>107</v>
      </c>
      <c r="AC625" t="s">
        <v>76</v>
      </c>
      <c r="AD625" t="s">
        <v>73</v>
      </c>
      <c r="AE625" t="s">
        <v>77</v>
      </c>
      <c r="AF625" t="s">
        <v>2518</v>
      </c>
      <c r="AG625" t="s">
        <v>78</v>
      </c>
    </row>
    <row r="626" spans="1:33" hidden="1" x14ac:dyDescent="0.25">
      <c r="A626" t="str">
        <f>"1235138728"</f>
        <v>1235138728</v>
      </c>
      <c r="B626" t="str">
        <f>"01621434"</f>
        <v>01621434</v>
      </c>
      <c r="C626" t="s">
        <v>4480</v>
      </c>
      <c r="D626" t="s">
        <v>4481</v>
      </c>
      <c r="E626" t="s">
        <v>4482</v>
      </c>
      <c r="G626" t="s">
        <v>2514</v>
      </c>
      <c r="H626" t="s">
        <v>4483</v>
      </c>
      <c r="J626" t="s">
        <v>2516</v>
      </c>
      <c r="L626" t="s">
        <v>100</v>
      </c>
      <c r="M626" t="s">
        <v>73</v>
      </c>
      <c r="R626" t="s">
        <v>4484</v>
      </c>
      <c r="W626" t="s">
        <v>4485</v>
      </c>
      <c r="X626" t="s">
        <v>1377</v>
      </c>
      <c r="Y626" t="s">
        <v>91</v>
      </c>
      <c r="Z626" t="s">
        <v>74</v>
      </c>
      <c r="AA626" t="str">
        <f>"10040-1602"</f>
        <v>10040-1602</v>
      </c>
      <c r="AB626" t="s">
        <v>75</v>
      </c>
      <c r="AC626" t="s">
        <v>76</v>
      </c>
      <c r="AD626" t="s">
        <v>73</v>
      </c>
      <c r="AE626" t="s">
        <v>77</v>
      </c>
      <c r="AF626" t="s">
        <v>2518</v>
      </c>
      <c r="AG626" t="s">
        <v>78</v>
      </c>
    </row>
    <row r="627" spans="1:33" hidden="1" x14ac:dyDescent="0.25">
      <c r="A627" t="str">
        <f>"1770502635"</f>
        <v>1770502635</v>
      </c>
      <c r="B627" t="str">
        <f>"02998630"</f>
        <v>02998630</v>
      </c>
      <c r="C627" t="s">
        <v>4486</v>
      </c>
      <c r="D627" t="s">
        <v>3459</v>
      </c>
      <c r="E627" t="s">
        <v>3460</v>
      </c>
      <c r="G627" t="s">
        <v>2224</v>
      </c>
      <c r="H627" t="s">
        <v>2225</v>
      </c>
      <c r="J627" t="s">
        <v>2226</v>
      </c>
      <c r="L627" t="s">
        <v>444</v>
      </c>
      <c r="M627" t="s">
        <v>82</v>
      </c>
      <c r="R627" t="s">
        <v>3461</v>
      </c>
      <c r="W627" t="s">
        <v>3462</v>
      </c>
      <c r="X627" t="s">
        <v>170</v>
      </c>
      <c r="Y627" t="s">
        <v>91</v>
      </c>
      <c r="Z627" t="s">
        <v>74</v>
      </c>
      <c r="AA627" t="str">
        <f>"10065-4870"</f>
        <v>10065-4870</v>
      </c>
      <c r="AB627" t="s">
        <v>90</v>
      </c>
      <c r="AC627" t="s">
        <v>76</v>
      </c>
      <c r="AD627" t="s">
        <v>73</v>
      </c>
      <c r="AE627" t="s">
        <v>77</v>
      </c>
      <c r="AF627" t="s">
        <v>2242</v>
      </c>
      <c r="AG627" t="s">
        <v>78</v>
      </c>
    </row>
    <row r="628" spans="1:33" hidden="1" x14ac:dyDescent="0.25">
      <c r="A628" t="str">
        <f>"1548297450"</f>
        <v>1548297450</v>
      </c>
      <c r="B628" t="str">
        <f>"03375353"</f>
        <v>03375353</v>
      </c>
      <c r="C628" t="s">
        <v>4487</v>
      </c>
      <c r="D628" t="s">
        <v>2160</v>
      </c>
      <c r="E628" t="s">
        <v>2161</v>
      </c>
      <c r="G628" t="s">
        <v>2224</v>
      </c>
      <c r="H628" t="s">
        <v>2225</v>
      </c>
      <c r="J628" t="s">
        <v>2226</v>
      </c>
      <c r="L628" t="s">
        <v>80</v>
      </c>
      <c r="M628" t="s">
        <v>73</v>
      </c>
      <c r="R628" t="s">
        <v>2159</v>
      </c>
      <c r="W628" t="s">
        <v>2161</v>
      </c>
      <c r="X628" t="s">
        <v>309</v>
      </c>
      <c r="Y628" t="s">
        <v>91</v>
      </c>
      <c r="Z628" t="s">
        <v>74</v>
      </c>
      <c r="AA628" t="str">
        <f>"10032-3724"</f>
        <v>10032-3724</v>
      </c>
      <c r="AB628" t="s">
        <v>75</v>
      </c>
      <c r="AC628" t="s">
        <v>76</v>
      </c>
      <c r="AD628" t="s">
        <v>73</v>
      </c>
      <c r="AE628" t="s">
        <v>77</v>
      </c>
      <c r="AF628" t="s">
        <v>2254</v>
      </c>
      <c r="AG628" t="s">
        <v>78</v>
      </c>
    </row>
    <row r="629" spans="1:33" hidden="1" x14ac:dyDescent="0.25">
      <c r="A629" t="str">
        <f>"1548301534"</f>
        <v>1548301534</v>
      </c>
      <c r="B629" t="str">
        <f>"02900347"</f>
        <v>02900347</v>
      </c>
      <c r="C629" t="s">
        <v>4488</v>
      </c>
      <c r="D629" t="s">
        <v>384</v>
      </c>
      <c r="E629" t="s">
        <v>385</v>
      </c>
      <c r="G629" t="s">
        <v>2224</v>
      </c>
      <c r="H629" t="s">
        <v>2225</v>
      </c>
      <c r="J629" t="s">
        <v>2226</v>
      </c>
      <c r="L629" t="s">
        <v>72</v>
      </c>
      <c r="M629" t="s">
        <v>73</v>
      </c>
      <c r="R629" t="s">
        <v>386</v>
      </c>
      <c r="W629" t="s">
        <v>385</v>
      </c>
      <c r="X629" t="s">
        <v>387</v>
      </c>
      <c r="Y629" t="s">
        <v>91</v>
      </c>
      <c r="Z629" t="s">
        <v>74</v>
      </c>
      <c r="AA629" t="str">
        <f>"10025-1737"</f>
        <v>10025-1737</v>
      </c>
      <c r="AB629" t="s">
        <v>75</v>
      </c>
      <c r="AC629" t="s">
        <v>76</v>
      </c>
      <c r="AD629" t="s">
        <v>73</v>
      </c>
      <c r="AE629" t="s">
        <v>77</v>
      </c>
      <c r="AF629" t="s">
        <v>2228</v>
      </c>
      <c r="AG629" t="s">
        <v>78</v>
      </c>
    </row>
    <row r="630" spans="1:33" hidden="1" x14ac:dyDescent="0.25">
      <c r="A630" t="str">
        <f>"1548403611"</f>
        <v>1548403611</v>
      </c>
      <c r="B630" t="str">
        <f>"03243198"</f>
        <v>03243198</v>
      </c>
      <c r="C630" t="s">
        <v>4489</v>
      </c>
      <c r="D630" t="s">
        <v>4490</v>
      </c>
      <c r="E630" t="s">
        <v>4491</v>
      </c>
      <c r="G630" t="s">
        <v>2224</v>
      </c>
      <c r="H630" t="s">
        <v>2225</v>
      </c>
      <c r="J630" t="s">
        <v>2226</v>
      </c>
      <c r="L630" t="s">
        <v>72</v>
      </c>
      <c r="M630" t="s">
        <v>73</v>
      </c>
      <c r="R630" t="s">
        <v>4491</v>
      </c>
      <c r="W630" t="s">
        <v>4491</v>
      </c>
      <c r="X630" t="s">
        <v>2018</v>
      </c>
      <c r="Y630" t="s">
        <v>91</v>
      </c>
      <c r="Z630" t="s">
        <v>74</v>
      </c>
      <c r="AA630" t="str">
        <f>"10032"</f>
        <v>10032</v>
      </c>
      <c r="AB630" t="s">
        <v>106</v>
      </c>
      <c r="AC630" t="s">
        <v>76</v>
      </c>
      <c r="AD630" t="s">
        <v>73</v>
      </c>
      <c r="AE630" t="s">
        <v>77</v>
      </c>
      <c r="AF630" t="s">
        <v>2254</v>
      </c>
      <c r="AG630" t="s">
        <v>78</v>
      </c>
    </row>
    <row r="631" spans="1:33" hidden="1" x14ac:dyDescent="0.25">
      <c r="A631" t="str">
        <f>"1548428774"</f>
        <v>1548428774</v>
      </c>
      <c r="B631" t="str">
        <f>"03375293"</f>
        <v>03375293</v>
      </c>
      <c r="C631" t="s">
        <v>4492</v>
      </c>
      <c r="D631" t="s">
        <v>4493</v>
      </c>
      <c r="E631" t="s">
        <v>4494</v>
      </c>
      <c r="G631" t="s">
        <v>2224</v>
      </c>
      <c r="H631" t="s">
        <v>2225</v>
      </c>
      <c r="J631" t="s">
        <v>2226</v>
      </c>
      <c r="L631" t="s">
        <v>72</v>
      </c>
      <c r="M631" t="s">
        <v>73</v>
      </c>
      <c r="R631" t="s">
        <v>4495</v>
      </c>
      <c r="W631" t="s">
        <v>4494</v>
      </c>
      <c r="X631" t="s">
        <v>410</v>
      </c>
      <c r="Y631" t="s">
        <v>91</v>
      </c>
      <c r="Z631" t="s">
        <v>74</v>
      </c>
      <c r="AA631" t="str">
        <f>"10032-1559"</f>
        <v>10032-1559</v>
      </c>
      <c r="AB631" t="s">
        <v>75</v>
      </c>
      <c r="AC631" t="s">
        <v>76</v>
      </c>
      <c r="AD631" t="s">
        <v>73</v>
      </c>
      <c r="AE631" t="s">
        <v>77</v>
      </c>
      <c r="AF631" t="s">
        <v>2254</v>
      </c>
      <c r="AG631" t="s">
        <v>78</v>
      </c>
    </row>
    <row r="632" spans="1:33" hidden="1" x14ac:dyDescent="0.25">
      <c r="A632" t="str">
        <f>"1548429806"</f>
        <v>1548429806</v>
      </c>
      <c r="B632" t="str">
        <f>"03048322"</f>
        <v>03048322</v>
      </c>
      <c r="C632" t="s">
        <v>4496</v>
      </c>
      <c r="D632" t="s">
        <v>4497</v>
      </c>
      <c r="E632" t="s">
        <v>4498</v>
      </c>
      <c r="G632" t="s">
        <v>2224</v>
      </c>
      <c r="H632" t="s">
        <v>2225</v>
      </c>
      <c r="J632" t="s">
        <v>2226</v>
      </c>
      <c r="L632" t="s">
        <v>72</v>
      </c>
      <c r="M632" t="s">
        <v>73</v>
      </c>
      <c r="R632" t="s">
        <v>4499</v>
      </c>
      <c r="W632" t="s">
        <v>4498</v>
      </c>
      <c r="X632" t="s">
        <v>1627</v>
      </c>
      <c r="Y632" t="s">
        <v>91</v>
      </c>
      <c r="Z632" t="s">
        <v>74</v>
      </c>
      <c r="AA632" t="str">
        <f>"10032-3729"</f>
        <v>10032-3729</v>
      </c>
      <c r="AB632" t="s">
        <v>75</v>
      </c>
      <c r="AC632" t="s">
        <v>76</v>
      </c>
      <c r="AD632" t="s">
        <v>73</v>
      </c>
      <c r="AE632" t="s">
        <v>77</v>
      </c>
      <c r="AF632" t="s">
        <v>2254</v>
      </c>
      <c r="AG632" t="s">
        <v>78</v>
      </c>
    </row>
    <row r="633" spans="1:33" hidden="1" x14ac:dyDescent="0.25">
      <c r="A633" t="str">
        <f>"1548488497"</f>
        <v>1548488497</v>
      </c>
      <c r="B633" t="str">
        <f>"03495778"</f>
        <v>03495778</v>
      </c>
      <c r="C633" t="s">
        <v>4500</v>
      </c>
      <c r="D633" t="s">
        <v>4501</v>
      </c>
      <c r="E633" t="s">
        <v>4502</v>
      </c>
      <c r="G633" t="s">
        <v>2224</v>
      </c>
      <c r="H633" t="s">
        <v>2225</v>
      </c>
      <c r="J633" t="s">
        <v>2226</v>
      </c>
      <c r="L633" t="s">
        <v>72</v>
      </c>
      <c r="M633" t="s">
        <v>82</v>
      </c>
      <c r="R633" t="s">
        <v>4503</v>
      </c>
      <c r="W633" t="s">
        <v>4502</v>
      </c>
      <c r="X633" t="s">
        <v>4504</v>
      </c>
      <c r="Y633" t="s">
        <v>91</v>
      </c>
      <c r="Z633" t="s">
        <v>74</v>
      </c>
      <c r="AA633" t="str">
        <f>"10032-4306"</f>
        <v>10032-4306</v>
      </c>
      <c r="AB633" t="s">
        <v>75</v>
      </c>
      <c r="AC633" t="s">
        <v>76</v>
      </c>
      <c r="AD633" t="s">
        <v>73</v>
      </c>
      <c r="AE633" t="s">
        <v>77</v>
      </c>
      <c r="AF633" t="s">
        <v>2228</v>
      </c>
      <c r="AG633" t="s">
        <v>78</v>
      </c>
    </row>
    <row r="634" spans="1:33" hidden="1" x14ac:dyDescent="0.25">
      <c r="A634" t="str">
        <f>"1194996595"</f>
        <v>1194996595</v>
      </c>
      <c r="B634" t="str">
        <f>"03579715"</f>
        <v>03579715</v>
      </c>
      <c r="C634" t="s">
        <v>4505</v>
      </c>
      <c r="D634" t="s">
        <v>4506</v>
      </c>
      <c r="E634" t="s">
        <v>4507</v>
      </c>
      <c r="G634" t="s">
        <v>2224</v>
      </c>
      <c r="H634" t="s">
        <v>2225</v>
      </c>
      <c r="J634" t="s">
        <v>2226</v>
      </c>
      <c r="L634" t="s">
        <v>72</v>
      </c>
      <c r="M634" t="s">
        <v>73</v>
      </c>
      <c r="R634" t="s">
        <v>4507</v>
      </c>
      <c r="W634" t="s">
        <v>4508</v>
      </c>
      <c r="X634" t="s">
        <v>2503</v>
      </c>
      <c r="Y634" t="s">
        <v>91</v>
      </c>
      <c r="Z634" t="s">
        <v>74</v>
      </c>
      <c r="AA634" t="str">
        <f>"10065-4870"</f>
        <v>10065-4870</v>
      </c>
      <c r="AB634" t="s">
        <v>75</v>
      </c>
      <c r="AC634" t="s">
        <v>76</v>
      </c>
      <c r="AD634" t="s">
        <v>73</v>
      </c>
      <c r="AE634" t="s">
        <v>77</v>
      </c>
      <c r="AF634" t="s">
        <v>2242</v>
      </c>
      <c r="AG634" t="s">
        <v>78</v>
      </c>
    </row>
    <row r="635" spans="1:33" hidden="1" x14ac:dyDescent="0.25">
      <c r="A635" t="str">
        <f>"1558347229"</f>
        <v>1558347229</v>
      </c>
      <c r="B635" t="str">
        <f>"02885436"</f>
        <v>02885436</v>
      </c>
      <c r="C635" t="s">
        <v>4509</v>
      </c>
      <c r="D635" t="s">
        <v>4510</v>
      </c>
      <c r="E635" t="s">
        <v>4511</v>
      </c>
      <c r="G635" t="s">
        <v>2224</v>
      </c>
      <c r="H635" t="s">
        <v>2225</v>
      </c>
      <c r="J635" t="s">
        <v>2226</v>
      </c>
      <c r="L635" t="s">
        <v>72</v>
      </c>
      <c r="M635" t="s">
        <v>73</v>
      </c>
      <c r="R635" t="s">
        <v>4511</v>
      </c>
      <c r="W635" t="s">
        <v>4511</v>
      </c>
      <c r="X635" t="s">
        <v>4332</v>
      </c>
      <c r="Y635" t="s">
        <v>91</v>
      </c>
      <c r="Z635" t="s">
        <v>74</v>
      </c>
      <c r="AA635" t="str">
        <f>"10032"</f>
        <v>10032</v>
      </c>
      <c r="AB635" t="s">
        <v>75</v>
      </c>
      <c r="AC635" t="s">
        <v>76</v>
      </c>
      <c r="AD635" t="s">
        <v>73</v>
      </c>
      <c r="AE635" t="s">
        <v>77</v>
      </c>
      <c r="AF635" t="s">
        <v>2254</v>
      </c>
      <c r="AG635" t="s">
        <v>78</v>
      </c>
    </row>
    <row r="636" spans="1:33" hidden="1" x14ac:dyDescent="0.25">
      <c r="A636" t="str">
        <f>"1639322910"</f>
        <v>1639322910</v>
      </c>
      <c r="B636" t="str">
        <f>"03256544"</f>
        <v>03256544</v>
      </c>
      <c r="C636" t="s">
        <v>4512</v>
      </c>
      <c r="D636" t="s">
        <v>4513</v>
      </c>
      <c r="E636" t="s">
        <v>4514</v>
      </c>
      <c r="L636" t="s">
        <v>80</v>
      </c>
      <c r="M636" t="s">
        <v>73</v>
      </c>
      <c r="R636" t="s">
        <v>4515</v>
      </c>
      <c r="W636" t="s">
        <v>4514</v>
      </c>
      <c r="X636" t="s">
        <v>170</v>
      </c>
      <c r="Y636" t="s">
        <v>91</v>
      </c>
      <c r="Z636" t="s">
        <v>74</v>
      </c>
      <c r="AA636" t="str">
        <f>"10065-4870"</f>
        <v>10065-4870</v>
      </c>
      <c r="AB636" t="s">
        <v>75</v>
      </c>
      <c r="AC636" t="s">
        <v>76</v>
      </c>
      <c r="AD636" t="s">
        <v>73</v>
      </c>
      <c r="AE636" t="s">
        <v>77</v>
      </c>
      <c r="AF636" t="s">
        <v>2242</v>
      </c>
      <c r="AG636" t="s">
        <v>78</v>
      </c>
    </row>
    <row r="637" spans="1:33" hidden="1" x14ac:dyDescent="0.25">
      <c r="A637" t="str">
        <f>"1043240997"</f>
        <v>1043240997</v>
      </c>
      <c r="B637" t="str">
        <f>"01999857"</f>
        <v>01999857</v>
      </c>
      <c r="C637" t="s">
        <v>4516</v>
      </c>
      <c r="D637" t="s">
        <v>4517</v>
      </c>
      <c r="E637" t="s">
        <v>4518</v>
      </c>
      <c r="G637" t="s">
        <v>2224</v>
      </c>
      <c r="H637" t="s">
        <v>2225</v>
      </c>
      <c r="J637" t="s">
        <v>2226</v>
      </c>
      <c r="L637" t="s">
        <v>80</v>
      </c>
      <c r="M637" t="s">
        <v>73</v>
      </c>
      <c r="R637" t="s">
        <v>4519</v>
      </c>
      <c r="W637" t="s">
        <v>4520</v>
      </c>
      <c r="X637" t="s">
        <v>4521</v>
      </c>
      <c r="Y637" t="s">
        <v>91</v>
      </c>
      <c r="Z637" t="s">
        <v>74</v>
      </c>
      <c r="AA637" t="str">
        <f>"10019-6113"</f>
        <v>10019-6113</v>
      </c>
      <c r="AB637" t="s">
        <v>75</v>
      </c>
      <c r="AC637" t="s">
        <v>76</v>
      </c>
      <c r="AD637" t="s">
        <v>73</v>
      </c>
      <c r="AE637" t="s">
        <v>77</v>
      </c>
      <c r="AF637" t="s">
        <v>2228</v>
      </c>
      <c r="AG637" t="s">
        <v>78</v>
      </c>
    </row>
    <row r="638" spans="1:33" hidden="1" x14ac:dyDescent="0.25">
      <c r="A638" t="str">
        <f>"1558413443"</f>
        <v>1558413443</v>
      </c>
      <c r="B638" t="str">
        <f>"00916629"</f>
        <v>00916629</v>
      </c>
      <c r="C638" t="s">
        <v>4522</v>
      </c>
      <c r="D638" t="s">
        <v>4523</v>
      </c>
      <c r="E638" t="s">
        <v>4524</v>
      </c>
      <c r="L638" t="s">
        <v>80</v>
      </c>
      <c r="M638" t="s">
        <v>73</v>
      </c>
      <c r="R638" t="s">
        <v>4525</v>
      </c>
      <c r="W638" t="s">
        <v>4524</v>
      </c>
      <c r="X638" t="s">
        <v>4526</v>
      </c>
      <c r="Y638" t="s">
        <v>91</v>
      </c>
      <c r="Z638" t="s">
        <v>74</v>
      </c>
      <c r="AA638" t="str">
        <f>"10032-3720"</f>
        <v>10032-3720</v>
      </c>
      <c r="AB638" t="s">
        <v>75</v>
      </c>
      <c r="AC638" t="s">
        <v>76</v>
      </c>
      <c r="AD638" t="s">
        <v>73</v>
      </c>
      <c r="AE638" t="s">
        <v>77</v>
      </c>
      <c r="AF638" t="s">
        <v>2228</v>
      </c>
      <c r="AG638" t="s">
        <v>78</v>
      </c>
    </row>
    <row r="639" spans="1:33" hidden="1" x14ac:dyDescent="0.25">
      <c r="A639" t="str">
        <f>"1518092170"</f>
        <v>1518092170</v>
      </c>
      <c r="B639" t="str">
        <f>"01675410"</f>
        <v>01675410</v>
      </c>
      <c r="C639" t="s">
        <v>1890</v>
      </c>
      <c r="D639" t="s">
        <v>1334</v>
      </c>
      <c r="E639" t="s">
        <v>1335</v>
      </c>
      <c r="G639" t="s">
        <v>2260</v>
      </c>
      <c r="H639" t="s">
        <v>4527</v>
      </c>
      <c r="J639" t="s">
        <v>1512</v>
      </c>
      <c r="L639" t="s">
        <v>88</v>
      </c>
      <c r="M639" t="s">
        <v>73</v>
      </c>
      <c r="R639" t="s">
        <v>1336</v>
      </c>
      <c r="W639" t="s">
        <v>1335</v>
      </c>
      <c r="X639" t="s">
        <v>1337</v>
      </c>
      <c r="Y639" t="s">
        <v>84</v>
      </c>
      <c r="Z639" t="s">
        <v>74</v>
      </c>
      <c r="AA639" t="str">
        <f>"11201-5514"</f>
        <v>11201-5514</v>
      </c>
      <c r="AB639" t="s">
        <v>75</v>
      </c>
      <c r="AC639" t="s">
        <v>76</v>
      </c>
      <c r="AD639" t="s">
        <v>73</v>
      </c>
      <c r="AE639" t="s">
        <v>77</v>
      </c>
      <c r="AF639" t="s">
        <v>2254</v>
      </c>
      <c r="AG639" t="s">
        <v>78</v>
      </c>
    </row>
    <row r="640" spans="1:33" hidden="1" x14ac:dyDescent="0.25">
      <c r="A640" t="str">
        <f>"1063775898"</f>
        <v>1063775898</v>
      </c>
      <c r="C640" t="s">
        <v>4528</v>
      </c>
      <c r="G640" t="s">
        <v>2224</v>
      </c>
      <c r="H640" t="s">
        <v>2312</v>
      </c>
      <c r="J640" t="s">
        <v>2226</v>
      </c>
      <c r="K640" t="s">
        <v>171</v>
      </c>
      <c r="L640" t="s">
        <v>96</v>
      </c>
      <c r="M640" t="s">
        <v>73</v>
      </c>
      <c r="R640" t="s">
        <v>4529</v>
      </c>
      <c r="S640" t="s">
        <v>4530</v>
      </c>
      <c r="T640" t="s">
        <v>157</v>
      </c>
      <c r="U640" t="s">
        <v>74</v>
      </c>
      <c r="V640" t="str">
        <f>"115013800"</f>
        <v>115013800</v>
      </c>
      <c r="AC640" t="s">
        <v>76</v>
      </c>
      <c r="AD640" t="s">
        <v>73</v>
      </c>
      <c r="AE640" t="s">
        <v>97</v>
      </c>
      <c r="AF640" t="s">
        <v>2242</v>
      </c>
      <c r="AG640" t="s">
        <v>78</v>
      </c>
    </row>
    <row r="641" spans="1:33" hidden="1" x14ac:dyDescent="0.25">
      <c r="A641" t="str">
        <f>"1326481144"</f>
        <v>1326481144</v>
      </c>
      <c r="C641" t="s">
        <v>4531</v>
      </c>
      <c r="G641" t="s">
        <v>2224</v>
      </c>
      <c r="H641" t="s">
        <v>2312</v>
      </c>
      <c r="J641" t="s">
        <v>2226</v>
      </c>
      <c r="K641" t="s">
        <v>171</v>
      </c>
      <c r="L641" t="s">
        <v>96</v>
      </c>
      <c r="M641" t="s">
        <v>73</v>
      </c>
      <c r="R641" t="s">
        <v>4532</v>
      </c>
      <c r="S641" t="s">
        <v>4533</v>
      </c>
      <c r="T641" t="s">
        <v>138</v>
      </c>
      <c r="U641" t="s">
        <v>74</v>
      </c>
      <c r="V641" t="str">
        <f>"103121815"</f>
        <v>103121815</v>
      </c>
      <c r="AC641" t="s">
        <v>76</v>
      </c>
      <c r="AD641" t="s">
        <v>73</v>
      </c>
      <c r="AE641" t="s">
        <v>97</v>
      </c>
      <c r="AF641" t="s">
        <v>2242</v>
      </c>
      <c r="AG641" t="s">
        <v>78</v>
      </c>
    </row>
    <row r="642" spans="1:33" hidden="1" x14ac:dyDescent="0.25">
      <c r="A642" t="str">
        <f>"1053601310"</f>
        <v>1053601310</v>
      </c>
      <c r="B642" t="str">
        <f>"04630746"</f>
        <v>04630746</v>
      </c>
      <c r="C642" t="s">
        <v>4534</v>
      </c>
      <c r="D642" t="s">
        <v>4535</v>
      </c>
      <c r="E642" t="s">
        <v>4536</v>
      </c>
      <c r="G642" t="s">
        <v>2224</v>
      </c>
      <c r="H642" t="s">
        <v>2312</v>
      </c>
      <c r="J642" t="s">
        <v>2226</v>
      </c>
      <c r="L642" t="s">
        <v>96</v>
      </c>
      <c r="M642" t="s">
        <v>73</v>
      </c>
      <c r="R642" t="s">
        <v>4537</v>
      </c>
      <c r="W642" t="s">
        <v>4536</v>
      </c>
      <c r="AB642" t="s">
        <v>75</v>
      </c>
      <c r="AC642" t="s">
        <v>76</v>
      </c>
      <c r="AD642" t="s">
        <v>73</v>
      </c>
      <c r="AE642" t="s">
        <v>77</v>
      </c>
      <c r="AF642" t="s">
        <v>2228</v>
      </c>
      <c r="AG642" t="s">
        <v>78</v>
      </c>
    </row>
    <row r="643" spans="1:33" hidden="1" x14ac:dyDescent="0.25">
      <c r="A643" t="str">
        <f>"1114929973"</f>
        <v>1114929973</v>
      </c>
      <c r="B643" t="str">
        <f>"01571695"</f>
        <v>01571695</v>
      </c>
      <c r="C643" t="s">
        <v>1884</v>
      </c>
      <c r="D643" t="s">
        <v>1831</v>
      </c>
      <c r="E643" t="s">
        <v>1832</v>
      </c>
      <c r="G643" t="s">
        <v>4137</v>
      </c>
      <c r="H643" t="s">
        <v>1891</v>
      </c>
      <c r="J643" t="s">
        <v>4138</v>
      </c>
      <c r="L643" t="s">
        <v>36</v>
      </c>
      <c r="M643" t="s">
        <v>73</v>
      </c>
      <c r="R643" t="s">
        <v>1833</v>
      </c>
      <c r="W643" t="s">
        <v>1834</v>
      </c>
      <c r="X643" t="s">
        <v>1835</v>
      </c>
      <c r="Y643" t="s">
        <v>91</v>
      </c>
      <c r="Z643" t="s">
        <v>74</v>
      </c>
      <c r="AA643" t="str">
        <f>"10002-1304"</f>
        <v>10002-1304</v>
      </c>
      <c r="AB643" t="s">
        <v>102</v>
      </c>
      <c r="AC643" t="s">
        <v>76</v>
      </c>
      <c r="AD643" t="s">
        <v>73</v>
      </c>
      <c r="AE643" t="s">
        <v>77</v>
      </c>
      <c r="AF643" t="s">
        <v>2398</v>
      </c>
      <c r="AG643" t="s">
        <v>78</v>
      </c>
    </row>
    <row r="644" spans="1:33" hidden="1" x14ac:dyDescent="0.25">
      <c r="A644" t="str">
        <f>"1376583930"</f>
        <v>1376583930</v>
      </c>
      <c r="B644" t="str">
        <f>"02187337"</f>
        <v>02187337</v>
      </c>
      <c r="C644" t="s">
        <v>4538</v>
      </c>
      <c r="D644" t="s">
        <v>4539</v>
      </c>
      <c r="E644" t="s">
        <v>4540</v>
      </c>
      <c r="G644" t="s">
        <v>2224</v>
      </c>
      <c r="H644" t="s">
        <v>2225</v>
      </c>
      <c r="J644" t="s">
        <v>2226</v>
      </c>
      <c r="L644" t="s">
        <v>80</v>
      </c>
      <c r="M644" t="s">
        <v>82</v>
      </c>
      <c r="R644" t="s">
        <v>4541</v>
      </c>
      <c r="W644" t="s">
        <v>4540</v>
      </c>
      <c r="X644" t="s">
        <v>521</v>
      </c>
      <c r="Y644" t="s">
        <v>91</v>
      </c>
      <c r="Z644" t="s">
        <v>74</v>
      </c>
      <c r="AA644" t="str">
        <f>"10032-3729"</f>
        <v>10032-3729</v>
      </c>
      <c r="AB644" t="s">
        <v>75</v>
      </c>
      <c r="AC644" t="s">
        <v>76</v>
      </c>
      <c r="AD644" t="s">
        <v>73</v>
      </c>
      <c r="AE644" t="s">
        <v>77</v>
      </c>
      <c r="AF644" t="s">
        <v>2254</v>
      </c>
      <c r="AG644" t="s">
        <v>78</v>
      </c>
    </row>
    <row r="645" spans="1:33" hidden="1" x14ac:dyDescent="0.25">
      <c r="A645" t="str">
        <f>"1184048571"</f>
        <v>1184048571</v>
      </c>
      <c r="C645" t="s">
        <v>4542</v>
      </c>
      <c r="G645" t="s">
        <v>2224</v>
      </c>
      <c r="H645" t="s">
        <v>2312</v>
      </c>
      <c r="J645" t="s">
        <v>2226</v>
      </c>
      <c r="K645" t="s">
        <v>171</v>
      </c>
      <c r="L645" t="s">
        <v>72</v>
      </c>
      <c r="M645" t="s">
        <v>73</v>
      </c>
      <c r="R645" t="s">
        <v>724</v>
      </c>
      <c r="S645" t="s">
        <v>683</v>
      </c>
      <c r="T645" t="s">
        <v>118</v>
      </c>
      <c r="U645" t="s">
        <v>74</v>
      </c>
      <c r="V645" t="str">
        <f>"104593204"</f>
        <v>104593204</v>
      </c>
      <c r="AC645" t="s">
        <v>76</v>
      </c>
      <c r="AD645" t="s">
        <v>73</v>
      </c>
      <c r="AE645" t="s">
        <v>97</v>
      </c>
      <c r="AF645" t="s">
        <v>2254</v>
      </c>
      <c r="AG645" t="s">
        <v>78</v>
      </c>
    </row>
    <row r="646" spans="1:33" hidden="1" x14ac:dyDescent="0.25">
      <c r="A646" t="str">
        <f>"1114216645"</f>
        <v>1114216645</v>
      </c>
      <c r="C646" t="s">
        <v>4543</v>
      </c>
      <c r="G646" t="s">
        <v>2224</v>
      </c>
      <c r="H646" t="s">
        <v>2312</v>
      </c>
      <c r="J646" t="s">
        <v>2226</v>
      </c>
      <c r="K646" t="s">
        <v>171</v>
      </c>
      <c r="L646" t="s">
        <v>96</v>
      </c>
      <c r="M646" t="s">
        <v>73</v>
      </c>
      <c r="R646" t="s">
        <v>4544</v>
      </c>
      <c r="S646" t="s">
        <v>3387</v>
      </c>
      <c r="T646" t="s">
        <v>91</v>
      </c>
      <c r="U646" t="s">
        <v>74</v>
      </c>
      <c r="V646" t="str">
        <f>"100323720"</f>
        <v>100323720</v>
      </c>
      <c r="AC646" t="s">
        <v>76</v>
      </c>
      <c r="AD646" t="s">
        <v>73</v>
      </c>
      <c r="AE646" t="s">
        <v>97</v>
      </c>
      <c r="AF646" t="s">
        <v>2228</v>
      </c>
      <c r="AG646" t="s">
        <v>78</v>
      </c>
    </row>
    <row r="647" spans="1:33" hidden="1" x14ac:dyDescent="0.25">
      <c r="A647" t="str">
        <f>"1740694959"</f>
        <v>1740694959</v>
      </c>
      <c r="C647" t="s">
        <v>4545</v>
      </c>
      <c r="G647" t="s">
        <v>2224</v>
      </c>
      <c r="H647" t="s">
        <v>2312</v>
      </c>
      <c r="J647" t="s">
        <v>2226</v>
      </c>
      <c r="K647" t="s">
        <v>171</v>
      </c>
      <c r="L647" t="s">
        <v>96</v>
      </c>
      <c r="M647" t="s">
        <v>73</v>
      </c>
      <c r="R647" t="s">
        <v>4546</v>
      </c>
      <c r="S647" t="s">
        <v>4547</v>
      </c>
      <c r="T647" t="s">
        <v>127</v>
      </c>
      <c r="U647" t="s">
        <v>74</v>
      </c>
      <c r="V647" t="str">
        <f>"113774977"</f>
        <v>113774977</v>
      </c>
      <c r="AC647" t="s">
        <v>76</v>
      </c>
      <c r="AD647" t="s">
        <v>73</v>
      </c>
      <c r="AE647" t="s">
        <v>97</v>
      </c>
      <c r="AF647" t="s">
        <v>2242</v>
      </c>
      <c r="AG647" t="s">
        <v>78</v>
      </c>
    </row>
    <row r="648" spans="1:33" hidden="1" x14ac:dyDescent="0.25">
      <c r="A648" t="str">
        <f>"1265878847"</f>
        <v>1265878847</v>
      </c>
      <c r="C648" t="s">
        <v>4548</v>
      </c>
      <c r="G648" t="s">
        <v>2224</v>
      </c>
      <c r="H648" t="s">
        <v>2312</v>
      </c>
      <c r="J648" t="s">
        <v>2226</v>
      </c>
      <c r="K648" t="s">
        <v>171</v>
      </c>
      <c r="L648" t="s">
        <v>72</v>
      </c>
      <c r="M648" t="s">
        <v>73</v>
      </c>
      <c r="R648" t="s">
        <v>2183</v>
      </c>
      <c r="S648" t="s">
        <v>2184</v>
      </c>
      <c r="T648" t="s">
        <v>91</v>
      </c>
      <c r="U648" t="s">
        <v>74</v>
      </c>
      <c r="V648" t="str">
        <f>"100654870"</f>
        <v>100654870</v>
      </c>
      <c r="AC648" t="s">
        <v>76</v>
      </c>
      <c r="AD648" t="s">
        <v>73</v>
      </c>
      <c r="AE648" t="s">
        <v>97</v>
      </c>
      <c r="AF648" t="s">
        <v>2242</v>
      </c>
      <c r="AG648" t="s">
        <v>78</v>
      </c>
    </row>
    <row r="649" spans="1:33" hidden="1" x14ac:dyDescent="0.25">
      <c r="A649" t="str">
        <f>"1043645161"</f>
        <v>1043645161</v>
      </c>
      <c r="C649" t="s">
        <v>4549</v>
      </c>
      <c r="G649" t="s">
        <v>2224</v>
      </c>
      <c r="H649" t="s">
        <v>2312</v>
      </c>
      <c r="J649" t="s">
        <v>2226</v>
      </c>
      <c r="K649" t="s">
        <v>171</v>
      </c>
      <c r="L649" t="s">
        <v>96</v>
      </c>
      <c r="M649" t="s">
        <v>73</v>
      </c>
      <c r="R649" t="s">
        <v>4550</v>
      </c>
      <c r="S649" t="s">
        <v>1708</v>
      </c>
      <c r="T649" t="s">
        <v>524</v>
      </c>
      <c r="U649" t="s">
        <v>536</v>
      </c>
      <c r="V649" t="str">
        <f>"068304608"</f>
        <v>068304608</v>
      </c>
      <c r="AC649" t="s">
        <v>76</v>
      </c>
      <c r="AD649" t="s">
        <v>73</v>
      </c>
      <c r="AE649" t="s">
        <v>97</v>
      </c>
      <c r="AF649" t="s">
        <v>2254</v>
      </c>
      <c r="AG649" t="s">
        <v>78</v>
      </c>
    </row>
    <row r="650" spans="1:33" hidden="1" x14ac:dyDescent="0.25">
      <c r="A650" t="str">
        <f>"1013078732"</f>
        <v>1013078732</v>
      </c>
      <c r="B650" t="str">
        <f>"03022300"</f>
        <v>03022300</v>
      </c>
      <c r="C650" t="s">
        <v>4551</v>
      </c>
      <c r="D650" t="s">
        <v>4552</v>
      </c>
      <c r="E650" t="s">
        <v>4553</v>
      </c>
      <c r="G650" t="s">
        <v>2224</v>
      </c>
      <c r="H650" t="s">
        <v>2225</v>
      </c>
      <c r="J650" t="s">
        <v>2226</v>
      </c>
      <c r="L650" t="s">
        <v>80</v>
      </c>
      <c r="M650" t="s">
        <v>73</v>
      </c>
      <c r="R650" t="s">
        <v>4554</v>
      </c>
      <c r="W650" t="s">
        <v>4553</v>
      </c>
      <c r="X650" t="s">
        <v>4555</v>
      </c>
      <c r="Y650" t="s">
        <v>91</v>
      </c>
      <c r="Z650" t="s">
        <v>74</v>
      </c>
      <c r="AA650" t="str">
        <f>"10021-5737"</f>
        <v>10021-5737</v>
      </c>
      <c r="AB650" t="s">
        <v>75</v>
      </c>
      <c r="AC650" t="s">
        <v>76</v>
      </c>
      <c r="AD650" t="s">
        <v>73</v>
      </c>
      <c r="AE650" t="s">
        <v>77</v>
      </c>
      <c r="AF650" t="s">
        <v>2242</v>
      </c>
      <c r="AG650" t="s">
        <v>78</v>
      </c>
    </row>
    <row r="651" spans="1:33" hidden="1" x14ac:dyDescent="0.25">
      <c r="A651" t="str">
        <f>"1356549745"</f>
        <v>1356549745</v>
      </c>
      <c r="B651" t="str">
        <f>"02912316"</f>
        <v>02912316</v>
      </c>
      <c r="C651" t="s">
        <v>4556</v>
      </c>
      <c r="D651" t="s">
        <v>4557</v>
      </c>
      <c r="E651" t="s">
        <v>4558</v>
      </c>
      <c r="G651" t="s">
        <v>2224</v>
      </c>
      <c r="H651" t="s">
        <v>2225</v>
      </c>
      <c r="J651" t="s">
        <v>2226</v>
      </c>
      <c r="L651" t="s">
        <v>81</v>
      </c>
      <c r="M651" t="s">
        <v>82</v>
      </c>
      <c r="R651" t="s">
        <v>4558</v>
      </c>
      <c r="W651" t="s">
        <v>4559</v>
      </c>
      <c r="X651" t="s">
        <v>4560</v>
      </c>
      <c r="Y651" t="s">
        <v>91</v>
      </c>
      <c r="Z651" t="s">
        <v>74</v>
      </c>
      <c r="AA651" t="str">
        <f>"10065-4870"</f>
        <v>10065-4870</v>
      </c>
      <c r="AB651" t="s">
        <v>75</v>
      </c>
      <c r="AC651" t="s">
        <v>76</v>
      </c>
      <c r="AD651" t="s">
        <v>73</v>
      </c>
      <c r="AE651" t="s">
        <v>77</v>
      </c>
      <c r="AF651" t="s">
        <v>2398</v>
      </c>
      <c r="AG651" t="s">
        <v>78</v>
      </c>
    </row>
    <row r="652" spans="1:33" hidden="1" x14ac:dyDescent="0.25">
      <c r="A652" t="str">
        <f>"1275695371"</f>
        <v>1275695371</v>
      </c>
      <c r="B652" t="str">
        <f>"00244335"</f>
        <v>00244335</v>
      </c>
      <c r="C652" t="s">
        <v>296</v>
      </c>
      <c r="D652" t="s">
        <v>297</v>
      </c>
      <c r="E652" t="s">
        <v>298</v>
      </c>
      <c r="G652" t="s">
        <v>301</v>
      </c>
      <c r="H652" t="s">
        <v>302</v>
      </c>
      <c r="J652" t="s">
        <v>303</v>
      </c>
      <c r="L652" t="s">
        <v>130</v>
      </c>
      <c r="M652" t="s">
        <v>82</v>
      </c>
      <c r="R652" t="s">
        <v>304</v>
      </c>
      <c r="W652" t="s">
        <v>298</v>
      </c>
      <c r="X652" t="s">
        <v>300</v>
      </c>
      <c r="Y652" t="s">
        <v>91</v>
      </c>
      <c r="Z652" t="s">
        <v>74</v>
      </c>
      <c r="AA652" t="str">
        <f>"10024-4018"</f>
        <v>10024-4018</v>
      </c>
      <c r="AB652" t="s">
        <v>110</v>
      </c>
      <c r="AC652" t="s">
        <v>76</v>
      </c>
      <c r="AD652" t="s">
        <v>73</v>
      </c>
      <c r="AE652" t="s">
        <v>77</v>
      </c>
      <c r="AF652" t="s">
        <v>4561</v>
      </c>
      <c r="AG652" t="s">
        <v>78</v>
      </c>
    </row>
    <row r="653" spans="1:33" hidden="1" x14ac:dyDescent="0.25">
      <c r="A653" t="str">
        <f>"1679573083"</f>
        <v>1679573083</v>
      </c>
      <c r="B653" t="str">
        <f>"00274057"</f>
        <v>00274057</v>
      </c>
      <c r="C653" t="s">
        <v>1211</v>
      </c>
      <c r="D653" t="s">
        <v>1208</v>
      </c>
      <c r="E653" t="s">
        <v>1209</v>
      </c>
      <c r="G653" t="s">
        <v>4562</v>
      </c>
      <c r="H653" t="s">
        <v>1210</v>
      </c>
      <c r="J653" t="s">
        <v>1853</v>
      </c>
      <c r="L653" t="s">
        <v>133</v>
      </c>
      <c r="M653" t="s">
        <v>82</v>
      </c>
      <c r="R653" t="s">
        <v>1211</v>
      </c>
      <c r="W653" t="s">
        <v>1209</v>
      </c>
      <c r="X653" t="s">
        <v>1212</v>
      </c>
      <c r="Y653" t="s">
        <v>132</v>
      </c>
      <c r="Z653" t="s">
        <v>74</v>
      </c>
      <c r="AA653" t="str">
        <f>"10595-1637"</f>
        <v>10595-1637</v>
      </c>
      <c r="AB653" t="s">
        <v>87</v>
      </c>
      <c r="AC653" t="s">
        <v>76</v>
      </c>
      <c r="AD653" t="s">
        <v>73</v>
      </c>
      <c r="AE653" t="s">
        <v>77</v>
      </c>
      <c r="AF653" t="s">
        <v>2398</v>
      </c>
      <c r="AG653" t="s">
        <v>78</v>
      </c>
    </row>
    <row r="654" spans="1:33" hidden="1" x14ac:dyDescent="0.25">
      <c r="A654" t="str">
        <f>"1255400115"</f>
        <v>1255400115</v>
      </c>
      <c r="B654" t="str">
        <f>"02441330"</f>
        <v>02441330</v>
      </c>
      <c r="C654" t="s">
        <v>4563</v>
      </c>
      <c r="D654" t="s">
        <v>4564</v>
      </c>
      <c r="E654" t="s">
        <v>4565</v>
      </c>
      <c r="L654" t="s">
        <v>80</v>
      </c>
      <c r="M654" t="s">
        <v>73</v>
      </c>
      <c r="R654" t="s">
        <v>4566</v>
      </c>
      <c r="W654" t="s">
        <v>4565</v>
      </c>
      <c r="X654" t="s">
        <v>197</v>
      </c>
      <c r="Y654" t="s">
        <v>118</v>
      </c>
      <c r="Z654" t="s">
        <v>74</v>
      </c>
      <c r="AA654" t="str">
        <f>"10461-1197"</f>
        <v>10461-1197</v>
      </c>
      <c r="AB654" t="s">
        <v>75</v>
      </c>
      <c r="AC654" t="s">
        <v>76</v>
      </c>
      <c r="AD654" t="s">
        <v>73</v>
      </c>
      <c r="AE654" t="s">
        <v>77</v>
      </c>
      <c r="AF654" t="s">
        <v>2228</v>
      </c>
      <c r="AG654" t="s">
        <v>78</v>
      </c>
    </row>
    <row r="655" spans="1:33" hidden="1" x14ac:dyDescent="0.25">
      <c r="A655" t="str">
        <f>"1104117969"</f>
        <v>1104117969</v>
      </c>
      <c r="B655" t="str">
        <f>"04609289"</f>
        <v>04609289</v>
      </c>
      <c r="C655" t="s">
        <v>4567</v>
      </c>
      <c r="D655" t="s">
        <v>4568</v>
      </c>
      <c r="E655" t="s">
        <v>4569</v>
      </c>
      <c r="G655" t="s">
        <v>2224</v>
      </c>
      <c r="H655" t="s">
        <v>2312</v>
      </c>
      <c r="J655" t="s">
        <v>2226</v>
      </c>
      <c r="L655" t="s">
        <v>96</v>
      </c>
      <c r="M655" t="s">
        <v>73</v>
      </c>
      <c r="R655" t="s">
        <v>4570</v>
      </c>
      <c r="W655" t="s">
        <v>4569</v>
      </c>
      <c r="AB655" t="s">
        <v>75</v>
      </c>
      <c r="AC655" t="s">
        <v>76</v>
      </c>
      <c r="AD655" t="s">
        <v>73</v>
      </c>
      <c r="AE655" t="s">
        <v>77</v>
      </c>
      <c r="AF655" t="s">
        <v>2228</v>
      </c>
      <c r="AG655" t="s">
        <v>78</v>
      </c>
    </row>
    <row r="656" spans="1:33" hidden="1" x14ac:dyDescent="0.25">
      <c r="A656" t="str">
        <f>"1477836955"</f>
        <v>1477836955</v>
      </c>
      <c r="C656" t="s">
        <v>4571</v>
      </c>
      <c r="G656" t="s">
        <v>2224</v>
      </c>
      <c r="H656" t="s">
        <v>2312</v>
      </c>
      <c r="J656" t="s">
        <v>2226</v>
      </c>
      <c r="K656" t="s">
        <v>171</v>
      </c>
      <c r="L656" t="s">
        <v>96</v>
      </c>
      <c r="M656" t="s">
        <v>73</v>
      </c>
      <c r="R656" t="s">
        <v>4572</v>
      </c>
      <c r="S656" t="s">
        <v>170</v>
      </c>
      <c r="T656" t="s">
        <v>91</v>
      </c>
      <c r="U656" t="s">
        <v>74</v>
      </c>
      <c r="V656" t="str">
        <f>"100654870"</f>
        <v>100654870</v>
      </c>
      <c r="AC656" t="s">
        <v>76</v>
      </c>
      <c r="AD656" t="s">
        <v>73</v>
      </c>
      <c r="AE656" t="s">
        <v>97</v>
      </c>
      <c r="AF656" t="s">
        <v>2242</v>
      </c>
      <c r="AG656" t="s">
        <v>78</v>
      </c>
    </row>
    <row r="657" spans="1:33" hidden="1" x14ac:dyDescent="0.25">
      <c r="A657" t="str">
        <f>"1013067933"</f>
        <v>1013067933</v>
      </c>
      <c r="C657" t="s">
        <v>4573</v>
      </c>
      <c r="G657" t="s">
        <v>2224</v>
      </c>
      <c r="H657" t="s">
        <v>2312</v>
      </c>
      <c r="J657" t="s">
        <v>2226</v>
      </c>
      <c r="K657" t="s">
        <v>171</v>
      </c>
      <c r="L657" t="s">
        <v>96</v>
      </c>
      <c r="M657" t="s">
        <v>73</v>
      </c>
      <c r="R657" t="s">
        <v>4574</v>
      </c>
      <c r="S657" t="s">
        <v>170</v>
      </c>
      <c r="T657" t="s">
        <v>91</v>
      </c>
      <c r="U657" t="s">
        <v>74</v>
      </c>
      <c r="V657" t="str">
        <f>"100654870"</f>
        <v>100654870</v>
      </c>
      <c r="AC657" t="s">
        <v>76</v>
      </c>
      <c r="AD657" t="s">
        <v>73</v>
      </c>
      <c r="AE657" t="s">
        <v>97</v>
      </c>
      <c r="AF657" t="s">
        <v>2242</v>
      </c>
      <c r="AG657" t="s">
        <v>78</v>
      </c>
    </row>
    <row r="658" spans="1:33" hidden="1" x14ac:dyDescent="0.25">
      <c r="A658" t="str">
        <f>"1508816497"</f>
        <v>1508816497</v>
      </c>
      <c r="C658" t="s">
        <v>4575</v>
      </c>
      <c r="G658" t="s">
        <v>2224</v>
      </c>
      <c r="H658" t="s">
        <v>2312</v>
      </c>
      <c r="J658" t="s">
        <v>2226</v>
      </c>
      <c r="K658" t="s">
        <v>171</v>
      </c>
      <c r="L658" t="s">
        <v>72</v>
      </c>
      <c r="M658" t="s">
        <v>73</v>
      </c>
      <c r="R658" t="s">
        <v>4576</v>
      </c>
      <c r="S658" t="s">
        <v>4577</v>
      </c>
      <c r="T658" t="s">
        <v>91</v>
      </c>
      <c r="U658" t="s">
        <v>74</v>
      </c>
      <c r="V658" t="str">
        <f>"100323703"</f>
        <v>100323703</v>
      </c>
      <c r="AC658" t="s">
        <v>76</v>
      </c>
      <c r="AD658" t="s">
        <v>73</v>
      </c>
      <c r="AE658" t="s">
        <v>97</v>
      </c>
      <c r="AF658" t="s">
        <v>2242</v>
      </c>
      <c r="AG658" t="s">
        <v>78</v>
      </c>
    </row>
    <row r="659" spans="1:33" hidden="1" x14ac:dyDescent="0.25">
      <c r="A659" t="str">
        <f>"1336431527"</f>
        <v>1336431527</v>
      </c>
      <c r="C659" t="s">
        <v>4578</v>
      </c>
      <c r="G659" t="s">
        <v>2224</v>
      </c>
      <c r="H659" t="s">
        <v>2312</v>
      </c>
      <c r="J659" t="s">
        <v>2226</v>
      </c>
      <c r="K659" t="s">
        <v>171</v>
      </c>
      <c r="L659" t="s">
        <v>96</v>
      </c>
      <c r="M659" t="s">
        <v>73</v>
      </c>
      <c r="R659" t="s">
        <v>4579</v>
      </c>
      <c r="S659" t="s">
        <v>4580</v>
      </c>
      <c r="T659" t="s">
        <v>91</v>
      </c>
      <c r="U659" t="s">
        <v>74</v>
      </c>
      <c r="V659" t="str">
        <f>"100323784"</f>
        <v>100323784</v>
      </c>
      <c r="AC659" t="s">
        <v>76</v>
      </c>
      <c r="AD659" t="s">
        <v>73</v>
      </c>
      <c r="AE659" t="s">
        <v>97</v>
      </c>
      <c r="AF659" t="s">
        <v>2254</v>
      </c>
      <c r="AG659" t="s">
        <v>78</v>
      </c>
    </row>
    <row r="660" spans="1:33" hidden="1" x14ac:dyDescent="0.25">
      <c r="A660" t="str">
        <f>"1033236211"</f>
        <v>1033236211</v>
      </c>
      <c r="B660" t="str">
        <f>"02993699"</f>
        <v>02993699</v>
      </c>
      <c r="C660" t="s">
        <v>4581</v>
      </c>
      <c r="D660" t="s">
        <v>1789</v>
      </c>
      <c r="E660" t="s">
        <v>1790</v>
      </c>
      <c r="G660" t="s">
        <v>4582</v>
      </c>
      <c r="H660" t="s">
        <v>4583</v>
      </c>
      <c r="J660" t="s">
        <v>4584</v>
      </c>
      <c r="L660" t="s">
        <v>101</v>
      </c>
      <c r="M660" t="s">
        <v>82</v>
      </c>
      <c r="R660" t="s">
        <v>1791</v>
      </c>
      <c r="W660" t="s">
        <v>1792</v>
      </c>
      <c r="X660" t="s">
        <v>557</v>
      </c>
      <c r="Y660" t="s">
        <v>91</v>
      </c>
      <c r="Z660" t="s">
        <v>74</v>
      </c>
      <c r="AA660" t="str">
        <f>"10025-1715"</f>
        <v>10025-1715</v>
      </c>
      <c r="AB660" t="s">
        <v>102</v>
      </c>
      <c r="AC660" t="s">
        <v>76</v>
      </c>
      <c r="AD660" t="s">
        <v>73</v>
      </c>
      <c r="AE660" t="s">
        <v>77</v>
      </c>
      <c r="AF660" t="s">
        <v>2254</v>
      </c>
      <c r="AG660" t="s">
        <v>78</v>
      </c>
    </row>
    <row r="661" spans="1:33" hidden="1" x14ac:dyDescent="0.25">
      <c r="A661" t="str">
        <f>"1790904175"</f>
        <v>1790904175</v>
      </c>
      <c r="C661" t="s">
        <v>4585</v>
      </c>
      <c r="K661" t="s">
        <v>36</v>
      </c>
      <c r="L661" t="s">
        <v>96</v>
      </c>
      <c r="M661" t="s">
        <v>73</v>
      </c>
      <c r="R661" t="s">
        <v>4585</v>
      </c>
      <c r="S661" t="s">
        <v>354</v>
      </c>
      <c r="T661" t="s">
        <v>91</v>
      </c>
      <c r="U661" t="s">
        <v>74</v>
      </c>
      <c r="V661" t="str">
        <f>"100323725"</f>
        <v>100323725</v>
      </c>
      <c r="AC661" t="s">
        <v>76</v>
      </c>
      <c r="AD661" t="s">
        <v>73</v>
      </c>
      <c r="AE661" t="s">
        <v>97</v>
      </c>
      <c r="AF661" t="s">
        <v>2398</v>
      </c>
      <c r="AG661" t="s">
        <v>78</v>
      </c>
    </row>
    <row r="662" spans="1:33" hidden="1" x14ac:dyDescent="0.25">
      <c r="A662" t="str">
        <f>"1255475125"</f>
        <v>1255475125</v>
      </c>
      <c r="B662" t="str">
        <f>"03287318"</f>
        <v>03287318</v>
      </c>
      <c r="C662" t="s">
        <v>4586</v>
      </c>
      <c r="D662" t="s">
        <v>4587</v>
      </c>
      <c r="E662" t="s">
        <v>4588</v>
      </c>
      <c r="G662" t="s">
        <v>2224</v>
      </c>
      <c r="H662" t="s">
        <v>2225</v>
      </c>
      <c r="J662" t="s">
        <v>2226</v>
      </c>
      <c r="L662" t="s">
        <v>72</v>
      </c>
      <c r="M662" t="s">
        <v>73</v>
      </c>
      <c r="R662" t="s">
        <v>4588</v>
      </c>
      <c r="W662" t="s">
        <v>4589</v>
      </c>
      <c r="X662" t="s">
        <v>167</v>
      </c>
      <c r="Y662" t="s">
        <v>91</v>
      </c>
      <c r="Z662" t="s">
        <v>74</v>
      </c>
      <c r="AA662" t="str">
        <f>"10032-3720"</f>
        <v>10032-3720</v>
      </c>
      <c r="AB662" t="s">
        <v>104</v>
      </c>
      <c r="AC662" t="s">
        <v>76</v>
      </c>
      <c r="AD662" t="s">
        <v>73</v>
      </c>
      <c r="AE662" t="s">
        <v>77</v>
      </c>
      <c r="AF662" t="s">
        <v>2254</v>
      </c>
      <c r="AG662" t="s">
        <v>78</v>
      </c>
    </row>
    <row r="663" spans="1:33" hidden="1" x14ac:dyDescent="0.25">
      <c r="A663" t="str">
        <f>"1174556823"</f>
        <v>1174556823</v>
      </c>
      <c r="B663" t="str">
        <f>"02719313"</f>
        <v>02719313</v>
      </c>
      <c r="C663" t="s">
        <v>4590</v>
      </c>
      <c r="D663" t="s">
        <v>4591</v>
      </c>
      <c r="E663" t="s">
        <v>3280</v>
      </c>
      <c r="L663" t="s">
        <v>36</v>
      </c>
      <c r="M663" t="s">
        <v>73</v>
      </c>
      <c r="R663" t="s">
        <v>4590</v>
      </c>
      <c r="W663" t="s">
        <v>3280</v>
      </c>
      <c r="X663" t="s">
        <v>183</v>
      </c>
      <c r="Y663" t="s">
        <v>91</v>
      </c>
      <c r="Z663" t="s">
        <v>74</v>
      </c>
      <c r="AA663" t="str">
        <f>"10032-3729"</f>
        <v>10032-3729</v>
      </c>
      <c r="AB663" t="s">
        <v>114</v>
      </c>
      <c r="AC663" t="s">
        <v>76</v>
      </c>
      <c r="AD663" t="s">
        <v>73</v>
      </c>
      <c r="AE663" t="s">
        <v>77</v>
      </c>
      <c r="AF663" t="s">
        <v>2398</v>
      </c>
      <c r="AG663" t="s">
        <v>78</v>
      </c>
    </row>
    <row r="664" spans="1:33" hidden="1" x14ac:dyDescent="0.25">
      <c r="A664" t="str">
        <f>"1104932797"</f>
        <v>1104932797</v>
      </c>
      <c r="B664" t="str">
        <f>"01112945"</f>
        <v>01112945</v>
      </c>
      <c r="C664" t="s">
        <v>4592</v>
      </c>
      <c r="D664" t="s">
        <v>4593</v>
      </c>
      <c r="E664" t="s">
        <v>4594</v>
      </c>
      <c r="G664" t="s">
        <v>2224</v>
      </c>
      <c r="H664" t="s">
        <v>2225</v>
      </c>
      <c r="J664" t="s">
        <v>2226</v>
      </c>
      <c r="L664" t="s">
        <v>72</v>
      </c>
      <c r="M664" t="s">
        <v>73</v>
      </c>
      <c r="R664" t="s">
        <v>4595</v>
      </c>
      <c r="W664" t="s">
        <v>4594</v>
      </c>
      <c r="X664" t="s">
        <v>1742</v>
      </c>
      <c r="Y664" t="s">
        <v>91</v>
      </c>
      <c r="Z664" t="s">
        <v>74</v>
      </c>
      <c r="AA664" t="str">
        <f>"10032-3724"</f>
        <v>10032-3724</v>
      </c>
      <c r="AB664" t="s">
        <v>75</v>
      </c>
      <c r="AC664" t="s">
        <v>76</v>
      </c>
      <c r="AD664" t="s">
        <v>73</v>
      </c>
      <c r="AE664" t="s">
        <v>77</v>
      </c>
      <c r="AF664" t="s">
        <v>2254</v>
      </c>
      <c r="AG664" t="s">
        <v>78</v>
      </c>
    </row>
    <row r="665" spans="1:33" hidden="1" x14ac:dyDescent="0.25">
      <c r="A665" t="str">
        <f>"1992816011"</f>
        <v>1992816011</v>
      </c>
      <c r="B665" t="str">
        <f>"02186161"</f>
        <v>02186161</v>
      </c>
      <c r="C665" t="s">
        <v>4596</v>
      </c>
      <c r="D665" t="s">
        <v>4597</v>
      </c>
      <c r="E665" t="s">
        <v>4598</v>
      </c>
      <c r="L665" t="s">
        <v>36</v>
      </c>
      <c r="M665" t="s">
        <v>73</v>
      </c>
      <c r="R665" t="s">
        <v>3674</v>
      </c>
      <c r="W665" t="s">
        <v>4598</v>
      </c>
      <c r="X665" t="s">
        <v>4599</v>
      </c>
      <c r="Y665" t="s">
        <v>91</v>
      </c>
      <c r="Z665" t="s">
        <v>74</v>
      </c>
      <c r="AA665" t="str">
        <f>"10032"</f>
        <v>10032</v>
      </c>
      <c r="AB665" t="s">
        <v>114</v>
      </c>
      <c r="AC665" t="s">
        <v>76</v>
      </c>
      <c r="AD665" t="s">
        <v>73</v>
      </c>
      <c r="AE665" t="s">
        <v>77</v>
      </c>
      <c r="AF665" t="s">
        <v>2398</v>
      </c>
      <c r="AG665" t="s">
        <v>78</v>
      </c>
    </row>
    <row r="666" spans="1:33" hidden="1" x14ac:dyDescent="0.25">
      <c r="A666" t="str">
        <f>"1215194568"</f>
        <v>1215194568</v>
      </c>
      <c r="B666" t="str">
        <f>"03344387"</f>
        <v>03344387</v>
      </c>
      <c r="C666" t="s">
        <v>4600</v>
      </c>
      <c r="D666" t="s">
        <v>4601</v>
      </c>
      <c r="E666" t="s">
        <v>4602</v>
      </c>
      <c r="G666" t="s">
        <v>2224</v>
      </c>
      <c r="H666" t="s">
        <v>2225</v>
      </c>
      <c r="J666" t="s">
        <v>2226</v>
      </c>
      <c r="L666" t="s">
        <v>80</v>
      </c>
      <c r="M666" t="s">
        <v>73</v>
      </c>
      <c r="R666" t="s">
        <v>4603</v>
      </c>
      <c r="W666" t="s">
        <v>4602</v>
      </c>
      <c r="X666" t="s">
        <v>170</v>
      </c>
      <c r="Y666" t="s">
        <v>91</v>
      </c>
      <c r="Z666" t="s">
        <v>74</v>
      </c>
      <c r="AA666" t="str">
        <f>"10065-4870"</f>
        <v>10065-4870</v>
      </c>
      <c r="AB666" t="s">
        <v>75</v>
      </c>
      <c r="AC666" t="s">
        <v>76</v>
      </c>
      <c r="AD666" t="s">
        <v>73</v>
      </c>
      <c r="AE666" t="s">
        <v>77</v>
      </c>
      <c r="AF666" t="s">
        <v>2242</v>
      </c>
      <c r="AG666" t="s">
        <v>78</v>
      </c>
    </row>
    <row r="667" spans="1:33" hidden="1" x14ac:dyDescent="0.25">
      <c r="A667" t="str">
        <f>"1528031150"</f>
        <v>1528031150</v>
      </c>
      <c r="B667" t="str">
        <f>"01615443"</f>
        <v>01615443</v>
      </c>
      <c r="C667" t="s">
        <v>4604</v>
      </c>
      <c r="D667" t="s">
        <v>4605</v>
      </c>
      <c r="E667" t="s">
        <v>4606</v>
      </c>
      <c r="G667" t="s">
        <v>2224</v>
      </c>
      <c r="H667" t="s">
        <v>2225</v>
      </c>
      <c r="J667" t="s">
        <v>2226</v>
      </c>
      <c r="L667" t="s">
        <v>100</v>
      </c>
      <c r="M667" t="s">
        <v>73</v>
      </c>
      <c r="R667" t="s">
        <v>4607</v>
      </c>
      <c r="W667" t="s">
        <v>4608</v>
      </c>
      <c r="X667" t="s">
        <v>410</v>
      </c>
      <c r="Y667" t="s">
        <v>91</v>
      </c>
      <c r="Z667" t="s">
        <v>74</v>
      </c>
      <c r="AA667" t="str">
        <f>"10032-1559"</f>
        <v>10032-1559</v>
      </c>
      <c r="AB667" t="s">
        <v>75</v>
      </c>
      <c r="AC667" t="s">
        <v>76</v>
      </c>
      <c r="AD667" t="s">
        <v>73</v>
      </c>
      <c r="AE667" t="s">
        <v>77</v>
      </c>
      <c r="AF667" t="s">
        <v>2254</v>
      </c>
      <c r="AG667" t="s">
        <v>78</v>
      </c>
    </row>
    <row r="668" spans="1:33" hidden="1" x14ac:dyDescent="0.25">
      <c r="A668" t="str">
        <f>"1528087210"</f>
        <v>1528087210</v>
      </c>
      <c r="B668" t="str">
        <f>"03476542"</f>
        <v>03476542</v>
      </c>
      <c r="C668" t="s">
        <v>4609</v>
      </c>
      <c r="D668" t="s">
        <v>4610</v>
      </c>
      <c r="E668" t="s">
        <v>4611</v>
      </c>
      <c r="G668" t="s">
        <v>2224</v>
      </c>
      <c r="H668" t="s">
        <v>2225</v>
      </c>
      <c r="J668" t="s">
        <v>2226</v>
      </c>
      <c r="L668" t="s">
        <v>72</v>
      </c>
      <c r="M668" t="s">
        <v>73</v>
      </c>
      <c r="R668" t="s">
        <v>4612</v>
      </c>
      <c r="W668" t="s">
        <v>4611</v>
      </c>
      <c r="X668" t="s">
        <v>1750</v>
      </c>
      <c r="Y668" t="s">
        <v>91</v>
      </c>
      <c r="Z668" t="s">
        <v>74</v>
      </c>
      <c r="AA668" t="str">
        <f>"10016-4852"</f>
        <v>10016-4852</v>
      </c>
      <c r="AB668" t="s">
        <v>75</v>
      </c>
      <c r="AC668" t="s">
        <v>76</v>
      </c>
      <c r="AD668" t="s">
        <v>73</v>
      </c>
      <c r="AE668" t="s">
        <v>77</v>
      </c>
      <c r="AF668" t="s">
        <v>2228</v>
      </c>
      <c r="AG668" t="s">
        <v>78</v>
      </c>
    </row>
    <row r="669" spans="1:33" hidden="1" x14ac:dyDescent="0.25">
      <c r="A669" t="str">
        <f>"1528095791"</f>
        <v>1528095791</v>
      </c>
      <c r="B669" t="str">
        <f>"02768927"</f>
        <v>02768927</v>
      </c>
      <c r="C669" t="s">
        <v>4613</v>
      </c>
      <c r="D669" t="s">
        <v>4614</v>
      </c>
      <c r="E669" t="s">
        <v>4615</v>
      </c>
      <c r="G669" t="s">
        <v>2224</v>
      </c>
      <c r="H669" t="s">
        <v>2225</v>
      </c>
      <c r="J669" t="s">
        <v>2226</v>
      </c>
      <c r="L669" t="s">
        <v>80</v>
      </c>
      <c r="M669" t="s">
        <v>73</v>
      </c>
      <c r="R669" t="s">
        <v>4616</v>
      </c>
      <c r="W669" t="s">
        <v>4617</v>
      </c>
      <c r="X669" t="s">
        <v>4618</v>
      </c>
      <c r="Y669" t="s">
        <v>91</v>
      </c>
      <c r="Z669" t="s">
        <v>74</v>
      </c>
      <c r="AA669" t="str">
        <f>"10021"</f>
        <v>10021</v>
      </c>
      <c r="AB669" t="s">
        <v>75</v>
      </c>
      <c r="AC669" t="s">
        <v>76</v>
      </c>
      <c r="AD669" t="s">
        <v>73</v>
      </c>
      <c r="AE669" t="s">
        <v>77</v>
      </c>
      <c r="AF669" t="s">
        <v>2242</v>
      </c>
      <c r="AG669" t="s">
        <v>78</v>
      </c>
    </row>
    <row r="670" spans="1:33" hidden="1" x14ac:dyDescent="0.25">
      <c r="A670" t="str">
        <f>"1528097615"</f>
        <v>1528097615</v>
      </c>
      <c r="B670" t="str">
        <f>"02357968"</f>
        <v>02357968</v>
      </c>
      <c r="C670" t="s">
        <v>4619</v>
      </c>
      <c r="D670" t="s">
        <v>4620</v>
      </c>
      <c r="E670" t="s">
        <v>4621</v>
      </c>
      <c r="G670" t="s">
        <v>2224</v>
      </c>
      <c r="H670" t="s">
        <v>2225</v>
      </c>
      <c r="J670" t="s">
        <v>2226</v>
      </c>
      <c r="L670" t="s">
        <v>80</v>
      </c>
      <c r="M670" t="s">
        <v>82</v>
      </c>
      <c r="R670" t="s">
        <v>4622</v>
      </c>
      <c r="W670" t="s">
        <v>4621</v>
      </c>
      <c r="X670" t="s">
        <v>1364</v>
      </c>
      <c r="Y670" t="s">
        <v>91</v>
      </c>
      <c r="Z670" t="s">
        <v>74</v>
      </c>
      <c r="AA670" t="str">
        <f>"10032-3720"</f>
        <v>10032-3720</v>
      </c>
      <c r="AB670" t="s">
        <v>75</v>
      </c>
      <c r="AC670" t="s">
        <v>76</v>
      </c>
      <c r="AD670" t="s">
        <v>73</v>
      </c>
      <c r="AE670" t="s">
        <v>77</v>
      </c>
      <c r="AF670" t="s">
        <v>2228</v>
      </c>
      <c r="AG670" t="s">
        <v>78</v>
      </c>
    </row>
    <row r="671" spans="1:33" hidden="1" x14ac:dyDescent="0.25">
      <c r="A671" t="str">
        <f>"1326088675"</f>
        <v>1326088675</v>
      </c>
      <c r="B671" t="str">
        <f>"02396289"</f>
        <v>02396289</v>
      </c>
      <c r="C671" t="s">
        <v>3498</v>
      </c>
      <c r="D671" t="s">
        <v>4623</v>
      </c>
      <c r="E671" t="s">
        <v>4624</v>
      </c>
      <c r="G671" t="s">
        <v>2224</v>
      </c>
      <c r="H671" t="s">
        <v>4625</v>
      </c>
      <c r="J671" t="s">
        <v>2226</v>
      </c>
      <c r="L671" t="s">
        <v>36</v>
      </c>
      <c r="M671" t="s">
        <v>73</v>
      </c>
      <c r="R671" t="s">
        <v>3498</v>
      </c>
      <c r="W671" t="s">
        <v>3498</v>
      </c>
      <c r="X671" t="s">
        <v>2111</v>
      </c>
      <c r="Y671" t="s">
        <v>91</v>
      </c>
      <c r="Z671" t="s">
        <v>74</v>
      </c>
      <c r="AA671" t="str">
        <f>"10021-9800"</f>
        <v>10021-9800</v>
      </c>
      <c r="AB671" t="s">
        <v>114</v>
      </c>
      <c r="AC671" t="s">
        <v>76</v>
      </c>
      <c r="AD671" t="s">
        <v>73</v>
      </c>
      <c r="AE671" t="s">
        <v>77</v>
      </c>
      <c r="AF671" t="s">
        <v>2254</v>
      </c>
      <c r="AG671" t="s">
        <v>78</v>
      </c>
    </row>
    <row r="672" spans="1:33" hidden="1" x14ac:dyDescent="0.25">
      <c r="A672" t="str">
        <f>"1538109269"</f>
        <v>1538109269</v>
      </c>
      <c r="B672" t="str">
        <f>"00487889"</f>
        <v>00487889</v>
      </c>
      <c r="C672" t="s">
        <v>3498</v>
      </c>
      <c r="D672" t="s">
        <v>4626</v>
      </c>
      <c r="E672" t="s">
        <v>4627</v>
      </c>
      <c r="G672" t="s">
        <v>2224</v>
      </c>
      <c r="H672" t="s">
        <v>4628</v>
      </c>
      <c r="J672" t="s">
        <v>2226</v>
      </c>
      <c r="L672" t="s">
        <v>36</v>
      </c>
      <c r="M672" t="s">
        <v>73</v>
      </c>
      <c r="R672" t="s">
        <v>3498</v>
      </c>
      <c r="W672" t="s">
        <v>3498</v>
      </c>
      <c r="X672" t="s">
        <v>170</v>
      </c>
      <c r="Y672" t="s">
        <v>91</v>
      </c>
      <c r="Z672" t="s">
        <v>74</v>
      </c>
      <c r="AA672" t="str">
        <f>"10065-4885"</f>
        <v>10065-4885</v>
      </c>
      <c r="AB672" t="s">
        <v>114</v>
      </c>
      <c r="AC672" t="s">
        <v>76</v>
      </c>
      <c r="AD672" t="s">
        <v>73</v>
      </c>
      <c r="AE672" t="s">
        <v>77</v>
      </c>
      <c r="AF672" t="s">
        <v>2254</v>
      </c>
      <c r="AG672" t="s">
        <v>78</v>
      </c>
    </row>
    <row r="673" spans="1:33" hidden="1" x14ac:dyDescent="0.25">
      <c r="A673" t="str">
        <f>"1356497598"</f>
        <v>1356497598</v>
      </c>
      <c r="B673" t="str">
        <f>"02109199"</f>
        <v>02109199</v>
      </c>
      <c r="C673" t="s">
        <v>4629</v>
      </c>
      <c r="D673" t="s">
        <v>4630</v>
      </c>
      <c r="E673" t="s">
        <v>4631</v>
      </c>
      <c r="G673" t="s">
        <v>2224</v>
      </c>
      <c r="H673" t="s">
        <v>2225</v>
      </c>
      <c r="J673" t="s">
        <v>2226</v>
      </c>
      <c r="L673" t="s">
        <v>72</v>
      </c>
      <c r="M673" t="s">
        <v>73</v>
      </c>
      <c r="R673" t="s">
        <v>4632</v>
      </c>
      <c r="W673" t="s">
        <v>4631</v>
      </c>
      <c r="X673" t="s">
        <v>200</v>
      </c>
      <c r="Y673" t="s">
        <v>145</v>
      </c>
      <c r="Z673" t="s">
        <v>74</v>
      </c>
      <c r="AA673" t="str">
        <f>"11004-1150"</f>
        <v>11004-1150</v>
      </c>
      <c r="AB673" t="s">
        <v>75</v>
      </c>
      <c r="AC673" t="s">
        <v>76</v>
      </c>
      <c r="AD673" t="s">
        <v>73</v>
      </c>
      <c r="AE673" t="s">
        <v>77</v>
      </c>
      <c r="AF673" t="s">
        <v>2254</v>
      </c>
      <c r="AG673" t="s">
        <v>78</v>
      </c>
    </row>
    <row r="674" spans="1:33" hidden="1" x14ac:dyDescent="0.25">
      <c r="A674" t="str">
        <f>"1124006275"</f>
        <v>1124006275</v>
      </c>
      <c r="B674" t="str">
        <f>"02760052"</f>
        <v>02760052</v>
      </c>
      <c r="C674" t="s">
        <v>4633</v>
      </c>
      <c r="D674" t="s">
        <v>4634</v>
      </c>
      <c r="E674" t="s">
        <v>4635</v>
      </c>
      <c r="L674" t="s">
        <v>80</v>
      </c>
      <c r="M674" t="s">
        <v>73</v>
      </c>
      <c r="R674" t="s">
        <v>4636</v>
      </c>
      <c r="W674" t="s">
        <v>4637</v>
      </c>
      <c r="X674" t="s">
        <v>152</v>
      </c>
      <c r="Y674" t="s">
        <v>118</v>
      </c>
      <c r="Z674" t="s">
        <v>74</v>
      </c>
      <c r="AA674" t="str">
        <f>"10461-2301"</f>
        <v>10461-2301</v>
      </c>
      <c r="AB674" t="s">
        <v>75</v>
      </c>
      <c r="AC674" t="s">
        <v>76</v>
      </c>
      <c r="AD674" t="s">
        <v>73</v>
      </c>
      <c r="AE674" t="s">
        <v>77</v>
      </c>
      <c r="AF674" t="s">
        <v>2242</v>
      </c>
      <c r="AG674" t="s">
        <v>78</v>
      </c>
    </row>
    <row r="675" spans="1:33" hidden="1" x14ac:dyDescent="0.25">
      <c r="A675" t="str">
        <f>"1033377338"</f>
        <v>1033377338</v>
      </c>
      <c r="B675" t="str">
        <f>"03338763"</f>
        <v>03338763</v>
      </c>
      <c r="C675" t="s">
        <v>4638</v>
      </c>
      <c r="D675" t="s">
        <v>4639</v>
      </c>
      <c r="E675" t="s">
        <v>4640</v>
      </c>
      <c r="G675" t="s">
        <v>2224</v>
      </c>
      <c r="H675" t="s">
        <v>2225</v>
      </c>
      <c r="J675" t="s">
        <v>2226</v>
      </c>
      <c r="L675" t="s">
        <v>80</v>
      </c>
      <c r="M675" t="s">
        <v>73</v>
      </c>
      <c r="R675" t="s">
        <v>4641</v>
      </c>
      <c r="W675" t="s">
        <v>4640</v>
      </c>
      <c r="X675" t="s">
        <v>170</v>
      </c>
      <c r="Y675" t="s">
        <v>91</v>
      </c>
      <c r="Z675" t="s">
        <v>74</v>
      </c>
      <c r="AA675" t="str">
        <f>"10065-4870"</f>
        <v>10065-4870</v>
      </c>
      <c r="AB675" t="s">
        <v>75</v>
      </c>
      <c r="AC675" t="s">
        <v>76</v>
      </c>
      <c r="AD675" t="s">
        <v>73</v>
      </c>
      <c r="AE675" t="s">
        <v>77</v>
      </c>
      <c r="AF675" t="s">
        <v>2398</v>
      </c>
      <c r="AG675" t="s">
        <v>78</v>
      </c>
    </row>
    <row r="676" spans="1:33" hidden="1" x14ac:dyDescent="0.25">
      <c r="A676" t="str">
        <f>"1780822304"</f>
        <v>1780822304</v>
      </c>
      <c r="B676" t="str">
        <f>"03466231"</f>
        <v>03466231</v>
      </c>
      <c r="C676" t="s">
        <v>4642</v>
      </c>
      <c r="D676" t="s">
        <v>4643</v>
      </c>
      <c r="E676" t="s">
        <v>4644</v>
      </c>
      <c r="G676" t="s">
        <v>2224</v>
      </c>
      <c r="H676" t="s">
        <v>2225</v>
      </c>
      <c r="J676" t="s">
        <v>2226</v>
      </c>
      <c r="L676" t="s">
        <v>80</v>
      </c>
      <c r="M676" t="s">
        <v>73</v>
      </c>
      <c r="R676" t="s">
        <v>4645</v>
      </c>
      <c r="W676" t="s">
        <v>4644</v>
      </c>
      <c r="X676" t="s">
        <v>1690</v>
      </c>
      <c r="Y676" t="s">
        <v>91</v>
      </c>
      <c r="Z676" t="s">
        <v>74</v>
      </c>
      <c r="AA676" t="str">
        <f>"10019-1412"</f>
        <v>10019-1412</v>
      </c>
      <c r="AB676" t="s">
        <v>75</v>
      </c>
      <c r="AC676" t="s">
        <v>76</v>
      </c>
      <c r="AD676" t="s">
        <v>73</v>
      </c>
      <c r="AE676" t="s">
        <v>77</v>
      </c>
      <c r="AF676" t="s">
        <v>2228</v>
      </c>
      <c r="AG676" t="s">
        <v>78</v>
      </c>
    </row>
    <row r="677" spans="1:33" hidden="1" x14ac:dyDescent="0.25">
      <c r="A677" t="str">
        <f>"1780826263"</f>
        <v>1780826263</v>
      </c>
      <c r="B677" t="str">
        <f>"03108041"</f>
        <v>03108041</v>
      </c>
      <c r="C677" t="s">
        <v>4646</v>
      </c>
      <c r="D677" t="s">
        <v>4647</v>
      </c>
      <c r="E677" t="s">
        <v>4648</v>
      </c>
      <c r="G677" t="s">
        <v>2224</v>
      </c>
      <c r="H677" t="s">
        <v>2225</v>
      </c>
      <c r="J677" t="s">
        <v>2226</v>
      </c>
      <c r="L677" t="s">
        <v>72</v>
      </c>
      <c r="M677" t="s">
        <v>73</v>
      </c>
      <c r="R677" t="s">
        <v>4649</v>
      </c>
      <c r="W677" t="s">
        <v>4648</v>
      </c>
      <c r="X677" t="s">
        <v>4650</v>
      </c>
      <c r="Y677" t="s">
        <v>91</v>
      </c>
      <c r="Z677" t="s">
        <v>74</v>
      </c>
      <c r="AA677" t="str">
        <f>"10021-0000"</f>
        <v>10021-0000</v>
      </c>
      <c r="AB677" t="s">
        <v>106</v>
      </c>
      <c r="AC677" t="s">
        <v>76</v>
      </c>
      <c r="AD677" t="s">
        <v>73</v>
      </c>
      <c r="AE677" t="s">
        <v>77</v>
      </c>
      <c r="AF677" t="s">
        <v>2398</v>
      </c>
      <c r="AG677" t="s">
        <v>78</v>
      </c>
    </row>
    <row r="678" spans="1:33" hidden="1" x14ac:dyDescent="0.25">
      <c r="A678" t="str">
        <f>"1477710069"</f>
        <v>1477710069</v>
      </c>
      <c r="B678" t="str">
        <f>"02984141"</f>
        <v>02984141</v>
      </c>
      <c r="C678" t="s">
        <v>4651</v>
      </c>
      <c r="D678" t="s">
        <v>4652</v>
      </c>
      <c r="E678" t="s">
        <v>4653</v>
      </c>
      <c r="G678" t="s">
        <v>2224</v>
      </c>
      <c r="H678" t="s">
        <v>2225</v>
      </c>
      <c r="J678" t="s">
        <v>2226</v>
      </c>
      <c r="L678" t="s">
        <v>80</v>
      </c>
      <c r="M678" t="s">
        <v>73</v>
      </c>
      <c r="R678" t="s">
        <v>4654</v>
      </c>
      <c r="W678" t="s">
        <v>4655</v>
      </c>
      <c r="X678" t="s">
        <v>1096</v>
      </c>
      <c r="Y678" t="s">
        <v>91</v>
      </c>
      <c r="Z678" t="s">
        <v>74</v>
      </c>
      <c r="AA678" t="str">
        <f>"10065-4870"</f>
        <v>10065-4870</v>
      </c>
      <c r="AB678" t="s">
        <v>75</v>
      </c>
      <c r="AC678" t="s">
        <v>76</v>
      </c>
      <c r="AD678" t="s">
        <v>73</v>
      </c>
      <c r="AE678" t="s">
        <v>77</v>
      </c>
      <c r="AF678" t="s">
        <v>2242</v>
      </c>
      <c r="AG678" t="s">
        <v>78</v>
      </c>
    </row>
    <row r="679" spans="1:33" hidden="1" x14ac:dyDescent="0.25">
      <c r="A679" t="str">
        <f>"1174675631"</f>
        <v>1174675631</v>
      </c>
      <c r="B679" t="str">
        <f>"01783462"</f>
        <v>01783462</v>
      </c>
      <c r="C679" t="s">
        <v>4656</v>
      </c>
      <c r="D679" t="s">
        <v>4657</v>
      </c>
      <c r="E679" t="s">
        <v>4658</v>
      </c>
      <c r="G679" t="s">
        <v>2224</v>
      </c>
      <c r="H679" t="s">
        <v>2225</v>
      </c>
      <c r="J679" t="s">
        <v>2226</v>
      </c>
      <c r="L679" t="s">
        <v>72</v>
      </c>
      <c r="M679" t="s">
        <v>73</v>
      </c>
      <c r="R679" t="s">
        <v>4659</v>
      </c>
      <c r="W679" t="s">
        <v>4658</v>
      </c>
      <c r="X679" t="s">
        <v>1742</v>
      </c>
      <c r="Y679" t="s">
        <v>91</v>
      </c>
      <c r="Z679" t="s">
        <v>74</v>
      </c>
      <c r="AA679" t="str">
        <f>"10032-3724"</f>
        <v>10032-3724</v>
      </c>
      <c r="AB679" t="s">
        <v>75</v>
      </c>
      <c r="AC679" t="s">
        <v>76</v>
      </c>
      <c r="AD679" t="s">
        <v>73</v>
      </c>
      <c r="AE679" t="s">
        <v>77</v>
      </c>
      <c r="AF679" t="s">
        <v>2228</v>
      </c>
      <c r="AG679" t="s">
        <v>78</v>
      </c>
    </row>
    <row r="680" spans="1:33" hidden="1" x14ac:dyDescent="0.25">
      <c r="A680" t="str">
        <f>"1447493051"</f>
        <v>1447493051</v>
      </c>
      <c r="B680" t="str">
        <f>"03545228"</f>
        <v>03545228</v>
      </c>
      <c r="C680" t="s">
        <v>4660</v>
      </c>
      <c r="D680" t="s">
        <v>4661</v>
      </c>
      <c r="E680" t="s">
        <v>4662</v>
      </c>
      <c r="G680" t="s">
        <v>2224</v>
      </c>
      <c r="H680" t="s">
        <v>2225</v>
      </c>
      <c r="J680" t="s">
        <v>2226</v>
      </c>
      <c r="L680" t="s">
        <v>72</v>
      </c>
      <c r="M680" t="s">
        <v>73</v>
      </c>
      <c r="R680" t="s">
        <v>4663</v>
      </c>
      <c r="W680" t="s">
        <v>4662</v>
      </c>
      <c r="X680" t="s">
        <v>410</v>
      </c>
      <c r="Y680" t="s">
        <v>91</v>
      </c>
      <c r="Z680" t="s">
        <v>74</v>
      </c>
      <c r="AA680" t="str">
        <f>"10032-1559"</f>
        <v>10032-1559</v>
      </c>
      <c r="AB680" t="s">
        <v>75</v>
      </c>
      <c r="AC680" t="s">
        <v>76</v>
      </c>
      <c r="AD680" t="s">
        <v>73</v>
      </c>
      <c r="AE680" t="s">
        <v>77</v>
      </c>
      <c r="AF680" t="s">
        <v>2228</v>
      </c>
      <c r="AG680" t="s">
        <v>78</v>
      </c>
    </row>
    <row r="681" spans="1:33" hidden="1" x14ac:dyDescent="0.25">
      <c r="A681" t="str">
        <f>"1639107733"</f>
        <v>1639107733</v>
      </c>
      <c r="B681" t="str">
        <f>"01404728"</f>
        <v>01404728</v>
      </c>
      <c r="C681" t="s">
        <v>4664</v>
      </c>
      <c r="D681" t="s">
        <v>4665</v>
      </c>
      <c r="E681" t="s">
        <v>4666</v>
      </c>
      <c r="G681" t="s">
        <v>2224</v>
      </c>
      <c r="H681" t="s">
        <v>2225</v>
      </c>
      <c r="J681" t="s">
        <v>2226</v>
      </c>
      <c r="L681" t="s">
        <v>80</v>
      </c>
      <c r="M681" t="s">
        <v>73</v>
      </c>
      <c r="R681" t="s">
        <v>4667</v>
      </c>
      <c r="W681" t="s">
        <v>4666</v>
      </c>
      <c r="X681" t="s">
        <v>183</v>
      </c>
      <c r="Y681" t="s">
        <v>91</v>
      </c>
      <c r="Z681" t="s">
        <v>74</v>
      </c>
      <c r="AA681" t="str">
        <f>"10032-3729"</f>
        <v>10032-3729</v>
      </c>
      <c r="AB681" t="s">
        <v>75</v>
      </c>
      <c r="AC681" t="s">
        <v>76</v>
      </c>
      <c r="AD681" t="s">
        <v>73</v>
      </c>
      <c r="AE681" t="s">
        <v>77</v>
      </c>
      <c r="AF681" t="s">
        <v>2228</v>
      </c>
      <c r="AG681" t="s">
        <v>78</v>
      </c>
    </row>
    <row r="682" spans="1:33" hidden="1" x14ac:dyDescent="0.25">
      <c r="A682" t="str">
        <f>"1033315908"</f>
        <v>1033315908</v>
      </c>
      <c r="B682" t="str">
        <f>"03022268"</f>
        <v>03022268</v>
      </c>
      <c r="C682" t="s">
        <v>4668</v>
      </c>
      <c r="D682" t="s">
        <v>4669</v>
      </c>
      <c r="E682" t="s">
        <v>4670</v>
      </c>
      <c r="G682" t="s">
        <v>2224</v>
      </c>
      <c r="H682" t="s">
        <v>4671</v>
      </c>
      <c r="J682" t="s">
        <v>2226</v>
      </c>
      <c r="L682" t="s">
        <v>80</v>
      </c>
      <c r="M682" t="s">
        <v>73</v>
      </c>
      <c r="R682" t="s">
        <v>4670</v>
      </c>
      <c r="W682" t="s">
        <v>4670</v>
      </c>
      <c r="X682" t="s">
        <v>167</v>
      </c>
      <c r="Y682" t="s">
        <v>91</v>
      </c>
      <c r="Z682" t="s">
        <v>74</v>
      </c>
      <c r="AA682" t="str">
        <f>"10032-3720"</f>
        <v>10032-3720</v>
      </c>
      <c r="AB682" t="s">
        <v>75</v>
      </c>
      <c r="AC682" t="s">
        <v>76</v>
      </c>
      <c r="AD682" t="s">
        <v>73</v>
      </c>
      <c r="AE682" t="s">
        <v>77</v>
      </c>
      <c r="AF682" t="s">
        <v>2228</v>
      </c>
      <c r="AG682" t="s">
        <v>78</v>
      </c>
    </row>
    <row r="683" spans="1:33" hidden="1" x14ac:dyDescent="0.25">
      <c r="A683" t="str">
        <f>"1811055692"</f>
        <v>1811055692</v>
      </c>
      <c r="B683" t="str">
        <f>"01206179"</f>
        <v>01206179</v>
      </c>
      <c r="C683" t="s">
        <v>4672</v>
      </c>
      <c r="D683" t="s">
        <v>4673</v>
      </c>
      <c r="E683" t="s">
        <v>4674</v>
      </c>
      <c r="G683" t="s">
        <v>2224</v>
      </c>
      <c r="H683" t="s">
        <v>4675</v>
      </c>
      <c r="J683" t="s">
        <v>2226</v>
      </c>
      <c r="L683" t="s">
        <v>81</v>
      </c>
      <c r="M683" t="s">
        <v>73</v>
      </c>
      <c r="R683" t="s">
        <v>4676</v>
      </c>
      <c r="W683" t="s">
        <v>4674</v>
      </c>
      <c r="X683" t="s">
        <v>167</v>
      </c>
      <c r="Y683" t="s">
        <v>91</v>
      </c>
      <c r="Z683" t="s">
        <v>74</v>
      </c>
      <c r="AA683" t="str">
        <f>"10032-3720"</f>
        <v>10032-3720</v>
      </c>
      <c r="AB683" t="s">
        <v>75</v>
      </c>
      <c r="AC683" t="s">
        <v>76</v>
      </c>
      <c r="AD683" t="s">
        <v>73</v>
      </c>
      <c r="AE683" t="s">
        <v>77</v>
      </c>
      <c r="AF683" t="s">
        <v>2228</v>
      </c>
      <c r="AG683" t="s">
        <v>78</v>
      </c>
    </row>
    <row r="684" spans="1:33" hidden="1" x14ac:dyDescent="0.25">
      <c r="A684" t="str">
        <f>"1568494250"</f>
        <v>1568494250</v>
      </c>
      <c r="B684" t="str">
        <f>"02357986"</f>
        <v>02357986</v>
      </c>
      <c r="C684" t="s">
        <v>4677</v>
      </c>
      <c r="D684" t="s">
        <v>4678</v>
      </c>
      <c r="E684" t="s">
        <v>4679</v>
      </c>
      <c r="G684" t="s">
        <v>2224</v>
      </c>
      <c r="H684" t="s">
        <v>2225</v>
      </c>
      <c r="J684" t="s">
        <v>2226</v>
      </c>
      <c r="L684" t="s">
        <v>80</v>
      </c>
      <c r="M684" t="s">
        <v>73</v>
      </c>
      <c r="R684" t="s">
        <v>4680</v>
      </c>
      <c r="W684" t="s">
        <v>4681</v>
      </c>
      <c r="X684" t="s">
        <v>4682</v>
      </c>
      <c r="Y684" t="s">
        <v>91</v>
      </c>
      <c r="Z684" t="s">
        <v>74</v>
      </c>
      <c r="AA684" t="str">
        <f>"10029-6503"</f>
        <v>10029-6503</v>
      </c>
      <c r="AB684" t="s">
        <v>75</v>
      </c>
      <c r="AC684" t="s">
        <v>76</v>
      </c>
      <c r="AD684" t="s">
        <v>73</v>
      </c>
      <c r="AE684" t="s">
        <v>77</v>
      </c>
      <c r="AF684" t="s">
        <v>2254</v>
      </c>
      <c r="AG684" t="s">
        <v>78</v>
      </c>
    </row>
    <row r="685" spans="1:33" hidden="1" x14ac:dyDescent="0.25">
      <c r="A685" t="str">
        <f>"1689860249"</f>
        <v>1689860249</v>
      </c>
      <c r="B685" t="str">
        <f>"01824877"</f>
        <v>01824877</v>
      </c>
      <c r="C685" t="s">
        <v>4683</v>
      </c>
      <c r="D685" t="s">
        <v>4684</v>
      </c>
      <c r="E685" t="s">
        <v>4685</v>
      </c>
      <c r="G685" t="s">
        <v>2224</v>
      </c>
      <c r="H685" t="s">
        <v>2225</v>
      </c>
      <c r="J685" t="s">
        <v>2226</v>
      </c>
      <c r="L685" t="s">
        <v>80</v>
      </c>
      <c r="M685" t="s">
        <v>73</v>
      </c>
      <c r="R685" t="s">
        <v>4686</v>
      </c>
      <c r="W685" t="s">
        <v>4685</v>
      </c>
      <c r="X685" t="s">
        <v>167</v>
      </c>
      <c r="Y685" t="s">
        <v>91</v>
      </c>
      <c r="Z685" t="s">
        <v>74</v>
      </c>
      <c r="AA685" t="str">
        <f>"10032-3720"</f>
        <v>10032-3720</v>
      </c>
      <c r="AB685" t="s">
        <v>75</v>
      </c>
      <c r="AC685" t="s">
        <v>76</v>
      </c>
      <c r="AD685" t="s">
        <v>73</v>
      </c>
      <c r="AE685" t="s">
        <v>77</v>
      </c>
      <c r="AF685" t="s">
        <v>2254</v>
      </c>
      <c r="AG685" t="s">
        <v>78</v>
      </c>
    </row>
    <row r="686" spans="1:33" hidden="1" x14ac:dyDescent="0.25">
      <c r="A686" t="str">
        <f>"1063655967"</f>
        <v>1063655967</v>
      </c>
      <c r="B686" t="str">
        <f>"03386683"</f>
        <v>03386683</v>
      </c>
      <c r="C686" t="s">
        <v>4687</v>
      </c>
      <c r="D686" t="s">
        <v>4688</v>
      </c>
      <c r="E686" t="s">
        <v>4689</v>
      </c>
      <c r="G686" t="s">
        <v>2224</v>
      </c>
      <c r="H686" t="s">
        <v>2225</v>
      </c>
      <c r="J686" t="s">
        <v>2226</v>
      </c>
      <c r="L686" t="s">
        <v>80</v>
      </c>
      <c r="M686" t="s">
        <v>82</v>
      </c>
      <c r="R686" t="s">
        <v>4690</v>
      </c>
      <c r="W686" t="s">
        <v>4689</v>
      </c>
      <c r="X686" t="s">
        <v>1167</v>
      </c>
      <c r="Y686" t="s">
        <v>91</v>
      </c>
      <c r="Z686" t="s">
        <v>74</v>
      </c>
      <c r="AA686" t="str">
        <f>"10065-4870"</f>
        <v>10065-4870</v>
      </c>
      <c r="AB686" t="s">
        <v>79</v>
      </c>
      <c r="AC686" t="s">
        <v>76</v>
      </c>
      <c r="AD686" t="s">
        <v>73</v>
      </c>
      <c r="AE686" t="s">
        <v>77</v>
      </c>
      <c r="AF686" t="s">
        <v>2398</v>
      </c>
      <c r="AG686" t="s">
        <v>78</v>
      </c>
    </row>
    <row r="687" spans="1:33" hidden="1" x14ac:dyDescent="0.25">
      <c r="A687" t="str">
        <f>"1124210901"</f>
        <v>1124210901</v>
      </c>
      <c r="B687" t="str">
        <f>"03014404"</f>
        <v>03014404</v>
      </c>
      <c r="C687" t="s">
        <v>4691</v>
      </c>
      <c r="D687" t="s">
        <v>4692</v>
      </c>
      <c r="E687" t="s">
        <v>4693</v>
      </c>
      <c r="G687" t="s">
        <v>2224</v>
      </c>
      <c r="H687" t="s">
        <v>4694</v>
      </c>
      <c r="J687" t="s">
        <v>2226</v>
      </c>
      <c r="L687" t="s">
        <v>72</v>
      </c>
      <c r="M687" t="s">
        <v>73</v>
      </c>
      <c r="R687" t="s">
        <v>4695</v>
      </c>
      <c r="W687" t="s">
        <v>4696</v>
      </c>
      <c r="X687" t="s">
        <v>167</v>
      </c>
      <c r="Y687" t="s">
        <v>91</v>
      </c>
      <c r="Z687" t="s">
        <v>74</v>
      </c>
      <c r="AA687" t="str">
        <f>"10032-3720"</f>
        <v>10032-3720</v>
      </c>
      <c r="AB687" t="s">
        <v>75</v>
      </c>
      <c r="AC687" t="s">
        <v>76</v>
      </c>
      <c r="AD687" t="s">
        <v>73</v>
      </c>
      <c r="AE687" t="s">
        <v>77</v>
      </c>
      <c r="AF687" t="s">
        <v>2228</v>
      </c>
      <c r="AG687" t="s">
        <v>78</v>
      </c>
    </row>
    <row r="688" spans="1:33" hidden="1" x14ac:dyDescent="0.25">
      <c r="A688" t="str">
        <f>"1275858722"</f>
        <v>1275858722</v>
      </c>
      <c r="C688" t="s">
        <v>4697</v>
      </c>
      <c r="G688" t="s">
        <v>2224</v>
      </c>
      <c r="H688" t="s">
        <v>2312</v>
      </c>
      <c r="J688" t="s">
        <v>2226</v>
      </c>
      <c r="K688" t="s">
        <v>171</v>
      </c>
      <c r="L688" t="s">
        <v>96</v>
      </c>
      <c r="M688" t="s">
        <v>73</v>
      </c>
      <c r="R688" t="s">
        <v>4698</v>
      </c>
      <c r="S688" t="s">
        <v>170</v>
      </c>
      <c r="T688" t="s">
        <v>91</v>
      </c>
      <c r="U688" t="s">
        <v>74</v>
      </c>
      <c r="V688" t="str">
        <f>"100654870"</f>
        <v>100654870</v>
      </c>
      <c r="AC688" t="s">
        <v>76</v>
      </c>
      <c r="AD688" t="s">
        <v>73</v>
      </c>
      <c r="AE688" t="s">
        <v>97</v>
      </c>
      <c r="AF688" t="s">
        <v>2254</v>
      </c>
      <c r="AG688" t="s">
        <v>78</v>
      </c>
    </row>
    <row r="689" spans="1:33" hidden="1" x14ac:dyDescent="0.25">
      <c r="A689" t="str">
        <f>"1144500992"</f>
        <v>1144500992</v>
      </c>
      <c r="C689" t="s">
        <v>4699</v>
      </c>
      <c r="G689" t="s">
        <v>2224</v>
      </c>
      <c r="H689" t="s">
        <v>2312</v>
      </c>
      <c r="J689" t="s">
        <v>2226</v>
      </c>
      <c r="K689" t="s">
        <v>171</v>
      </c>
      <c r="L689" t="s">
        <v>96</v>
      </c>
      <c r="M689" t="s">
        <v>73</v>
      </c>
      <c r="R689" t="s">
        <v>4700</v>
      </c>
      <c r="S689" t="s">
        <v>193</v>
      </c>
      <c r="T689" t="s">
        <v>118</v>
      </c>
      <c r="U689" t="s">
        <v>74</v>
      </c>
      <c r="V689" t="str">
        <f>"104672401"</f>
        <v>104672401</v>
      </c>
      <c r="AC689" t="s">
        <v>76</v>
      </c>
      <c r="AD689" t="s">
        <v>73</v>
      </c>
      <c r="AE689" t="s">
        <v>97</v>
      </c>
      <c r="AF689" t="s">
        <v>2242</v>
      </c>
      <c r="AG689" t="s">
        <v>78</v>
      </c>
    </row>
    <row r="690" spans="1:33" hidden="1" x14ac:dyDescent="0.25">
      <c r="A690" t="str">
        <f>"1750609855"</f>
        <v>1750609855</v>
      </c>
      <c r="B690" t="str">
        <f>"04426477"</f>
        <v>04426477</v>
      </c>
      <c r="C690" t="s">
        <v>4701</v>
      </c>
      <c r="D690" t="s">
        <v>4702</v>
      </c>
      <c r="E690" t="s">
        <v>4703</v>
      </c>
      <c r="G690" t="s">
        <v>2224</v>
      </c>
      <c r="H690" t="s">
        <v>2312</v>
      </c>
      <c r="J690" t="s">
        <v>2226</v>
      </c>
      <c r="L690" t="s">
        <v>72</v>
      </c>
      <c r="M690" t="s">
        <v>73</v>
      </c>
      <c r="R690" t="s">
        <v>4704</v>
      </c>
      <c r="W690" t="s">
        <v>4703</v>
      </c>
      <c r="X690" t="s">
        <v>170</v>
      </c>
      <c r="Y690" t="s">
        <v>91</v>
      </c>
      <c r="Z690" t="s">
        <v>74</v>
      </c>
      <c r="AA690" t="str">
        <f>"10065-4870"</f>
        <v>10065-4870</v>
      </c>
      <c r="AB690" t="s">
        <v>75</v>
      </c>
      <c r="AC690" t="s">
        <v>76</v>
      </c>
      <c r="AD690" t="s">
        <v>73</v>
      </c>
      <c r="AE690" t="s">
        <v>77</v>
      </c>
      <c r="AF690" t="s">
        <v>2254</v>
      </c>
      <c r="AG690" t="s">
        <v>78</v>
      </c>
    </row>
    <row r="691" spans="1:33" hidden="1" x14ac:dyDescent="0.25">
      <c r="A691" t="str">
        <f>"1144563859"</f>
        <v>1144563859</v>
      </c>
      <c r="C691" t="s">
        <v>4705</v>
      </c>
      <c r="G691" t="s">
        <v>2224</v>
      </c>
      <c r="H691" t="s">
        <v>2312</v>
      </c>
      <c r="J691" t="s">
        <v>2226</v>
      </c>
      <c r="K691" t="s">
        <v>171</v>
      </c>
      <c r="L691" t="s">
        <v>96</v>
      </c>
      <c r="M691" t="s">
        <v>73</v>
      </c>
      <c r="R691" t="s">
        <v>4706</v>
      </c>
      <c r="S691" t="s">
        <v>3936</v>
      </c>
      <c r="T691" t="s">
        <v>91</v>
      </c>
      <c r="U691" t="s">
        <v>74</v>
      </c>
      <c r="V691" t="str">
        <f>"100323720"</f>
        <v>100323720</v>
      </c>
      <c r="AC691" t="s">
        <v>76</v>
      </c>
      <c r="AD691" t="s">
        <v>73</v>
      </c>
      <c r="AE691" t="s">
        <v>97</v>
      </c>
      <c r="AF691" t="s">
        <v>2228</v>
      </c>
      <c r="AG691" t="s">
        <v>78</v>
      </c>
    </row>
    <row r="692" spans="1:33" hidden="1" x14ac:dyDescent="0.25">
      <c r="A692" t="str">
        <f>"1134548548"</f>
        <v>1134548548</v>
      </c>
      <c r="C692" t="s">
        <v>4707</v>
      </c>
      <c r="G692" t="s">
        <v>2224</v>
      </c>
      <c r="H692" t="s">
        <v>2312</v>
      </c>
      <c r="J692" t="s">
        <v>2226</v>
      </c>
      <c r="K692" t="s">
        <v>171</v>
      </c>
      <c r="L692" t="s">
        <v>96</v>
      </c>
      <c r="M692" t="s">
        <v>73</v>
      </c>
      <c r="R692" t="s">
        <v>1170</v>
      </c>
      <c r="S692" t="s">
        <v>4708</v>
      </c>
      <c r="T692" t="s">
        <v>520</v>
      </c>
      <c r="U692" t="s">
        <v>209</v>
      </c>
      <c r="V692" t="str">
        <f>"606114888"</f>
        <v>606114888</v>
      </c>
      <c r="AC692" t="s">
        <v>76</v>
      </c>
      <c r="AD692" t="s">
        <v>73</v>
      </c>
      <c r="AE692" t="s">
        <v>97</v>
      </c>
      <c r="AF692" t="s">
        <v>2228</v>
      </c>
      <c r="AG692" t="s">
        <v>78</v>
      </c>
    </row>
    <row r="693" spans="1:33" hidden="1" x14ac:dyDescent="0.25">
      <c r="A693" t="str">
        <f>"1558789222"</f>
        <v>1558789222</v>
      </c>
      <c r="C693" t="s">
        <v>4709</v>
      </c>
      <c r="G693" t="s">
        <v>2224</v>
      </c>
      <c r="H693" t="s">
        <v>2312</v>
      </c>
      <c r="J693" t="s">
        <v>2226</v>
      </c>
      <c r="K693" t="s">
        <v>171</v>
      </c>
      <c r="L693" t="s">
        <v>96</v>
      </c>
      <c r="M693" t="s">
        <v>73</v>
      </c>
      <c r="R693" t="s">
        <v>1720</v>
      </c>
      <c r="S693" t="s">
        <v>2442</v>
      </c>
      <c r="T693" t="s">
        <v>91</v>
      </c>
      <c r="U693" t="s">
        <v>74</v>
      </c>
      <c r="V693" t="str">
        <f>"100323720"</f>
        <v>100323720</v>
      </c>
      <c r="AC693" t="s">
        <v>76</v>
      </c>
      <c r="AD693" t="s">
        <v>73</v>
      </c>
      <c r="AE693" t="s">
        <v>97</v>
      </c>
      <c r="AF693" t="s">
        <v>2228</v>
      </c>
      <c r="AG693" t="s">
        <v>78</v>
      </c>
    </row>
    <row r="694" spans="1:33" hidden="1" x14ac:dyDescent="0.25">
      <c r="A694" t="str">
        <f>"1124446729"</f>
        <v>1124446729</v>
      </c>
      <c r="C694" t="s">
        <v>4710</v>
      </c>
      <c r="G694" t="s">
        <v>2224</v>
      </c>
      <c r="H694" t="s">
        <v>2312</v>
      </c>
      <c r="J694" t="s">
        <v>2226</v>
      </c>
      <c r="K694" t="s">
        <v>171</v>
      </c>
      <c r="L694" t="s">
        <v>96</v>
      </c>
      <c r="M694" t="s">
        <v>73</v>
      </c>
      <c r="R694" t="s">
        <v>4711</v>
      </c>
      <c r="S694" t="s">
        <v>2442</v>
      </c>
      <c r="T694" t="s">
        <v>91</v>
      </c>
      <c r="U694" t="s">
        <v>74</v>
      </c>
      <c r="V694" t="str">
        <f>"100323720"</f>
        <v>100323720</v>
      </c>
      <c r="AC694" t="s">
        <v>76</v>
      </c>
      <c r="AD694" t="s">
        <v>73</v>
      </c>
      <c r="AE694" t="s">
        <v>97</v>
      </c>
      <c r="AF694" t="s">
        <v>2228</v>
      </c>
      <c r="AG694" t="s">
        <v>78</v>
      </c>
    </row>
    <row r="695" spans="1:33" hidden="1" x14ac:dyDescent="0.25">
      <c r="A695" t="str">
        <f>"1568474039"</f>
        <v>1568474039</v>
      </c>
      <c r="B695" t="str">
        <f>"00150298"</f>
        <v>00150298</v>
      </c>
      <c r="C695" t="s">
        <v>4712</v>
      </c>
      <c r="D695" t="s">
        <v>4713</v>
      </c>
      <c r="E695" t="s">
        <v>4714</v>
      </c>
      <c r="L695" t="s">
        <v>72</v>
      </c>
      <c r="M695" t="s">
        <v>73</v>
      </c>
      <c r="R695" t="s">
        <v>4715</v>
      </c>
      <c r="W695" t="s">
        <v>4714</v>
      </c>
      <c r="X695" t="s">
        <v>170</v>
      </c>
      <c r="Y695" t="s">
        <v>91</v>
      </c>
      <c r="Z695" t="s">
        <v>74</v>
      </c>
      <c r="AA695" t="str">
        <f>"10065-4870"</f>
        <v>10065-4870</v>
      </c>
      <c r="AB695" t="s">
        <v>75</v>
      </c>
      <c r="AC695" t="s">
        <v>76</v>
      </c>
      <c r="AD695" t="s">
        <v>73</v>
      </c>
      <c r="AE695" t="s">
        <v>77</v>
      </c>
      <c r="AF695" t="s">
        <v>2242</v>
      </c>
      <c r="AG695" t="s">
        <v>78</v>
      </c>
    </row>
    <row r="696" spans="1:33" hidden="1" x14ac:dyDescent="0.25">
      <c r="A696" t="str">
        <f>"1861447674"</f>
        <v>1861447674</v>
      </c>
      <c r="B696" t="str">
        <f>"00226715"</f>
        <v>00226715</v>
      </c>
      <c r="C696" t="s">
        <v>4716</v>
      </c>
      <c r="D696" t="s">
        <v>4717</v>
      </c>
      <c r="E696" t="s">
        <v>4718</v>
      </c>
      <c r="L696" t="s">
        <v>80</v>
      </c>
      <c r="M696" t="s">
        <v>73</v>
      </c>
      <c r="R696" t="s">
        <v>4719</v>
      </c>
      <c r="W696" t="s">
        <v>4718</v>
      </c>
      <c r="Y696" t="s">
        <v>91</v>
      </c>
      <c r="Z696" t="s">
        <v>74</v>
      </c>
      <c r="AA696" t="str">
        <f>"10065-4885"</f>
        <v>10065-4885</v>
      </c>
      <c r="AB696" t="s">
        <v>75</v>
      </c>
      <c r="AC696" t="s">
        <v>76</v>
      </c>
      <c r="AD696" t="s">
        <v>73</v>
      </c>
      <c r="AE696" t="s">
        <v>77</v>
      </c>
      <c r="AF696" t="s">
        <v>2242</v>
      </c>
      <c r="AG696" t="s">
        <v>78</v>
      </c>
    </row>
    <row r="697" spans="1:33" hidden="1" x14ac:dyDescent="0.25">
      <c r="A697" t="str">
        <f>"1003152661"</f>
        <v>1003152661</v>
      </c>
      <c r="B697" t="str">
        <f>"03588516"</f>
        <v>03588516</v>
      </c>
      <c r="C697" t="s">
        <v>4720</v>
      </c>
      <c r="D697" t="s">
        <v>4721</v>
      </c>
      <c r="E697" t="s">
        <v>4722</v>
      </c>
      <c r="L697" t="s">
        <v>72</v>
      </c>
      <c r="M697" t="s">
        <v>73</v>
      </c>
      <c r="R697" t="s">
        <v>4723</v>
      </c>
      <c r="W697" t="s">
        <v>4723</v>
      </c>
      <c r="X697" t="s">
        <v>170</v>
      </c>
      <c r="Y697" t="s">
        <v>91</v>
      </c>
      <c r="Z697" t="s">
        <v>74</v>
      </c>
      <c r="AA697" t="str">
        <f>"10065-4870"</f>
        <v>10065-4870</v>
      </c>
      <c r="AB697" t="s">
        <v>75</v>
      </c>
      <c r="AC697" t="s">
        <v>76</v>
      </c>
      <c r="AD697" t="s">
        <v>73</v>
      </c>
      <c r="AE697" t="s">
        <v>77</v>
      </c>
      <c r="AF697" t="s">
        <v>2242</v>
      </c>
      <c r="AG697" t="s">
        <v>78</v>
      </c>
    </row>
    <row r="698" spans="1:33" hidden="1" x14ac:dyDescent="0.25">
      <c r="A698" t="str">
        <f>"1578728952"</f>
        <v>1578728952</v>
      </c>
      <c r="B698" t="str">
        <f>"02990967"</f>
        <v>02990967</v>
      </c>
      <c r="C698" t="s">
        <v>4724</v>
      </c>
      <c r="D698" t="s">
        <v>4725</v>
      </c>
      <c r="E698" t="s">
        <v>4726</v>
      </c>
      <c r="G698" t="s">
        <v>2224</v>
      </c>
      <c r="H698" t="s">
        <v>4727</v>
      </c>
      <c r="J698" t="s">
        <v>2226</v>
      </c>
      <c r="L698" t="s">
        <v>80</v>
      </c>
      <c r="M698" t="s">
        <v>73</v>
      </c>
      <c r="R698" t="s">
        <v>4728</v>
      </c>
      <c r="W698" t="s">
        <v>4726</v>
      </c>
      <c r="X698" t="s">
        <v>167</v>
      </c>
      <c r="Y698" t="s">
        <v>91</v>
      </c>
      <c r="Z698" t="s">
        <v>74</v>
      </c>
      <c r="AA698" t="str">
        <f>"10032-3720"</f>
        <v>10032-3720</v>
      </c>
      <c r="AB698" t="s">
        <v>75</v>
      </c>
      <c r="AC698" t="s">
        <v>76</v>
      </c>
      <c r="AD698" t="s">
        <v>73</v>
      </c>
      <c r="AE698" t="s">
        <v>77</v>
      </c>
      <c r="AF698" t="s">
        <v>2228</v>
      </c>
      <c r="AG698" t="s">
        <v>78</v>
      </c>
    </row>
    <row r="699" spans="1:33" hidden="1" x14ac:dyDescent="0.25">
      <c r="A699" t="str">
        <f>"1023007622"</f>
        <v>1023007622</v>
      </c>
      <c r="B699" t="str">
        <f>"02583200"</f>
        <v>02583200</v>
      </c>
      <c r="C699" t="s">
        <v>4729</v>
      </c>
      <c r="D699" t="s">
        <v>4730</v>
      </c>
      <c r="E699" t="s">
        <v>4731</v>
      </c>
      <c r="G699" t="s">
        <v>282</v>
      </c>
      <c r="H699" t="s">
        <v>248</v>
      </c>
      <c r="I699">
        <v>2604</v>
      </c>
      <c r="J699" t="s">
        <v>283</v>
      </c>
      <c r="L699" t="s">
        <v>81</v>
      </c>
      <c r="M699" t="s">
        <v>82</v>
      </c>
      <c r="R699" t="s">
        <v>4731</v>
      </c>
      <c r="W699" t="s">
        <v>4731</v>
      </c>
      <c r="X699" t="s">
        <v>285</v>
      </c>
      <c r="Y699" t="s">
        <v>91</v>
      </c>
      <c r="Z699" t="s">
        <v>74</v>
      </c>
      <c r="AA699" t="str">
        <f>"10013-4135"</f>
        <v>10013-4135</v>
      </c>
      <c r="AB699" t="s">
        <v>75</v>
      </c>
      <c r="AC699" t="s">
        <v>76</v>
      </c>
      <c r="AD699" t="s">
        <v>73</v>
      </c>
      <c r="AE699" t="s">
        <v>77</v>
      </c>
      <c r="AF699" t="s">
        <v>2319</v>
      </c>
      <c r="AG699" t="s">
        <v>78</v>
      </c>
    </row>
    <row r="700" spans="1:33" hidden="1" x14ac:dyDescent="0.25">
      <c r="A700" t="str">
        <f>"1750419933"</f>
        <v>1750419933</v>
      </c>
      <c r="B700" t="str">
        <f>"02912898"</f>
        <v>02912898</v>
      </c>
      <c r="C700" t="s">
        <v>4732</v>
      </c>
      <c r="D700" t="s">
        <v>4733</v>
      </c>
      <c r="E700" t="s">
        <v>4734</v>
      </c>
      <c r="G700" t="s">
        <v>2224</v>
      </c>
      <c r="H700" t="s">
        <v>2225</v>
      </c>
      <c r="J700" t="s">
        <v>2226</v>
      </c>
      <c r="L700" t="s">
        <v>72</v>
      </c>
      <c r="M700" t="s">
        <v>73</v>
      </c>
      <c r="R700" t="s">
        <v>4735</v>
      </c>
      <c r="W700" t="s">
        <v>4734</v>
      </c>
      <c r="X700" t="s">
        <v>167</v>
      </c>
      <c r="Y700" t="s">
        <v>91</v>
      </c>
      <c r="Z700" t="s">
        <v>74</v>
      </c>
      <c r="AA700" t="str">
        <f>"10032-3720"</f>
        <v>10032-3720</v>
      </c>
      <c r="AB700" t="s">
        <v>104</v>
      </c>
      <c r="AC700" t="s">
        <v>76</v>
      </c>
      <c r="AD700" t="s">
        <v>73</v>
      </c>
      <c r="AE700" t="s">
        <v>77</v>
      </c>
      <c r="AF700" t="s">
        <v>2254</v>
      </c>
      <c r="AG700" t="s">
        <v>78</v>
      </c>
    </row>
    <row r="701" spans="1:33" hidden="1" x14ac:dyDescent="0.25">
      <c r="A701" t="str">
        <f>"1851477665"</f>
        <v>1851477665</v>
      </c>
      <c r="B701" t="str">
        <f>"01069841"</f>
        <v>01069841</v>
      </c>
      <c r="C701" t="s">
        <v>4736</v>
      </c>
      <c r="D701" t="s">
        <v>4737</v>
      </c>
      <c r="E701" t="s">
        <v>4738</v>
      </c>
      <c r="G701" t="s">
        <v>2224</v>
      </c>
      <c r="H701" t="s">
        <v>2225</v>
      </c>
      <c r="J701" t="s">
        <v>2226</v>
      </c>
      <c r="L701" t="s">
        <v>81</v>
      </c>
      <c r="M701" t="s">
        <v>73</v>
      </c>
      <c r="R701" t="s">
        <v>4739</v>
      </c>
      <c r="W701" t="s">
        <v>4738</v>
      </c>
      <c r="Y701" t="s">
        <v>91</v>
      </c>
      <c r="Z701" t="s">
        <v>74</v>
      </c>
      <c r="AA701" t="str">
        <f>"10032-3720"</f>
        <v>10032-3720</v>
      </c>
      <c r="AB701" t="s">
        <v>75</v>
      </c>
      <c r="AC701" t="s">
        <v>76</v>
      </c>
      <c r="AD701" t="s">
        <v>73</v>
      </c>
      <c r="AE701" t="s">
        <v>77</v>
      </c>
      <c r="AF701" t="s">
        <v>2254</v>
      </c>
      <c r="AG701" t="s">
        <v>78</v>
      </c>
    </row>
    <row r="702" spans="1:33" hidden="1" x14ac:dyDescent="0.25">
      <c r="A702" t="str">
        <f>"1851480792"</f>
        <v>1851480792</v>
      </c>
      <c r="B702" t="str">
        <f>"02986092"</f>
        <v>02986092</v>
      </c>
      <c r="C702" t="s">
        <v>4740</v>
      </c>
      <c r="D702" t="s">
        <v>4741</v>
      </c>
      <c r="E702" t="s">
        <v>4742</v>
      </c>
      <c r="G702" t="s">
        <v>2224</v>
      </c>
      <c r="H702" t="s">
        <v>2225</v>
      </c>
      <c r="J702" t="s">
        <v>2226</v>
      </c>
      <c r="L702" t="s">
        <v>72</v>
      </c>
      <c r="M702" t="s">
        <v>73</v>
      </c>
      <c r="R702" t="s">
        <v>4743</v>
      </c>
      <c r="W702" t="s">
        <v>4744</v>
      </c>
      <c r="X702" t="s">
        <v>167</v>
      </c>
      <c r="Y702" t="s">
        <v>91</v>
      </c>
      <c r="Z702" t="s">
        <v>74</v>
      </c>
      <c r="AA702" t="str">
        <f>"10032-3720"</f>
        <v>10032-3720</v>
      </c>
      <c r="AB702" t="s">
        <v>75</v>
      </c>
      <c r="AC702" t="s">
        <v>76</v>
      </c>
      <c r="AD702" t="s">
        <v>73</v>
      </c>
      <c r="AE702" t="s">
        <v>77</v>
      </c>
      <c r="AF702" t="s">
        <v>2228</v>
      </c>
      <c r="AG702" t="s">
        <v>78</v>
      </c>
    </row>
    <row r="703" spans="1:33" hidden="1" x14ac:dyDescent="0.25">
      <c r="A703" t="str">
        <f>"1942459680"</f>
        <v>1942459680</v>
      </c>
      <c r="B703" t="str">
        <f>"03603761"</f>
        <v>03603761</v>
      </c>
      <c r="C703" t="s">
        <v>4745</v>
      </c>
      <c r="D703" t="s">
        <v>4746</v>
      </c>
      <c r="E703" t="s">
        <v>4747</v>
      </c>
      <c r="G703" t="s">
        <v>2224</v>
      </c>
      <c r="H703" t="s">
        <v>2225</v>
      </c>
      <c r="J703" t="s">
        <v>2226</v>
      </c>
      <c r="L703" t="s">
        <v>72</v>
      </c>
      <c r="M703" t="s">
        <v>73</v>
      </c>
      <c r="R703" t="s">
        <v>4748</v>
      </c>
      <c r="W703" t="s">
        <v>4747</v>
      </c>
      <c r="X703" t="s">
        <v>496</v>
      </c>
      <c r="Y703" t="s">
        <v>91</v>
      </c>
      <c r="Z703" t="s">
        <v>74</v>
      </c>
      <c r="AA703" t="str">
        <f>"10032-3726"</f>
        <v>10032-3726</v>
      </c>
      <c r="AB703" t="s">
        <v>75</v>
      </c>
      <c r="AC703" t="s">
        <v>76</v>
      </c>
      <c r="AD703" t="s">
        <v>73</v>
      </c>
      <c r="AE703" t="s">
        <v>77</v>
      </c>
      <c r="AF703" t="s">
        <v>2228</v>
      </c>
      <c r="AG703" t="s">
        <v>78</v>
      </c>
    </row>
    <row r="704" spans="1:33" hidden="1" x14ac:dyDescent="0.25">
      <c r="A704" t="str">
        <f>"1912297367"</f>
        <v>1912297367</v>
      </c>
      <c r="B704" t="str">
        <f>"03434815"</f>
        <v>03434815</v>
      </c>
      <c r="C704" t="s">
        <v>4749</v>
      </c>
      <c r="D704" t="s">
        <v>454</v>
      </c>
      <c r="E704" t="s">
        <v>453</v>
      </c>
      <c r="G704" t="s">
        <v>282</v>
      </c>
      <c r="H704" t="s">
        <v>248</v>
      </c>
      <c r="I704">
        <v>2604</v>
      </c>
      <c r="J704" t="s">
        <v>283</v>
      </c>
      <c r="L704" t="s">
        <v>80</v>
      </c>
      <c r="M704" t="s">
        <v>73</v>
      </c>
      <c r="R704" t="s">
        <v>455</v>
      </c>
      <c r="W704" t="s">
        <v>456</v>
      </c>
      <c r="X704" t="s">
        <v>457</v>
      </c>
      <c r="Y704" t="s">
        <v>91</v>
      </c>
      <c r="Z704" t="s">
        <v>74</v>
      </c>
      <c r="AA704" t="str">
        <f>"10037-1802"</f>
        <v>10037-1802</v>
      </c>
      <c r="AB704" t="s">
        <v>75</v>
      </c>
      <c r="AC704" t="s">
        <v>76</v>
      </c>
      <c r="AD704" t="s">
        <v>73</v>
      </c>
      <c r="AE704" t="s">
        <v>77</v>
      </c>
      <c r="AF704" t="s">
        <v>2319</v>
      </c>
      <c r="AG704" t="s">
        <v>78</v>
      </c>
    </row>
    <row r="705" spans="1:33" hidden="1" x14ac:dyDescent="0.25">
      <c r="A705" t="str">
        <f>"1326029539"</f>
        <v>1326029539</v>
      </c>
      <c r="B705" t="str">
        <f>"01017252"</f>
        <v>01017252</v>
      </c>
      <c r="C705" t="s">
        <v>4750</v>
      </c>
      <c r="D705" t="s">
        <v>2042</v>
      </c>
      <c r="E705" t="s">
        <v>2043</v>
      </c>
      <c r="G705" t="s">
        <v>282</v>
      </c>
      <c r="H705" t="s">
        <v>248</v>
      </c>
      <c r="I705">
        <v>2604</v>
      </c>
      <c r="J705" t="s">
        <v>283</v>
      </c>
      <c r="L705" t="s">
        <v>81</v>
      </c>
      <c r="M705" t="s">
        <v>82</v>
      </c>
      <c r="R705" t="s">
        <v>2044</v>
      </c>
      <c r="W705" t="s">
        <v>2043</v>
      </c>
      <c r="X705" t="s">
        <v>2045</v>
      </c>
      <c r="Y705" t="s">
        <v>91</v>
      </c>
      <c r="Z705" t="s">
        <v>74</v>
      </c>
      <c r="AA705" t="str">
        <f>"10013-3599"</f>
        <v>10013-3599</v>
      </c>
      <c r="AB705" t="s">
        <v>75</v>
      </c>
      <c r="AC705" t="s">
        <v>76</v>
      </c>
      <c r="AD705" t="s">
        <v>73</v>
      </c>
      <c r="AE705" t="s">
        <v>77</v>
      </c>
      <c r="AF705" t="s">
        <v>2319</v>
      </c>
      <c r="AG705" t="s">
        <v>78</v>
      </c>
    </row>
    <row r="706" spans="1:33" hidden="1" x14ac:dyDescent="0.25">
      <c r="A706" t="str">
        <f>"1750439485"</f>
        <v>1750439485</v>
      </c>
      <c r="B706" t="str">
        <f>"01274262"</f>
        <v>01274262</v>
      </c>
      <c r="C706" t="s">
        <v>4751</v>
      </c>
      <c r="D706" t="s">
        <v>4752</v>
      </c>
      <c r="E706" t="s">
        <v>4753</v>
      </c>
      <c r="G706" t="s">
        <v>2224</v>
      </c>
      <c r="H706" t="s">
        <v>2225</v>
      </c>
      <c r="J706" t="s">
        <v>2226</v>
      </c>
      <c r="L706" t="s">
        <v>81</v>
      </c>
      <c r="M706" t="s">
        <v>82</v>
      </c>
      <c r="R706" t="s">
        <v>4754</v>
      </c>
      <c r="W706" t="s">
        <v>4753</v>
      </c>
      <c r="Y706" t="s">
        <v>91</v>
      </c>
      <c r="Z706" t="s">
        <v>74</v>
      </c>
      <c r="AA706" t="str">
        <f>"10032-3720"</f>
        <v>10032-3720</v>
      </c>
      <c r="AB706" t="s">
        <v>75</v>
      </c>
      <c r="AC706" t="s">
        <v>76</v>
      </c>
      <c r="AD706" t="s">
        <v>73</v>
      </c>
      <c r="AE706" t="s">
        <v>77</v>
      </c>
      <c r="AF706" t="s">
        <v>2228</v>
      </c>
      <c r="AG706" t="s">
        <v>78</v>
      </c>
    </row>
    <row r="707" spans="1:33" hidden="1" x14ac:dyDescent="0.25">
      <c r="A707" t="str">
        <f>"1013952084"</f>
        <v>1013952084</v>
      </c>
      <c r="B707" t="str">
        <f>"03159648"</f>
        <v>03159648</v>
      </c>
      <c r="C707" t="s">
        <v>4755</v>
      </c>
      <c r="D707" t="s">
        <v>4756</v>
      </c>
      <c r="E707" t="s">
        <v>4757</v>
      </c>
      <c r="G707" t="s">
        <v>2224</v>
      </c>
      <c r="H707" t="s">
        <v>2225</v>
      </c>
      <c r="J707" t="s">
        <v>2226</v>
      </c>
      <c r="L707" t="s">
        <v>72</v>
      </c>
      <c r="M707" t="s">
        <v>73</v>
      </c>
      <c r="R707" t="s">
        <v>4758</v>
      </c>
      <c r="W707" t="s">
        <v>4757</v>
      </c>
      <c r="X707" t="s">
        <v>183</v>
      </c>
      <c r="Y707" t="s">
        <v>91</v>
      </c>
      <c r="Z707" t="s">
        <v>74</v>
      </c>
      <c r="AA707" t="str">
        <f>"10032-3729"</f>
        <v>10032-3729</v>
      </c>
      <c r="AB707" t="s">
        <v>75</v>
      </c>
      <c r="AC707" t="s">
        <v>76</v>
      </c>
      <c r="AD707" t="s">
        <v>73</v>
      </c>
      <c r="AE707" t="s">
        <v>77</v>
      </c>
      <c r="AF707" t="s">
        <v>2254</v>
      </c>
      <c r="AG707" t="s">
        <v>78</v>
      </c>
    </row>
    <row r="708" spans="1:33" hidden="1" x14ac:dyDescent="0.25">
      <c r="A708" t="str">
        <f>"1326063371"</f>
        <v>1326063371</v>
      </c>
      <c r="B708" t="str">
        <f>"02313000"</f>
        <v>02313000</v>
      </c>
      <c r="C708" t="s">
        <v>4759</v>
      </c>
      <c r="D708" t="s">
        <v>4760</v>
      </c>
      <c r="E708" t="s">
        <v>4761</v>
      </c>
      <c r="G708" t="s">
        <v>2224</v>
      </c>
      <c r="H708" t="s">
        <v>2225</v>
      </c>
      <c r="J708" t="s">
        <v>2226</v>
      </c>
      <c r="L708" t="s">
        <v>80</v>
      </c>
      <c r="M708" t="s">
        <v>73</v>
      </c>
      <c r="R708" t="s">
        <v>4762</v>
      </c>
      <c r="W708" t="s">
        <v>4761</v>
      </c>
      <c r="X708" t="s">
        <v>4763</v>
      </c>
      <c r="Y708" t="s">
        <v>91</v>
      </c>
      <c r="Z708" t="s">
        <v>74</v>
      </c>
      <c r="AA708" t="str">
        <f>"10032-3720"</f>
        <v>10032-3720</v>
      </c>
      <c r="AB708" t="s">
        <v>75</v>
      </c>
      <c r="AC708" t="s">
        <v>76</v>
      </c>
      <c r="AD708" t="s">
        <v>73</v>
      </c>
      <c r="AE708" t="s">
        <v>77</v>
      </c>
      <c r="AF708" t="s">
        <v>2254</v>
      </c>
      <c r="AG708" t="s">
        <v>78</v>
      </c>
    </row>
    <row r="709" spans="1:33" hidden="1" x14ac:dyDescent="0.25">
      <c r="A709" t="str">
        <f>"1972631398"</f>
        <v>1972631398</v>
      </c>
      <c r="B709" t="str">
        <f>"02885129"</f>
        <v>02885129</v>
      </c>
      <c r="C709" t="s">
        <v>4764</v>
      </c>
      <c r="D709" t="s">
        <v>4765</v>
      </c>
      <c r="E709" t="s">
        <v>4766</v>
      </c>
      <c r="G709" t="s">
        <v>2224</v>
      </c>
      <c r="H709" t="s">
        <v>2225</v>
      </c>
      <c r="J709" t="s">
        <v>2226</v>
      </c>
      <c r="L709" t="s">
        <v>81</v>
      </c>
      <c r="M709" t="s">
        <v>82</v>
      </c>
      <c r="R709" t="s">
        <v>4767</v>
      </c>
      <c r="W709" t="s">
        <v>4766</v>
      </c>
      <c r="X709" t="s">
        <v>410</v>
      </c>
      <c r="Y709" t="s">
        <v>91</v>
      </c>
      <c r="Z709" t="s">
        <v>74</v>
      </c>
      <c r="AA709" t="str">
        <f>"10032-1559"</f>
        <v>10032-1559</v>
      </c>
      <c r="AB709" t="s">
        <v>75</v>
      </c>
      <c r="AC709" t="s">
        <v>76</v>
      </c>
      <c r="AD709" t="s">
        <v>73</v>
      </c>
      <c r="AE709" t="s">
        <v>77</v>
      </c>
      <c r="AF709" t="s">
        <v>2254</v>
      </c>
      <c r="AG709" t="s">
        <v>78</v>
      </c>
    </row>
    <row r="710" spans="1:33" hidden="1" x14ac:dyDescent="0.25">
      <c r="A710" t="str">
        <f>"1972837292"</f>
        <v>1972837292</v>
      </c>
      <c r="B710" t="str">
        <f>"03990461"</f>
        <v>03990461</v>
      </c>
      <c r="C710" t="s">
        <v>4768</v>
      </c>
      <c r="D710" t="s">
        <v>4769</v>
      </c>
      <c r="E710" t="s">
        <v>4770</v>
      </c>
      <c r="G710" t="s">
        <v>2224</v>
      </c>
      <c r="H710" t="s">
        <v>2225</v>
      </c>
      <c r="J710" t="s">
        <v>2226</v>
      </c>
      <c r="L710" t="s">
        <v>80</v>
      </c>
      <c r="M710" t="s">
        <v>73</v>
      </c>
      <c r="R710" t="s">
        <v>4771</v>
      </c>
      <c r="W710" t="s">
        <v>4771</v>
      </c>
      <c r="X710" t="s">
        <v>272</v>
      </c>
      <c r="Y710" t="s">
        <v>91</v>
      </c>
      <c r="Z710" t="s">
        <v>74</v>
      </c>
      <c r="AA710" t="str">
        <f>"10038-2612"</f>
        <v>10038-2612</v>
      </c>
      <c r="AB710" t="s">
        <v>75</v>
      </c>
      <c r="AC710" t="s">
        <v>76</v>
      </c>
      <c r="AD710" t="s">
        <v>73</v>
      </c>
      <c r="AE710" t="s">
        <v>77</v>
      </c>
      <c r="AF710" t="s">
        <v>2254</v>
      </c>
      <c r="AG710" t="s">
        <v>78</v>
      </c>
    </row>
    <row r="711" spans="1:33" hidden="1" x14ac:dyDescent="0.25">
      <c r="A711" t="str">
        <f>"1992873079"</f>
        <v>1992873079</v>
      </c>
      <c r="B711" t="str">
        <f>"00708109"</f>
        <v>00708109</v>
      </c>
      <c r="C711" t="s">
        <v>4772</v>
      </c>
      <c r="D711" t="s">
        <v>4773</v>
      </c>
      <c r="E711" t="s">
        <v>4774</v>
      </c>
      <c r="G711" t="s">
        <v>2224</v>
      </c>
      <c r="H711" t="s">
        <v>2225</v>
      </c>
      <c r="J711" t="s">
        <v>2226</v>
      </c>
      <c r="L711" t="s">
        <v>80</v>
      </c>
      <c r="M711" t="s">
        <v>73</v>
      </c>
      <c r="R711" t="s">
        <v>4775</v>
      </c>
      <c r="W711" t="s">
        <v>4774</v>
      </c>
      <c r="Y711" t="s">
        <v>91</v>
      </c>
      <c r="Z711" t="s">
        <v>74</v>
      </c>
      <c r="AA711" t="str">
        <f>"10032-3720"</f>
        <v>10032-3720</v>
      </c>
      <c r="AB711" t="s">
        <v>75</v>
      </c>
      <c r="AC711" t="s">
        <v>76</v>
      </c>
      <c r="AD711" t="s">
        <v>73</v>
      </c>
      <c r="AE711" t="s">
        <v>77</v>
      </c>
      <c r="AF711" t="s">
        <v>2228</v>
      </c>
      <c r="AG711" t="s">
        <v>78</v>
      </c>
    </row>
    <row r="712" spans="1:33" hidden="1" x14ac:dyDescent="0.25">
      <c r="A712" t="str">
        <f>"1053413989"</f>
        <v>1053413989</v>
      </c>
      <c r="B712" t="str">
        <f>"02993846"</f>
        <v>02993846</v>
      </c>
      <c r="C712" t="s">
        <v>4776</v>
      </c>
      <c r="D712" t="s">
        <v>2239</v>
      </c>
      <c r="E712" t="s">
        <v>2240</v>
      </c>
      <c r="G712" t="s">
        <v>2224</v>
      </c>
      <c r="H712" t="s">
        <v>2225</v>
      </c>
      <c r="J712" t="s">
        <v>2226</v>
      </c>
      <c r="L712" t="s">
        <v>532</v>
      </c>
      <c r="M712" t="s">
        <v>73</v>
      </c>
      <c r="R712" t="s">
        <v>2238</v>
      </c>
      <c r="W712" t="s">
        <v>2240</v>
      </c>
      <c r="X712" t="s">
        <v>272</v>
      </c>
      <c r="Y712" t="s">
        <v>91</v>
      </c>
      <c r="Z712" t="s">
        <v>74</v>
      </c>
      <c r="AA712" t="str">
        <f>"10038-2612"</f>
        <v>10038-2612</v>
      </c>
      <c r="AB712" t="s">
        <v>87</v>
      </c>
      <c r="AC712" t="s">
        <v>76</v>
      </c>
      <c r="AD712" t="s">
        <v>73</v>
      </c>
      <c r="AE712" t="s">
        <v>77</v>
      </c>
      <c r="AF712" t="s">
        <v>2242</v>
      </c>
      <c r="AG712" t="s">
        <v>78</v>
      </c>
    </row>
    <row r="713" spans="1:33" hidden="1" x14ac:dyDescent="0.25">
      <c r="A713" t="str">
        <f>"1689703050"</f>
        <v>1689703050</v>
      </c>
      <c r="B713" t="str">
        <f>"02946207"</f>
        <v>02946207</v>
      </c>
      <c r="C713" t="s">
        <v>4777</v>
      </c>
      <c r="D713" t="s">
        <v>4778</v>
      </c>
      <c r="E713" t="s">
        <v>4779</v>
      </c>
      <c r="G713" t="s">
        <v>2224</v>
      </c>
      <c r="H713" t="s">
        <v>2225</v>
      </c>
      <c r="J713" t="s">
        <v>2226</v>
      </c>
      <c r="L713" t="s">
        <v>72</v>
      </c>
      <c r="M713" t="s">
        <v>73</v>
      </c>
      <c r="R713" t="s">
        <v>4780</v>
      </c>
      <c r="W713" t="s">
        <v>4779</v>
      </c>
      <c r="X713" t="s">
        <v>1397</v>
      </c>
      <c r="Y713" t="s">
        <v>91</v>
      </c>
      <c r="Z713" t="s">
        <v>74</v>
      </c>
      <c r="AA713" t="str">
        <f>"10032-3724"</f>
        <v>10032-3724</v>
      </c>
      <c r="AB713" t="s">
        <v>75</v>
      </c>
      <c r="AC713" t="s">
        <v>76</v>
      </c>
      <c r="AD713" t="s">
        <v>73</v>
      </c>
      <c r="AE713" t="s">
        <v>77</v>
      </c>
      <c r="AF713" t="s">
        <v>2254</v>
      </c>
      <c r="AG713" t="s">
        <v>78</v>
      </c>
    </row>
    <row r="714" spans="1:33" hidden="1" x14ac:dyDescent="0.25">
      <c r="A714" t="str">
        <f>"1689725947"</f>
        <v>1689725947</v>
      </c>
      <c r="B714" t="str">
        <f>"03545939"</f>
        <v>03545939</v>
      </c>
      <c r="C714" t="s">
        <v>4781</v>
      </c>
      <c r="D714" t="s">
        <v>4782</v>
      </c>
      <c r="E714" t="s">
        <v>4783</v>
      </c>
      <c r="G714" t="s">
        <v>2224</v>
      </c>
      <c r="H714" t="s">
        <v>2225</v>
      </c>
      <c r="J714" t="s">
        <v>2226</v>
      </c>
      <c r="L714" t="s">
        <v>72</v>
      </c>
      <c r="M714" t="s">
        <v>73</v>
      </c>
      <c r="R714" t="s">
        <v>4784</v>
      </c>
      <c r="W714" t="s">
        <v>4783</v>
      </c>
      <c r="X714" t="s">
        <v>170</v>
      </c>
      <c r="Y714" t="s">
        <v>91</v>
      </c>
      <c r="Z714" t="s">
        <v>74</v>
      </c>
      <c r="AA714" t="str">
        <f>"10065-4870"</f>
        <v>10065-4870</v>
      </c>
      <c r="AB714" t="s">
        <v>79</v>
      </c>
      <c r="AC714" t="s">
        <v>76</v>
      </c>
      <c r="AD714" t="s">
        <v>73</v>
      </c>
      <c r="AE714" t="s">
        <v>77</v>
      </c>
      <c r="AF714" t="s">
        <v>2242</v>
      </c>
      <c r="AG714" t="s">
        <v>78</v>
      </c>
    </row>
    <row r="715" spans="1:33" hidden="1" x14ac:dyDescent="0.25">
      <c r="A715" t="str">
        <f>"1407837768"</f>
        <v>1407837768</v>
      </c>
      <c r="B715" t="str">
        <f>"00138303"</f>
        <v>00138303</v>
      </c>
      <c r="C715" t="s">
        <v>4785</v>
      </c>
      <c r="D715" t="s">
        <v>4786</v>
      </c>
      <c r="E715" t="s">
        <v>4787</v>
      </c>
      <c r="G715" t="s">
        <v>2224</v>
      </c>
      <c r="H715" t="s">
        <v>2225</v>
      </c>
      <c r="J715" t="s">
        <v>2226</v>
      </c>
      <c r="L715" t="s">
        <v>72</v>
      </c>
      <c r="M715" t="s">
        <v>73</v>
      </c>
      <c r="R715" t="s">
        <v>4788</v>
      </c>
      <c r="W715" t="s">
        <v>4787</v>
      </c>
      <c r="X715" t="s">
        <v>167</v>
      </c>
      <c r="Y715" t="s">
        <v>91</v>
      </c>
      <c r="Z715" t="s">
        <v>74</v>
      </c>
      <c r="AA715" t="str">
        <f>"10032-3720"</f>
        <v>10032-3720</v>
      </c>
      <c r="AB715" t="s">
        <v>75</v>
      </c>
      <c r="AC715" t="s">
        <v>76</v>
      </c>
      <c r="AD715" t="s">
        <v>73</v>
      </c>
      <c r="AE715" t="s">
        <v>77</v>
      </c>
      <c r="AF715" t="s">
        <v>2228</v>
      </c>
      <c r="AG715" t="s">
        <v>78</v>
      </c>
    </row>
    <row r="716" spans="1:33" hidden="1" x14ac:dyDescent="0.25">
      <c r="A716" t="str">
        <f>"1972582609"</f>
        <v>1972582609</v>
      </c>
      <c r="B716" t="str">
        <f>"01725084"</f>
        <v>01725084</v>
      </c>
      <c r="C716" t="s">
        <v>4789</v>
      </c>
      <c r="D716" t="s">
        <v>4790</v>
      </c>
      <c r="E716" t="s">
        <v>4791</v>
      </c>
      <c r="G716" t="s">
        <v>2224</v>
      </c>
      <c r="H716" t="s">
        <v>2225</v>
      </c>
      <c r="J716" t="s">
        <v>2226</v>
      </c>
      <c r="L716" t="s">
        <v>80</v>
      </c>
      <c r="M716" t="s">
        <v>73</v>
      </c>
      <c r="R716" t="s">
        <v>4792</v>
      </c>
      <c r="W716" t="s">
        <v>4791</v>
      </c>
      <c r="X716" t="s">
        <v>1451</v>
      </c>
      <c r="Y716" t="s">
        <v>84</v>
      </c>
      <c r="Z716" t="s">
        <v>74</v>
      </c>
      <c r="AA716" t="str">
        <f>"11230-5849"</f>
        <v>11230-5849</v>
      </c>
      <c r="AB716" t="s">
        <v>75</v>
      </c>
      <c r="AC716" t="s">
        <v>76</v>
      </c>
      <c r="AD716" t="s">
        <v>73</v>
      </c>
      <c r="AE716" t="s">
        <v>77</v>
      </c>
      <c r="AF716" t="s">
        <v>2228</v>
      </c>
      <c r="AG716" t="s">
        <v>78</v>
      </c>
    </row>
    <row r="717" spans="1:33" hidden="1" x14ac:dyDescent="0.25">
      <c r="A717" t="str">
        <f>"1922027374"</f>
        <v>1922027374</v>
      </c>
      <c r="B717" t="str">
        <f>"00933151"</f>
        <v>00933151</v>
      </c>
      <c r="C717" t="s">
        <v>4793</v>
      </c>
      <c r="D717" t="s">
        <v>1786</v>
      </c>
      <c r="E717" t="s">
        <v>1787</v>
      </c>
      <c r="G717" t="s">
        <v>2224</v>
      </c>
      <c r="H717" t="s">
        <v>2225</v>
      </c>
      <c r="J717" t="s">
        <v>2226</v>
      </c>
      <c r="L717" t="s">
        <v>81</v>
      </c>
      <c r="M717" t="s">
        <v>82</v>
      </c>
      <c r="R717" t="s">
        <v>1788</v>
      </c>
      <c r="W717" t="s">
        <v>1787</v>
      </c>
      <c r="X717" t="s">
        <v>167</v>
      </c>
      <c r="Y717" t="s">
        <v>91</v>
      </c>
      <c r="Z717" t="s">
        <v>74</v>
      </c>
      <c r="AA717" t="str">
        <f>"10032-3720"</f>
        <v>10032-3720</v>
      </c>
      <c r="AB717" t="s">
        <v>75</v>
      </c>
      <c r="AC717" t="s">
        <v>76</v>
      </c>
      <c r="AD717" t="s">
        <v>73</v>
      </c>
      <c r="AE717" t="s">
        <v>77</v>
      </c>
      <c r="AF717" t="s">
        <v>2254</v>
      </c>
      <c r="AG717" t="s">
        <v>78</v>
      </c>
    </row>
    <row r="718" spans="1:33" hidden="1" x14ac:dyDescent="0.25">
      <c r="A718" t="str">
        <f>"1508873969"</f>
        <v>1508873969</v>
      </c>
      <c r="B718" t="str">
        <f>"01811334"</f>
        <v>01811334</v>
      </c>
      <c r="C718" t="s">
        <v>4794</v>
      </c>
      <c r="D718" t="s">
        <v>4795</v>
      </c>
      <c r="E718" t="s">
        <v>4796</v>
      </c>
      <c r="G718" t="s">
        <v>2224</v>
      </c>
      <c r="H718" t="s">
        <v>2225</v>
      </c>
      <c r="J718" t="s">
        <v>2226</v>
      </c>
      <c r="L718" t="s">
        <v>80</v>
      </c>
      <c r="M718" t="s">
        <v>73</v>
      </c>
      <c r="R718" t="s">
        <v>4797</v>
      </c>
      <c r="W718" t="s">
        <v>4796</v>
      </c>
      <c r="X718" t="s">
        <v>833</v>
      </c>
      <c r="Y718" t="s">
        <v>91</v>
      </c>
      <c r="Z718" t="s">
        <v>74</v>
      </c>
      <c r="AA718" t="str">
        <f>"10037-1802"</f>
        <v>10037-1802</v>
      </c>
      <c r="AB718" t="s">
        <v>75</v>
      </c>
      <c r="AC718" t="s">
        <v>76</v>
      </c>
      <c r="AD718" t="s">
        <v>73</v>
      </c>
      <c r="AE718" t="s">
        <v>77</v>
      </c>
      <c r="AF718" t="s">
        <v>2254</v>
      </c>
      <c r="AG718" t="s">
        <v>78</v>
      </c>
    </row>
    <row r="719" spans="1:33" hidden="1" x14ac:dyDescent="0.25">
      <c r="A719" t="str">
        <f>"1992925101"</f>
        <v>1992925101</v>
      </c>
      <c r="B719" t="str">
        <f>"03723824"</f>
        <v>03723824</v>
      </c>
      <c r="C719" t="s">
        <v>4798</v>
      </c>
      <c r="D719" t="s">
        <v>1374</v>
      </c>
      <c r="E719" t="s">
        <v>1375</v>
      </c>
      <c r="G719" t="s">
        <v>2514</v>
      </c>
      <c r="H719" t="s">
        <v>4799</v>
      </c>
      <c r="J719" t="s">
        <v>2516</v>
      </c>
      <c r="L719" t="s">
        <v>72</v>
      </c>
      <c r="M719" t="s">
        <v>73</v>
      </c>
      <c r="R719" t="s">
        <v>1376</v>
      </c>
      <c r="W719" t="s">
        <v>1375</v>
      </c>
      <c r="X719" t="s">
        <v>1377</v>
      </c>
      <c r="Y719" t="s">
        <v>91</v>
      </c>
      <c r="Z719" t="s">
        <v>74</v>
      </c>
      <c r="AA719" t="str">
        <f>"10040-1602"</f>
        <v>10040-1602</v>
      </c>
      <c r="AB719" t="s">
        <v>75</v>
      </c>
      <c r="AC719" t="s">
        <v>76</v>
      </c>
      <c r="AD719" t="s">
        <v>73</v>
      </c>
      <c r="AE719" t="s">
        <v>77</v>
      </c>
      <c r="AF719" t="s">
        <v>2518</v>
      </c>
      <c r="AG719" t="s">
        <v>78</v>
      </c>
    </row>
    <row r="720" spans="1:33" hidden="1" x14ac:dyDescent="0.25">
      <c r="A720" t="str">
        <f>"1609106319"</f>
        <v>1609106319</v>
      </c>
      <c r="B720" t="str">
        <f>"03384672"</f>
        <v>03384672</v>
      </c>
      <c r="C720" t="s">
        <v>4800</v>
      </c>
      <c r="D720" t="s">
        <v>4801</v>
      </c>
      <c r="E720" t="s">
        <v>4802</v>
      </c>
      <c r="G720" t="s">
        <v>2224</v>
      </c>
      <c r="H720" t="s">
        <v>2225</v>
      </c>
      <c r="J720" t="s">
        <v>2226</v>
      </c>
      <c r="L720" t="s">
        <v>72</v>
      </c>
      <c r="M720" t="s">
        <v>73</v>
      </c>
      <c r="R720" t="s">
        <v>4803</v>
      </c>
      <c r="W720" t="s">
        <v>4802</v>
      </c>
      <c r="X720" t="s">
        <v>4804</v>
      </c>
      <c r="Y720" t="s">
        <v>91</v>
      </c>
      <c r="Z720" t="s">
        <v>74</v>
      </c>
      <c r="AA720" t="str">
        <f>"10030-2802"</f>
        <v>10030-2802</v>
      </c>
      <c r="AB720" t="s">
        <v>113</v>
      </c>
      <c r="AC720" t="s">
        <v>76</v>
      </c>
      <c r="AD720" t="s">
        <v>73</v>
      </c>
      <c r="AE720" t="s">
        <v>77</v>
      </c>
      <c r="AF720" t="s">
        <v>2228</v>
      </c>
      <c r="AG720" t="s">
        <v>78</v>
      </c>
    </row>
    <row r="721" spans="1:33" hidden="1" x14ac:dyDescent="0.25">
      <c r="A721" t="str">
        <f>"1679733463"</f>
        <v>1679733463</v>
      </c>
      <c r="B721" t="str">
        <f>"03349355"</f>
        <v>03349355</v>
      </c>
      <c r="C721" t="s">
        <v>4805</v>
      </c>
      <c r="D721" t="s">
        <v>4806</v>
      </c>
      <c r="E721" t="s">
        <v>4807</v>
      </c>
      <c r="G721" t="s">
        <v>2224</v>
      </c>
      <c r="H721" t="s">
        <v>2225</v>
      </c>
      <c r="J721" t="s">
        <v>2226</v>
      </c>
      <c r="L721" t="s">
        <v>80</v>
      </c>
      <c r="M721" t="s">
        <v>82</v>
      </c>
      <c r="R721" t="s">
        <v>4808</v>
      </c>
      <c r="W721" t="s">
        <v>4807</v>
      </c>
      <c r="X721" t="s">
        <v>4809</v>
      </c>
      <c r="Y721" t="s">
        <v>91</v>
      </c>
      <c r="Z721" t="s">
        <v>74</v>
      </c>
      <c r="AA721" t="str">
        <f>"10019-6113"</f>
        <v>10019-6113</v>
      </c>
      <c r="AB721" t="s">
        <v>75</v>
      </c>
      <c r="AC721" t="s">
        <v>76</v>
      </c>
      <c r="AD721" t="s">
        <v>73</v>
      </c>
      <c r="AE721" t="s">
        <v>77</v>
      </c>
      <c r="AF721" t="s">
        <v>2228</v>
      </c>
      <c r="AG721" t="s">
        <v>78</v>
      </c>
    </row>
    <row r="722" spans="1:33" hidden="1" x14ac:dyDescent="0.25">
      <c r="A722" t="str">
        <f>"1679736714"</f>
        <v>1679736714</v>
      </c>
      <c r="B722" t="str">
        <f>"03518518"</f>
        <v>03518518</v>
      </c>
      <c r="C722" t="s">
        <v>4810</v>
      </c>
      <c r="D722" t="s">
        <v>4811</v>
      </c>
      <c r="E722" t="s">
        <v>4812</v>
      </c>
      <c r="G722" t="s">
        <v>2224</v>
      </c>
      <c r="H722" t="s">
        <v>2225</v>
      </c>
      <c r="J722" t="s">
        <v>2226</v>
      </c>
      <c r="L722" t="s">
        <v>80</v>
      </c>
      <c r="M722" t="s">
        <v>73</v>
      </c>
      <c r="R722" t="s">
        <v>4813</v>
      </c>
      <c r="W722" t="s">
        <v>4812</v>
      </c>
      <c r="X722" t="s">
        <v>1695</v>
      </c>
      <c r="Y722" t="s">
        <v>91</v>
      </c>
      <c r="Z722" t="s">
        <v>74</v>
      </c>
      <c r="AA722" t="str">
        <f>"10032-3722"</f>
        <v>10032-3722</v>
      </c>
      <c r="AB722" t="s">
        <v>75</v>
      </c>
      <c r="AC722" t="s">
        <v>76</v>
      </c>
      <c r="AD722" t="s">
        <v>73</v>
      </c>
      <c r="AE722" t="s">
        <v>77</v>
      </c>
      <c r="AF722" t="s">
        <v>2254</v>
      </c>
      <c r="AG722" t="s">
        <v>78</v>
      </c>
    </row>
    <row r="723" spans="1:33" hidden="1" x14ac:dyDescent="0.25">
      <c r="A723" t="str">
        <f>"1740383025"</f>
        <v>1740383025</v>
      </c>
      <c r="B723" t="str">
        <f>"02168743"</f>
        <v>02168743</v>
      </c>
      <c r="C723" t="s">
        <v>4814</v>
      </c>
      <c r="D723" t="s">
        <v>4815</v>
      </c>
      <c r="E723" t="s">
        <v>4816</v>
      </c>
      <c r="G723" t="s">
        <v>2224</v>
      </c>
      <c r="H723" t="s">
        <v>2225</v>
      </c>
      <c r="J723" t="s">
        <v>2226</v>
      </c>
      <c r="L723" t="s">
        <v>88</v>
      </c>
      <c r="M723" t="s">
        <v>73</v>
      </c>
      <c r="R723" t="s">
        <v>4817</v>
      </c>
      <c r="W723" t="s">
        <v>4818</v>
      </c>
      <c r="X723" t="s">
        <v>4819</v>
      </c>
      <c r="Y723" t="s">
        <v>91</v>
      </c>
      <c r="Z723" t="s">
        <v>74</v>
      </c>
      <c r="AA723" t="str">
        <f>"10032-7104"</f>
        <v>10032-7104</v>
      </c>
      <c r="AB723" t="s">
        <v>75</v>
      </c>
      <c r="AC723" t="s">
        <v>76</v>
      </c>
      <c r="AD723" t="s">
        <v>73</v>
      </c>
      <c r="AE723" t="s">
        <v>77</v>
      </c>
      <c r="AF723" t="s">
        <v>2254</v>
      </c>
      <c r="AG723" t="s">
        <v>78</v>
      </c>
    </row>
    <row r="724" spans="1:33" hidden="1" x14ac:dyDescent="0.25">
      <c r="A724" t="str">
        <f>"1487754784"</f>
        <v>1487754784</v>
      </c>
      <c r="B724" t="str">
        <f>"01657556"</f>
        <v>01657556</v>
      </c>
      <c r="C724" t="s">
        <v>4820</v>
      </c>
      <c r="D724" t="s">
        <v>4821</v>
      </c>
      <c r="E724" t="s">
        <v>4822</v>
      </c>
      <c r="G724" t="s">
        <v>2224</v>
      </c>
      <c r="H724" t="s">
        <v>2225</v>
      </c>
      <c r="J724" t="s">
        <v>2226</v>
      </c>
      <c r="L724" t="s">
        <v>72</v>
      </c>
      <c r="M724" t="s">
        <v>73</v>
      </c>
      <c r="R724" t="s">
        <v>4823</v>
      </c>
      <c r="W724" t="s">
        <v>4822</v>
      </c>
      <c r="X724" t="s">
        <v>4824</v>
      </c>
      <c r="Y724" t="s">
        <v>91</v>
      </c>
      <c r="Z724" t="s">
        <v>74</v>
      </c>
      <c r="AA724" t="str">
        <f>"10032-3725"</f>
        <v>10032-3725</v>
      </c>
      <c r="AB724" t="s">
        <v>75</v>
      </c>
      <c r="AC724" t="s">
        <v>76</v>
      </c>
      <c r="AD724" t="s">
        <v>73</v>
      </c>
      <c r="AE724" t="s">
        <v>77</v>
      </c>
      <c r="AF724" t="s">
        <v>2254</v>
      </c>
      <c r="AG724" t="s">
        <v>78</v>
      </c>
    </row>
    <row r="725" spans="1:33" hidden="1" x14ac:dyDescent="0.25">
      <c r="A725" t="str">
        <f>"1679890354"</f>
        <v>1679890354</v>
      </c>
      <c r="B725" t="str">
        <f>"03879210"</f>
        <v>03879210</v>
      </c>
      <c r="C725" t="s">
        <v>4825</v>
      </c>
      <c r="D725" t="s">
        <v>4826</v>
      </c>
      <c r="E725" t="s">
        <v>4827</v>
      </c>
      <c r="G725" t="s">
        <v>2224</v>
      </c>
      <c r="H725" t="s">
        <v>2225</v>
      </c>
      <c r="J725" t="s">
        <v>2226</v>
      </c>
      <c r="L725" t="s">
        <v>80</v>
      </c>
      <c r="M725" t="s">
        <v>73</v>
      </c>
      <c r="R725" t="s">
        <v>4828</v>
      </c>
      <c r="W725" t="s">
        <v>4827</v>
      </c>
      <c r="X725" t="s">
        <v>236</v>
      </c>
      <c r="Y725" t="s">
        <v>91</v>
      </c>
      <c r="Z725" t="s">
        <v>74</v>
      </c>
      <c r="AA725" t="str">
        <f>"10034-1159"</f>
        <v>10034-1159</v>
      </c>
      <c r="AB725" t="s">
        <v>75</v>
      </c>
      <c r="AC725" t="s">
        <v>76</v>
      </c>
      <c r="AD725" t="s">
        <v>73</v>
      </c>
      <c r="AE725" t="s">
        <v>77</v>
      </c>
      <c r="AF725" t="s">
        <v>2228</v>
      </c>
      <c r="AG725" t="s">
        <v>78</v>
      </c>
    </row>
    <row r="726" spans="1:33" hidden="1" x14ac:dyDescent="0.25">
      <c r="A726" t="str">
        <f>"1689098139"</f>
        <v>1689098139</v>
      </c>
      <c r="C726" t="s">
        <v>4829</v>
      </c>
      <c r="G726" t="s">
        <v>2224</v>
      </c>
      <c r="H726" t="s">
        <v>2225</v>
      </c>
      <c r="J726" t="s">
        <v>2226</v>
      </c>
      <c r="K726" t="s">
        <v>171</v>
      </c>
      <c r="L726" t="s">
        <v>96</v>
      </c>
      <c r="M726" t="s">
        <v>73</v>
      </c>
      <c r="R726" t="s">
        <v>4830</v>
      </c>
      <c r="S726" t="s">
        <v>167</v>
      </c>
      <c r="T726" t="s">
        <v>91</v>
      </c>
      <c r="U726" t="s">
        <v>74</v>
      </c>
      <c r="V726" t="str">
        <f>"100323720"</f>
        <v>100323720</v>
      </c>
      <c r="AC726" t="s">
        <v>76</v>
      </c>
      <c r="AD726" t="s">
        <v>73</v>
      </c>
      <c r="AE726" t="s">
        <v>97</v>
      </c>
      <c r="AF726" t="s">
        <v>2254</v>
      </c>
      <c r="AG726" t="s">
        <v>78</v>
      </c>
    </row>
    <row r="727" spans="1:33" hidden="1" x14ac:dyDescent="0.25">
      <c r="A727" t="str">
        <f>"1558433771"</f>
        <v>1558433771</v>
      </c>
      <c r="C727" t="s">
        <v>4831</v>
      </c>
      <c r="G727" t="s">
        <v>2224</v>
      </c>
      <c r="H727" t="s">
        <v>2312</v>
      </c>
      <c r="J727" t="s">
        <v>2226</v>
      </c>
      <c r="K727" t="s">
        <v>171</v>
      </c>
      <c r="L727" t="s">
        <v>96</v>
      </c>
      <c r="M727" t="s">
        <v>73</v>
      </c>
      <c r="R727" t="s">
        <v>4832</v>
      </c>
      <c r="S727" t="s">
        <v>4833</v>
      </c>
      <c r="T727" t="s">
        <v>1317</v>
      </c>
      <c r="U727" t="s">
        <v>74</v>
      </c>
      <c r="V727" t="str">
        <f>"105732820"</f>
        <v>105732820</v>
      </c>
      <c r="AC727" t="s">
        <v>76</v>
      </c>
      <c r="AD727" t="s">
        <v>73</v>
      </c>
      <c r="AE727" t="s">
        <v>97</v>
      </c>
      <c r="AF727" t="s">
        <v>2242</v>
      </c>
      <c r="AG727" t="s">
        <v>78</v>
      </c>
    </row>
    <row r="728" spans="1:33" hidden="1" x14ac:dyDescent="0.25">
      <c r="A728" t="str">
        <f>"1104944859"</f>
        <v>1104944859</v>
      </c>
      <c r="B728" t="str">
        <f>"03041150"</f>
        <v>03041150</v>
      </c>
      <c r="C728" t="s">
        <v>4834</v>
      </c>
      <c r="D728" t="s">
        <v>4835</v>
      </c>
      <c r="E728" t="s">
        <v>4836</v>
      </c>
      <c r="G728" t="s">
        <v>2224</v>
      </c>
      <c r="H728" t="s">
        <v>2225</v>
      </c>
      <c r="J728" t="s">
        <v>2226</v>
      </c>
      <c r="L728" t="s">
        <v>80</v>
      </c>
      <c r="M728" t="s">
        <v>73</v>
      </c>
      <c r="R728" t="s">
        <v>4837</v>
      </c>
      <c r="W728" t="s">
        <v>4838</v>
      </c>
      <c r="X728" t="s">
        <v>457</v>
      </c>
      <c r="Y728" t="s">
        <v>91</v>
      </c>
      <c r="Z728" t="s">
        <v>74</v>
      </c>
      <c r="AA728" t="str">
        <f>"10037-1802"</f>
        <v>10037-1802</v>
      </c>
      <c r="AB728" t="s">
        <v>75</v>
      </c>
      <c r="AC728" t="s">
        <v>76</v>
      </c>
      <c r="AD728" t="s">
        <v>73</v>
      </c>
      <c r="AE728" t="s">
        <v>77</v>
      </c>
      <c r="AF728" t="s">
        <v>2228</v>
      </c>
      <c r="AG728" t="s">
        <v>78</v>
      </c>
    </row>
    <row r="729" spans="1:33" hidden="1" x14ac:dyDescent="0.25">
      <c r="A729" t="str">
        <f>"1750479184"</f>
        <v>1750479184</v>
      </c>
      <c r="B729" t="str">
        <f>"00672853"</f>
        <v>00672853</v>
      </c>
      <c r="C729" t="s">
        <v>4839</v>
      </c>
      <c r="D729" t="s">
        <v>4840</v>
      </c>
      <c r="E729" t="s">
        <v>4841</v>
      </c>
      <c r="G729" t="s">
        <v>2224</v>
      </c>
      <c r="H729" t="s">
        <v>2225</v>
      </c>
      <c r="J729" t="s">
        <v>2226</v>
      </c>
      <c r="L729" t="s">
        <v>72</v>
      </c>
      <c r="M729" t="s">
        <v>73</v>
      </c>
      <c r="R729" t="s">
        <v>4842</v>
      </c>
      <c r="W729" t="s">
        <v>4841</v>
      </c>
      <c r="X729" t="s">
        <v>4843</v>
      </c>
      <c r="Y729" t="s">
        <v>91</v>
      </c>
      <c r="Z729" t="s">
        <v>74</v>
      </c>
      <c r="AA729" t="str">
        <f>"10032-3726"</f>
        <v>10032-3726</v>
      </c>
      <c r="AB729" t="s">
        <v>75</v>
      </c>
      <c r="AC729" t="s">
        <v>76</v>
      </c>
      <c r="AD729" t="s">
        <v>73</v>
      </c>
      <c r="AE729" t="s">
        <v>77</v>
      </c>
      <c r="AF729" t="s">
        <v>2228</v>
      </c>
      <c r="AG729" t="s">
        <v>78</v>
      </c>
    </row>
    <row r="730" spans="1:33" hidden="1" x14ac:dyDescent="0.25">
      <c r="A730" t="str">
        <f>"1619902061"</f>
        <v>1619902061</v>
      </c>
      <c r="B730" t="str">
        <f>"02677338"</f>
        <v>02677338</v>
      </c>
      <c r="C730" t="s">
        <v>4844</v>
      </c>
      <c r="D730" t="s">
        <v>4845</v>
      </c>
      <c r="E730" t="s">
        <v>4846</v>
      </c>
      <c r="L730" t="s">
        <v>72</v>
      </c>
      <c r="M730" t="s">
        <v>73</v>
      </c>
      <c r="R730" t="s">
        <v>4847</v>
      </c>
      <c r="W730" t="s">
        <v>4846</v>
      </c>
      <c r="X730" t="s">
        <v>351</v>
      </c>
      <c r="Y730" t="s">
        <v>91</v>
      </c>
      <c r="Z730" t="s">
        <v>74</v>
      </c>
      <c r="AA730" t="str">
        <f>"10032"</f>
        <v>10032</v>
      </c>
      <c r="AB730" t="s">
        <v>75</v>
      </c>
      <c r="AC730" t="s">
        <v>76</v>
      </c>
      <c r="AD730" t="s">
        <v>73</v>
      </c>
      <c r="AE730" t="s">
        <v>77</v>
      </c>
      <c r="AF730" t="s">
        <v>2228</v>
      </c>
      <c r="AG730" t="s">
        <v>78</v>
      </c>
    </row>
    <row r="731" spans="1:33" hidden="1" x14ac:dyDescent="0.25">
      <c r="A731" t="str">
        <f>"1568898872"</f>
        <v>1568898872</v>
      </c>
      <c r="B731" t="str">
        <f>"03736041"</f>
        <v>03736041</v>
      </c>
      <c r="C731" t="s">
        <v>4848</v>
      </c>
      <c r="D731" t="s">
        <v>1811</v>
      </c>
      <c r="E731" t="s">
        <v>1812</v>
      </c>
      <c r="L731" t="s">
        <v>81</v>
      </c>
      <c r="M731" t="s">
        <v>82</v>
      </c>
      <c r="R731" t="s">
        <v>1813</v>
      </c>
      <c r="W731" t="s">
        <v>1812</v>
      </c>
      <c r="X731" t="s">
        <v>683</v>
      </c>
      <c r="Y731" t="s">
        <v>118</v>
      </c>
      <c r="Z731" t="s">
        <v>74</v>
      </c>
      <c r="AA731" t="str">
        <f>"10459-3204"</f>
        <v>10459-3204</v>
      </c>
      <c r="AB731" t="s">
        <v>75</v>
      </c>
      <c r="AC731" t="s">
        <v>76</v>
      </c>
      <c r="AD731" t="s">
        <v>73</v>
      </c>
      <c r="AE731" t="s">
        <v>77</v>
      </c>
      <c r="AF731" t="s">
        <v>2398</v>
      </c>
      <c r="AG731" t="s">
        <v>78</v>
      </c>
    </row>
    <row r="732" spans="1:33" hidden="1" x14ac:dyDescent="0.25">
      <c r="A732" t="str">
        <f>"1184740722"</f>
        <v>1184740722</v>
      </c>
      <c r="C732" t="s">
        <v>4849</v>
      </c>
      <c r="G732" t="s">
        <v>2224</v>
      </c>
      <c r="H732" t="s">
        <v>2312</v>
      </c>
      <c r="J732" t="s">
        <v>2226</v>
      </c>
      <c r="K732" t="s">
        <v>171</v>
      </c>
      <c r="L732" t="s">
        <v>72</v>
      </c>
      <c r="M732" t="s">
        <v>73</v>
      </c>
      <c r="R732" t="s">
        <v>1057</v>
      </c>
      <c r="S732" t="s">
        <v>789</v>
      </c>
      <c r="T732" t="s">
        <v>84</v>
      </c>
      <c r="U732" t="s">
        <v>74</v>
      </c>
      <c r="V732" t="str">
        <f>"112255417"</f>
        <v>112255417</v>
      </c>
      <c r="AC732" t="s">
        <v>76</v>
      </c>
      <c r="AD732" t="s">
        <v>73</v>
      </c>
      <c r="AE732" t="s">
        <v>97</v>
      </c>
      <c r="AF732" t="s">
        <v>2398</v>
      </c>
      <c r="AG732" t="s">
        <v>78</v>
      </c>
    </row>
    <row r="733" spans="1:33" hidden="1" x14ac:dyDescent="0.25">
      <c r="A733" t="str">
        <f>"1588690960"</f>
        <v>1588690960</v>
      </c>
      <c r="B733" t="str">
        <f>"04032404"</f>
        <v>04032404</v>
      </c>
      <c r="C733" t="s">
        <v>4850</v>
      </c>
      <c r="D733" t="s">
        <v>4851</v>
      </c>
      <c r="E733" t="s">
        <v>4852</v>
      </c>
      <c r="G733" t="s">
        <v>2224</v>
      </c>
      <c r="H733" t="s">
        <v>2312</v>
      </c>
      <c r="J733" t="s">
        <v>2226</v>
      </c>
      <c r="L733" t="s">
        <v>80</v>
      </c>
      <c r="M733" t="s">
        <v>73</v>
      </c>
      <c r="R733" t="s">
        <v>4852</v>
      </c>
      <c r="W733" t="s">
        <v>4852</v>
      </c>
      <c r="X733" t="s">
        <v>167</v>
      </c>
      <c r="Y733" t="s">
        <v>91</v>
      </c>
      <c r="Z733" t="s">
        <v>74</v>
      </c>
      <c r="AA733" t="str">
        <f>"10032-3720"</f>
        <v>10032-3720</v>
      </c>
      <c r="AB733" t="s">
        <v>75</v>
      </c>
      <c r="AC733" t="s">
        <v>76</v>
      </c>
      <c r="AD733" t="s">
        <v>73</v>
      </c>
      <c r="AE733" t="s">
        <v>77</v>
      </c>
      <c r="AF733" t="s">
        <v>2228</v>
      </c>
      <c r="AG733" t="s">
        <v>78</v>
      </c>
    </row>
    <row r="734" spans="1:33" hidden="1" x14ac:dyDescent="0.25">
      <c r="A734" t="str">
        <f>"1144489949"</f>
        <v>1144489949</v>
      </c>
      <c r="B734" t="str">
        <f>"03879852"</f>
        <v>03879852</v>
      </c>
      <c r="C734" t="s">
        <v>4853</v>
      </c>
      <c r="D734" t="s">
        <v>4854</v>
      </c>
      <c r="E734" t="s">
        <v>4855</v>
      </c>
      <c r="L734" t="s">
        <v>80</v>
      </c>
      <c r="M734" t="s">
        <v>73</v>
      </c>
      <c r="R734" t="s">
        <v>4856</v>
      </c>
      <c r="W734" t="s">
        <v>4857</v>
      </c>
      <c r="X734" t="s">
        <v>167</v>
      </c>
      <c r="Y734" t="s">
        <v>91</v>
      </c>
      <c r="Z734" t="s">
        <v>74</v>
      </c>
      <c r="AA734" t="str">
        <f>"10032-3720"</f>
        <v>10032-3720</v>
      </c>
      <c r="AB734" t="s">
        <v>75</v>
      </c>
      <c r="AC734" t="s">
        <v>76</v>
      </c>
      <c r="AD734" t="s">
        <v>73</v>
      </c>
      <c r="AE734" t="s">
        <v>77</v>
      </c>
      <c r="AF734" t="s">
        <v>2228</v>
      </c>
      <c r="AG734" t="s">
        <v>78</v>
      </c>
    </row>
    <row r="735" spans="1:33" hidden="1" x14ac:dyDescent="0.25">
      <c r="A735" t="str">
        <f>"1710949482"</f>
        <v>1710949482</v>
      </c>
      <c r="B735" t="str">
        <f>"03847445"</f>
        <v>03847445</v>
      </c>
      <c r="C735" t="s">
        <v>4858</v>
      </c>
      <c r="D735" t="s">
        <v>4859</v>
      </c>
      <c r="E735" t="s">
        <v>4860</v>
      </c>
      <c r="L735" t="s">
        <v>80</v>
      </c>
      <c r="M735" t="s">
        <v>73</v>
      </c>
      <c r="R735" t="s">
        <v>4861</v>
      </c>
      <c r="W735" t="s">
        <v>4860</v>
      </c>
      <c r="X735" t="s">
        <v>167</v>
      </c>
      <c r="Y735" t="s">
        <v>91</v>
      </c>
      <c r="Z735" t="s">
        <v>74</v>
      </c>
      <c r="AA735" t="str">
        <f>"10032-3720"</f>
        <v>10032-3720</v>
      </c>
      <c r="AB735" t="s">
        <v>75</v>
      </c>
      <c r="AC735" t="s">
        <v>76</v>
      </c>
      <c r="AD735" t="s">
        <v>73</v>
      </c>
      <c r="AE735" t="s">
        <v>77</v>
      </c>
      <c r="AF735" t="s">
        <v>2228</v>
      </c>
      <c r="AG735" t="s">
        <v>78</v>
      </c>
    </row>
    <row r="736" spans="1:33" hidden="1" x14ac:dyDescent="0.25">
      <c r="A736" t="str">
        <f>"1891766689"</f>
        <v>1891766689</v>
      </c>
      <c r="B736" t="str">
        <f>"02194681"</f>
        <v>02194681</v>
      </c>
      <c r="C736" t="s">
        <v>4862</v>
      </c>
      <c r="D736" t="s">
        <v>4863</v>
      </c>
      <c r="E736" t="s">
        <v>4864</v>
      </c>
      <c r="L736" t="s">
        <v>80</v>
      </c>
      <c r="M736" t="s">
        <v>73</v>
      </c>
      <c r="R736" t="s">
        <v>4865</v>
      </c>
      <c r="W736" t="s">
        <v>4864</v>
      </c>
      <c r="X736" t="s">
        <v>364</v>
      </c>
      <c r="Y736" t="s">
        <v>91</v>
      </c>
      <c r="Z736" t="s">
        <v>74</v>
      </c>
      <c r="AA736" t="str">
        <f>"10128-7603"</f>
        <v>10128-7603</v>
      </c>
      <c r="AB736" t="s">
        <v>75</v>
      </c>
      <c r="AC736" t="s">
        <v>76</v>
      </c>
      <c r="AD736" t="s">
        <v>73</v>
      </c>
      <c r="AE736" t="s">
        <v>77</v>
      </c>
      <c r="AF736" t="s">
        <v>2228</v>
      </c>
      <c r="AG736" t="s">
        <v>78</v>
      </c>
    </row>
    <row r="737" spans="1:33" hidden="1" x14ac:dyDescent="0.25">
      <c r="A737" t="str">
        <f>"1841207933"</f>
        <v>1841207933</v>
      </c>
      <c r="B737" t="str">
        <f>"02709593"</f>
        <v>02709593</v>
      </c>
      <c r="C737" t="s">
        <v>1882</v>
      </c>
      <c r="D737" t="s">
        <v>1880</v>
      </c>
      <c r="E737" t="s">
        <v>1881</v>
      </c>
      <c r="L737" t="s">
        <v>16</v>
      </c>
      <c r="M737" t="s">
        <v>82</v>
      </c>
      <c r="R737" t="s">
        <v>1882</v>
      </c>
      <c r="W737" t="s">
        <v>1881</v>
      </c>
      <c r="X737" t="s">
        <v>1883</v>
      </c>
      <c r="Y737" t="s">
        <v>162</v>
      </c>
      <c r="Z737" t="s">
        <v>74</v>
      </c>
      <c r="AA737" t="str">
        <f>"11106-4422"</f>
        <v>11106-4422</v>
      </c>
      <c r="AB737" t="s">
        <v>119</v>
      </c>
      <c r="AC737" t="s">
        <v>76</v>
      </c>
      <c r="AD737" t="s">
        <v>73</v>
      </c>
      <c r="AE737" t="s">
        <v>77</v>
      </c>
      <c r="AF737" t="s">
        <v>2254</v>
      </c>
      <c r="AG737" t="s">
        <v>78</v>
      </c>
    </row>
    <row r="738" spans="1:33" hidden="1" x14ac:dyDescent="0.25">
      <c r="A738" t="str">
        <f>"1366419566"</f>
        <v>1366419566</v>
      </c>
      <c r="C738" t="s">
        <v>4866</v>
      </c>
      <c r="G738" t="s">
        <v>2224</v>
      </c>
      <c r="H738" t="s">
        <v>2312</v>
      </c>
      <c r="J738" t="s">
        <v>2226</v>
      </c>
      <c r="K738" t="s">
        <v>171</v>
      </c>
      <c r="L738" t="s">
        <v>96</v>
      </c>
      <c r="M738" t="s">
        <v>73</v>
      </c>
      <c r="R738" t="s">
        <v>4867</v>
      </c>
      <c r="S738" t="s">
        <v>4868</v>
      </c>
      <c r="T738" t="s">
        <v>4869</v>
      </c>
      <c r="U738" t="s">
        <v>599</v>
      </c>
      <c r="V738" t="str">
        <f>"207703626"</f>
        <v>207703626</v>
      </c>
      <c r="AC738" t="s">
        <v>76</v>
      </c>
      <c r="AD738" t="s">
        <v>73</v>
      </c>
      <c r="AE738" t="s">
        <v>97</v>
      </c>
      <c r="AF738" t="s">
        <v>2242</v>
      </c>
      <c r="AG738" t="s">
        <v>78</v>
      </c>
    </row>
    <row r="739" spans="1:33" hidden="1" x14ac:dyDescent="0.25">
      <c r="A739" t="str">
        <f>"1295766970"</f>
        <v>1295766970</v>
      </c>
      <c r="B739" t="str">
        <f>"01825149"</f>
        <v>01825149</v>
      </c>
      <c r="C739" t="s">
        <v>4870</v>
      </c>
      <c r="D739" t="s">
        <v>4871</v>
      </c>
      <c r="E739" t="s">
        <v>4872</v>
      </c>
      <c r="G739" t="s">
        <v>2224</v>
      </c>
      <c r="H739" t="s">
        <v>2312</v>
      </c>
      <c r="J739" t="s">
        <v>2226</v>
      </c>
      <c r="L739" t="s">
        <v>72</v>
      </c>
      <c r="M739" t="s">
        <v>73</v>
      </c>
      <c r="R739" t="s">
        <v>4873</v>
      </c>
      <c r="W739" t="s">
        <v>4874</v>
      </c>
      <c r="X739" t="s">
        <v>170</v>
      </c>
      <c r="Y739" t="s">
        <v>91</v>
      </c>
      <c r="Z739" t="s">
        <v>74</v>
      </c>
      <c r="AA739" t="str">
        <f>"10065-4870"</f>
        <v>10065-4870</v>
      </c>
      <c r="AB739" t="s">
        <v>75</v>
      </c>
      <c r="AC739" t="s">
        <v>76</v>
      </c>
      <c r="AD739" t="s">
        <v>73</v>
      </c>
      <c r="AE739" t="s">
        <v>77</v>
      </c>
      <c r="AF739" t="s">
        <v>2242</v>
      </c>
      <c r="AG739" t="s">
        <v>78</v>
      </c>
    </row>
    <row r="740" spans="1:33" hidden="1" x14ac:dyDescent="0.25">
      <c r="A740" t="str">
        <f>"1831416858"</f>
        <v>1831416858</v>
      </c>
      <c r="B740" t="str">
        <f>"04102250"</f>
        <v>04102250</v>
      </c>
      <c r="C740" t="s">
        <v>4875</v>
      </c>
      <c r="D740" t="s">
        <v>4876</v>
      </c>
      <c r="E740" t="s">
        <v>4877</v>
      </c>
      <c r="G740" t="s">
        <v>2224</v>
      </c>
      <c r="H740" t="s">
        <v>2312</v>
      </c>
      <c r="J740" t="s">
        <v>2226</v>
      </c>
      <c r="L740" t="s">
        <v>80</v>
      </c>
      <c r="M740" t="s">
        <v>73</v>
      </c>
      <c r="R740" t="s">
        <v>4878</v>
      </c>
      <c r="W740" t="s">
        <v>4877</v>
      </c>
      <c r="X740" t="s">
        <v>170</v>
      </c>
      <c r="Y740" t="s">
        <v>91</v>
      </c>
      <c r="Z740" t="s">
        <v>74</v>
      </c>
      <c r="AA740" t="str">
        <f>"10065-4870"</f>
        <v>10065-4870</v>
      </c>
      <c r="AB740" t="s">
        <v>75</v>
      </c>
      <c r="AC740" t="s">
        <v>76</v>
      </c>
      <c r="AD740" t="s">
        <v>73</v>
      </c>
      <c r="AE740" t="s">
        <v>77</v>
      </c>
      <c r="AF740" t="s">
        <v>2242</v>
      </c>
      <c r="AG740" t="s">
        <v>78</v>
      </c>
    </row>
    <row r="741" spans="1:33" hidden="1" x14ac:dyDescent="0.25">
      <c r="A741" t="str">
        <f>"1144451303"</f>
        <v>1144451303</v>
      </c>
      <c r="B741" t="str">
        <f>"04102241"</f>
        <v>04102241</v>
      </c>
      <c r="C741" t="s">
        <v>4879</v>
      </c>
      <c r="D741" t="s">
        <v>4880</v>
      </c>
      <c r="E741" t="s">
        <v>4881</v>
      </c>
      <c r="G741" t="s">
        <v>2224</v>
      </c>
      <c r="H741" t="s">
        <v>2312</v>
      </c>
      <c r="J741" t="s">
        <v>2226</v>
      </c>
      <c r="L741" t="s">
        <v>80</v>
      </c>
      <c r="M741" t="s">
        <v>73</v>
      </c>
      <c r="R741" t="s">
        <v>4881</v>
      </c>
      <c r="W741" t="s">
        <v>4881</v>
      </c>
      <c r="X741" t="s">
        <v>170</v>
      </c>
      <c r="Y741" t="s">
        <v>91</v>
      </c>
      <c r="Z741" t="s">
        <v>74</v>
      </c>
      <c r="AA741" t="str">
        <f>"10065-4870"</f>
        <v>10065-4870</v>
      </c>
      <c r="AB741" t="s">
        <v>75</v>
      </c>
      <c r="AC741" t="s">
        <v>76</v>
      </c>
      <c r="AD741" t="s">
        <v>73</v>
      </c>
      <c r="AE741" t="s">
        <v>77</v>
      </c>
      <c r="AF741" t="s">
        <v>2242</v>
      </c>
      <c r="AG741" t="s">
        <v>78</v>
      </c>
    </row>
    <row r="742" spans="1:33" hidden="1" x14ac:dyDescent="0.25">
      <c r="A742" t="str">
        <f>"1699751685"</f>
        <v>1699751685</v>
      </c>
      <c r="B742" t="str">
        <f>"00954687"</f>
        <v>00954687</v>
      </c>
      <c r="C742" t="s">
        <v>4882</v>
      </c>
      <c r="D742" t="s">
        <v>4883</v>
      </c>
      <c r="E742" t="s">
        <v>4884</v>
      </c>
      <c r="G742" t="s">
        <v>2224</v>
      </c>
      <c r="H742" t="s">
        <v>2225</v>
      </c>
      <c r="J742" t="s">
        <v>2226</v>
      </c>
      <c r="L742" t="s">
        <v>72</v>
      </c>
      <c r="M742" t="s">
        <v>73</v>
      </c>
      <c r="R742" t="s">
        <v>4885</v>
      </c>
      <c r="W742" t="s">
        <v>4886</v>
      </c>
      <c r="X742" t="s">
        <v>1338</v>
      </c>
      <c r="Y742" t="s">
        <v>1339</v>
      </c>
      <c r="Z742" t="s">
        <v>74</v>
      </c>
      <c r="AA742" t="str">
        <f>"10954-1601"</f>
        <v>10954-1601</v>
      </c>
      <c r="AB742" t="s">
        <v>75</v>
      </c>
      <c r="AC742" t="s">
        <v>76</v>
      </c>
      <c r="AD742" t="s">
        <v>73</v>
      </c>
      <c r="AE742" t="s">
        <v>77</v>
      </c>
      <c r="AF742" t="s">
        <v>2254</v>
      </c>
      <c r="AG742" t="s">
        <v>78</v>
      </c>
    </row>
    <row r="743" spans="1:33" hidden="1" x14ac:dyDescent="0.25">
      <c r="A743" t="str">
        <f>"1326073776"</f>
        <v>1326073776</v>
      </c>
      <c r="B743" t="str">
        <f>"01961417"</f>
        <v>01961417</v>
      </c>
      <c r="C743" t="s">
        <v>4887</v>
      </c>
      <c r="D743" t="s">
        <v>4888</v>
      </c>
      <c r="E743" t="s">
        <v>4889</v>
      </c>
      <c r="G743" t="s">
        <v>2224</v>
      </c>
      <c r="H743" t="s">
        <v>2225</v>
      </c>
      <c r="J743" t="s">
        <v>2226</v>
      </c>
      <c r="L743" t="s">
        <v>72</v>
      </c>
      <c r="M743" t="s">
        <v>73</v>
      </c>
      <c r="R743" t="s">
        <v>4890</v>
      </c>
      <c r="W743" t="s">
        <v>4889</v>
      </c>
      <c r="X743" t="s">
        <v>2346</v>
      </c>
      <c r="Y743" t="s">
        <v>91</v>
      </c>
      <c r="Z743" t="s">
        <v>74</v>
      </c>
      <c r="AA743" t="str">
        <f>"10032-3720"</f>
        <v>10032-3720</v>
      </c>
      <c r="AB743" t="s">
        <v>75</v>
      </c>
      <c r="AC743" t="s">
        <v>76</v>
      </c>
      <c r="AD743" t="s">
        <v>73</v>
      </c>
      <c r="AE743" t="s">
        <v>77</v>
      </c>
      <c r="AF743" t="s">
        <v>2228</v>
      </c>
      <c r="AG743" t="s">
        <v>78</v>
      </c>
    </row>
    <row r="744" spans="1:33" hidden="1" x14ac:dyDescent="0.25">
      <c r="A744" t="str">
        <f>"1326079955"</f>
        <v>1326079955</v>
      </c>
      <c r="B744" t="str">
        <f>"03738901"</f>
        <v>03738901</v>
      </c>
      <c r="C744" t="s">
        <v>4891</v>
      </c>
      <c r="D744" t="s">
        <v>4892</v>
      </c>
      <c r="E744" t="s">
        <v>4893</v>
      </c>
      <c r="G744" t="s">
        <v>2224</v>
      </c>
      <c r="H744" t="s">
        <v>2225</v>
      </c>
      <c r="J744" t="s">
        <v>2226</v>
      </c>
      <c r="L744" t="s">
        <v>72</v>
      </c>
      <c r="M744" t="s">
        <v>73</v>
      </c>
      <c r="R744" t="s">
        <v>4894</v>
      </c>
      <c r="W744" t="s">
        <v>4893</v>
      </c>
      <c r="X744" t="s">
        <v>4895</v>
      </c>
      <c r="Y744" t="s">
        <v>91</v>
      </c>
      <c r="Z744" t="s">
        <v>74</v>
      </c>
      <c r="AA744" t="str">
        <f>"10032-0000"</f>
        <v>10032-0000</v>
      </c>
      <c r="AB744" t="s">
        <v>75</v>
      </c>
      <c r="AC744" t="s">
        <v>76</v>
      </c>
      <c r="AD744" t="s">
        <v>73</v>
      </c>
      <c r="AE744" t="s">
        <v>77</v>
      </c>
      <c r="AF744" t="s">
        <v>2254</v>
      </c>
      <c r="AG744" t="s">
        <v>78</v>
      </c>
    </row>
    <row r="745" spans="1:33" hidden="1" x14ac:dyDescent="0.25">
      <c r="A745" t="str">
        <f>"1679714372"</f>
        <v>1679714372</v>
      </c>
      <c r="B745" t="str">
        <f>"03099841"</f>
        <v>03099841</v>
      </c>
      <c r="C745" t="s">
        <v>4896</v>
      </c>
      <c r="D745" t="s">
        <v>4897</v>
      </c>
      <c r="E745" t="s">
        <v>4898</v>
      </c>
      <c r="G745" t="s">
        <v>2224</v>
      </c>
      <c r="H745" t="s">
        <v>2225</v>
      </c>
      <c r="J745" t="s">
        <v>2226</v>
      </c>
      <c r="L745" t="s">
        <v>72</v>
      </c>
      <c r="M745" t="s">
        <v>73</v>
      </c>
      <c r="R745" t="s">
        <v>4899</v>
      </c>
      <c r="W745" t="s">
        <v>4898</v>
      </c>
      <c r="X745" t="s">
        <v>3433</v>
      </c>
      <c r="Y745" t="s">
        <v>91</v>
      </c>
      <c r="Z745" t="s">
        <v>74</v>
      </c>
      <c r="AA745" t="str">
        <f>"10032-4220"</f>
        <v>10032-4220</v>
      </c>
      <c r="AB745" t="s">
        <v>106</v>
      </c>
      <c r="AC745" t="s">
        <v>76</v>
      </c>
      <c r="AD745" t="s">
        <v>73</v>
      </c>
      <c r="AE745" t="s">
        <v>77</v>
      </c>
      <c r="AF745" t="s">
        <v>2254</v>
      </c>
      <c r="AG745" t="s">
        <v>78</v>
      </c>
    </row>
    <row r="746" spans="1:33" hidden="1" x14ac:dyDescent="0.25">
      <c r="A746" t="str">
        <f>"1124091848"</f>
        <v>1124091848</v>
      </c>
      <c r="B746" t="str">
        <f>"01797671"</f>
        <v>01797671</v>
      </c>
      <c r="C746" t="s">
        <v>4900</v>
      </c>
      <c r="D746" t="s">
        <v>4901</v>
      </c>
      <c r="E746" t="s">
        <v>4902</v>
      </c>
      <c r="G746" t="s">
        <v>2224</v>
      </c>
      <c r="H746" t="s">
        <v>2225</v>
      </c>
      <c r="J746" t="s">
        <v>2226</v>
      </c>
      <c r="L746" t="s">
        <v>88</v>
      </c>
      <c r="M746" t="s">
        <v>73</v>
      </c>
      <c r="R746" t="s">
        <v>4903</v>
      </c>
      <c r="W746" t="s">
        <v>4902</v>
      </c>
      <c r="X746" t="s">
        <v>2099</v>
      </c>
      <c r="Y746" t="s">
        <v>91</v>
      </c>
      <c r="Z746" t="s">
        <v>74</v>
      </c>
      <c r="AA746" t="str">
        <f>"10019-1147"</f>
        <v>10019-1147</v>
      </c>
      <c r="AB746" t="s">
        <v>75</v>
      </c>
      <c r="AC746" t="s">
        <v>76</v>
      </c>
      <c r="AD746" t="s">
        <v>73</v>
      </c>
      <c r="AE746" t="s">
        <v>77</v>
      </c>
      <c r="AF746" t="s">
        <v>2254</v>
      </c>
      <c r="AG746" t="s">
        <v>78</v>
      </c>
    </row>
    <row r="747" spans="1:33" hidden="1" x14ac:dyDescent="0.25">
      <c r="A747" t="str">
        <f>"1417049297"</f>
        <v>1417049297</v>
      </c>
      <c r="B747" t="str">
        <f>"00509339"</f>
        <v>00509339</v>
      </c>
      <c r="C747" t="s">
        <v>4904</v>
      </c>
      <c r="D747" t="s">
        <v>4905</v>
      </c>
      <c r="E747" t="s">
        <v>4906</v>
      </c>
      <c r="G747" t="s">
        <v>2224</v>
      </c>
      <c r="H747" t="s">
        <v>2225</v>
      </c>
      <c r="J747" t="s">
        <v>2226</v>
      </c>
      <c r="L747" t="s">
        <v>72</v>
      </c>
      <c r="M747" t="s">
        <v>73</v>
      </c>
      <c r="R747" t="s">
        <v>4907</v>
      </c>
      <c r="W747" t="s">
        <v>4906</v>
      </c>
      <c r="X747" t="s">
        <v>4908</v>
      </c>
      <c r="Y747" t="s">
        <v>1150</v>
      </c>
      <c r="Z747" t="s">
        <v>74</v>
      </c>
      <c r="AA747" t="str">
        <f>"10708-7066"</f>
        <v>10708-7066</v>
      </c>
      <c r="AB747" t="s">
        <v>75</v>
      </c>
      <c r="AC747" t="s">
        <v>76</v>
      </c>
      <c r="AD747" t="s">
        <v>73</v>
      </c>
      <c r="AE747" t="s">
        <v>77</v>
      </c>
      <c r="AF747" t="s">
        <v>2228</v>
      </c>
      <c r="AG747" t="s">
        <v>78</v>
      </c>
    </row>
    <row r="748" spans="1:33" hidden="1" x14ac:dyDescent="0.25">
      <c r="A748" t="str">
        <f>"1699105346"</f>
        <v>1699105346</v>
      </c>
      <c r="B748" t="str">
        <f>"03806315"</f>
        <v>03806315</v>
      </c>
      <c r="C748" t="s">
        <v>4909</v>
      </c>
      <c r="D748" t="s">
        <v>452</v>
      </c>
      <c r="E748" t="s">
        <v>451</v>
      </c>
      <c r="G748" t="s">
        <v>282</v>
      </c>
      <c r="H748" t="s">
        <v>248</v>
      </c>
      <c r="I748">
        <v>2604</v>
      </c>
      <c r="J748" t="s">
        <v>283</v>
      </c>
      <c r="L748" t="s">
        <v>80</v>
      </c>
      <c r="M748" t="s">
        <v>73</v>
      </c>
      <c r="R748" t="s">
        <v>451</v>
      </c>
      <c r="W748" t="s">
        <v>451</v>
      </c>
      <c r="X748" t="s">
        <v>249</v>
      </c>
      <c r="Y748" t="s">
        <v>91</v>
      </c>
      <c r="Z748" t="s">
        <v>74</v>
      </c>
      <c r="AA748" t="str">
        <f>"10013-3599"</f>
        <v>10013-3599</v>
      </c>
      <c r="AB748" t="s">
        <v>107</v>
      </c>
      <c r="AC748" t="s">
        <v>76</v>
      </c>
      <c r="AD748" t="s">
        <v>73</v>
      </c>
      <c r="AE748" t="s">
        <v>77</v>
      </c>
      <c r="AF748" t="s">
        <v>2319</v>
      </c>
      <c r="AG748" t="s">
        <v>78</v>
      </c>
    </row>
    <row r="749" spans="1:33" hidden="1" x14ac:dyDescent="0.25">
      <c r="A749" t="str">
        <f>"1780912824"</f>
        <v>1780912824</v>
      </c>
      <c r="B749" t="str">
        <f>"03173920"</f>
        <v>03173920</v>
      </c>
      <c r="C749" t="s">
        <v>4910</v>
      </c>
      <c r="D749" t="s">
        <v>4911</v>
      </c>
      <c r="E749" t="s">
        <v>4912</v>
      </c>
      <c r="G749" t="s">
        <v>282</v>
      </c>
      <c r="H749" t="s">
        <v>248</v>
      </c>
      <c r="I749">
        <v>2604</v>
      </c>
      <c r="J749" t="s">
        <v>283</v>
      </c>
      <c r="L749" t="s">
        <v>80</v>
      </c>
      <c r="M749" t="s">
        <v>82</v>
      </c>
      <c r="R749" t="s">
        <v>4912</v>
      </c>
      <c r="W749" t="s">
        <v>4912</v>
      </c>
      <c r="X749" t="s">
        <v>83</v>
      </c>
      <c r="Y749" t="s">
        <v>84</v>
      </c>
      <c r="Z749" t="s">
        <v>74</v>
      </c>
      <c r="AA749" t="str">
        <f>"11220-2559"</f>
        <v>11220-2559</v>
      </c>
      <c r="AB749" t="s">
        <v>107</v>
      </c>
      <c r="AC749" t="s">
        <v>76</v>
      </c>
      <c r="AD749" t="s">
        <v>73</v>
      </c>
      <c r="AE749" t="s">
        <v>77</v>
      </c>
      <c r="AF749" t="s">
        <v>2319</v>
      </c>
      <c r="AG749" t="s">
        <v>78</v>
      </c>
    </row>
    <row r="750" spans="1:33" hidden="1" x14ac:dyDescent="0.25">
      <c r="A750" t="str">
        <f>"1720077506"</f>
        <v>1720077506</v>
      </c>
      <c r="B750" t="str">
        <f>"01886135"</f>
        <v>01886135</v>
      </c>
      <c r="C750" t="s">
        <v>4913</v>
      </c>
      <c r="D750" t="s">
        <v>4914</v>
      </c>
      <c r="E750" t="s">
        <v>4915</v>
      </c>
      <c r="G750" t="s">
        <v>282</v>
      </c>
      <c r="H750" t="s">
        <v>248</v>
      </c>
      <c r="I750">
        <v>2604</v>
      </c>
      <c r="J750" t="s">
        <v>283</v>
      </c>
      <c r="L750" t="s">
        <v>81</v>
      </c>
      <c r="M750" t="s">
        <v>82</v>
      </c>
      <c r="R750" t="s">
        <v>4915</v>
      </c>
      <c r="W750" t="s">
        <v>4915</v>
      </c>
      <c r="X750" t="s">
        <v>2121</v>
      </c>
      <c r="Y750" t="s">
        <v>91</v>
      </c>
      <c r="Z750" t="s">
        <v>74</v>
      </c>
      <c r="AA750" t="str">
        <f>"10013-4135"</f>
        <v>10013-4135</v>
      </c>
      <c r="AB750" t="s">
        <v>75</v>
      </c>
      <c r="AC750" t="s">
        <v>76</v>
      </c>
      <c r="AD750" t="s">
        <v>73</v>
      </c>
      <c r="AE750" t="s">
        <v>77</v>
      </c>
      <c r="AF750" t="s">
        <v>2319</v>
      </c>
      <c r="AG750" t="s">
        <v>78</v>
      </c>
    </row>
    <row r="751" spans="1:33" hidden="1" x14ac:dyDescent="0.25">
      <c r="A751" t="str">
        <f>"1275620361"</f>
        <v>1275620361</v>
      </c>
      <c r="B751" t="str">
        <f>"02727402"</f>
        <v>02727402</v>
      </c>
      <c r="C751" t="s">
        <v>4916</v>
      </c>
      <c r="D751" t="s">
        <v>2038</v>
      </c>
      <c r="E751" t="s">
        <v>2039</v>
      </c>
      <c r="G751" t="s">
        <v>2224</v>
      </c>
      <c r="H751" t="s">
        <v>2225</v>
      </c>
      <c r="J751" t="s">
        <v>2226</v>
      </c>
      <c r="L751" t="s">
        <v>80</v>
      </c>
      <c r="M751" t="s">
        <v>73</v>
      </c>
      <c r="R751" t="s">
        <v>2040</v>
      </c>
      <c r="W751" t="s">
        <v>2040</v>
      </c>
      <c r="X751" t="s">
        <v>2041</v>
      </c>
      <c r="Y751" t="s">
        <v>91</v>
      </c>
      <c r="Z751" t="s">
        <v>74</v>
      </c>
      <c r="AA751" t="str">
        <f>"10065-4870"</f>
        <v>10065-4870</v>
      </c>
      <c r="AB751" t="s">
        <v>75</v>
      </c>
      <c r="AC751" t="s">
        <v>76</v>
      </c>
      <c r="AD751" t="s">
        <v>73</v>
      </c>
      <c r="AE751" t="s">
        <v>77</v>
      </c>
      <c r="AF751" t="s">
        <v>2242</v>
      </c>
      <c r="AG751" t="s">
        <v>78</v>
      </c>
    </row>
    <row r="752" spans="1:33" hidden="1" x14ac:dyDescent="0.25">
      <c r="A752" t="str">
        <f>"1659539088"</f>
        <v>1659539088</v>
      </c>
      <c r="B752" t="str">
        <f>"03407150"</f>
        <v>03407150</v>
      </c>
      <c r="C752" t="s">
        <v>4917</v>
      </c>
      <c r="D752" t="s">
        <v>4918</v>
      </c>
      <c r="E752" t="s">
        <v>4919</v>
      </c>
      <c r="G752" t="s">
        <v>2224</v>
      </c>
      <c r="H752" t="s">
        <v>4920</v>
      </c>
      <c r="J752" t="s">
        <v>2226</v>
      </c>
      <c r="L752" t="s">
        <v>72</v>
      </c>
      <c r="M752" t="s">
        <v>82</v>
      </c>
      <c r="R752" t="s">
        <v>4921</v>
      </c>
      <c r="W752" t="s">
        <v>4922</v>
      </c>
      <c r="X752" t="s">
        <v>4923</v>
      </c>
      <c r="Y752" t="s">
        <v>91</v>
      </c>
      <c r="Z752" t="s">
        <v>74</v>
      </c>
      <c r="AA752" t="str">
        <f>"10032-0001"</f>
        <v>10032-0001</v>
      </c>
      <c r="AB752" t="s">
        <v>75</v>
      </c>
      <c r="AC752" t="s">
        <v>76</v>
      </c>
      <c r="AD752" t="s">
        <v>73</v>
      </c>
      <c r="AE752" t="s">
        <v>77</v>
      </c>
      <c r="AF752" t="s">
        <v>2228</v>
      </c>
      <c r="AG752" t="s">
        <v>78</v>
      </c>
    </row>
    <row r="753" spans="1:33" hidden="1" x14ac:dyDescent="0.25">
      <c r="A753" t="str">
        <f>"1962463729"</f>
        <v>1962463729</v>
      </c>
      <c r="B753" t="str">
        <f>"02313064"</f>
        <v>02313064</v>
      </c>
      <c r="C753" t="s">
        <v>4924</v>
      </c>
      <c r="D753" t="s">
        <v>4925</v>
      </c>
      <c r="E753" t="s">
        <v>4926</v>
      </c>
      <c r="G753" t="s">
        <v>2224</v>
      </c>
      <c r="H753" t="s">
        <v>2225</v>
      </c>
      <c r="J753" t="s">
        <v>2226</v>
      </c>
      <c r="L753" t="s">
        <v>81</v>
      </c>
      <c r="M753" t="s">
        <v>82</v>
      </c>
      <c r="R753" t="s">
        <v>4927</v>
      </c>
      <c r="W753" t="s">
        <v>4926</v>
      </c>
      <c r="X753" t="s">
        <v>1713</v>
      </c>
      <c r="Y753" t="s">
        <v>91</v>
      </c>
      <c r="Z753" t="s">
        <v>74</v>
      </c>
      <c r="AA753" t="str">
        <f>"10032-3720"</f>
        <v>10032-3720</v>
      </c>
      <c r="AB753" t="s">
        <v>75</v>
      </c>
      <c r="AC753" t="s">
        <v>76</v>
      </c>
      <c r="AD753" t="s">
        <v>73</v>
      </c>
      <c r="AE753" t="s">
        <v>77</v>
      </c>
      <c r="AF753" t="s">
        <v>2228</v>
      </c>
      <c r="AG753" t="s">
        <v>78</v>
      </c>
    </row>
    <row r="754" spans="1:33" hidden="1" x14ac:dyDescent="0.25">
      <c r="A754" t="str">
        <f>"1720165400"</f>
        <v>1720165400</v>
      </c>
      <c r="B754" t="str">
        <f>"01365879"</f>
        <v>01365879</v>
      </c>
      <c r="C754" t="s">
        <v>4928</v>
      </c>
      <c r="D754" t="s">
        <v>4929</v>
      </c>
      <c r="E754" t="s">
        <v>4930</v>
      </c>
      <c r="G754" t="s">
        <v>2224</v>
      </c>
      <c r="H754" t="s">
        <v>2225</v>
      </c>
      <c r="J754" t="s">
        <v>2226</v>
      </c>
      <c r="L754" t="s">
        <v>80</v>
      </c>
      <c r="M754" t="s">
        <v>73</v>
      </c>
      <c r="R754" t="s">
        <v>4931</v>
      </c>
      <c r="W754" t="s">
        <v>4930</v>
      </c>
      <c r="X754" t="s">
        <v>1462</v>
      </c>
      <c r="Y754" t="s">
        <v>91</v>
      </c>
      <c r="Z754" t="s">
        <v>74</v>
      </c>
      <c r="AA754" t="str">
        <f>"10032-3720"</f>
        <v>10032-3720</v>
      </c>
      <c r="AB754" t="s">
        <v>75</v>
      </c>
      <c r="AC754" t="s">
        <v>76</v>
      </c>
      <c r="AD754" t="s">
        <v>73</v>
      </c>
      <c r="AE754" t="s">
        <v>77</v>
      </c>
      <c r="AF754" t="s">
        <v>2254</v>
      </c>
      <c r="AG754" t="s">
        <v>78</v>
      </c>
    </row>
    <row r="755" spans="1:33" hidden="1" x14ac:dyDescent="0.25">
      <c r="A755" t="str">
        <f>"1639145519"</f>
        <v>1639145519</v>
      </c>
      <c r="B755" t="str">
        <f>"02885367"</f>
        <v>02885367</v>
      </c>
      <c r="C755" t="s">
        <v>4932</v>
      </c>
      <c r="D755" t="s">
        <v>4933</v>
      </c>
      <c r="E755" t="s">
        <v>4934</v>
      </c>
      <c r="G755" t="s">
        <v>2224</v>
      </c>
      <c r="H755" t="s">
        <v>2225</v>
      </c>
      <c r="J755" t="s">
        <v>2226</v>
      </c>
      <c r="L755" t="s">
        <v>72</v>
      </c>
      <c r="M755" t="s">
        <v>73</v>
      </c>
      <c r="R755" t="s">
        <v>4935</v>
      </c>
      <c r="W755" t="s">
        <v>4934</v>
      </c>
      <c r="X755" t="s">
        <v>4332</v>
      </c>
      <c r="Y755" t="s">
        <v>91</v>
      </c>
      <c r="Z755" t="s">
        <v>74</v>
      </c>
      <c r="AA755" t="str">
        <f>"10032"</f>
        <v>10032</v>
      </c>
      <c r="AB755" t="s">
        <v>75</v>
      </c>
      <c r="AC755" t="s">
        <v>76</v>
      </c>
      <c r="AD755" t="s">
        <v>73</v>
      </c>
      <c r="AE755" t="s">
        <v>77</v>
      </c>
      <c r="AF755" t="s">
        <v>2254</v>
      </c>
      <c r="AG755" t="s">
        <v>78</v>
      </c>
    </row>
    <row r="756" spans="1:33" hidden="1" x14ac:dyDescent="0.25">
      <c r="A756" t="str">
        <f>"1114094315"</f>
        <v>1114094315</v>
      </c>
      <c r="B756" t="str">
        <f>"01845087"</f>
        <v>01845087</v>
      </c>
      <c r="C756" t="s">
        <v>4936</v>
      </c>
      <c r="D756" t="s">
        <v>4937</v>
      </c>
      <c r="E756" t="s">
        <v>4938</v>
      </c>
      <c r="G756" t="s">
        <v>2224</v>
      </c>
      <c r="H756" t="s">
        <v>2225</v>
      </c>
      <c r="J756" t="s">
        <v>2226</v>
      </c>
      <c r="L756" t="s">
        <v>88</v>
      </c>
      <c r="M756" t="s">
        <v>73</v>
      </c>
      <c r="R756" t="s">
        <v>4939</v>
      </c>
      <c r="W756" t="s">
        <v>4938</v>
      </c>
      <c r="X756" t="s">
        <v>222</v>
      </c>
      <c r="Y756" t="s">
        <v>91</v>
      </c>
      <c r="Z756" t="s">
        <v>74</v>
      </c>
      <c r="AA756" t="str">
        <f>"10016-9196"</f>
        <v>10016-9196</v>
      </c>
      <c r="AB756" t="s">
        <v>75</v>
      </c>
      <c r="AC756" t="s">
        <v>76</v>
      </c>
      <c r="AD756" t="s">
        <v>73</v>
      </c>
      <c r="AE756" t="s">
        <v>77</v>
      </c>
      <c r="AF756" t="s">
        <v>2242</v>
      </c>
      <c r="AG756" t="s">
        <v>78</v>
      </c>
    </row>
    <row r="757" spans="1:33" hidden="1" x14ac:dyDescent="0.25">
      <c r="A757" t="str">
        <f>"1114142916"</f>
        <v>1114142916</v>
      </c>
      <c r="B757" t="str">
        <f>"03059510"</f>
        <v>03059510</v>
      </c>
      <c r="C757" t="s">
        <v>4940</v>
      </c>
      <c r="D757" t="s">
        <v>4941</v>
      </c>
      <c r="E757" t="s">
        <v>4942</v>
      </c>
      <c r="G757" t="s">
        <v>2224</v>
      </c>
      <c r="H757" t="s">
        <v>2225</v>
      </c>
      <c r="J757" t="s">
        <v>2226</v>
      </c>
      <c r="L757" t="s">
        <v>72</v>
      </c>
      <c r="M757" t="s">
        <v>73</v>
      </c>
      <c r="R757" t="s">
        <v>4942</v>
      </c>
      <c r="W757" t="s">
        <v>4942</v>
      </c>
      <c r="X757" t="s">
        <v>4943</v>
      </c>
      <c r="Y757" t="s">
        <v>91</v>
      </c>
      <c r="Z757" t="s">
        <v>74</v>
      </c>
      <c r="AA757" t="str">
        <f>"10075-2304"</f>
        <v>10075-2304</v>
      </c>
      <c r="AB757" t="s">
        <v>75</v>
      </c>
      <c r="AC757" t="s">
        <v>76</v>
      </c>
      <c r="AD757" t="s">
        <v>73</v>
      </c>
      <c r="AE757" t="s">
        <v>77</v>
      </c>
      <c r="AF757" t="s">
        <v>2398</v>
      </c>
      <c r="AG757" t="s">
        <v>78</v>
      </c>
    </row>
    <row r="758" spans="1:33" hidden="1" x14ac:dyDescent="0.25">
      <c r="A758" t="str">
        <f>"1134202864"</f>
        <v>1134202864</v>
      </c>
      <c r="B758" t="str">
        <f>"02746463"</f>
        <v>02746463</v>
      </c>
      <c r="C758" t="s">
        <v>4944</v>
      </c>
      <c r="D758" t="s">
        <v>4945</v>
      </c>
      <c r="E758" t="s">
        <v>4946</v>
      </c>
      <c r="G758" t="s">
        <v>2224</v>
      </c>
      <c r="H758" t="s">
        <v>2225</v>
      </c>
      <c r="J758" t="s">
        <v>2226</v>
      </c>
      <c r="L758" t="s">
        <v>81</v>
      </c>
      <c r="M758" t="s">
        <v>82</v>
      </c>
      <c r="R758" t="s">
        <v>4947</v>
      </c>
      <c r="W758" t="s">
        <v>4946</v>
      </c>
      <c r="X758" t="s">
        <v>4948</v>
      </c>
      <c r="Y758" t="s">
        <v>91</v>
      </c>
      <c r="Z758" t="s">
        <v>74</v>
      </c>
      <c r="AA758" t="str">
        <f>"10033-5002"</f>
        <v>10033-5002</v>
      </c>
      <c r="AB758" t="s">
        <v>75</v>
      </c>
      <c r="AC758" t="s">
        <v>76</v>
      </c>
      <c r="AD758" t="s">
        <v>73</v>
      </c>
      <c r="AE758" t="s">
        <v>77</v>
      </c>
      <c r="AF758" t="s">
        <v>2254</v>
      </c>
      <c r="AG758" t="s">
        <v>78</v>
      </c>
    </row>
    <row r="759" spans="1:33" hidden="1" x14ac:dyDescent="0.25">
      <c r="A759" t="str">
        <f>"1134216229"</f>
        <v>1134216229</v>
      </c>
      <c r="B759" t="str">
        <f>"01655009"</f>
        <v>01655009</v>
      </c>
      <c r="C759" t="s">
        <v>4949</v>
      </c>
      <c r="D759" t="s">
        <v>4950</v>
      </c>
      <c r="E759" t="s">
        <v>4951</v>
      </c>
      <c r="G759" t="s">
        <v>2224</v>
      </c>
      <c r="H759" t="s">
        <v>2225</v>
      </c>
      <c r="J759" t="s">
        <v>2226</v>
      </c>
      <c r="L759" t="s">
        <v>81</v>
      </c>
      <c r="M759" t="s">
        <v>82</v>
      </c>
      <c r="R759" t="s">
        <v>4952</v>
      </c>
      <c r="W759" t="s">
        <v>4951</v>
      </c>
      <c r="X759" t="s">
        <v>170</v>
      </c>
      <c r="Y759" t="s">
        <v>91</v>
      </c>
      <c r="Z759" t="s">
        <v>74</v>
      </c>
      <c r="AA759" t="str">
        <f>"10065-4870"</f>
        <v>10065-4870</v>
      </c>
      <c r="AB759" t="s">
        <v>75</v>
      </c>
      <c r="AC759" t="s">
        <v>76</v>
      </c>
      <c r="AD759" t="s">
        <v>73</v>
      </c>
      <c r="AE759" t="s">
        <v>77</v>
      </c>
      <c r="AF759" t="s">
        <v>2398</v>
      </c>
      <c r="AG759" t="s">
        <v>78</v>
      </c>
    </row>
    <row r="760" spans="1:33" hidden="1" x14ac:dyDescent="0.25">
      <c r="A760" t="str">
        <f>"1528158797"</f>
        <v>1528158797</v>
      </c>
      <c r="B760" t="str">
        <f>"01013941"</f>
        <v>01013941</v>
      </c>
      <c r="C760" t="s">
        <v>4953</v>
      </c>
      <c r="D760" t="s">
        <v>4954</v>
      </c>
      <c r="E760" t="s">
        <v>4955</v>
      </c>
      <c r="G760" t="s">
        <v>2224</v>
      </c>
      <c r="H760" t="s">
        <v>2225</v>
      </c>
      <c r="J760" t="s">
        <v>2226</v>
      </c>
      <c r="L760" t="s">
        <v>72</v>
      </c>
      <c r="M760" t="s">
        <v>73</v>
      </c>
      <c r="R760" t="s">
        <v>4956</v>
      </c>
      <c r="W760" t="s">
        <v>4955</v>
      </c>
      <c r="X760" t="s">
        <v>1430</v>
      </c>
      <c r="Y760" t="s">
        <v>598</v>
      </c>
      <c r="Z760" t="s">
        <v>599</v>
      </c>
      <c r="AA760" t="str">
        <f>"21205"</f>
        <v>21205</v>
      </c>
      <c r="AB760" t="s">
        <v>75</v>
      </c>
      <c r="AC760" t="s">
        <v>76</v>
      </c>
      <c r="AD760" t="s">
        <v>73</v>
      </c>
      <c r="AE760" t="s">
        <v>77</v>
      </c>
      <c r="AF760" t="s">
        <v>2242</v>
      </c>
      <c r="AG760" t="s">
        <v>78</v>
      </c>
    </row>
    <row r="761" spans="1:33" hidden="1" x14ac:dyDescent="0.25">
      <c r="A761" t="str">
        <f>"1528212511"</f>
        <v>1528212511</v>
      </c>
      <c r="B761" t="str">
        <f>"03205516"</f>
        <v>03205516</v>
      </c>
      <c r="C761" t="s">
        <v>4957</v>
      </c>
      <c r="D761" t="s">
        <v>4958</v>
      </c>
      <c r="E761" t="s">
        <v>4959</v>
      </c>
      <c r="G761" t="s">
        <v>2224</v>
      </c>
      <c r="H761" t="s">
        <v>2225</v>
      </c>
      <c r="J761" t="s">
        <v>2226</v>
      </c>
      <c r="L761" t="s">
        <v>80</v>
      </c>
      <c r="M761" t="s">
        <v>73</v>
      </c>
      <c r="R761" t="s">
        <v>4960</v>
      </c>
      <c r="W761" t="s">
        <v>4959</v>
      </c>
      <c r="X761" t="s">
        <v>4961</v>
      </c>
      <c r="Y761" t="s">
        <v>91</v>
      </c>
      <c r="Z761" t="s">
        <v>74</v>
      </c>
      <c r="AA761" t="str">
        <f>"10034-0001"</f>
        <v>10034-0001</v>
      </c>
      <c r="AB761" t="s">
        <v>75</v>
      </c>
      <c r="AC761" t="s">
        <v>76</v>
      </c>
      <c r="AD761" t="s">
        <v>73</v>
      </c>
      <c r="AE761" t="s">
        <v>77</v>
      </c>
      <c r="AF761" t="s">
        <v>2228</v>
      </c>
      <c r="AG761" t="s">
        <v>78</v>
      </c>
    </row>
    <row r="762" spans="1:33" hidden="1" x14ac:dyDescent="0.25">
      <c r="A762" t="str">
        <f>"1528228756"</f>
        <v>1528228756</v>
      </c>
      <c r="B762" t="str">
        <f>"03491545"</f>
        <v>03491545</v>
      </c>
      <c r="C762" t="s">
        <v>4962</v>
      </c>
      <c r="D762" t="s">
        <v>4963</v>
      </c>
      <c r="E762" t="s">
        <v>4964</v>
      </c>
      <c r="G762" t="s">
        <v>2224</v>
      </c>
      <c r="H762" t="s">
        <v>2225</v>
      </c>
      <c r="J762" t="s">
        <v>2226</v>
      </c>
      <c r="L762" t="s">
        <v>80</v>
      </c>
      <c r="M762" t="s">
        <v>73</v>
      </c>
      <c r="R762" t="s">
        <v>4965</v>
      </c>
      <c r="W762" t="s">
        <v>4964</v>
      </c>
      <c r="X762" t="s">
        <v>1939</v>
      </c>
      <c r="Y762" t="s">
        <v>126</v>
      </c>
      <c r="Z762" t="s">
        <v>74</v>
      </c>
      <c r="AA762" t="str">
        <f>"11772-1281"</f>
        <v>11772-1281</v>
      </c>
      <c r="AB762" t="s">
        <v>75</v>
      </c>
      <c r="AC762" t="s">
        <v>76</v>
      </c>
      <c r="AD762" t="s">
        <v>73</v>
      </c>
      <c r="AE762" t="s">
        <v>77</v>
      </c>
      <c r="AF762" t="s">
        <v>2242</v>
      </c>
      <c r="AG762" t="s">
        <v>78</v>
      </c>
    </row>
    <row r="763" spans="1:33" hidden="1" x14ac:dyDescent="0.25">
      <c r="A763" t="str">
        <f>"1104252063"</f>
        <v>1104252063</v>
      </c>
      <c r="C763" t="s">
        <v>4966</v>
      </c>
      <c r="G763" t="s">
        <v>2514</v>
      </c>
      <c r="H763" t="s">
        <v>4967</v>
      </c>
      <c r="J763" t="s">
        <v>2516</v>
      </c>
      <c r="K763" t="s">
        <v>507</v>
      </c>
      <c r="L763" t="s">
        <v>96</v>
      </c>
      <c r="M763" t="s">
        <v>73</v>
      </c>
      <c r="R763" t="s">
        <v>4968</v>
      </c>
      <c r="S763" t="s">
        <v>1929</v>
      </c>
      <c r="T763" t="s">
        <v>91</v>
      </c>
      <c r="U763" t="s">
        <v>74</v>
      </c>
      <c r="V763" t="str">
        <f>"100324207"</f>
        <v>100324207</v>
      </c>
      <c r="AC763" t="s">
        <v>76</v>
      </c>
      <c r="AD763" t="s">
        <v>73</v>
      </c>
      <c r="AE763" t="s">
        <v>97</v>
      </c>
      <c r="AF763" t="s">
        <v>2518</v>
      </c>
      <c r="AG763" t="s">
        <v>78</v>
      </c>
    </row>
    <row r="764" spans="1:33" hidden="1" x14ac:dyDescent="0.25">
      <c r="C764" t="s">
        <v>4969</v>
      </c>
      <c r="G764" t="s">
        <v>2514</v>
      </c>
      <c r="H764" t="s">
        <v>4970</v>
      </c>
      <c r="J764" t="s">
        <v>2516</v>
      </c>
      <c r="K764" t="s">
        <v>507</v>
      </c>
      <c r="L764" t="s">
        <v>94</v>
      </c>
      <c r="M764" t="s">
        <v>73</v>
      </c>
      <c r="AC764" t="s">
        <v>76</v>
      </c>
      <c r="AD764" t="s">
        <v>73</v>
      </c>
      <c r="AE764" t="s">
        <v>95</v>
      </c>
      <c r="AF764" t="s">
        <v>2518</v>
      </c>
      <c r="AG764" t="s">
        <v>78</v>
      </c>
    </row>
    <row r="765" spans="1:33" hidden="1" x14ac:dyDescent="0.25">
      <c r="A765" t="str">
        <f>"1659455335"</f>
        <v>1659455335</v>
      </c>
      <c r="B765" t="str">
        <f>"02676460"</f>
        <v>02676460</v>
      </c>
      <c r="C765" t="s">
        <v>4971</v>
      </c>
      <c r="D765" t="s">
        <v>4972</v>
      </c>
      <c r="E765" t="s">
        <v>4973</v>
      </c>
      <c r="G765" t="s">
        <v>2224</v>
      </c>
      <c r="H765" t="s">
        <v>2225</v>
      </c>
      <c r="J765" t="s">
        <v>2226</v>
      </c>
      <c r="L765" t="s">
        <v>80</v>
      </c>
      <c r="M765" t="s">
        <v>73</v>
      </c>
      <c r="R765" t="s">
        <v>4974</v>
      </c>
      <c r="W765" t="s">
        <v>4973</v>
      </c>
      <c r="X765" t="s">
        <v>167</v>
      </c>
      <c r="Y765" t="s">
        <v>91</v>
      </c>
      <c r="Z765" t="s">
        <v>74</v>
      </c>
      <c r="AA765" t="str">
        <f>"10032-3720"</f>
        <v>10032-3720</v>
      </c>
      <c r="AB765" t="s">
        <v>75</v>
      </c>
      <c r="AC765" t="s">
        <v>76</v>
      </c>
      <c r="AD765" t="s">
        <v>73</v>
      </c>
      <c r="AE765" t="s">
        <v>77</v>
      </c>
      <c r="AF765" t="s">
        <v>2228</v>
      </c>
      <c r="AG765" t="s">
        <v>78</v>
      </c>
    </row>
    <row r="766" spans="1:33" hidden="1" x14ac:dyDescent="0.25">
      <c r="A766" t="str">
        <f>"1255639605"</f>
        <v>1255639605</v>
      </c>
      <c r="B766" t="str">
        <f>"03887134"</f>
        <v>03887134</v>
      </c>
      <c r="C766" t="s">
        <v>4975</v>
      </c>
      <c r="D766" t="s">
        <v>4976</v>
      </c>
      <c r="E766" t="s">
        <v>4977</v>
      </c>
      <c r="G766" t="s">
        <v>2224</v>
      </c>
      <c r="H766" t="s">
        <v>2225</v>
      </c>
      <c r="J766" t="s">
        <v>2226</v>
      </c>
      <c r="L766" t="s">
        <v>80</v>
      </c>
      <c r="M766" t="s">
        <v>73</v>
      </c>
      <c r="R766" t="s">
        <v>4978</v>
      </c>
      <c r="W766" t="s">
        <v>4979</v>
      </c>
      <c r="X766" t="s">
        <v>309</v>
      </c>
      <c r="Y766" t="s">
        <v>91</v>
      </c>
      <c r="Z766" t="s">
        <v>74</v>
      </c>
      <c r="AA766" t="str">
        <f>"10032-3724"</f>
        <v>10032-3724</v>
      </c>
      <c r="AB766" t="s">
        <v>75</v>
      </c>
      <c r="AC766" t="s">
        <v>76</v>
      </c>
      <c r="AD766" t="s">
        <v>73</v>
      </c>
      <c r="AE766" t="s">
        <v>77</v>
      </c>
      <c r="AF766" t="s">
        <v>2254</v>
      </c>
      <c r="AG766" t="s">
        <v>78</v>
      </c>
    </row>
    <row r="767" spans="1:33" hidden="1" x14ac:dyDescent="0.25">
      <c r="A767" t="str">
        <f>"1265461115"</f>
        <v>1265461115</v>
      </c>
      <c r="B767" t="str">
        <f>"02416104"</f>
        <v>02416104</v>
      </c>
      <c r="C767" t="s">
        <v>4980</v>
      </c>
      <c r="D767" t="s">
        <v>4981</v>
      </c>
      <c r="E767" t="s">
        <v>4982</v>
      </c>
      <c r="G767" t="s">
        <v>2224</v>
      </c>
      <c r="H767" t="s">
        <v>2225</v>
      </c>
      <c r="J767" t="s">
        <v>2226</v>
      </c>
      <c r="L767" t="s">
        <v>80</v>
      </c>
      <c r="M767" t="s">
        <v>73</v>
      </c>
      <c r="R767" t="s">
        <v>4983</v>
      </c>
      <c r="W767" t="s">
        <v>4982</v>
      </c>
      <c r="X767" t="s">
        <v>4984</v>
      </c>
      <c r="Y767" t="s">
        <v>91</v>
      </c>
      <c r="Z767" t="s">
        <v>74</v>
      </c>
      <c r="AA767" t="str">
        <f>"10032-3720"</f>
        <v>10032-3720</v>
      </c>
      <c r="AB767" t="s">
        <v>75</v>
      </c>
      <c r="AC767" t="s">
        <v>76</v>
      </c>
      <c r="AD767" t="s">
        <v>73</v>
      </c>
      <c r="AE767" t="s">
        <v>77</v>
      </c>
      <c r="AF767" t="s">
        <v>2254</v>
      </c>
      <c r="AG767" t="s">
        <v>78</v>
      </c>
    </row>
    <row r="768" spans="1:33" hidden="1" x14ac:dyDescent="0.25">
      <c r="A768" t="str">
        <f>"1649439266"</f>
        <v>1649439266</v>
      </c>
      <c r="B768" t="str">
        <f>"03624251"</f>
        <v>03624251</v>
      </c>
      <c r="C768" t="s">
        <v>4985</v>
      </c>
      <c r="D768" t="s">
        <v>4986</v>
      </c>
      <c r="E768" t="s">
        <v>4987</v>
      </c>
      <c r="G768" t="s">
        <v>2224</v>
      </c>
      <c r="H768" t="s">
        <v>2225</v>
      </c>
      <c r="J768" t="s">
        <v>2226</v>
      </c>
      <c r="L768" t="s">
        <v>80</v>
      </c>
      <c r="M768" t="s">
        <v>73</v>
      </c>
      <c r="R768" t="s">
        <v>4988</v>
      </c>
      <c r="W768" t="s">
        <v>4987</v>
      </c>
      <c r="X768" t="s">
        <v>1583</v>
      </c>
      <c r="Y768" t="s">
        <v>91</v>
      </c>
      <c r="Z768" t="s">
        <v>74</v>
      </c>
      <c r="AA768" t="str">
        <f>"10021-9800"</f>
        <v>10021-9800</v>
      </c>
      <c r="AB768" t="s">
        <v>75</v>
      </c>
      <c r="AC768" t="s">
        <v>76</v>
      </c>
      <c r="AD768" t="s">
        <v>73</v>
      </c>
      <c r="AE768" t="s">
        <v>77</v>
      </c>
      <c r="AF768" t="s">
        <v>2242</v>
      </c>
      <c r="AG768" t="s">
        <v>78</v>
      </c>
    </row>
    <row r="769" spans="1:33" hidden="1" x14ac:dyDescent="0.25">
      <c r="A769" t="str">
        <f>"1033314257"</f>
        <v>1033314257</v>
      </c>
      <c r="B769" t="str">
        <f>"03225578"</f>
        <v>03225578</v>
      </c>
      <c r="C769" t="s">
        <v>4989</v>
      </c>
      <c r="D769" t="s">
        <v>4990</v>
      </c>
      <c r="E769" t="s">
        <v>4991</v>
      </c>
      <c r="G769" t="s">
        <v>2224</v>
      </c>
      <c r="H769" t="s">
        <v>2225</v>
      </c>
      <c r="J769" t="s">
        <v>2226</v>
      </c>
      <c r="L769" t="s">
        <v>72</v>
      </c>
      <c r="M769" t="s">
        <v>73</v>
      </c>
      <c r="R769" t="s">
        <v>4992</v>
      </c>
      <c r="W769" t="s">
        <v>4991</v>
      </c>
      <c r="X769" t="s">
        <v>309</v>
      </c>
      <c r="Y769" t="s">
        <v>91</v>
      </c>
      <c r="Z769" t="s">
        <v>74</v>
      </c>
      <c r="AA769" t="str">
        <f>"10032-3724"</f>
        <v>10032-3724</v>
      </c>
      <c r="AB769" t="s">
        <v>75</v>
      </c>
      <c r="AC769" t="s">
        <v>76</v>
      </c>
      <c r="AD769" t="s">
        <v>73</v>
      </c>
      <c r="AE769" t="s">
        <v>77</v>
      </c>
      <c r="AF769" t="s">
        <v>2254</v>
      </c>
      <c r="AG769" t="s">
        <v>78</v>
      </c>
    </row>
    <row r="770" spans="1:33" hidden="1" x14ac:dyDescent="0.25">
      <c r="A770" t="str">
        <f>"1083946669"</f>
        <v>1083946669</v>
      </c>
      <c r="B770" t="str">
        <f>"03203376"</f>
        <v>03203376</v>
      </c>
      <c r="C770" t="s">
        <v>4993</v>
      </c>
      <c r="D770" t="s">
        <v>4994</v>
      </c>
      <c r="E770" t="s">
        <v>4995</v>
      </c>
      <c r="G770" t="s">
        <v>2224</v>
      </c>
      <c r="H770" t="s">
        <v>2225</v>
      </c>
      <c r="J770" t="s">
        <v>2226</v>
      </c>
      <c r="L770" t="s">
        <v>96</v>
      </c>
      <c r="M770" t="s">
        <v>73</v>
      </c>
      <c r="R770" t="s">
        <v>4995</v>
      </c>
      <c r="W770" t="s">
        <v>4995</v>
      </c>
      <c r="X770" t="s">
        <v>4996</v>
      </c>
      <c r="Y770" t="s">
        <v>91</v>
      </c>
      <c r="Z770" t="s">
        <v>74</v>
      </c>
      <c r="AA770" t="str">
        <f>"10031-8644"</f>
        <v>10031-8644</v>
      </c>
      <c r="AB770" t="s">
        <v>106</v>
      </c>
      <c r="AC770" t="s">
        <v>76</v>
      </c>
      <c r="AD770" t="s">
        <v>73</v>
      </c>
      <c r="AE770" t="s">
        <v>77</v>
      </c>
      <c r="AF770" t="s">
        <v>2254</v>
      </c>
      <c r="AG770" t="s">
        <v>78</v>
      </c>
    </row>
    <row r="771" spans="1:33" hidden="1" x14ac:dyDescent="0.25">
      <c r="A771" t="str">
        <f>"1093024283"</f>
        <v>1093024283</v>
      </c>
      <c r="B771" t="str">
        <f>"03686986"</f>
        <v>03686986</v>
      </c>
      <c r="C771" t="s">
        <v>4997</v>
      </c>
      <c r="D771" t="s">
        <v>4998</v>
      </c>
      <c r="E771" t="s">
        <v>4999</v>
      </c>
      <c r="G771" t="s">
        <v>2224</v>
      </c>
      <c r="H771" t="s">
        <v>2225</v>
      </c>
      <c r="J771" t="s">
        <v>2226</v>
      </c>
      <c r="L771" t="s">
        <v>72</v>
      </c>
      <c r="M771" t="s">
        <v>73</v>
      </c>
      <c r="R771" t="s">
        <v>5000</v>
      </c>
      <c r="W771" t="s">
        <v>4999</v>
      </c>
      <c r="X771" t="s">
        <v>3189</v>
      </c>
      <c r="Y771" t="s">
        <v>91</v>
      </c>
      <c r="Z771" t="s">
        <v>74</v>
      </c>
      <c r="AA771" t="str">
        <f>"10032-1559"</f>
        <v>10032-1559</v>
      </c>
      <c r="AB771" t="s">
        <v>113</v>
      </c>
      <c r="AC771" t="s">
        <v>76</v>
      </c>
      <c r="AD771" t="s">
        <v>73</v>
      </c>
      <c r="AE771" t="s">
        <v>77</v>
      </c>
      <c r="AF771" t="s">
        <v>2398</v>
      </c>
      <c r="AG771" t="s">
        <v>78</v>
      </c>
    </row>
    <row r="772" spans="1:33" hidden="1" x14ac:dyDescent="0.25">
      <c r="A772" t="str">
        <f>"1730252891"</f>
        <v>1730252891</v>
      </c>
      <c r="B772" t="str">
        <f>"02712325"</f>
        <v>02712325</v>
      </c>
      <c r="C772" t="s">
        <v>5001</v>
      </c>
      <c r="D772" t="s">
        <v>5002</v>
      </c>
      <c r="E772" t="s">
        <v>5003</v>
      </c>
      <c r="G772" t="s">
        <v>2224</v>
      </c>
      <c r="H772" t="s">
        <v>2225</v>
      </c>
      <c r="J772" t="s">
        <v>2226</v>
      </c>
      <c r="L772" t="s">
        <v>81</v>
      </c>
      <c r="M772" t="s">
        <v>82</v>
      </c>
      <c r="R772" t="s">
        <v>5004</v>
      </c>
      <c r="W772" t="s">
        <v>5003</v>
      </c>
      <c r="X772" t="s">
        <v>167</v>
      </c>
      <c r="Y772" t="s">
        <v>91</v>
      </c>
      <c r="Z772" t="s">
        <v>74</v>
      </c>
      <c r="AA772" t="str">
        <f>"10032-3720"</f>
        <v>10032-3720</v>
      </c>
      <c r="AB772" t="s">
        <v>75</v>
      </c>
      <c r="AC772" t="s">
        <v>76</v>
      </c>
      <c r="AD772" t="s">
        <v>73</v>
      </c>
      <c r="AE772" t="s">
        <v>77</v>
      </c>
      <c r="AF772" t="s">
        <v>2228</v>
      </c>
      <c r="AG772" t="s">
        <v>78</v>
      </c>
    </row>
    <row r="773" spans="1:33" hidden="1" x14ac:dyDescent="0.25">
      <c r="A773" t="str">
        <f>"1972890309"</f>
        <v>1972890309</v>
      </c>
      <c r="B773" t="str">
        <f>"03703757"</f>
        <v>03703757</v>
      </c>
      <c r="C773" t="s">
        <v>5005</v>
      </c>
      <c r="D773" t="s">
        <v>5006</v>
      </c>
      <c r="E773" t="s">
        <v>5007</v>
      </c>
      <c r="G773" t="s">
        <v>2224</v>
      </c>
      <c r="H773" t="s">
        <v>2225</v>
      </c>
      <c r="J773" t="s">
        <v>2226</v>
      </c>
      <c r="L773" t="s">
        <v>72</v>
      </c>
      <c r="M773" t="s">
        <v>73</v>
      </c>
      <c r="R773" t="s">
        <v>5008</v>
      </c>
      <c r="W773" t="s">
        <v>5007</v>
      </c>
      <c r="X773" t="s">
        <v>2324</v>
      </c>
      <c r="Y773" t="s">
        <v>91</v>
      </c>
      <c r="Z773" t="s">
        <v>74</v>
      </c>
      <c r="AA773" t="str">
        <f>"10032-4655"</f>
        <v>10032-4655</v>
      </c>
      <c r="AB773" t="s">
        <v>113</v>
      </c>
      <c r="AC773" t="s">
        <v>76</v>
      </c>
      <c r="AD773" t="s">
        <v>73</v>
      </c>
      <c r="AE773" t="s">
        <v>77</v>
      </c>
      <c r="AF773" t="s">
        <v>2228</v>
      </c>
      <c r="AG773" t="s">
        <v>78</v>
      </c>
    </row>
    <row r="774" spans="1:33" hidden="1" x14ac:dyDescent="0.25">
      <c r="A774" t="str">
        <f>"1982619318"</f>
        <v>1982619318</v>
      </c>
      <c r="B774" t="str">
        <f>"01892933"</f>
        <v>01892933</v>
      </c>
      <c r="C774" t="s">
        <v>5009</v>
      </c>
      <c r="D774" t="s">
        <v>1967</v>
      </c>
      <c r="E774" t="s">
        <v>1968</v>
      </c>
      <c r="G774" t="s">
        <v>2224</v>
      </c>
      <c r="H774" t="s">
        <v>2225</v>
      </c>
      <c r="J774" t="s">
        <v>2226</v>
      </c>
      <c r="L774" t="s">
        <v>72</v>
      </c>
      <c r="M774" t="s">
        <v>73</v>
      </c>
      <c r="R774" t="s">
        <v>1969</v>
      </c>
      <c r="W774" t="s">
        <v>1968</v>
      </c>
      <c r="X774" t="s">
        <v>739</v>
      </c>
      <c r="Y774" t="s">
        <v>84</v>
      </c>
      <c r="Z774" t="s">
        <v>74</v>
      </c>
      <c r="AA774" t="str">
        <f>"11234-5139"</f>
        <v>11234-5139</v>
      </c>
      <c r="AB774" t="s">
        <v>75</v>
      </c>
      <c r="AC774" t="s">
        <v>76</v>
      </c>
      <c r="AD774" t="s">
        <v>73</v>
      </c>
      <c r="AE774" t="s">
        <v>77</v>
      </c>
      <c r="AF774" t="s">
        <v>2254</v>
      </c>
      <c r="AG774" t="s">
        <v>78</v>
      </c>
    </row>
    <row r="775" spans="1:33" hidden="1" x14ac:dyDescent="0.25">
      <c r="A775" t="str">
        <f>"1053305276"</f>
        <v>1053305276</v>
      </c>
      <c r="B775" t="str">
        <f>"00206964"</f>
        <v>00206964</v>
      </c>
      <c r="C775" t="s">
        <v>5010</v>
      </c>
      <c r="D775" t="s">
        <v>5011</v>
      </c>
      <c r="E775" t="s">
        <v>5012</v>
      </c>
      <c r="G775" t="s">
        <v>2224</v>
      </c>
      <c r="H775" t="s">
        <v>2225</v>
      </c>
      <c r="J775" t="s">
        <v>2226</v>
      </c>
      <c r="L775" t="s">
        <v>72</v>
      </c>
      <c r="M775" t="s">
        <v>82</v>
      </c>
      <c r="R775" t="s">
        <v>5013</v>
      </c>
      <c r="W775" t="s">
        <v>5012</v>
      </c>
      <c r="X775" t="s">
        <v>5014</v>
      </c>
      <c r="Y775" t="s">
        <v>91</v>
      </c>
      <c r="Z775" t="s">
        <v>74</v>
      </c>
      <c r="AA775" t="str">
        <f>"10032-3724"</f>
        <v>10032-3724</v>
      </c>
      <c r="AB775" t="s">
        <v>75</v>
      </c>
      <c r="AC775" t="s">
        <v>76</v>
      </c>
      <c r="AD775" t="s">
        <v>73</v>
      </c>
      <c r="AE775" t="s">
        <v>77</v>
      </c>
      <c r="AF775" t="s">
        <v>2228</v>
      </c>
      <c r="AG775" t="s">
        <v>78</v>
      </c>
    </row>
    <row r="776" spans="1:33" hidden="1" x14ac:dyDescent="0.25">
      <c r="A776" t="str">
        <f>"1023048972"</f>
        <v>1023048972</v>
      </c>
      <c r="B776" t="str">
        <f>"02022420"</f>
        <v>02022420</v>
      </c>
      <c r="C776" t="s">
        <v>5015</v>
      </c>
      <c r="D776" t="s">
        <v>5016</v>
      </c>
      <c r="E776" t="s">
        <v>5017</v>
      </c>
      <c r="G776" t="s">
        <v>2224</v>
      </c>
      <c r="H776" t="s">
        <v>2225</v>
      </c>
      <c r="J776" t="s">
        <v>2226</v>
      </c>
      <c r="L776" t="s">
        <v>80</v>
      </c>
      <c r="M776" t="s">
        <v>73</v>
      </c>
      <c r="R776" t="s">
        <v>5018</v>
      </c>
      <c r="W776" t="s">
        <v>5017</v>
      </c>
      <c r="X776" t="s">
        <v>5019</v>
      </c>
      <c r="Y776" t="s">
        <v>91</v>
      </c>
      <c r="Z776" t="s">
        <v>74</v>
      </c>
      <c r="AA776" t="str">
        <f>"10032-1559"</f>
        <v>10032-1559</v>
      </c>
      <c r="AB776" t="s">
        <v>75</v>
      </c>
      <c r="AC776" t="s">
        <v>76</v>
      </c>
      <c r="AD776" t="s">
        <v>73</v>
      </c>
      <c r="AE776" t="s">
        <v>77</v>
      </c>
      <c r="AF776" t="s">
        <v>2254</v>
      </c>
      <c r="AG776" t="s">
        <v>78</v>
      </c>
    </row>
    <row r="777" spans="1:33" hidden="1" x14ac:dyDescent="0.25">
      <c r="A777" t="str">
        <f>"1306899455"</f>
        <v>1306899455</v>
      </c>
      <c r="B777" t="str">
        <f>"00895267"</f>
        <v>00895267</v>
      </c>
      <c r="C777" t="s">
        <v>5020</v>
      </c>
      <c r="D777" t="s">
        <v>5021</v>
      </c>
      <c r="E777" t="s">
        <v>5022</v>
      </c>
      <c r="L777" t="s">
        <v>36</v>
      </c>
      <c r="M777" t="s">
        <v>73</v>
      </c>
      <c r="R777" t="s">
        <v>3674</v>
      </c>
      <c r="W777" t="s">
        <v>3280</v>
      </c>
      <c r="X777" t="s">
        <v>496</v>
      </c>
      <c r="Y777" t="s">
        <v>91</v>
      </c>
      <c r="Z777" t="s">
        <v>74</v>
      </c>
      <c r="AA777" t="str">
        <f>"10032-3726"</f>
        <v>10032-3726</v>
      </c>
      <c r="AB777" t="s">
        <v>114</v>
      </c>
      <c r="AC777" t="s">
        <v>76</v>
      </c>
      <c r="AD777" t="s">
        <v>73</v>
      </c>
      <c r="AE777" t="s">
        <v>77</v>
      </c>
      <c r="AF777" t="s">
        <v>2398</v>
      </c>
      <c r="AG777" t="s">
        <v>78</v>
      </c>
    </row>
    <row r="778" spans="1:33" hidden="1" x14ac:dyDescent="0.25">
      <c r="A778" t="str">
        <f>"1841358686"</f>
        <v>1841358686</v>
      </c>
      <c r="B778" t="str">
        <f>"01195913"</f>
        <v>01195913</v>
      </c>
      <c r="C778" t="s">
        <v>5023</v>
      </c>
      <c r="D778" t="s">
        <v>5024</v>
      </c>
      <c r="E778" t="s">
        <v>5025</v>
      </c>
      <c r="G778" t="s">
        <v>2224</v>
      </c>
      <c r="H778" t="s">
        <v>2225</v>
      </c>
      <c r="J778" t="s">
        <v>2226</v>
      </c>
      <c r="L778" t="s">
        <v>72</v>
      </c>
      <c r="M778" t="s">
        <v>73</v>
      </c>
      <c r="R778" t="s">
        <v>585</v>
      </c>
      <c r="W778" t="s">
        <v>5026</v>
      </c>
      <c r="Y778" t="s">
        <v>91</v>
      </c>
      <c r="Z778" t="s">
        <v>74</v>
      </c>
      <c r="AA778" t="str">
        <f>"10032-3720"</f>
        <v>10032-3720</v>
      </c>
      <c r="AB778" t="s">
        <v>75</v>
      </c>
      <c r="AC778" t="s">
        <v>76</v>
      </c>
      <c r="AD778" t="s">
        <v>73</v>
      </c>
      <c r="AE778" t="s">
        <v>77</v>
      </c>
      <c r="AF778" t="s">
        <v>2228</v>
      </c>
      <c r="AG778" t="s">
        <v>78</v>
      </c>
    </row>
    <row r="779" spans="1:33" hidden="1" x14ac:dyDescent="0.25">
      <c r="A779" t="str">
        <f>"1841392131"</f>
        <v>1841392131</v>
      </c>
      <c r="B779" t="str">
        <f>"01828284"</f>
        <v>01828284</v>
      </c>
      <c r="C779" t="s">
        <v>5027</v>
      </c>
      <c r="D779" t="s">
        <v>5028</v>
      </c>
      <c r="E779" t="s">
        <v>5029</v>
      </c>
      <c r="G779" t="s">
        <v>2224</v>
      </c>
      <c r="H779" t="s">
        <v>2225</v>
      </c>
      <c r="J779" t="s">
        <v>2226</v>
      </c>
      <c r="L779" t="s">
        <v>81</v>
      </c>
      <c r="M779" t="s">
        <v>73</v>
      </c>
      <c r="R779" t="s">
        <v>5030</v>
      </c>
      <c r="W779" t="s">
        <v>5029</v>
      </c>
      <c r="X779" t="s">
        <v>2086</v>
      </c>
      <c r="Y779" t="s">
        <v>84</v>
      </c>
      <c r="Z779" t="s">
        <v>74</v>
      </c>
      <c r="AA779" t="str">
        <f>"11201-4106"</f>
        <v>11201-4106</v>
      </c>
      <c r="AB779" t="s">
        <v>75</v>
      </c>
      <c r="AC779" t="s">
        <v>76</v>
      </c>
      <c r="AD779" t="s">
        <v>73</v>
      </c>
      <c r="AE779" t="s">
        <v>77</v>
      </c>
      <c r="AF779" t="s">
        <v>2254</v>
      </c>
      <c r="AG779" t="s">
        <v>78</v>
      </c>
    </row>
    <row r="780" spans="1:33" hidden="1" x14ac:dyDescent="0.25">
      <c r="A780" t="str">
        <f>"1841429859"</f>
        <v>1841429859</v>
      </c>
      <c r="B780" t="str">
        <f>"03602691"</f>
        <v>03602691</v>
      </c>
      <c r="C780" t="s">
        <v>5031</v>
      </c>
      <c r="D780" t="s">
        <v>1945</v>
      </c>
      <c r="E780" t="s">
        <v>1946</v>
      </c>
      <c r="G780" t="s">
        <v>2224</v>
      </c>
      <c r="H780" t="s">
        <v>2225</v>
      </c>
      <c r="J780" t="s">
        <v>2226</v>
      </c>
      <c r="L780" t="s">
        <v>80</v>
      </c>
      <c r="M780" t="s">
        <v>73</v>
      </c>
      <c r="R780" t="s">
        <v>1947</v>
      </c>
      <c r="W780" t="s">
        <v>1948</v>
      </c>
      <c r="X780" t="s">
        <v>167</v>
      </c>
      <c r="Y780" t="s">
        <v>91</v>
      </c>
      <c r="Z780" t="s">
        <v>74</v>
      </c>
      <c r="AA780" t="str">
        <f>"10032-3720"</f>
        <v>10032-3720</v>
      </c>
      <c r="AB780" t="s">
        <v>75</v>
      </c>
      <c r="AC780" t="s">
        <v>76</v>
      </c>
      <c r="AD780" t="s">
        <v>73</v>
      </c>
      <c r="AE780" t="s">
        <v>77</v>
      </c>
      <c r="AF780" t="s">
        <v>2254</v>
      </c>
      <c r="AG780" t="s">
        <v>78</v>
      </c>
    </row>
    <row r="781" spans="1:33" hidden="1" x14ac:dyDescent="0.25">
      <c r="A781" t="str">
        <f>"1306041009"</f>
        <v>1306041009</v>
      </c>
      <c r="B781" t="str">
        <f>"03507788"</f>
        <v>03507788</v>
      </c>
      <c r="C781" t="s">
        <v>5032</v>
      </c>
      <c r="D781" t="s">
        <v>5033</v>
      </c>
      <c r="E781" t="s">
        <v>5034</v>
      </c>
      <c r="G781" t="s">
        <v>2224</v>
      </c>
      <c r="H781" t="s">
        <v>2225</v>
      </c>
      <c r="J781" t="s">
        <v>2226</v>
      </c>
      <c r="L781" t="s">
        <v>80</v>
      </c>
      <c r="M781" t="s">
        <v>73</v>
      </c>
      <c r="R781" t="s">
        <v>5035</v>
      </c>
      <c r="W781" t="s">
        <v>5034</v>
      </c>
      <c r="X781" t="s">
        <v>2077</v>
      </c>
      <c r="Y781" t="s">
        <v>91</v>
      </c>
      <c r="Z781" t="s">
        <v>74</v>
      </c>
      <c r="AA781" t="str">
        <f>"10065-8722"</f>
        <v>10065-8722</v>
      </c>
      <c r="AB781" t="s">
        <v>75</v>
      </c>
      <c r="AC781" t="s">
        <v>76</v>
      </c>
      <c r="AD781" t="s">
        <v>73</v>
      </c>
      <c r="AE781" t="s">
        <v>77</v>
      </c>
      <c r="AF781" t="s">
        <v>2398</v>
      </c>
      <c r="AG781" t="s">
        <v>78</v>
      </c>
    </row>
    <row r="782" spans="1:33" hidden="1" x14ac:dyDescent="0.25">
      <c r="A782" t="str">
        <f>"1306066741"</f>
        <v>1306066741</v>
      </c>
      <c r="B782" t="str">
        <f>"02404662"</f>
        <v>02404662</v>
      </c>
      <c r="C782" t="s">
        <v>5036</v>
      </c>
      <c r="D782" t="s">
        <v>5037</v>
      </c>
      <c r="E782" t="s">
        <v>5038</v>
      </c>
      <c r="G782" t="s">
        <v>2224</v>
      </c>
      <c r="H782" t="s">
        <v>2225</v>
      </c>
      <c r="J782" t="s">
        <v>2226</v>
      </c>
      <c r="L782" t="s">
        <v>72</v>
      </c>
      <c r="M782" t="s">
        <v>82</v>
      </c>
      <c r="R782" t="s">
        <v>5039</v>
      </c>
      <c r="W782" t="s">
        <v>5038</v>
      </c>
      <c r="X782" t="s">
        <v>3433</v>
      </c>
      <c r="Y782" t="s">
        <v>91</v>
      </c>
      <c r="Z782" t="s">
        <v>74</v>
      </c>
      <c r="AA782" t="str">
        <f>"10459-2417"</f>
        <v>10459-2417</v>
      </c>
      <c r="AB782" t="s">
        <v>75</v>
      </c>
      <c r="AC782" t="s">
        <v>76</v>
      </c>
      <c r="AD782" t="s">
        <v>73</v>
      </c>
      <c r="AE782" t="s">
        <v>77</v>
      </c>
      <c r="AF782" t="s">
        <v>2254</v>
      </c>
      <c r="AG782" t="s">
        <v>78</v>
      </c>
    </row>
    <row r="783" spans="1:33" hidden="1" x14ac:dyDescent="0.25">
      <c r="A783" t="str">
        <f>"1447388558"</f>
        <v>1447388558</v>
      </c>
      <c r="C783" t="s">
        <v>5040</v>
      </c>
      <c r="G783" t="s">
        <v>2224</v>
      </c>
      <c r="H783" t="s">
        <v>5041</v>
      </c>
      <c r="J783" t="s">
        <v>2226</v>
      </c>
      <c r="K783" t="s">
        <v>171</v>
      </c>
      <c r="L783" t="s">
        <v>96</v>
      </c>
      <c r="M783" t="s">
        <v>73</v>
      </c>
      <c r="R783" t="s">
        <v>5042</v>
      </c>
      <c r="S783" t="s">
        <v>3321</v>
      </c>
      <c r="T783" t="s">
        <v>91</v>
      </c>
      <c r="U783" t="s">
        <v>74</v>
      </c>
      <c r="V783" t="str">
        <f>"100214870"</f>
        <v>100214870</v>
      </c>
      <c r="AC783" t="s">
        <v>76</v>
      </c>
      <c r="AD783" t="s">
        <v>73</v>
      </c>
      <c r="AE783" t="s">
        <v>97</v>
      </c>
      <c r="AF783" t="s">
        <v>2242</v>
      </c>
      <c r="AG783" t="s">
        <v>78</v>
      </c>
    </row>
    <row r="784" spans="1:33" hidden="1" x14ac:dyDescent="0.25">
      <c r="A784" t="str">
        <f>"1841437076"</f>
        <v>1841437076</v>
      </c>
      <c r="B784" t="str">
        <f>"03697569"</f>
        <v>03697569</v>
      </c>
      <c r="C784" t="s">
        <v>5043</v>
      </c>
      <c r="D784" t="s">
        <v>5044</v>
      </c>
      <c r="E784" t="s">
        <v>5045</v>
      </c>
      <c r="G784" t="s">
        <v>2224</v>
      </c>
      <c r="H784" t="s">
        <v>2225</v>
      </c>
      <c r="J784" t="s">
        <v>2226</v>
      </c>
      <c r="L784" t="s">
        <v>72</v>
      </c>
      <c r="M784" t="s">
        <v>73</v>
      </c>
      <c r="R784" t="s">
        <v>5046</v>
      </c>
      <c r="W784" t="s">
        <v>5047</v>
      </c>
      <c r="X784" t="s">
        <v>5048</v>
      </c>
      <c r="Y784" t="s">
        <v>91</v>
      </c>
      <c r="Z784" t="s">
        <v>74</v>
      </c>
      <c r="AA784" t="str">
        <f>"10034-5004"</f>
        <v>10034-5004</v>
      </c>
      <c r="AB784" t="s">
        <v>113</v>
      </c>
      <c r="AC784" t="s">
        <v>76</v>
      </c>
      <c r="AD784" t="s">
        <v>73</v>
      </c>
      <c r="AE784" t="s">
        <v>77</v>
      </c>
      <c r="AF784" t="s">
        <v>2228</v>
      </c>
      <c r="AG784" t="s">
        <v>78</v>
      </c>
    </row>
    <row r="785" spans="1:33" hidden="1" x14ac:dyDescent="0.25">
      <c r="A785" t="str">
        <f>"1922278720"</f>
        <v>1922278720</v>
      </c>
      <c r="B785" t="str">
        <f>"03280453"</f>
        <v>03280453</v>
      </c>
      <c r="C785" t="s">
        <v>766</v>
      </c>
      <c r="D785" t="s">
        <v>767</v>
      </c>
      <c r="E785" t="s">
        <v>768</v>
      </c>
      <c r="G785" t="s">
        <v>2260</v>
      </c>
      <c r="H785" t="s">
        <v>5049</v>
      </c>
      <c r="J785" t="s">
        <v>1512</v>
      </c>
      <c r="L785" t="s">
        <v>80</v>
      </c>
      <c r="M785" t="s">
        <v>82</v>
      </c>
      <c r="R785" t="s">
        <v>769</v>
      </c>
      <c r="W785" t="s">
        <v>768</v>
      </c>
      <c r="X785" t="s">
        <v>704</v>
      </c>
      <c r="Y785" t="s">
        <v>91</v>
      </c>
      <c r="Z785" t="s">
        <v>74</v>
      </c>
      <c r="AA785" t="str">
        <f>"10035-4521"</f>
        <v>10035-4521</v>
      </c>
      <c r="AB785" t="s">
        <v>75</v>
      </c>
      <c r="AC785" t="s">
        <v>76</v>
      </c>
      <c r="AD785" t="s">
        <v>73</v>
      </c>
      <c r="AE785" t="s">
        <v>77</v>
      </c>
      <c r="AF785" t="s">
        <v>2254</v>
      </c>
      <c r="AG785" t="s">
        <v>78</v>
      </c>
    </row>
    <row r="786" spans="1:33" hidden="1" x14ac:dyDescent="0.25">
      <c r="A786" t="str">
        <f>"1528134962"</f>
        <v>1528134962</v>
      </c>
      <c r="C786" t="s">
        <v>5050</v>
      </c>
      <c r="G786" t="s">
        <v>2224</v>
      </c>
      <c r="H786" t="s">
        <v>2312</v>
      </c>
      <c r="J786" t="s">
        <v>2226</v>
      </c>
      <c r="K786" t="s">
        <v>171</v>
      </c>
      <c r="L786" t="s">
        <v>96</v>
      </c>
      <c r="M786" t="s">
        <v>73</v>
      </c>
      <c r="R786" t="s">
        <v>5051</v>
      </c>
      <c r="S786" t="s">
        <v>5052</v>
      </c>
      <c r="T786" t="s">
        <v>91</v>
      </c>
      <c r="U786" t="s">
        <v>74</v>
      </c>
      <c r="V786" t="str">
        <f>"100034201"</f>
        <v>100034201</v>
      </c>
      <c r="AC786" t="s">
        <v>76</v>
      </c>
      <c r="AD786" t="s">
        <v>73</v>
      </c>
      <c r="AE786" t="s">
        <v>97</v>
      </c>
      <c r="AF786" t="s">
        <v>2228</v>
      </c>
      <c r="AG786" t="s">
        <v>78</v>
      </c>
    </row>
    <row r="787" spans="1:33" hidden="1" x14ac:dyDescent="0.25">
      <c r="A787" t="str">
        <f>"1245503762"</f>
        <v>1245503762</v>
      </c>
      <c r="C787" t="s">
        <v>5053</v>
      </c>
      <c r="G787" t="s">
        <v>2224</v>
      </c>
      <c r="H787" t="s">
        <v>2312</v>
      </c>
      <c r="J787" t="s">
        <v>2226</v>
      </c>
      <c r="K787" t="s">
        <v>171</v>
      </c>
      <c r="L787" t="s">
        <v>72</v>
      </c>
      <c r="M787" t="s">
        <v>73</v>
      </c>
      <c r="R787" t="s">
        <v>5054</v>
      </c>
      <c r="S787" t="s">
        <v>5055</v>
      </c>
      <c r="T787" t="s">
        <v>118</v>
      </c>
      <c r="U787" t="s">
        <v>74</v>
      </c>
      <c r="V787" t="str">
        <f>"104577606"</f>
        <v>104577606</v>
      </c>
      <c r="AC787" t="s">
        <v>76</v>
      </c>
      <c r="AD787" t="s">
        <v>73</v>
      </c>
      <c r="AE787" t="s">
        <v>97</v>
      </c>
      <c r="AF787" t="s">
        <v>2228</v>
      </c>
      <c r="AG787" t="s">
        <v>78</v>
      </c>
    </row>
    <row r="788" spans="1:33" hidden="1" x14ac:dyDescent="0.25">
      <c r="A788" t="str">
        <f>"1558653980"</f>
        <v>1558653980</v>
      </c>
      <c r="C788" t="s">
        <v>5056</v>
      </c>
      <c r="G788" t="s">
        <v>2224</v>
      </c>
      <c r="H788" t="s">
        <v>2312</v>
      </c>
      <c r="J788" t="s">
        <v>2226</v>
      </c>
      <c r="K788" t="s">
        <v>171</v>
      </c>
      <c r="L788" t="s">
        <v>96</v>
      </c>
      <c r="M788" t="s">
        <v>73</v>
      </c>
      <c r="R788" t="s">
        <v>5057</v>
      </c>
      <c r="S788" t="s">
        <v>5058</v>
      </c>
      <c r="T788" t="s">
        <v>5059</v>
      </c>
      <c r="U788" t="s">
        <v>74</v>
      </c>
      <c r="V788" t="str">
        <f>"105761313"</f>
        <v>105761313</v>
      </c>
      <c r="AC788" t="s">
        <v>76</v>
      </c>
      <c r="AD788" t="s">
        <v>73</v>
      </c>
      <c r="AE788" t="s">
        <v>97</v>
      </c>
      <c r="AF788" t="s">
        <v>2242</v>
      </c>
      <c r="AG788" t="s">
        <v>78</v>
      </c>
    </row>
    <row r="789" spans="1:33" hidden="1" x14ac:dyDescent="0.25">
      <c r="A789" t="str">
        <f>"1467493478"</f>
        <v>1467493478</v>
      </c>
      <c r="B789" t="str">
        <f>"01872908"</f>
        <v>01872908</v>
      </c>
      <c r="C789" t="s">
        <v>5060</v>
      </c>
      <c r="D789" t="s">
        <v>5061</v>
      </c>
      <c r="E789" t="s">
        <v>5062</v>
      </c>
      <c r="G789" t="s">
        <v>2224</v>
      </c>
      <c r="H789" t="s">
        <v>2225</v>
      </c>
      <c r="J789" t="s">
        <v>2226</v>
      </c>
      <c r="L789" t="s">
        <v>80</v>
      </c>
      <c r="M789" t="s">
        <v>73</v>
      </c>
      <c r="R789" t="s">
        <v>5063</v>
      </c>
      <c r="W789" t="s">
        <v>5062</v>
      </c>
      <c r="X789" t="s">
        <v>2012</v>
      </c>
      <c r="Y789" t="s">
        <v>91</v>
      </c>
      <c r="Z789" t="s">
        <v>74</v>
      </c>
      <c r="AA789" t="str">
        <f>"10032-3733"</f>
        <v>10032-3733</v>
      </c>
      <c r="AB789" t="s">
        <v>75</v>
      </c>
      <c r="AC789" t="s">
        <v>76</v>
      </c>
      <c r="AD789" t="s">
        <v>73</v>
      </c>
      <c r="AE789" t="s">
        <v>77</v>
      </c>
      <c r="AF789" t="s">
        <v>2228</v>
      </c>
      <c r="AG789" t="s">
        <v>78</v>
      </c>
    </row>
    <row r="790" spans="1:33" hidden="1" x14ac:dyDescent="0.25">
      <c r="A790" t="str">
        <f>"1477610426"</f>
        <v>1477610426</v>
      </c>
      <c r="B790" t="str">
        <f>"00886159"</f>
        <v>00886159</v>
      </c>
      <c r="C790" t="s">
        <v>5064</v>
      </c>
      <c r="D790" t="s">
        <v>5065</v>
      </c>
      <c r="E790" t="s">
        <v>5066</v>
      </c>
      <c r="G790" t="s">
        <v>2224</v>
      </c>
      <c r="H790" t="s">
        <v>2225</v>
      </c>
      <c r="J790" t="s">
        <v>2226</v>
      </c>
      <c r="L790" t="s">
        <v>80</v>
      </c>
      <c r="M790" t="s">
        <v>73</v>
      </c>
      <c r="R790" t="s">
        <v>5067</v>
      </c>
      <c r="W790" t="s">
        <v>5066</v>
      </c>
      <c r="Y790" t="s">
        <v>91</v>
      </c>
      <c r="Z790" t="s">
        <v>74</v>
      </c>
      <c r="AA790" t="str">
        <f>"10032-3720"</f>
        <v>10032-3720</v>
      </c>
      <c r="AB790" t="s">
        <v>75</v>
      </c>
      <c r="AC790" t="s">
        <v>76</v>
      </c>
      <c r="AD790" t="s">
        <v>73</v>
      </c>
      <c r="AE790" t="s">
        <v>77</v>
      </c>
      <c r="AF790" t="s">
        <v>2228</v>
      </c>
      <c r="AG790" t="s">
        <v>78</v>
      </c>
    </row>
    <row r="791" spans="1:33" hidden="1" x14ac:dyDescent="0.25">
      <c r="A791" t="str">
        <f>"1649528068"</f>
        <v>1649528068</v>
      </c>
      <c r="B791" t="str">
        <f>"03504198"</f>
        <v>03504198</v>
      </c>
      <c r="C791" t="s">
        <v>5068</v>
      </c>
      <c r="D791" t="s">
        <v>5069</v>
      </c>
      <c r="E791" t="s">
        <v>5070</v>
      </c>
      <c r="G791" t="s">
        <v>282</v>
      </c>
      <c r="H791" t="s">
        <v>248</v>
      </c>
      <c r="I791">
        <v>2604</v>
      </c>
      <c r="J791" t="s">
        <v>283</v>
      </c>
      <c r="L791" t="s">
        <v>81</v>
      </c>
      <c r="M791" t="s">
        <v>82</v>
      </c>
      <c r="R791" t="s">
        <v>5071</v>
      </c>
      <c r="W791" t="s">
        <v>5072</v>
      </c>
      <c r="X791" t="s">
        <v>249</v>
      </c>
      <c r="Y791" t="s">
        <v>91</v>
      </c>
      <c r="Z791" t="s">
        <v>74</v>
      </c>
      <c r="AA791" t="str">
        <f>"10013-3599"</f>
        <v>10013-3599</v>
      </c>
      <c r="AB791" t="s">
        <v>75</v>
      </c>
      <c r="AC791" t="s">
        <v>76</v>
      </c>
      <c r="AD791" t="s">
        <v>73</v>
      </c>
      <c r="AE791" t="s">
        <v>77</v>
      </c>
      <c r="AF791" t="s">
        <v>2319</v>
      </c>
      <c r="AG791" t="s">
        <v>78</v>
      </c>
    </row>
    <row r="792" spans="1:33" hidden="1" x14ac:dyDescent="0.25">
      <c r="A792" t="str">
        <f>"1689094443"</f>
        <v>1689094443</v>
      </c>
      <c r="C792" t="s">
        <v>5073</v>
      </c>
      <c r="G792" t="s">
        <v>2224</v>
      </c>
      <c r="H792" t="s">
        <v>2312</v>
      </c>
      <c r="J792" t="s">
        <v>2226</v>
      </c>
      <c r="K792" t="s">
        <v>171</v>
      </c>
      <c r="L792" t="s">
        <v>96</v>
      </c>
      <c r="M792" t="s">
        <v>73</v>
      </c>
      <c r="R792" t="s">
        <v>5074</v>
      </c>
      <c r="S792" t="s">
        <v>2442</v>
      </c>
      <c r="T792" t="s">
        <v>91</v>
      </c>
      <c r="U792" t="s">
        <v>74</v>
      </c>
      <c r="V792" t="str">
        <f>"100323720"</f>
        <v>100323720</v>
      </c>
      <c r="AC792" t="s">
        <v>76</v>
      </c>
      <c r="AD792" t="s">
        <v>73</v>
      </c>
      <c r="AE792" t="s">
        <v>97</v>
      </c>
      <c r="AF792" t="s">
        <v>2228</v>
      </c>
      <c r="AG792" t="s">
        <v>78</v>
      </c>
    </row>
    <row r="793" spans="1:33" hidden="1" x14ac:dyDescent="0.25">
      <c r="A793" t="str">
        <f>"1093158552"</f>
        <v>1093158552</v>
      </c>
      <c r="C793" t="s">
        <v>5075</v>
      </c>
      <c r="G793" t="s">
        <v>2224</v>
      </c>
      <c r="H793" t="s">
        <v>2312</v>
      </c>
      <c r="J793" t="s">
        <v>2226</v>
      </c>
      <c r="K793" t="s">
        <v>171</v>
      </c>
      <c r="L793" t="s">
        <v>96</v>
      </c>
      <c r="M793" t="s">
        <v>73</v>
      </c>
      <c r="R793" t="s">
        <v>5076</v>
      </c>
      <c r="S793" t="s">
        <v>3387</v>
      </c>
      <c r="T793" t="s">
        <v>91</v>
      </c>
      <c r="U793" t="s">
        <v>74</v>
      </c>
      <c r="V793" t="str">
        <f>"100323720"</f>
        <v>100323720</v>
      </c>
      <c r="AC793" t="s">
        <v>76</v>
      </c>
      <c r="AD793" t="s">
        <v>73</v>
      </c>
      <c r="AE793" t="s">
        <v>97</v>
      </c>
      <c r="AF793" t="s">
        <v>2228</v>
      </c>
      <c r="AG793" t="s">
        <v>78</v>
      </c>
    </row>
    <row r="794" spans="1:33" hidden="1" x14ac:dyDescent="0.25">
      <c r="A794" t="str">
        <f>"1447426697"</f>
        <v>1447426697</v>
      </c>
      <c r="B794" t="str">
        <f>"03579100"</f>
        <v>03579100</v>
      </c>
      <c r="C794" t="s">
        <v>5077</v>
      </c>
      <c r="D794" t="s">
        <v>5078</v>
      </c>
      <c r="E794" t="s">
        <v>5079</v>
      </c>
      <c r="L794" t="s">
        <v>80</v>
      </c>
      <c r="M794" t="s">
        <v>73</v>
      </c>
      <c r="R794" t="s">
        <v>5080</v>
      </c>
      <c r="W794" t="s">
        <v>5081</v>
      </c>
      <c r="X794" t="s">
        <v>170</v>
      </c>
      <c r="Y794" t="s">
        <v>91</v>
      </c>
      <c r="Z794" t="s">
        <v>74</v>
      </c>
      <c r="AA794" t="str">
        <f>"10065-4870"</f>
        <v>10065-4870</v>
      </c>
      <c r="AB794" t="s">
        <v>75</v>
      </c>
      <c r="AC794" t="s">
        <v>76</v>
      </c>
      <c r="AD794" t="s">
        <v>73</v>
      </c>
      <c r="AE794" t="s">
        <v>77</v>
      </c>
      <c r="AF794" t="s">
        <v>2242</v>
      </c>
      <c r="AG794" t="s">
        <v>78</v>
      </c>
    </row>
    <row r="795" spans="1:33" hidden="1" x14ac:dyDescent="0.25">
      <c r="A795" t="str">
        <f>"1598815011"</f>
        <v>1598815011</v>
      </c>
      <c r="B795" t="str">
        <f>"03203358"</f>
        <v>03203358</v>
      </c>
      <c r="C795" t="s">
        <v>5082</v>
      </c>
      <c r="D795" t="s">
        <v>5083</v>
      </c>
      <c r="E795" t="s">
        <v>5084</v>
      </c>
      <c r="G795" t="s">
        <v>2224</v>
      </c>
      <c r="H795" t="s">
        <v>2225</v>
      </c>
      <c r="J795" t="s">
        <v>2226</v>
      </c>
      <c r="L795" t="s">
        <v>72</v>
      </c>
      <c r="M795" t="s">
        <v>73</v>
      </c>
      <c r="R795" t="s">
        <v>5085</v>
      </c>
      <c r="W795" t="s">
        <v>5084</v>
      </c>
      <c r="X795" t="s">
        <v>2925</v>
      </c>
      <c r="Y795" t="s">
        <v>91</v>
      </c>
      <c r="Z795" t="s">
        <v>74</v>
      </c>
      <c r="AA795" t="str">
        <f>"10032-3720"</f>
        <v>10032-3720</v>
      </c>
      <c r="AB795" t="s">
        <v>113</v>
      </c>
      <c r="AC795" t="s">
        <v>76</v>
      </c>
      <c r="AD795" t="s">
        <v>73</v>
      </c>
      <c r="AE795" t="s">
        <v>77</v>
      </c>
      <c r="AF795" t="s">
        <v>2228</v>
      </c>
      <c r="AG795" t="s">
        <v>78</v>
      </c>
    </row>
    <row r="796" spans="1:33" hidden="1" x14ac:dyDescent="0.25">
      <c r="A796" t="str">
        <f>"1003858390"</f>
        <v>1003858390</v>
      </c>
      <c r="B796" t="str">
        <f>"00273107"</f>
        <v>00273107</v>
      </c>
      <c r="C796" t="s">
        <v>5086</v>
      </c>
      <c r="D796" t="s">
        <v>358</v>
      </c>
      <c r="E796" t="s">
        <v>357</v>
      </c>
      <c r="G796" t="s">
        <v>1305</v>
      </c>
      <c r="J796" t="s">
        <v>1306</v>
      </c>
      <c r="L796" t="s">
        <v>360</v>
      </c>
      <c r="M796" t="s">
        <v>82</v>
      </c>
      <c r="R796" t="s">
        <v>357</v>
      </c>
      <c r="W796" t="s">
        <v>357</v>
      </c>
      <c r="X796" t="s">
        <v>361</v>
      </c>
      <c r="Y796" t="s">
        <v>118</v>
      </c>
      <c r="Z796" t="s">
        <v>74</v>
      </c>
      <c r="AA796" t="str">
        <f>"10461-2392"</f>
        <v>10461-2392</v>
      </c>
      <c r="AB796" t="s">
        <v>87</v>
      </c>
      <c r="AC796" t="s">
        <v>76</v>
      </c>
      <c r="AD796" t="s">
        <v>73</v>
      </c>
      <c r="AE796" t="s">
        <v>77</v>
      </c>
      <c r="AF796" t="s">
        <v>2254</v>
      </c>
      <c r="AG796" t="s">
        <v>78</v>
      </c>
    </row>
    <row r="797" spans="1:33" hidden="1" x14ac:dyDescent="0.25">
      <c r="A797" t="str">
        <f>"1598795445"</f>
        <v>1598795445</v>
      </c>
      <c r="B797" t="str">
        <f>"02255085"</f>
        <v>02255085</v>
      </c>
      <c r="C797" t="s">
        <v>5087</v>
      </c>
      <c r="D797" t="s">
        <v>5088</v>
      </c>
      <c r="E797" t="s">
        <v>5089</v>
      </c>
      <c r="G797" t="s">
        <v>2224</v>
      </c>
      <c r="H797" t="s">
        <v>2225</v>
      </c>
      <c r="J797" t="s">
        <v>2226</v>
      </c>
      <c r="L797" t="s">
        <v>80</v>
      </c>
      <c r="M797" t="s">
        <v>73</v>
      </c>
      <c r="R797" t="s">
        <v>5090</v>
      </c>
      <c r="W797" t="s">
        <v>5089</v>
      </c>
      <c r="X797" t="s">
        <v>167</v>
      </c>
      <c r="Y797" t="s">
        <v>91</v>
      </c>
      <c r="Z797" t="s">
        <v>74</v>
      </c>
      <c r="AA797" t="str">
        <f>"10032-3720"</f>
        <v>10032-3720</v>
      </c>
      <c r="AB797" t="s">
        <v>75</v>
      </c>
      <c r="AC797" t="s">
        <v>76</v>
      </c>
      <c r="AD797" t="s">
        <v>73</v>
      </c>
      <c r="AE797" t="s">
        <v>77</v>
      </c>
      <c r="AF797" t="s">
        <v>2254</v>
      </c>
      <c r="AG797" t="s">
        <v>78</v>
      </c>
    </row>
    <row r="798" spans="1:33" hidden="1" x14ac:dyDescent="0.25">
      <c r="A798" t="str">
        <f>"1609874395"</f>
        <v>1609874395</v>
      </c>
      <c r="B798" t="str">
        <f>"00564681"</f>
        <v>00564681</v>
      </c>
      <c r="C798" t="s">
        <v>5091</v>
      </c>
      <c r="D798" t="s">
        <v>5092</v>
      </c>
      <c r="E798" t="s">
        <v>5093</v>
      </c>
      <c r="G798" t="s">
        <v>2224</v>
      </c>
      <c r="H798" t="s">
        <v>2225</v>
      </c>
      <c r="J798" t="s">
        <v>2226</v>
      </c>
      <c r="L798" t="s">
        <v>80</v>
      </c>
      <c r="M798" t="s">
        <v>73</v>
      </c>
      <c r="R798" t="s">
        <v>5094</v>
      </c>
      <c r="W798" t="s">
        <v>5093</v>
      </c>
      <c r="X798" t="s">
        <v>5095</v>
      </c>
      <c r="Y798" t="s">
        <v>535</v>
      </c>
      <c r="Z798" t="s">
        <v>74</v>
      </c>
      <c r="AA798" t="str">
        <f>"12524-1724"</f>
        <v>12524-1724</v>
      </c>
      <c r="AB798" t="s">
        <v>75</v>
      </c>
      <c r="AC798" t="s">
        <v>76</v>
      </c>
      <c r="AD798" t="s">
        <v>73</v>
      </c>
      <c r="AE798" t="s">
        <v>77</v>
      </c>
      <c r="AF798" t="s">
        <v>2254</v>
      </c>
      <c r="AG798" t="s">
        <v>78</v>
      </c>
    </row>
    <row r="799" spans="1:33" hidden="1" x14ac:dyDescent="0.25">
      <c r="A799" t="str">
        <f>"1609891076"</f>
        <v>1609891076</v>
      </c>
      <c r="B799" t="str">
        <f>"01807592"</f>
        <v>01807592</v>
      </c>
      <c r="C799" t="s">
        <v>5096</v>
      </c>
      <c r="D799" t="s">
        <v>5097</v>
      </c>
      <c r="E799" t="s">
        <v>5098</v>
      </c>
      <c r="G799" t="s">
        <v>282</v>
      </c>
      <c r="H799" t="s">
        <v>248</v>
      </c>
      <c r="I799">
        <v>2604</v>
      </c>
      <c r="J799" t="s">
        <v>283</v>
      </c>
      <c r="L799" t="s">
        <v>80</v>
      </c>
      <c r="M799" t="s">
        <v>82</v>
      </c>
      <c r="R799" t="s">
        <v>5098</v>
      </c>
      <c r="W799" t="s">
        <v>5098</v>
      </c>
      <c r="X799" t="s">
        <v>183</v>
      </c>
      <c r="Y799" t="s">
        <v>91</v>
      </c>
      <c r="Z799" t="s">
        <v>74</v>
      </c>
      <c r="AA799" t="str">
        <f>"10032-3729"</f>
        <v>10032-3729</v>
      </c>
      <c r="AB799" t="s">
        <v>75</v>
      </c>
      <c r="AC799" t="s">
        <v>76</v>
      </c>
      <c r="AD799" t="s">
        <v>73</v>
      </c>
      <c r="AE799" t="s">
        <v>77</v>
      </c>
      <c r="AF799" t="s">
        <v>2319</v>
      </c>
      <c r="AG799" t="s">
        <v>78</v>
      </c>
    </row>
    <row r="800" spans="1:33" hidden="1" x14ac:dyDescent="0.25">
      <c r="A800" t="str">
        <f>"1992732275"</f>
        <v>1992732275</v>
      </c>
      <c r="B800" t="str">
        <f>"02297914"</f>
        <v>02297914</v>
      </c>
      <c r="C800" t="s">
        <v>5099</v>
      </c>
      <c r="D800" t="s">
        <v>2073</v>
      </c>
      <c r="E800" t="s">
        <v>2074</v>
      </c>
      <c r="G800" t="s">
        <v>282</v>
      </c>
      <c r="H800" t="s">
        <v>248</v>
      </c>
      <c r="I800">
        <v>2604</v>
      </c>
      <c r="J800" t="s">
        <v>283</v>
      </c>
      <c r="L800" t="s">
        <v>80</v>
      </c>
      <c r="M800" t="s">
        <v>82</v>
      </c>
      <c r="R800" t="s">
        <v>2075</v>
      </c>
      <c r="W800" t="s">
        <v>2076</v>
      </c>
      <c r="X800" t="s">
        <v>249</v>
      </c>
      <c r="Y800" t="s">
        <v>91</v>
      </c>
      <c r="Z800" t="s">
        <v>74</v>
      </c>
      <c r="AA800" t="str">
        <f>"10013-3599"</f>
        <v>10013-3599</v>
      </c>
      <c r="AB800" t="s">
        <v>107</v>
      </c>
      <c r="AC800" t="s">
        <v>76</v>
      </c>
      <c r="AD800" t="s">
        <v>73</v>
      </c>
      <c r="AE800" t="s">
        <v>77</v>
      </c>
      <c r="AF800" t="s">
        <v>2319</v>
      </c>
      <c r="AG800" t="s">
        <v>78</v>
      </c>
    </row>
    <row r="801" spans="1:33" hidden="1" x14ac:dyDescent="0.25">
      <c r="A801" t="str">
        <f>"1992762371"</f>
        <v>1992762371</v>
      </c>
      <c r="B801" t="str">
        <f>"02925208"</f>
        <v>02925208</v>
      </c>
      <c r="C801" t="s">
        <v>5100</v>
      </c>
      <c r="D801" t="s">
        <v>5101</v>
      </c>
      <c r="E801" t="s">
        <v>5102</v>
      </c>
      <c r="G801" t="s">
        <v>2224</v>
      </c>
      <c r="H801" t="s">
        <v>2225</v>
      </c>
      <c r="J801" t="s">
        <v>2226</v>
      </c>
      <c r="L801" t="s">
        <v>80</v>
      </c>
      <c r="M801" t="s">
        <v>82</v>
      </c>
      <c r="R801" t="s">
        <v>5103</v>
      </c>
      <c r="W801" t="s">
        <v>5102</v>
      </c>
      <c r="X801" t="s">
        <v>3433</v>
      </c>
      <c r="Y801" t="s">
        <v>91</v>
      </c>
      <c r="Z801" t="s">
        <v>74</v>
      </c>
      <c r="AA801" t="str">
        <f>"10032-4220"</f>
        <v>10032-4220</v>
      </c>
      <c r="AB801" t="s">
        <v>75</v>
      </c>
      <c r="AC801" t="s">
        <v>76</v>
      </c>
      <c r="AD801" t="s">
        <v>73</v>
      </c>
      <c r="AE801" t="s">
        <v>77</v>
      </c>
      <c r="AF801" t="s">
        <v>2254</v>
      </c>
      <c r="AG801" t="s">
        <v>78</v>
      </c>
    </row>
    <row r="802" spans="1:33" hidden="1" x14ac:dyDescent="0.25">
      <c r="A802" t="str">
        <f>"1477686855"</f>
        <v>1477686855</v>
      </c>
      <c r="B802" t="str">
        <f>"03089503"</f>
        <v>03089503</v>
      </c>
      <c r="C802" t="s">
        <v>5104</v>
      </c>
      <c r="D802" t="s">
        <v>5105</v>
      </c>
      <c r="E802" t="s">
        <v>5106</v>
      </c>
      <c r="G802" t="s">
        <v>2224</v>
      </c>
      <c r="H802" t="s">
        <v>2225</v>
      </c>
      <c r="J802" t="s">
        <v>2226</v>
      </c>
      <c r="L802" t="s">
        <v>72</v>
      </c>
      <c r="M802" t="s">
        <v>73</v>
      </c>
      <c r="R802" t="s">
        <v>5107</v>
      </c>
      <c r="W802" t="s">
        <v>5106</v>
      </c>
      <c r="X802" t="s">
        <v>447</v>
      </c>
      <c r="Y802" t="s">
        <v>181</v>
      </c>
      <c r="Z802" t="s">
        <v>74</v>
      </c>
      <c r="AA802" t="str">
        <f>"10605-1504"</f>
        <v>10605-1504</v>
      </c>
      <c r="AB802" t="s">
        <v>75</v>
      </c>
      <c r="AC802" t="s">
        <v>76</v>
      </c>
      <c r="AD802" t="s">
        <v>73</v>
      </c>
      <c r="AE802" t="s">
        <v>77</v>
      </c>
      <c r="AF802" t="s">
        <v>2254</v>
      </c>
      <c r="AG802" t="s">
        <v>78</v>
      </c>
    </row>
    <row r="803" spans="1:33" hidden="1" x14ac:dyDescent="0.25">
      <c r="A803" t="str">
        <f>"1699708883"</f>
        <v>1699708883</v>
      </c>
      <c r="B803" t="str">
        <f>"02694333"</f>
        <v>02694333</v>
      </c>
      <c r="C803" t="s">
        <v>5108</v>
      </c>
      <c r="D803" t="s">
        <v>349</v>
      </c>
      <c r="E803" t="s">
        <v>350</v>
      </c>
      <c r="G803" t="s">
        <v>2224</v>
      </c>
      <c r="H803" t="s">
        <v>2225</v>
      </c>
      <c r="J803" t="s">
        <v>2226</v>
      </c>
      <c r="L803" t="s">
        <v>80</v>
      </c>
      <c r="M803" t="s">
        <v>73</v>
      </c>
      <c r="R803" t="s">
        <v>348</v>
      </c>
      <c r="W803" t="s">
        <v>350</v>
      </c>
      <c r="X803" t="s">
        <v>351</v>
      </c>
      <c r="Y803" t="s">
        <v>91</v>
      </c>
      <c r="Z803" t="s">
        <v>74</v>
      </c>
      <c r="AA803" t="str">
        <f>"10032"</f>
        <v>10032</v>
      </c>
      <c r="AB803" t="s">
        <v>75</v>
      </c>
      <c r="AC803" t="s">
        <v>76</v>
      </c>
      <c r="AD803" t="s">
        <v>73</v>
      </c>
      <c r="AE803" t="s">
        <v>77</v>
      </c>
      <c r="AF803" t="s">
        <v>2228</v>
      </c>
      <c r="AG803" t="s">
        <v>78</v>
      </c>
    </row>
    <row r="804" spans="1:33" hidden="1" x14ac:dyDescent="0.25">
      <c r="A804" t="str">
        <f>"1861589947"</f>
        <v>1861589947</v>
      </c>
      <c r="B804" t="str">
        <f>"02134825"</f>
        <v>02134825</v>
      </c>
      <c r="C804" t="s">
        <v>5109</v>
      </c>
      <c r="D804" t="s">
        <v>5110</v>
      </c>
      <c r="E804" t="s">
        <v>5111</v>
      </c>
      <c r="G804" t="s">
        <v>2224</v>
      </c>
      <c r="H804" t="s">
        <v>2225</v>
      </c>
      <c r="J804" t="s">
        <v>2226</v>
      </c>
      <c r="L804" t="s">
        <v>81</v>
      </c>
      <c r="M804" t="s">
        <v>73</v>
      </c>
      <c r="R804" t="s">
        <v>5112</v>
      </c>
      <c r="W804" t="s">
        <v>5111</v>
      </c>
      <c r="X804" t="s">
        <v>853</v>
      </c>
      <c r="Y804" t="s">
        <v>91</v>
      </c>
      <c r="Z804" t="s">
        <v>74</v>
      </c>
      <c r="AA804" t="str">
        <f>"10021-4872"</f>
        <v>10021-4872</v>
      </c>
      <c r="AB804" t="s">
        <v>75</v>
      </c>
      <c r="AC804" t="s">
        <v>76</v>
      </c>
      <c r="AD804" t="s">
        <v>73</v>
      </c>
      <c r="AE804" t="s">
        <v>77</v>
      </c>
      <c r="AF804" t="s">
        <v>2242</v>
      </c>
      <c r="AG804" t="s">
        <v>78</v>
      </c>
    </row>
    <row r="805" spans="1:33" hidden="1" x14ac:dyDescent="0.25">
      <c r="A805" t="str">
        <f>"1063509149"</f>
        <v>1063509149</v>
      </c>
      <c r="B805" t="str">
        <f>"00179153"</f>
        <v>00179153</v>
      </c>
      <c r="C805" t="s">
        <v>5113</v>
      </c>
      <c r="D805" t="s">
        <v>5114</v>
      </c>
      <c r="E805" t="s">
        <v>5115</v>
      </c>
      <c r="G805" t="s">
        <v>2224</v>
      </c>
      <c r="H805" t="s">
        <v>2225</v>
      </c>
      <c r="J805" t="s">
        <v>2226</v>
      </c>
      <c r="L805" t="s">
        <v>81</v>
      </c>
      <c r="M805" t="s">
        <v>73</v>
      </c>
      <c r="R805" t="s">
        <v>5116</v>
      </c>
      <c r="W805" t="s">
        <v>5115</v>
      </c>
      <c r="X805" t="s">
        <v>1742</v>
      </c>
      <c r="Y805" t="s">
        <v>91</v>
      </c>
      <c r="Z805" t="s">
        <v>74</v>
      </c>
      <c r="AA805" t="str">
        <f>"10032-3720"</f>
        <v>10032-3720</v>
      </c>
      <c r="AB805" t="s">
        <v>75</v>
      </c>
      <c r="AC805" t="s">
        <v>76</v>
      </c>
      <c r="AD805" t="s">
        <v>73</v>
      </c>
      <c r="AE805" t="s">
        <v>77</v>
      </c>
      <c r="AF805" t="s">
        <v>2398</v>
      </c>
      <c r="AG805" t="s">
        <v>78</v>
      </c>
    </row>
    <row r="806" spans="1:33" hidden="1" x14ac:dyDescent="0.25">
      <c r="A806" t="str">
        <f>"1003005745"</f>
        <v>1003005745</v>
      </c>
      <c r="B806" t="str">
        <f>"04015936"</f>
        <v>04015936</v>
      </c>
      <c r="C806" t="s">
        <v>5117</v>
      </c>
      <c r="D806" t="s">
        <v>5118</v>
      </c>
      <c r="E806" t="s">
        <v>5119</v>
      </c>
      <c r="G806" t="s">
        <v>2224</v>
      </c>
      <c r="H806" t="s">
        <v>2225</v>
      </c>
      <c r="J806" t="s">
        <v>2226</v>
      </c>
      <c r="L806" t="s">
        <v>72</v>
      </c>
      <c r="M806" t="s">
        <v>73</v>
      </c>
      <c r="R806" t="s">
        <v>5120</v>
      </c>
      <c r="W806" t="s">
        <v>5119</v>
      </c>
      <c r="X806" t="s">
        <v>1958</v>
      </c>
      <c r="Y806" t="s">
        <v>91</v>
      </c>
      <c r="Z806" t="s">
        <v>74</v>
      </c>
      <c r="AA806" t="str">
        <f>"10032-3722"</f>
        <v>10032-3722</v>
      </c>
      <c r="AB806" t="s">
        <v>75</v>
      </c>
      <c r="AC806" t="s">
        <v>76</v>
      </c>
      <c r="AD806" t="s">
        <v>73</v>
      </c>
      <c r="AE806" t="s">
        <v>77</v>
      </c>
      <c r="AF806" t="s">
        <v>2228</v>
      </c>
      <c r="AG806" t="s">
        <v>78</v>
      </c>
    </row>
    <row r="807" spans="1:33" hidden="1" x14ac:dyDescent="0.25">
      <c r="A807" t="str">
        <f>"1003013533"</f>
        <v>1003013533</v>
      </c>
      <c r="B807" t="str">
        <f>"03475101"</f>
        <v>03475101</v>
      </c>
      <c r="C807" t="s">
        <v>5121</v>
      </c>
      <c r="D807" t="s">
        <v>5122</v>
      </c>
      <c r="E807" t="s">
        <v>5123</v>
      </c>
      <c r="G807" t="s">
        <v>2224</v>
      </c>
      <c r="H807" t="s">
        <v>2225</v>
      </c>
      <c r="J807" t="s">
        <v>2226</v>
      </c>
      <c r="L807" t="s">
        <v>80</v>
      </c>
      <c r="M807" t="s">
        <v>73</v>
      </c>
      <c r="R807" t="s">
        <v>5124</v>
      </c>
      <c r="W807" t="s">
        <v>5123</v>
      </c>
      <c r="X807" t="s">
        <v>309</v>
      </c>
      <c r="Y807" t="s">
        <v>91</v>
      </c>
      <c r="Z807" t="s">
        <v>74</v>
      </c>
      <c r="AA807" t="str">
        <f>"10032-3724"</f>
        <v>10032-3724</v>
      </c>
      <c r="AB807" t="s">
        <v>75</v>
      </c>
      <c r="AC807" t="s">
        <v>76</v>
      </c>
      <c r="AD807" t="s">
        <v>73</v>
      </c>
      <c r="AE807" t="s">
        <v>77</v>
      </c>
      <c r="AF807" t="s">
        <v>2254</v>
      </c>
      <c r="AG807" t="s">
        <v>78</v>
      </c>
    </row>
    <row r="808" spans="1:33" hidden="1" x14ac:dyDescent="0.25">
      <c r="A808" t="str">
        <f>"1003015439"</f>
        <v>1003015439</v>
      </c>
      <c r="B808" t="str">
        <f>"03230182"</f>
        <v>03230182</v>
      </c>
      <c r="C808" t="s">
        <v>5125</v>
      </c>
      <c r="D808" t="s">
        <v>5126</v>
      </c>
      <c r="E808" t="s">
        <v>5127</v>
      </c>
      <c r="G808" t="s">
        <v>2224</v>
      </c>
      <c r="H808" t="s">
        <v>2225</v>
      </c>
      <c r="J808" t="s">
        <v>2226</v>
      </c>
      <c r="L808" t="s">
        <v>81</v>
      </c>
      <c r="M808" t="s">
        <v>73</v>
      </c>
      <c r="R808" t="s">
        <v>5128</v>
      </c>
      <c r="W808" t="s">
        <v>5129</v>
      </c>
      <c r="X808" t="s">
        <v>167</v>
      </c>
      <c r="Y808" t="s">
        <v>91</v>
      </c>
      <c r="Z808" t="s">
        <v>74</v>
      </c>
      <c r="AA808" t="str">
        <f>"10032-3720"</f>
        <v>10032-3720</v>
      </c>
      <c r="AB808" t="s">
        <v>75</v>
      </c>
      <c r="AC808" t="s">
        <v>76</v>
      </c>
      <c r="AD808" t="s">
        <v>73</v>
      </c>
      <c r="AE808" t="s">
        <v>77</v>
      </c>
      <c r="AF808" t="s">
        <v>2254</v>
      </c>
      <c r="AG808" t="s">
        <v>78</v>
      </c>
    </row>
    <row r="809" spans="1:33" hidden="1" x14ac:dyDescent="0.25">
      <c r="A809" t="str">
        <f>"1609162957"</f>
        <v>1609162957</v>
      </c>
      <c r="B809" t="str">
        <f>"03703688"</f>
        <v>03703688</v>
      </c>
      <c r="C809" t="s">
        <v>5130</v>
      </c>
      <c r="D809" t="s">
        <v>5131</v>
      </c>
      <c r="E809" t="s">
        <v>5132</v>
      </c>
      <c r="G809" t="s">
        <v>2224</v>
      </c>
      <c r="H809" t="s">
        <v>5133</v>
      </c>
      <c r="J809" t="s">
        <v>2226</v>
      </c>
      <c r="L809" t="s">
        <v>72</v>
      </c>
      <c r="M809" t="s">
        <v>73</v>
      </c>
      <c r="R809" t="s">
        <v>5132</v>
      </c>
      <c r="W809" t="s">
        <v>5132</v>
      </c>
      <c r="X809" t="s">
        <v>167</v>
      </c>
      <c r="Y809" t="s">
        <v>91</v>
      </c>
      <c r="Z809" t="s">
        <v>74</v>
      </c>
      <c r="AA809" t="str">
        <f>"10032-3720"</f>
        <v>10032-3720</v>
      </c>
      <c r="AB809" t="s">
        <v>75</v>
      </c>
      <c r="AC809" t="s">
        <v>76</v>
      </c>
      <c r="AD809" t="s">
        <v>73</v>
      </c>
      <c r="AE809" t="s">
        <v>77</v>
      </c>
      <c r="AF809" t="s">
        <v>2228</v>
      </c>
      <c r="AG809" t="s">
        <v>78</v>
      </c>
    </row>
    <row r="810" spans="1:33" hidden="1" x14ac:dyDescent="0.25">
      <c r="A810" t="str">
        <f>"1174692024"</f>
        <v>1174692024</v>
      </c>
      <c r="B810" t="str">
        <f>"02887956"</f>
        <v>02887956</v>
      </c>
      <c r="C810" t="s">
        <v>5134</v>
      </c>
      <c r="D810" t="s">
        <v>5135</v>
      </c>
      <c r="E810" t="s">
        <v>5136</v>
      </c>
      <c r="G810" t="s">
        <v>2224</v>
      </c>
      <c r="H810" t="s">
        <v>2225</v>
      </c>
      <c r="J810" t="s">
        <v>2226</v>
      </c>
      <c r="L810" t="s">
        <v>88</v>
      </c>
      <c r="M810" t="s">
        <v>73</v>
      </c>
      <c r="R810" t="s">
        <v>5137</v>
      </c>
      <c r="W810" t="s">
        <v>5136</v>
      </c>
      <c r="X810" t="s">
        <v>167</v>
      </c>
      <c r="Y810" t="s">
        <v>91</v>
      </c>
      <c r="Z810" t="s">
        <v>74</v>
      </c>
      <c r="AA810" t="str">
        <f>"10032-3720"</f>
        <v>10032-3720</v>
      </c>
      <c r="AB810" t="s">
        <v>75</v>
      </c>
      <c r="AC810" t="s">
        <v>76</v>
      </c>
      <c r="AD810" t="s">
        <v>73</v>
      </c>
      <c r="AE810" t="s">
        <v>77</v>
      </c>
      <c r="AF810" t="s">
        <v>2254</v>
      </c>
      <c r="AG810" t="s">
        <v>78</v>
      </c>
    </row>
    <row r="811" spans="1:33" hidden="1" x14ac:dyDescent="0.25">
      <c r="A811" t="str">
        <f>"1174781009"</f>
        <v>1174781009</v>
      </c>
      <c r="B811" t="str">
        <f>"03153546"</f>
        <v>03153546</v>
      </c>
      <c r="C811" t="s">
        <v>5138</v>
      </c>
      <c r="D811" t="s">
        <v>1093</v>
      </c>
      <c r="E811" t="s">
        <v>1094</v>
      </c>
      <c r="G811" t="s">
        <v>2224</v>
      </c>
      <c r="H811" t="s">
        <v>2225</v>
      </c>
      <c r="J811" t="s">
        <v>2226</v>
      </c>
      <c r="L811" t="s">
        <v>81</v>
      </c>
      <c r="M811" t="s">
        <v>82</v>
      </c>
      <c r="R811" t="s">
        <v>1095</v>
      </c>
      <c r="W811" t="s">
        <v>1094</v>
      </c>
      <c r="X811" t="s">
        <v>1096</v>
      </c>
      <c r="Y811" t="s">
        <v>91</v>
      </c>
      <c r="Z811" t="s">
        <v>74</v>
      </c>
      <c r="AA811" t="str">
        <f>"10065-4870"</f>
        <v>10065-4870</v>
      </c>
      <c r="AB811" t="s">
        <v>75</v>
      </c>
      <c r="AC811" t="s">
        <v>76</v>
      </c>
      <c r="AD811" t="s">
        <v>73</v>
      </c>
      <c r="AE811" t="s">
        <v>77</v>
      </c>
      <c r="AF811" t="s">
        <v>2242</v>
      </c>
      <c r="AG811" t="s">
        <v>78</v>
      </c>
    </row>
    <row r="812" spans="1:33" hidden="1" x14ac:dyDescent="0.25">
      <c r="A812" t="str">
        <f>"1427176833"</f>
        <v>1427176833</v>
      </c>
      <c r="B812" t="str">
        <f>"02819872"</f>
        <v>02819872</v>
      </c>
      <c r="C812" t="s">
        <v>5139</v>
      </c>
      <c r="D812" t="s">
        <v>5140</v>
      </c>
      <c r="E812" t="s">
        <v>5141</v>
      </c>
      <c r="G812" t="s">
        <v>2224</v>
      </c>
      <c r="H812" t="s">
        <v>2225</v>
      </c>
      <c r="J812" t="s">
        <v>2226</v>
      </c>
      <c r="L812" t="s">
        <v>72</v>
      </c>
      <c r="M812" t="s">
        <v>73</v>
      </c>
      <c r="R812" t="s">
        <v>5142</v>
      </c>
      <c r="W812" t="s">
        <v>5141</v>
      </c>
      <c r="X812" t="s">
        <v>2017</v>
      </c>
      <c r="Y812" t="s">
        <v>91</v>
      </c>
      <c r="Z812" t="s">
        <v>74</v>
      </c>
      <c r="AA812" t="str">
        <f>"10040-1406"</f>
        <v>10040-1406</v>
      </c>
      <c r="AB812" t="s">
        <v>75</v>
      </c>
      <c r="AC812" t="s">
        <v>76</v>
      </c>
      <c r="AD812" t="s">
        <v>73</v>
      </c>
      <c r="AE812" t="s">
        <v>77</v>
      </c>
      <c r="AF812" t="s">
        <v>2228</v>
      </c>
      <c r="AG812" t="s">
        <v>78</v>
      </c>
    </row>
    <row r="813" spans="1:33" hidden="1" x14ac:dyDescent="0.25">
      <c r="A813" t="str">
        <f>"1497844039"</f>
        <v>1497844039</v>
      </c>
      <c r="B813" t="str">
        <f>"00715435"</f>
        <v>00715435</v>
      </c>
      <c r="C813" t="s">
        <v>5143</v>
      </c>
      <c r="D813" t="s">
        <v>5144</v>
      </c>
      <c r="E813" t="s">
        <v>5145</v>
      </c>
      <c r="G813" t="s">
        <v>2224</v>
      </c>
      <c r="H813" t="s">
        <v>2225</v>
      </c>
      <c r="J813" t="s">
        <v>2226</v>
      </c>
      <c r="L813" t="s">
        <v>81</v>
      </c>
      <c r="M813" t="s">
        <v>82</v>
      </c>
      <c r="R813" t="s">
        <v>5146</v>
      </c>
      <c r="W813" t="s">
        <v>5145</v>
      </c>
      <c r="Y813" t="s">
        <v>91</v>
      </c>
      <c r="Z813" t="s">
        <v>74</v>
      </c>
      <c r="AA813" t="str">
        <f>"10032-3720"</f>
        <v>10032-3720</v>
      </c>
      <c r="AB813" t="s">
        <v>75</v>
      </c>
      <c r="AC813" t="s">
        <v>76</v>
      </c>
      <c r="AD813" t="s">
        <v>73</v>
      </c>
      <c r="AE813" t="s">
        <v>77</v>
      </c>
      <c r="AF813" t="s">
        <v>2254</v>
      </c>
      <c r="AG813" t="s">
        <v>78</v>
      </c>
    </row>
    <row r="814" spans="1:33" hidden="1" x14ac:dyDescent="0.25">
      <c r="A814" t="str">
        <f>"1093953952"</f>
        <v>1093953952</v>
      </c>
      <c r="B814" t="str">
        <f>"03348074"</f>
        <v>03348074</v>
      </c>
      <c r="C814" t="s">
        <v>5147</v>
      </c>
      <c r="D814" t="s">
        <v>5148</v>
      </c>
      <c r="E814" t="s">
        <v>5149</v>
      </c>
      <c r="L814" t="s">
        <v>80</v>
      </c>
      <c r="M814" t="s">
        <v>73</v>
      </c>
      <c r="R814" t="s">
        <v>5150</v>
      </c>
      <c r="W814" t="s">
        <v>5149</v>
      </c>
      <c r="X814" t="s">
        <v>170</v>
      </c>
      <c r="Y814" t="s">
        <v>91</v>
      </c>
      <c r="Z814" t="s">
        <v>74</v>
      </c>
      <c r="AA814" t="str">
        <f>"10065-4870"</f>
        <v>10065-4870</v>
      </c>
      <c r="AB814" t="s">
        <v>75</v>
      </c>
      <c r="AC814" t="s">
        <v>76</v>
      </c>
      <c r="AD814" t="s">
        <v>73</v>
      </c>
      <c r="AE814" t="s">
        <v>77</v>
      </c>
      <c r="AF814" t="s">
        <v>2242</v>
      </c>
      <c r="AG814" t="s">
        <v>78</v>
      </c>
    </row>
    <row r="815" spans="1:33" hidden="1" x14ac:dyDescent="0.25">
      <c r="A815" t="str">
        <f>"1215195326"</f>
        <v>1215195326</v>
      </c>
      <c r="B815" t="str">
        <f>"03249570"</f>
        <v>03249570</v>
      </c>
      <c r="C815" t="s">
        <v>5151</v>
      </c>
      <c r="D815" t="s">
        <v>5152</v>
      </c>
      <c r="E815" t="s">
        <v>5153</v>
      </c>
      <c r="L815" t="s">
        <v>80</v>
      </c>
      <c r="M815" t="s">
        <v>73</v>
      </c>
      <c r="R815" t="s">
        <v>5154</v>
      </c>
      <c r="W815" t="s">
        <v>5153</v>
      </c>
      <c r="X815" t="s">
        <v>170</v>
      </c>
      <c r="Y815" t="s">
        <v>91</v>
      </c>
      <c r="Z815" t="s">
        <v>74</v>
      </c>
      <c r="AA815" t="str">
        <f>"10065-4870"</f>
        <v>10065-4870</v>
      </c>
      <c r="AB815" t="s">
        <v>75</v>
      </c>
      <c r="AC815" t="s">
        <v>76</v>
      </c>
      <c r="AD815" t="s">
        <v>73</v>
      </c>
      <c r="AE815" t="s">
        <v>77</v>
      </c>
      <c r="AF815" t="s">
        <v>2242</v>
      </c>
      <c r="AG815" t="s">
        <v>78</v>
      </c>
    </row>
    <row r="816" spans="1:33" hidden="1" x14ac:dyDescent="0.25">
      <c r="A816" t="str">
        <f>"1780926089"</f>
        <v>1780926089</v>
      </c>
      <c r="C816" t="s">
        <v>5155</v>
      </c>
      <c r="G816" t="s">
        <v>2224</v>
      </c>
      <c r="H816" t="s">
        <v>2312</v>
      </c>
      <c r="J816" t="s">
        <v>2226</v>
      </c>
      <c r="K816" t="s">
        <v>171</v>
      </c>
      <c r="L816" t="s">
        <v>96</v>
      </c>
      <c r="M816" t="s">
        <v>73</v>
      </c>
      <c r="R816" t="s">
        <v>5156</v>
      </c>
      <c r="S816" t="s">
        <v>5157</v>
      </c>
      <c r="T816" t="s">
        <v>1382</v>
      </c>
      <c r="U816" t="s">
        <v>139</v>
      </c>
      <c r="V816" t="str">
        <f>"079603214"</f>
        <v>079603214</v>
      </c>
      <c r="AC816" t="s">
        <v>76</v>
      </c>
      <c r="AD816" t="s">
        <v>73</v>
      </c>
      <c r="AE816" t="s">
        <v>97</v>
      </c>
      <c r="AF816" t="s">
        <v>2228</v>
      </c>
      <c r="AG816" t="s">
        <v>78</v>
      </c>
    </row>
    <row r="817" spans="1:33" hidden="1" x14ac:dyDescent="0.25">
      <c r="A817" t="str">
        <f>"1699017004"</f>
        <v>1699017004</v>
      </c>
      <c r="C817" t="s">
        <v>5158</v>
      </c>
      <c r="G817" t="s">
        <v>2224</v>
      </c>
      <c r="H817" t="s">
        <v>2312</v>
      </c>
      <c r="J817" t="s">
        <v>2226</v>
      </c>
      <c r="K817" t="s">
        <v>171</v>
      </c>
      <c r="L817" t="s">
        <v>96</v>
      </c>
      <c r="M817" t="s">
        <v>73</v>
      </c>
      <c r="R817" t="s">
        <v>5159</v>
      </c>
      <c r="S817" t="s">
        <v>5160</v>
      </c>
      <c r="T817" t="s">
        <v>91</v>
      </c>
      <c r="U817" t="s">
        <v>74</v>
      </c>
      <c r="V817" t="str">
        <f>"100323725"</f>
        <v>100323725</v>
      </c>
      <c r="AC817" t="s">
        <v>76</v>
      </c>
      <c r="AD817" t="s">
        <v>73</v>
      </c>
      <c r="AE817" t="s">
        <v>97</v>
      </c>
      <c r="AF817" t="s">
        <v>2228</v>
      </c>
      <c r="AG817" t="s">
        <v>78</v>
      </c>
    </row>
    <row r="818" spans="1:33" hidden="1" x14ac:dyDescent="0.25">
      <c r="A818" t="str">
        <f>"1447526801"</f>
        <v>1447526801</v>
      </c>
      <c r="C818" t="s">
        <v>5161</v>
      </c>
      <c r="G818" t="s">
        <v>2224</v>
      </c>
      <c r="H818" t="s">
        <v>2312</v>
      </c>
      <c r="J818" t="s">
        <v>2226</v>
      </c>
      <c r="K818" t="s">
        <v>171</v>
      </c>
      <c r="L818" t="s">
        <v>96</v>
      </c>
      <c r="M818" t="s">
        <v>73</v>
      </c>
      <c r="R818" t="s">
        <v>5162</v>
      </c>
      <c r="S818" t="s">
        <v>2442</v>
      </c>
      <c r="T818" t="s">
        <v>91</v>
      </c>
      <c r="U818" t="s">
        <v>74</v>
      </c>
      <c r="V818" t="str">
        <f>"100323720"</f>
        <v>100323720</v>
      </c>
      <c r="AC818" t="s">
        <v>76</v>
      </c>
      <c r="AD818" t="s">
        <v>73</v>
      </c>
      <c r="AE818" t="s">
        <v>97</v>
      </c>
      <c r="AF818" t="s">
        <v>2228</v>
      </c>
      <c r="AG818" t="s">
        <v>78</v>
      </c>
    </row>
    <row r="819" spans="1:33" hidden="1" x14ac:dyDescent="0.25">
      <c r="A819" t="str">
        <f>"1942488366"</f>
        <v>1942488366</v>
      </c>
      <c r="B819" t="str">
        <f>"03223952"</f>
        <v>03223952</v>
      </c>
      <c r="C819" t="s">
        <v>5163</v>
      </c>
      <c r="D819" t="s">
        <v>5164</v>
      </c>
      <c r="E819" t="s">
        <v>5165</v>
      </c>
      <c r="L819" t="s">
        <v>72</v>
      </c>
      <c r="M819" t="s">
        <v>73</v>
      </c>
      <c r="R819" t="s">
        <v>5166</v>
      </c>
      <c r="W819" t="s">
        <v>5165</v>
      </c>
      <c r="X819" t="s">
        <v>170</v>
      </c>
      <c r="Y819" t="s">
        <v>91</v>
      </c>
      <c r="Z819" t="s">
        <v>74</v>
      </c>
      <c r="AA819" t="str">
        <f>"10065-4870"</f>
        <v>10065-4870</v>
      </c>
      <c r="AB819" t="s">
        <v>75</v>
      </c>
      <c r="AC819" t="s">
        <v>76</v>
      </c>
      <c r="AD819" t="s">
        <v>73</v>
      </c>
      <c r="AE819" t="s">
        <v>77</v>
      </c>
      <c r="AF819" t="s">
        <v>2242</v>
      </c>
      <c r="AG819" t="s">
        <v>78</v>
      </c>
    </row>
    <row r="820" spans="1:33" hidden="1" x14ac:dyDescent="0.25">
      <c r="A820" t="str">
        <f>"1295749273"</f>
        <v>1295749273</v>
      </c>
      <c r="B820" t="str">
        <f>"02517797"</f>
        <v>02517797</v>
      </c>
      <c r="C820" t="s">
        <v>5167</v>
      </c>
      <c r="D820" t="s">
        <v>5168</v>
      </c>
      <c r="E820" t="s">
        <v>5169</v>
      </c>
      <c r="L820" t="s">
        <v>80</v>
      </c>
      <c r="M820" t="s">
        <v>73</v>
      </c>
      <c r="R820" t="s">
        <v>5170</v>
      </c>
      <c r="W820" t="s">
        <v>5169</v>
      </c>
      <c r="X820" t="s">
        <v>167</v>
      </c>
      <c r="Y820" t="s">
        <v>91</v>
      </c>
      <c r="Z820" t="s">
        <v>74</v>
      </c>
      <c r="AA820" t="str">
        <f>"10032-3720"</f>
        <v>10032-3720</v>
      </c>
      <c r="AB820" t="s">
        <v>75</v>
      </c>
      <c r="AC820" t="s">
        <v>76</v>
      </c>
      <c r="AD820" t="s">
        <v>73</v>
      </c>
      <c r="AE820" t="s">
        <v>77</v>
      </c>
      <c r="AF820" t="s">
        <v>2228</v>
      </c>
      <c r="AG820" t="s">
        <v>78</v>
      </c>
    </row>
    <row r="821" spans="1:33" hidden="1" x14ac:dyDescent="0.25">
      <c r="A821" t="str">
        <f>"1124041538"</f>
        <v>1124041538</v>
      </c>
      <c r="B821" t="str">
        <f>"03127502"</f>
        <v>03127502</v>
      </c>
      <c r="C821" t="s">
        <v>5171</v>
      </c>
      <c r="D821" t="s">
        <v>1804</v>
      </c>
      <c r="E821" t="s">
        <v>1805</v>
      </c>
      <c r="L821" t="s">
        <v>81</v>
      </c>
      <c r="M821" t="s">
        <v>82</v>
      </c>
      <c r="R821" t="s">
        <v>1805</v>
      </c>
      <c r="W821" t="s">
        <v>1806</v>
      </c>
      <c r="X821" t="s">
        <v>620</v>
      </c>
      <c r="Y821" t="s">
        <v>91</v>
      </c>
      <c r="Z821" t="s">
        <v>74</v>
      </c>
      <c r="AA821" t="str">
        <f>"10002-2301"</f>
        <v>10002-2301</v>
      </c>
      <c r="AB821" t="s">
        <v>75</v>
      </c>
      <c r="AC821" t="s">
        <v>76</v>
      </c>
      <c r="AD821" t="s">
        <v>73</v>
      </c>
      <c r="AE821" t="s">
        <v>77</v>
      </c>
      <c r="AF821" t="s">
        <v>2398</v>
      </c>
      <c r="AG821" t="s">
        <v>78</v>
      </c>
    </row>
    <row r="822" spans="1:33" hidden="1" x14ac:dyDescent="0.25">
      <c r="A822" t="str">
        <f>"1558372326"</f>
        <v>1558372326</v>
      </c>
      <c r="B822" t="str">
        <f>"01524712"</f>
        <v>01524712</v>
      </c>
      <c r="C822" t="s">
        <v>5172</v>
      </c>
      <c r="D822" t="s">
        <v>5173</v>
      </c>
      <c r="E822" t="s">
        <v>5174</v>
      </c>
      <c r="L822" t="s">
        <v>80</v>
      </c>
      <c r="M822" t="s">
        <v>73</v>
      </c>
      <c r="R822" t="s">
        <v>5175</v>
      </c>
      <c r="W822" t="s">
        <v>5174</v>
      </c>
      <c r="X822" t="s">
        <v>5176</v>
      </c>
      <c r="Y822" t="s">
        <v>91</v>
      </c>
      <c r="Z822" t="s">
        <v>74</v>
      </c>
      <c r="AA822" t="str">
        <f>"10032-3720"</f>
        <v>10032-3720</v>
      </c>
      <c r="AB822" t="s">
        <v>75</v>
      </c>
      <c r="AC822" t="s">
        <v>76</v>
      </c>
      <c r="AD822" t="s">
        <v>73</v>
      </c>
      <c r="AE822" t="s">
        <v>77</v>
      </c>
      <c r="AF822" t="s">
        <v>2242</v>
      </c>
      <c r="AG822" t="s">
        <v>78</v>
      </c>
    </row>
    <row r="823" spans="1:33" hidden="1" x14ac:dyDescent="0.25">
      <c r="A823" t="str">
        <f>"1902974488"</f>
        <v>1902974488</v>
      </c>
      <c r="C823" t="s">
        <v>5177</v>
      </c>
      <c r="G823" t="s">
        <v>2224</v>
      </c>
      <c r="H823" t="s">
        <v>2312</v>
      </c>
      <c r="J823" t="s">
        <v>2226</v>
      </c>
      <c r="K823" t="s">
        <v>171</v>
      </c>
      <c r="L823" t="s">
        <v>96</v>
      </c>
      <c r="M823" t="s">
        <v>73</v>
      </c>
      <c r="R823" t="s">
        <v>5178</v>
      </c>
      <c r="S823" t="s">
        <v>167</v>
      </c>
      <c r="T823" t="s">
        <v>91</v>
      </c>
      <c r="U823" t="s">
        <v>74</v>
      </c>
      <c r="V823" t="str">
        <f>"100323720"</f>
        <v>100323720</v>
      </c>
      <c r="AC823" t="s">
        <v>76</v>
      </c>
      <c r="AD823" t="s">
        <v>73</v>
      </c>
      <c r="AE823" t="s">
        <v>97</v>
      </c>
      <c r="AF823" t="s">
        <v>2228</v>
      </c>
      <c r="AG823" t="s">
        <v>78</v>
      </c>
    </row>
    <row r="824" spans="1:33" hidden="1" x14ac:dyDescent="0.25">
      <c r="A824" t="str">
        <f>"1427291301"</f>
        <v>1427291301</v>
      </c>
      <c r="B824" t="str">
        <f>"04122712"</f>
        <v>04122712</v>
      </c>
      <c r="C824" t="s">
        <v>5179</v>
      </c>
      <c r="D824" t="s">
        <v>5180</v>
      </c>
      <c r="E824" t="s">
        <v>5181</v>
      </c>
      <c r="G824" t="s">
        <v>2224</v>
      </c>
      <c r="H824" t="s">
        <v>2312</v>
      </c>
      <c r="J824" t="s">
        <v>2226</v>
      </c>
      <c r="L824" t="s">
        <v>72</v>
      </c>
      <c r="M824" t="s">
        <v>73</v>
      </c>
      <c r="R824" t="s">
        <v>5182</v>
      </c>
      <c r="W824" t="s">
        <v>5181</v>
      </c>
      <c r="X824" t="s">
        <v>170</v>
      </c>
      <c r="Y824" t="s">
        <v>91</v>
      </c>
      <c r="Z824" t="s">
        <v>74</v>
      </c>
      <c r="AA824" t="str">
        <f>"10065-4870"</f>
        <v>10065-4870</v>
      </c>
      <c r="AB824" t="s">
        <v>75</v>
      </c>
      <c r="AC824" t="s">
        <v>76</v>
      </c>
      <c r="AD824" t="s">
        <v>73</v>
      </c>
      <c r="AE824" t="s">
        <v>77</v>
      </c>
      <c r="AF824" t="s">
        <v>2242</v>
      </c>
      <c r="AG824" t="s">
        <v>78</v>
      </c>
    </row>
    <row r="825" spans="1:33" hidden="1" x14ac:dyDescent="0.25">
      <c r="A825" t="str">
        <f>"1407197825"</f>
        <v>1407197825</v>
      </c>
      <c r="C825" t="s">
        <v>5183</v>
      </c>
      <c r="G825" t="s">
        <v>2224</v>
      </c>
      <c r="H825" t="s">
        <v>2312</v>
      </c>
      <c r="J825" t="s">
        <v>2226</v>
      </c>
      <c r="K825" t="s">
        <v>171</v>
      </c>
      <c r="L825" t="s">
        <v>96</v>
      </c>
      <c r="M825" t="s">
        <v>73</v>
      </c>
      <c r="R825" t="s">
        <v>5184</v>
      </c>
      <c r="S825" t="s">
        <v>170</v>
      </c>
      <c r="T825" t="s">
        <v>91</v>
      </c>
      <c r="U825" t="s">
        <v>74</v>
      </c>
      <c r="V825" t="str">
        <f>"100654870"</f>
        <v>100654870</v>
      </c>
      <c r="AC825" t="s">
        <v>76</v>
      </c>
      <c r="AD825" t="s">
        <v>73</v>
      </c>
      <c r="AE825" t="s">
        <v>97</v>
      </c>
      <c r="AF825" t="s">
        <v>2242</v>
      </c>
      <c r="AG825" t="s">
        <v>78</v>
      </c>
    </row>
    <row r="826" spans="1:33" hidden="1" x14ac:dyDescent="0.25">
      <c r="A826" t="str">
        <f>"1043307127"</f>
        <v>1043307127</v>
      </c>
      <c r="B826" t="str">
        <f>"02113073"</f>
        <v>02113073</v>
      </c>
      <c r="C826" t="s">
        <v>5185</v>
      </c>
      <c r="D826" t="s">
        <v>5186</v>
      </c>
      <c r="E826" t="s">
        <v>5187</v>
      </c>
      <c r="L826" t="s">
        <v>80</v>
      </c>
      <c r="M826" t="s">
        <v>73</v>
      </c>
      <c r="R826" t="s">
        <v>5188</v>
      </c>
      <c r="W826" t="s">
        <v>5187</v>
      </c>
      <c r="X826" t="s">
        <v>1445</v>
      </c>
      <c r="Y826" t="s">
        <v>91</v>
      </c>
      <c r="Z826" t="s">
        <v>74</v>
      </c>
      <c r="AA826" t="str">
        <f>"10016-4901"</f>
        <v>10016-4901</v>
      </c>
      <c r="AB826" t="s">
        <v>75</v>
      </c>
      <c r="AC826" t="s">
        <v>76</v>
      </c>
      <c r="AD826" t="s">
        <v>73</v>
      </c>
      <c r="AE826" t="s">
        <v>77</v>
      </c>
      <c r="AF826" t="s">
        <v>2254</v>
      </c>
      <c r="AG826" t="s">
        <v>78</v>
      </c>
    </row>
    <row r="827" spans="1:33" hidden="1" x14ac:dyDescent="0.25">
      <c r="A827" t="str">
        <f>"1093973448"</f>
        <v>1093973448</v>
      </c>
      <c r="B827" t="str">
        <f>"03287125"</f>
        <v>03287125</v>
      </c>
      <c r="C827" t="s">
        <v>5189</v>
      </c>
      <c r="D827" t="s">
        <v>5190</v>
      </c>
      <c r="E827" t="s">
        <v>5191</v>
      </c>
      <c r="L827" t="s">
        <v>80</v>
      </c>
      <c r="M827" t="s">
        <v>73</v>
      </c>
      <c r="R827" t="s">
        <v>5192</v>
      </c>
      <c r="W827" t="s">
        <v>5191</v>
      </c>
      <c r="X827" t="s">
        <v>1695</v>
      </c>
      <c r="Y827" t="s">
        <v>91</v>
      </c>
      <c r="Z827" t="s">
        <v>74</v>
      </c>
      <c r="AA827" t="str">
        <f>"10032"</f>
        <v>10032</v>
      </c>
      <c r="AB827" t="s">
        <v>75</v>
      </c>
      <c r="AC827" t="s">
        <v>76</v>
      </c>
      <c r="AD827" t="s">
        <v>73</v>
      </c>
      <c r="AE827" t="s">
        <v>77</v>
      </c>
      <c r="AF827" t="s">
        <v>2228</v>
      </c>
      <c r="AG827" t="s">
        <v>78</v>
      </c>
    </row>
    <row r="828" spans="1:33" hidden="1" x14ac:dyDescent="0.25">
      <c r="A828" t="str">
        <f>"1629102843"</f>
        <v>1629102843</v>
      </c>
      <c r="C828" t="s">
        <v>5193</v>
      </c>
      <c r="G828" t="s">
        <v>2224</v>
      </c>
      <c r="H828" t="s">
        <v>2312</v>
      </c>
      <c r="J828" t="s">
        <v>2226</v>
      </c>
      <c r="K828" t="s">
        <v>171</v>
      </c>
      <c r="L828" t="s">
        <v>96</v>
      </c>
      <c r="M828" t="s">
        <v>73</v>
      </c>
      <c r="R828" t="s">
        <v>5194</v>
      </c>
      <c r="S828" t="s">
        <v>2770</v>
      </c>
      <c r="T828" t="s">
        <v>91</v>
      </c>
      <c r="U828" t="s">
        <v>74</v>
      </c>
      <c r="V828" t="str">
        <f>"100323720"</f>
        <v>100323720</v>
      </c>
      <c r="AC828" t="s">
        <v>76</v>
      </c>
      <c r="AD828" t="s">
        <v>73</v>
      </c>
      <c r="AE828" t="s">
        <v>97</v>
      </c>
      <c r="AF828" t="s">
        <v>2254</v>
      </c>
      <c r="AG828" t="s">
        <v>78</v>
      </c>
    </row>
    <row r="829" spans="1:33" hidden="1" x14ac:dyDescent="0.25">
      <c r="A829" t="str">
        <f>"1386773901"</f>
        <v>1386773901</v>
      </c>
      <c r="B829" t="str">
        <f>"02863321"</f>
        <v>02863321</v>
      </c>
      <c r="C829" t="s">
        <v>5195</v>
      </c>
      <c r="D829" t="s">
        <v>5196</v>
      </c>
      <c r="E829" t="s">
        <v>5197</v>
      </c>
      <c r="L829" t="s">
        <v>80</v>
      </c>
      <c r="M829" t="s">
        <v>73</v>
      </c>
      <c r="R829" t="s">
        <v>5198</v>
      </c>
      <c r="W829" t="s">
        <v>5197</v>
      </c>
      <c r="X829" t="s">
        <v>3477</v>
      </c>
      <c r="Y829" t="s">
        <v>91</v>
      </c>
      <c r="Z829" t="s">
        <v>74</v>
      </c>
      <c r="AA829" t="str">
        <f>"10032-3725"</f>
        <v>10032-3725</v>
      </c>
      <c r="AB829" t="s">
        <v>75</v>
      </c>
      <c r="AC829" t="s">
        <v>76</v>
      </c>
      <c r="AD829" t="s">
        <v>73</v>
      </c>
      <c r="AE829" t="s">
        <v>77</v>
      </c>
      <c r="AF829" t="s">
        <v>2228</v>
      </c>
      <c r="AG829" t="s">
        <v>78</v>
      </c>
    </row>
    <row r="830" spans="1:33" hidden="1" x14ac:dyDescent="0.25">
      <c r="A830" t="str">
        <f>"1972802262"</f>
        <v>1972802262</v>
      </c>
      <c r="C830" t="s">
        <v>5199</v>
      </c>
      <c r="G830" t="s">
        <v>2224</v>
      </c>
      <c r="H830" t="s">
        <v>2312</v>
      </c>
      <c r="J830" t="s">
        <v>2226</v>
      </c>
      <c r="K830" t="s">
        <v>171</v>
      </c>
      <c r="L830" t="s">
        <v>96</v>
      </c>
      <c r="M830" t="s">
        <v>73</v>
      </c>
      <c r="R830" t="s">
        <v>5200</v>
      </c>
      <c r="S830" t="s">
        <v>151</v>
      </c>
      <c r="T830" t="s">
        <v>84</v>
      </c>
      <c r="U830" t="s">
        <v>74</v>
      </c>
      <c r="V830" t="str">
        <f>"112192916"</f>
        <v>112192916</v>
      </c>
      <c r="AC830" t="s">
        <v>76</v>
      </c>
      <c r="AD830" t="s">
        <v>73</v>
      </c>
      <c r="AE830" t="s">
        <v>97</v>
      </c>
      <c r="AF830" t="s">
        <v>2228</v>
      </c>
      <c r="AG830" t="s">
        <v>78</v>
      </c>
    </row>
    <row r="831" spans="1:33" hidden="1" x14ac:dyDescent="0.25">
      <c r="A831" t="str">
        <f>"1255574786"</f>
        <v>1255574786</v>
      </c>
      <c r="B831" t="str">
        <f>"03589562"</f>
        <v>03589562</v>
      </c>
      <c r="C831" t="s">
        <v>5201</v>
      </c>
      <c r="D831" t="s">
        <v>5202</v>
      </c>
      <c r="E831" t="s">
        <v>5203</v>
      </c>
      <c r="G831" t="s">
        <v>2224</v>
      </c>
      <c r="H831" t="s">
        <v>5204</v>
      </c>
      <c r="J831" t="s">
        <v>2226</v>
      </c>
      <c r="L831" t="s">
        <v>80</v>
      </c>
      <c r="M831" t="s">
        <v>73</v>
      </c>
      <c r="R831" t="s">
        <v>5203</v>
      </c>
      <c r="W831" t="s">
        <v>5203</v>
      </c>
      <c r="X831" t="s">
        <v>5205</v>
      </c>
      <c r="Y831" t="s">
        <v>91</v>
      </c>
      <c r="Z831" t="s">
        <v>74</v>
      </c>
      <c r="AA831" t="str">
        <f>"10021-5663"</f>
        <v>10021-5663</v>
      </c>
      <c r="AB831" t="s">
        <v>75</v>
      </c>
      <c r="AC831" t="s">
        <v>76</v>
      </c>
      <c r="AD831" t="s">
        <v>73</v>
      </c>
      <c r="AE831" t="s">
        <v>77</v>
      </c>
      <c r="AF831" t="s">
        <v>2242</v>
      </c>
      <c r="AG831" t="s">
        <v>78</v>
      </c>
    </row>
    <row r="832" spans="1:33" hidden="1" x14ac:dyDescent="0.25">
      <c r="A832" t="str">
        <f>"1891747465"</f>
        <v>1891747465</v>
      </c>
      <c r="B832" t="str">
        <f>"01151899"</f>
        <v>01151899</v>
      </c>
      <c r="C832" t="s">
        <v>5206</v>
      </c>
      <c r="D832" t="s">
        <v>5207</v>
      </c>
      <c r="E832" t="s">
        <v>5208</v>
      </c>
      <c r="G832" t="s">
        <v>2224</v>
      </c>
      <c r="H832" t="s">
        <v>2225</v>
      </c>
      <c r="J832" t="s">
        <v>2226</v>
      </c>
      <c r="L832" t="s">
        <v>96</v>
      </c>
      <c r="M832" t="s">
        <v>73</v>
      </c>
      <c r="R832" t="s">
        <v>5209</v>
      </c>
      <c r="W832" t="s">
        <v>5208</v>
      </c>
      <c r="X832" t="s">
        <v>2147</v>
      </c>
      <c r="Y832" t="s">
        <v>91</v>
      </c>
      <c r="Z832" t="s">
        <v>74</v>
      </c>
      <c r="AA832" t="str">
        <f>"10029-6500"</f>
        <v>10029-6500</v>
      </c>
      <c r="AB832" t="s">
        <v>75</v>
      </c>
      <c r="AC832" t="s">
        <v>76</v>
      </c>
      <c r="AD832" t="s">
        <v>73</v>
      </c>
      <c r="AE832" t="s">
        <v>77</v>
      </c>
      <c r="AF832" t="s">
        <v>2242</v>
      </c>
      <c r="AG832" t="s">
        <v>78</v>
      </c>
    </row>
    <row r="833" spans="1:33" hidden="1" x14ac:dyDescent="0.25">
      <c r="A833" t="str">
        <f>"1003109893"</f>
        <v>1003109893</v>
      </c>
      <c r="B833" t="str">
        <f>"03988281"</f>
        <v>03988281</v>
      </c>
      <c r="C833" t="s">
        <v>5210</v>
      </c>
      <c r="D833" t="s">
        <v>5211</v>
      </c>
      <c r="E833" t="s">
        <v>5212</v>
      </c>
      <c r="G833" t="s">
        <v>2224</v>
      </c>
      <c r="H833" t="s">
        <v>2225</v>
      </c>
      <c r="J833" t="s">
        <v>2226</v>
      </c>
      <c r="L833" t="s">
        <v>72</v>
      </c>
      <c r="M833" t="s">
        <v>73</v>
      </c>
      <c r="R833" t="s">
        <v>5213</v>
      </c>
      <c r="W833" t="s">
        <v>5212</v>
      </c>
      <c r="X833" t="s">
        <v>5214</v>
      </c>
      <c r="Y833" t="s">
        <v>91</v>
      </c>
      <c r="Z833" t="s">
        <v>74</v>
      </c>
      <c r="AA833" t="str">
        <f>"10065-4870"</f>
        <v>10065-4870</v>
      </c>
      <c r="AB833" t="s">
        <v>75</v>
      </c>
      <c r="AC833" t="s">
        <v>76</v>
      </c>
      <c r="AD833" t="s">
        <v>73</v>
      </c>
      <c r="AE833" t="s">
        <v>77</v>
      </c>
      <c r="AF833" t="s">
        <v>2242</v>
      </c>
      <c r="AG833" t="s">
        <v>78</v>
      </c>
    </row>
    <row r="834" spans="1:33" hidden="1" x14ac:dyDescent="0.25">
      <c r="A834" t="str">
        <f>"1629018205"</f>
        <v>1629018205</v>
      </c>
      <c r="B834" t="str">
        <f>"02996578"</f>
        <v>02996578</v>
      </c>
      <c r="C834" t="s">
        <v>3498</v>
      </c>
      <c r="D834" t="s">
        <v>5215</v>
      </c>
      <c r="E834" t="s">
        <v>4627</v>
      </c>
      <c r="G834" t="s">
        <v>2224</v>
      </c>
      <c r="H834" t="s">
        <v>5216</v>
      </c>
      <c r="J834" t="s">
        <v>2226</v>
      </c>
      <c r="L834" t="s">
        <v>36</v>
      </c>
      <c r="M834" t="s">
        <v>73</v>
      </c>
      <c r="R834" t="s">
        <v>3498</v>
      </c>
      <c r="W834" t="s">
        <v>3498</v>
      </c>
      <c r="X834" t="s">
        <v>5217</v>
      </c>
      <c r="Y834" t="s">
        <v>91</v>
      </c>
      <c r="Z834" t="s">
        <v>74</v>
      </c>
      <c r="AA834" t="str">
        <f>"10065-4870"</f>
        <v>10065-4870</v>
      </c>
      <c r="AB834" t="s">
        <v>87</v>
      </c>
      <c r="AC834" t="s">
        <v>76</v>
      </c>
      <c r="AD834" t="s">
        <v>73</v>
      </c>
      <c r="AE834" t="s">
        <v>77</v>
      </c>
      <c r="AF834" t="s">
        <v>2254</v>
      </c>
      <c r="AG834" t="s">
        <v>78</v>
      </c>
    </row>
    <row r="835" spans="1:33" hidden="1" x14ac:dyDescent="0.25">
      <c r="A835" t="str">
        <f>"1851617237"</f>
        <v>1851617237</v>
      </c>
      <c r="B835" t="str">
        <f>"03734838"</f>
        <v>03734838</v>
      </c>
      <c r="C835" t="s">
        <v>5218</v>
      </c>
      <c r="D835" t="s">
        <v>5219</v>
      </c>
      <c r="E835" t="s">
        <v>5220</v>
      </c>
      <c r="G835" t="s">
        <v>2224</v>
      </c>
      <c r="H835" t="s">
        <v>5221</v>
      </c>
      <c r="J835" t="s">
        <v>2226</v>
      </c>
      <c r="L835" t="s">
        <v>80</v>
      </c>
      <c r="M835" t="s">
        <v>73</v>
      </c>
      <c r="R835" t="s">
        <v>5222</v>
      </c>
      <c r="W835" t="s">
        <v>5220</v>
      </c>
      <c r="X835" t="s">
        <v>1695</v>
      </c>
      <c r="Y835" t="s">
        <v>91</v>
      </c>
      <c r="Z835" t="s">
        <v>74</v>
      </c>
      <c r="AA835" t="str">
        <f>"10032"</f>
        <v>10032</v>
      </c>
      <c r="AB835" t="s">
        <v>75</v>
      </c>
      <c r="AC835" t="s">
        <v>76</v>
      </c>
      <c r="AD835" t="s">
        <v>73</v>
      </c>
      <c r="AE835" t="s">
        <v>77</v>
      </c>
      <c r="AF835" t="s">
        <v>2254</v>
      </c>
      <c r="AG835" t="s">
        <v>78</v>
      </c>
    </row>
    <row r="836" spans="1:33" hidden="1" x14ac:dyDescent="0.25">
      <c r="A836" t="str">
        <f>"1427181569"</f>
        <v>1427181569</v>
      </c>
      <c r="B836" t="str">
        <f>"01884257"</f>
        <v>01884257</v>
      </c>
      <c r="C836" t="s">
        <v>5223</v>
      </c>
      <c r="D836" t="s">
        <v>5224</v>
      </c>
      <c r="E836" t="s">
        <v>5225</v>
      </c>
      <c r="G836" t="s">
        <v>2224</v>
      </c>
      <c r="H836" t="s">
        <v>2225</v>
      </c>
      <c r="J836" t="s">
        <v>2226</v>
      </c>
      <c r="L836" t="s">
        <v>80</v>
      </c>
      <c r="M836" t="s">
        <v>73</v>
      </c>
      <c r="R836" t="s">
        <v>5226</v>
      </c>
      <c r="W836" t="s">
        <v>5227</v>
      </c>
      <c r="X836" t="s">
        <v>167</v>
      </c>
      <c r="Y836" t="s">
        <v>91</v>
      </c>
      <c r="Z836" t="s">
        <v>74</v>
      </c>
      <c r="AA836" t="str">
        <f>"10032-3720"</f>
        <v>10032-3720</v>
      </c>
      <c r="AB836" t="s">
        <v>75</v>
      </c>
      <c r="AC836" t="s">
        <v>76</v>
      </c>
      <c r="AD836" t="s">
        <v>73</v>
      </c>
      <c r="AE836" t="s">
        <v>77</v>
      </c>
      <c r="AF836" t="s">
        <v>2254</v>
      </c>
      <c r="AG836" t="s">
        <v>78</v>
      </c>
    </row>
    <row r="837" spans="1:33" hidden="1" x14ac:dyDescent="0.25">
      <c r="A837" t="str">
        <f>"1427199058"</f>
        <v>1427199058</v>
      </c>
      <c r="B837" t="str">
        <f>"01902592"</f>
        <v>01902592</v>
      </c>
      <c r="C837" t="s">
        <v>5228</v>
      </c>
      <c r="D837" t="s">
        <v>5229</v>
      </c>
      <c r="E837" t="s">
        <v>5230</v>
      </c>
      <c r="G837" t="s">
        <v>2224</v>
      </c>
      <c r="H837" t="s">
        <v>2225</v>
      </c>
      <c r="J837" t="s">
        <v>2226</v>
      </c>
      <c r="L837" t="s">
        <v>72</v>
      </c>
      <c r="M837" t="s">
        <v>73</v>
      </c>
      <c r="R837" t="s">
        <v>5231</v>
      </c>
      <c r="W837" t="s">
        <v>5230</v>
      </c>
      <c r="Y837" t="s">
        <v>91</v>
      </c>
      <c r="Z837" t="s">
        <v>74</v>
      </c>
      <c r="AA837" t="str">
        <f>"10032-3726"</f>
        <v>10032-3726</v>
      </c>
      <c r="AB837" t="s">
        <v>75</v>
      </c>
      <c r="AC837" t="s">
        <v>76</v>
      </c>
      <c r="AD837" t="s">
        <v>73</v>
      </c>
      <c r="AE837" t="s">
        <v>77</v>
      </c>
      <c r="AF837" t="s">
        <v>2228</v>
      </c>
      <c r="AG837" t="s">
        <v>78</v>
      </c>
    </row>
    <row r="838" spans="1:33" hidden="1" x14ac:dyDescent="0.25">
      <c r="A838" t="str">
        <f>"1922128842"</f>
        <v>1922128842</v>
      </c>
      <c r="B838" t="str">
        <f>"02985440"</f>
        <v>02985440</v>
      </c>
      <c r="C838" t="s">
        <v>5232</v>
      </c>
      <c r="D838" t="s">
        <v>5233</v>
      </c>
      <c r="E838" t="s">
        <v>5234</v>
      </c>
      <c r="L838" t="s">
        <v>80</v>
      </c>
      <c r="M838" t="s">
        <v>73</v>
      </c>
      <c r="R838" t="s">
        <v>5235</v>
      </c>
      <c r="W838" t="s">
        <v>5236</v>
      </c>
      <c r="X838" t="s">
        <v>170</v>
      </c>
      <c r="Y838" t="s">
        <v>91</v>
      </c>
      <c r="Z838" t="s">
        <v>74</v>
      </c>
      <c r="AA838" t="str">
        <f>"10065-4870"</f>
        <v>10065-4870</v>
      </c>
      <c r="AB838" t="s">
        <v>75</v>
      </c>
      <c r="AC838" t="s">
        <v>76</v>
      </c>
      <c r="AD838" t="s">
        <v>73</v>
      </c>
      <c r="AE838" t="s">
        <v>77</v>
      </c>
      <c r="AF838" t="s">
        <v>2242</v>
      </c>
      <c r="AG838" t="s">
        <v>78</v>
      </c>
    </row>
    <row r="839" spans="1:33" hidden="1" x14ac:dyDescent="0.25">
      <c r="A839" t="str">
        <f>"1710983010"</f>
        <v>1710983010</v>
      </c>
      <c r="B839" t="str">
        <f>"00812304"</f>
        <v>00812304</v>
      </c>
      <c r="C839" t="s">
        <v>5237</v>
      </c>
      <c r="D839" t="s">
        <v>5238</v>
      </c>
      <c r="E839" t="s">
        <v>5239</v>
      </c>
      <c r="L839" t="s">
        <v>80</v>
      </c>
      <c r="M839" t="s">
        <v>73</v>
      </c>
      <c r="R839" t="s">
        <v>5240</v>
      </c>
      <c r="W839" t="s">
        <v>5239</v>
      </c>
      <c r="X839" t="s">
        <v>2213</v>
      </c>
      <c r="Y839" t="s">
        <v>176</v>
      </c>
      <c r="Z839" t="s">
        <v>74</v>
      </c>
      <c r="AA839" t="str">
        <f>"11570"</f>
        <v>11570</v>
      </c>
      <c r="AB839" t="s">
        <v>75</v>
      </c>
      <c r="AC839" t="s">
        <v>76</v>
      </c>
      <c r="AD839" t="s">
        <v>73</v>
      </c>
      <c r="AE839" t="s">
        <v>77</v>
      </c>
      <c r="AF839" t="s">
        <v>2242</v>
      </c>
      <c r="AG839" t="s">
        <v>78</v>
      </c>
    </row>
    <row r="840" spans="1:33" hidden="1" x14ac:dyDescent="0.25">
      <c r="A840" t="str">
        <f>"1033344148"</f>
        <v>1033344148</v>
      </c>
      <c r="C840" t="s">
        <v>5241</v>
      </c>
      <c r="G840" t="s">
        <v>2224</v>
      </c>
      <c r="H840" t="s">
        <v>2312</v>
      </c>
      <c r="J840" t="s">
        <v>2226</v>
      </c>
      <c r="K840" t="s">
        <v>171</v>
      </c>
      <c r="L840" t="s">
        <v>96</v>
      </c>
      <c r="M840" t="s">
        <v>73</v>
      </c>
      <c r="R840" t="s">
        <v>5242</v>
      </c>
      <c r="S840" t="s">
        <v>5243</v>
      </c>
      <c r="T840" t="s">
        <v>121</v>
      </c>
      <c r="U840" t="s">
        <v>74</v>
      </c>
      <c r="V840" t="str">
        <f>"142012027"</f>
        <v>142012027</v>
      </c>
      <c r="AC840" t="s">
        <v>76</v>
      </c>
      <c r="AD840" t="s">
        <v>73</v>
      </c>
      <c r="AE840" t="s">
        <v>97</v>
      </c>
      <c r="AF840" t="s">
        <v>2228</v>
      </c>
      <c r="AG840" t="s">
        <v>78</v>
      </c>
    </row>
    <row r="841" spans="1:33" hidden="1" x14ac:dyDescent="0.25">
      <c r="A841" t="str">
        <f>"1740449644"</f>
        <v>1740449644</v>
      </c>
      <c r="C841" t="s">
        <v>5244</v>
      </c>
      <c r="G841" t="s">
        <v>2224</v>
      </c>
      <c r="H841" t="s">
        <v>2312</v>
      </c>
      <c r="J841" t="s">
        <v>2226</v>
      </c>
      <c r="K841" t="s">
        <v>171</v>
      </c>
      <c r="L841" t="s">
        <v>96</v>
      </c>
      <c r="M841" t="s">
        <v>73</v>
      </c>
      <c r="R841" t="s">
        <v>5245</v>
      </c>
      <c r="S841" t="s">
        <v>2770</v>
      </c>
      <c r="T841" t="s">
        <v>91</v>
      </c>
      <c r="U841" t="s">
        <v>74</v>
      </c>
      <c r="V841" t="str">
        <f>"100323720"</f>
        <v>100323720</v>
      </c>
      <c r="AC841" t="s">
        <v>76</v>
      </c>
      <c r="AD841" t="s">
        <v>73</v>
      </c>
      <c r="AE841" t="s">
        <v>97</v>
      </c>
      <c r="AF841" t="s">
        <v>2228</v>
      </c>
      <c r="AG841" t="s">
        <v>78</v>
      </c>
    </row>
    <row r="842" spans="1:33" hidden="1" x14ac:dyDescent="0.25">
      <c r="A842" t="str">
        <f>"1548488505"</f>
        <v>1548488505</v>
      </c>
      <c r="C842" t="s">
        <v>5246</v>
      </c>
      <c r="G842" t="s">
        <v>2224</v>
      </c>
      <c r="H842" t="s">
        <v>2312</v>
      </c>
      <c r="J842" t="s">
        <v>2226</v>
      </c>
      <c r="K842" t="s">
        <v>171</v>
      </c>
      <c r="L842" t="s">
        <v>72</v>
      </c>
      <c r="M842" t="s">
        <v>73</v>
      </c>
      <c r="R842" t="s">
        <v>1744</v>
      </c>
      <c r="S842" t="s">
        <v>5247</v>
      </c>
      <c r="T842" t="s">
        <v>1174</v>
      </c>
      <c r="U842" t="s">
        <v>929</v>
      </c>
      <c r="V842" t="str">
        <f>"752357708"</f>
        <v>752357708</v>
      </c>
      <c r="AC842" t="s">
        <v>76</v>
      </c>
      <c r="AD842" t="s">
        <v>73</v>
      </c>
      <c r="AE842" t="s">
        <v>97</v>
      </c>
      <c r="AF842" t="s">
        <v>2228</v>
      </c>
      <c r="AG842" t="s">
        <v>78</v>
      </c>
    </row>
    <row r="843" spans="1:33" hidden="1" x14ac:dyDescent="0.25">
      <c r="A843" t="str">
        <f>"1043402597"</f>
        <v>1043402597</v>
      </c>
      <c r="B843" t="str">
        <f>"03784416"</f>
        <v>03784416</v>
      </c>
      <c r="C843" t="s">
        <v>5248</v>
      </c>
      <c r="D843" t="s">
        <v>5249</v>
      </c>
      <c r="E843" t="s">
        <v>5250</v>
      </c>
      <c r="L843" t="s">
        <v>80</v>
      </c>
      <c r="M843" t="s">
        <v>73</v>
      </c>
      <c r="R843" t="s">
        <v>5251</v>
      </c>
      <c r="W843" t="s">
        <v>5250</v>
      </c>
      <c r="X843" t="s">
        <v>1695</v>
      </c>
      <c r="Y843" t="s">
        <v>91</v>
      </c>
      <c r="Z843" t="s">
        <v>74</v>
      </c>
      <c r="AA843" t="str">
        <f>"10032"</f>
        <v>10032</v>
      </c>
      <c r="AB843" t="s">
        <v>75</v>
      </c>
      <c r="AC843" t="s">
        <v>76</v>
      </c>
      <c r="AD843" t="s">
        <v>73</v>
      </c>
      <c r="AE843" t="s">
        <v>77</v>
      </c>
      <c r="AF843" t="s">
        <v>2228</v>
      </c>
      <c r="AG843" t="s">
        <v>78</v>
      </c>
    </row>
    <row r="844" spans="1:33" hidden="1" x14ac:dyDescent="0.25">
      <c r="A844" t="str">
        <f>"1801144274"</f>
        <v>1801144274</v>
      </c>
      <c r="B844" t="str">
        <f>"03652164"</f>
        <v>03652164</v>
      </c>
      <c r="C844" t="s">
        <v>5252</v>
      </c>
      <c r="D844" t="s">
        <v>5253</v>
      </c>
      <c r="E844" t="s">
        <v>5254</v>
      </c>
      <c r="L844" t="s">
        <v>80</v>
      </c>
      <c r="M844" t="s">
        <v>73</v>
      </c>
      <c r="R844" t="s">
        <v>5254</v>
      </c>
      <c r="W844" t="s">
        <v>5254</v>
      </c>
      <c r="X844" t="s">
        <v>1695</v>
      </c>
      <c r="Y844" t="s">
        <v>91</v>
      </c>
      <c r="Z844" t="s">
        <v>74</v>
      </c>
      <c r="AA844" t="str">
        <f>"10032"</f>
        <v>10032</v>
      </c>
      <c r="AB844" t="s">
        <v>75</v>
      </c>
      <c r="AC844" t="s">
        <v>76</v>
      </c>
      <c r="AD844" t="s">
        <v>73</v>
      </c>
      <c r="AE844" t="s">
        <v>77</v>
      </c>
      <c r="AF844" t="s">
        <v>2228</v>
      </c>
      <c r="AG844" t="s">
        <v>78</v>
      </c>
    </row>
    <row r="845" spans="1:33" hidden="1" x14ac:dyDescent="0.25">
      <c r="C845" t="s">
        <v>5255</v>
      </c>
      <c r="G845" t="s">
        <v>5256</v>
      </c>
      <c r="J845" t="s">
        <v>5257</v>
      </c>
      <c r="K845" t="s">
        <v>105</v>
      </c>
      <c r="L845" t="s">
        <v>94</v>
      </c>
      <c r="M845" t="s">
        <v>73</v>
      </c>
      <c r="AC845" t="s">
        <v>76</v>
      </c>
      <c r="AD845" t="s">
        <v>73</v>
      </c>
      <c r="AE845" t="s">
        <v>95</v>
      </c>
      <c r="AF845" t="s">
        <v>2254</v>
      </c>
      <c r="AG845" t="s">
        <v>78</v>
      </c>
    </row>
    <row r="846" spans="1:33" hidden="1" x14ac:dyDescent="0.25">
      <c r="A846" t="str">
        <f>"1700963535"</f>
        <v>1700963535</v>
      </c>
      <c r="B846" t="str">
        <f>"01288715"</f>
        <v>01288715</v>
      </c>
      <c r="C846" t="s">
        <v>5258</v>
      </c>
      <c r="D846" t="s">
        <v>5259</v>
      </c>
      <c r="E846" t="s">
        <v>5260</v>
      </c>
      <c r="G846" t="s">
        <v>2224</v>
      </c>
      <c r="H846" t="s">
        <v>2225</v>
      </c>
      <c r="J846" t="s">
        <v>2226</v>
      </c>
      <c r="L846" t="s">
        <v>72</v>
      </c>
      <c r="M846" t="s">
        <v>73</v>
      </c>
      <c r="R846" t="s">
        <v>5261</v>
      </c>
      <c r="W846" t="s">
        <v>5260</v>
      </c>
      <c r="X846" t="s">
        <v>5262</v>
      </c>
      <c r="Y846" t="s">
        <v>91</v>
      </c>
      <c r="Z846" t="s">
        <v>74</v>
      </c>
      <c r="AA846" t="str">
        <f>"10065-4870"</f>
        <v>10065-4870</v>
      </c>
      <c r="AB846" t="s">
        <v>79</v>
      </c>
      <c r="AC846" t="s">
        <v>76</v>
      </c>
      <c r="AD846" t="s">
        <v>73</v>
      </c>
      <c r="AE846" t="s">
        <v>77</v>
      </c>
      <c r="AF846" t="s">
        <v>2242</v>
      </c>
      <c r="AG846" t="s">
        <v>78</v>
      </c>
    </row>
    <row r="847" spans="1:33" hidden="1" x14ac:dyDescent="0.25">
      <c r="A847" t="str">
        <f>"1992946016"</f>
        <v>1992946016</v>
      </c>
      <c r="B847" t="str">
        <f>"03233612"</f>
        <v>03233612</v>
      </c>
      <c r="C847" t="s">
        <v>5263</v>
      </c>
      <c r="D847" t="s">
        <v>5264</v>
      </c>
      <c r="E847" t="s">
        <v>5265</v>
      </c>
      <c r="G847" t="s">
        <v>2224</v>
      </c>
      <c r="H847" t="s">
        <v>2225</v>
      </c>
      <c r="J847" t="s">
        <v>2226</v>
      </c>
      <c r="L847" t="s">
        <v>96</v>
      </c>
      <c r="M847" t="s">
        <v>73</v>
      </c>
      <c r="R847" t="s">
        <v>5265</v>
      </c>
      <c r="W847" t="s">
        <v>5265</v>
      </c>
      <c r="X847" t="s">
        <v>5266</v>
      </c>
      <c r="Y847" t="s">
        <v>91</v>
      </c>
      <c r="Z847" t="s">
        <v>74</v>
      </c>
      <c r="AA847" t="str">
        <f>"10040-2101"</f>
        <v>10040-2101</v>
      </c>
      <c r="AB847" t="s">
        <v>106</v>
      </c>
      <c r="AC847" t="s">
        <v>76</v>
      </c>
      <c r="AD847" t="s">
        <v>73</v>
      </c>
      <c r="AE847" t="s">
        <v>77</v>
      </c>
      <c r="AF847" t="s">
        <v>2254</v>
      </c>
      <c r="AG847" t="s">
        <v>78</v>
      </c>
    </row>
    <row r="848" spans="1:33" hidden="1" x14ac:dyDescent="0.25">
      <c r="A848" t="str">
        <f>"1083661987"</f>
        <v>1083661987</v>
      </c>
      <c r="B848" t="str">
        <f>"01792965"</f>
        <v>01792965</v>
      </c>
      <c r="C848" t="s">
        <v>5267</v>
      </c>
      <c r="D848" t="s">
        <v>5268</v>
      </c>
      <c r="E848" t="s">
        <v>5269</v>
      </c>
      <c r="G848" t="s">
        <v>2224</v>
      </c>
      <c r="H848" t="s">
        <v>2225</v>
      </c>
      <c r="J848" t="s">
        <v>2226</v>
      </c>
      <c r="L848" t="s">
        <v>80</v>
      </c>
      <c r="M848" t="s">
        <v>73</v>
      </c>
      <c r="R848" t="s">
        <v>5270</v>
      </c>
      <c r="W848" t="s">
        <v>5269</v>
      </c>
      <c r="X848" t="s">
        <v>5271</v>
      </c>
      <c r="Y848" t="s">
        <v>185</v>
      </c>
      <c r="Z848" t="s">
        <v>74</v>
      </c>
      <c r="AA848" t="str">
        <f>"11106-1434"</f>
        <v>11106-1434</v>
      </c>
      <c r="AB848" t="s">
        <v>75</v>
      </c>
      <c r="AC848" t="s">
        <v>76</v>
      </c>
      <c r="AD848" t="s">
        <v>73</v>
      </c>
      <c r="AE848" t="s">
        <v>77</v>
      </c>
      <c r="AF848" t="s">
        <v>2254</v>
      </c>
      <c r="AG848" t="s">
        <v>78</v>
      </c>
    </row>
    <row r="849" spans="1:33" hidden="1" x14ac:dyDescent="0.25">
      <c r="A849" t="str">
        <f>"1730260605"</f>
        <v>1730260605</v>
      </c>
      <c r="B849" t="str">
        <f>"01971131"</f>
        <v>01971131</v>
      </c>
      <c r="C849" t="s">
        <v>5272</v>
      </c>
      <c r="D849" t="s">
        <v>5273</v>
      </c>
      <c r="E849" t="s">
        <v>5274</v>
      </c>
      <c r="G849" t="s">
        <v>2224</v>
      </c>
      <c r="H849" t="s">
        <v>2225</v>
      </c>
      <c r="J849" t="s">
        <v>2226</v>
      </c>
      <c r="L849" t="s">
        <v>72</v>
      </c>
      <c r="M849" t="s">
        <v>73</v>
      </c>
      <c r="R849" t="s">
        <v>5275</v>
      </c>
      <c r="W849" t="s">
        <v>5274</v>
      </c>
      <c r="X849" t="s">
        <v>496</v>
      </c>
      <c r="Y849" t="s">
        <v>91</v>
      </c>
      <c r="Z849" t="s">
        <v>74</v>
      </c>
      <c r="AA849" t="str">
        <f>"10032-3726"</f>
        <v>10032-3726</v>
      </c>
      <c r="AB849" t="s">
        <v>75</v>
      </c>
      <c r="AC849" t="s">
        <v>76</v>
      </c>
      <c r="AD849" t="s">
        <v>73</v>
      </c>
      <c r="AE849" t="s">
        <v>77</v>
      </c>
      <c r="AF849" t="s">
        <v>2398</v>
      </c>
      <c r="AG849" t="s">
        <v>78</v>
      </c>
    </row>
    <row r="850" spans="1:33" hidden="1" x14ac:dyDescent="0.25">
      <c r="A850" t="str">
        <f>"1174629778"</f>
        <v>1174629778</v>
      </c>
      <c r="B850" t="str">
        <f>"03338112"</f>
        <v>03338112</v>
      </c>
      <c r="C850" t="s">
        <v>5276</v>
      </c>
      <c r="D850" t="s">
        <v>5277</v>
      </c>
      <c r="E850" t="s">
        <v>5278</v>
      </c>
      <c r="G850" t="s">
        <v>282</v>
      </c>
      <c r="H850" t="s">
        <v>248</v>
      </c>
      <c r="I850">
        <v>2604</v>
      </c>
      <c r="J850" t="s">
        <v>283</v>
      </c>
      <c r="L850" t="s">
        <v>80</v>
      </c>
      <c r="M850" t="s">
        <v>73</v>
      </c>
      <c r="R850" t="s">
        <v>5279</v>
      </c>
      <c r="W850" t="s">
        <v>5278</v>
      </c>
      <c r="X850" t="s">
        <v>249</v>
      </c>
      <c r="Y850" t="s">
        <v>91</v>
      </c>
      <c r="Z850" t="s">
        <v>74</v>
      </c>
      <c r="AA850" t="str">
        <f>"10013-3599"</f>
        <v>10013-3599</v>
      </c>
      <c r="AB850" t="s">
        <v>107</v>
      </c>
      <c r="AC850" t="s">
        <v>76</v>
      </c>
      <c r="AD850" t="s">
        <v>73</v>
      </c>
      <c r="AE850" t="s">
        <v>77</v>
      </c>
      <c r="AF850" t="s">
        <v>2319</v>
      </c>
      <c r="AG850" t="s">
        <v>78</v>
      </c>
    </row>
    <row r="851" spans="1:33" hidden="1" x14ac:dyDescent="0.25">
      <c r="A851" t="str">
        <f>"1366431389"</f>
        <v>1366431389</v>
      </c>
      <c r="B851" t="str">
        <f>"02643052"</f>
        <v>02643052</v>
      </c>
      <c r="C851" t="s">
        <v>5280</v>
      </c>
      <c r="D851" t="s">
        <v>2097</v>
      </c>
      <c r="E851" t="s">
        <v>2098</v>
      </c>
      <c r="G851" t="s">
        <v>282</v>
      </c>
      <c r="H851" t="s">
        <v>248</v>
      </c>
      <c r="I851">
        <v>2604</v>
      </c>
      <c r="J851" t="s">
        <v>283</v>
      </c>
      <c r="L851" t="s">
        <v>80</v>
      </c>
      <c r="M851" t="s">
        <v>73</v>
      </c>
      <c r="R851" t="s">
        <v>2098</v>
      </c>
      <c r="W851" t="s">
        <v>2098</v>
      </c>
      <c r="X851" t="s">
        <v>249</v>
      </c>
      <c r="Y851" t="s">
        <v>91</v>
      </c>
      <c r="Z851" t="s">
        <v>74</v>
      </c>
      <c r="AA851" t="str">
        <f>"10013-3599"</f>
        <v>10013-3599</v>
      </c>
      <c r="AB851" t="s">
        <v>107</v>
      </c>
      <c r="AC851" t="s">
        <v>76</v>
      </c>
      <c r="AD851" t="s">
        <v>73</v>
      </c>
      <c r="AE851" t="s">
        <v>77</v>
      </c>
      <c r="AF851" t="s">
        <v>2319</v>
      </c>
      <c r="AG851" t="s">
        <v>78</v>
      </c>
    </row>
    <row r="852" spans="1:33" hidden="1" x14ac:dyDescent="0.25">
      <c r="A852" t="str">
        <f>"1528313780"</f>
        <v>1528313780</v>
      </c>
      <c r="B852" t="str">
        <f>"03503913"</f>
        <v>03503913</v>
      </c>
      <c r="C852" t="s">
        <v>5281</v>
      </c>
      <c r="D852" t="s">
        <v>5282</v>
      </c>
      <c r="E852" t="s">
        <v>5283</v>
      </c>
      <c r="G852" t="s">
        <v>282</v>
      </c>
      <c r="H852" t="s">
        <v>248</v>
      </c>
      <c r="I852">
        <v>2604</v>
      </c>
      <c r="J852" t="s">
        <v>283</v>
      </c>
      <c r="L852" t="s">
        <v>80</v>
      </c>
      <c r="M852" t="s">
        <v>82</v>
      </c>
      <c r="R852" t="s">
        <v>5283</v>
      </c>
      <c r="W852" t="s">
        <v>5283</v>
      </c>
      <c r="X852" t="s">
        <v>249</v>
      </c>
      <c r="Y852" t="s">
        <v>91</v>
      </c>
      <c r="Z852" t="s">
        <v>74</v>
      </c>
      <c r="AA852" t="str">
        <f>"10013-3599"</f>
        <v>10013-3599</v>
      </c>
      <c r="AB852" t="s">
        <v>107</v>
      </c>
      <c r="AC852" t="s">
        <v>76</v>
      </c>
      <c r="AD852" t="s">
        <v>73</v>
      </c>
      <c r="AE852" t="s">
        <v>77</v>
      </c>
      <c r="AF852" t="s">
        <v>2319</v>
      </c>
      <c r="AG852" t="s">
        <v>78</v>
      </c>
    </row>
    <row r="853" spans="1:33" hidden="1" x14ac:dyDescent="0.25">
      <c r="A853" t="str">
        <f>"1073605291"</f>
        <v>1073605291</v>
      </c>
      <c r="B853" t="str">
        <f>"02827925"</f>
        <v>02827925</v>
      </c>
      <c r="C853" t="s">
        <v>5284</v>
      </c>
      <c r="D853" t="s">
        <v>5285</v>
      </c>
      <c r="E853" t="s">
        <v>5286</v>
      </c>
      <c r="G853" t="s">
        <v>2224</v>
      </c>
      <c r="H853" t="s">
        <v>2225</v>
      </c>
      <c r="J853" t="s">
        <v>2226</v>
      </c>
      <c r="L853" t="s">
        <v>72</v>
      </c>
      <c r="M853" t="s">
        <v>73</v>
      </c>
      <c r="R853" t="s">
        <v>5287</v>
      </c>
      <c r="W853" t="s">
        <v>5286</v>
      </c>
      <c r="X853" t="s">
        <v>183</v>
      </c>
      <c r="Y853" t="s">
        <v>91</v>
      </c>
      <c r="Z853" t="s">
        <v>74</v>
      </c>
      <c r="AA853" t="str">
        <f>"10032-3729"</f>
        <v>10032-3729</v>
      </c>
      <c r="AB853" t="s">
        <v>75</v>
      </c>
      <c r="AC853" t="s">
        <v>76</v>
      </c>
      <c r="AD853" t="s">
        <v>73</v>
      </c>
      <c r="AE853" t="s">
        <v>77</v>
      </c>
      <c r="AF853" t="s">
        <v>2254</v>
      </c>
      <c r="AG853" t="s">
        <v>78</v>
      </c>
    </row>
    <row r="854" spans="1:33" hidden="1" x14ac:dyDescent="0.25">
      <c r="A854" t="str">
        <f>"1073646402"</f>
        <v>1073646402</v>
      </c>
      <c r="C854" t="s">
        <v>5288</v>
      </c>
      <c r="G854" t="s">
        <v>2224</v>
      </c>
      <c r="H854" t="s">
        <v>2225</v>
      </c>
      <c r="J854" t="s">
        <v>2226</v>
      </c>
      <c r="K854" t="s">
        <v>171</v>
      </c>
      <c r="L854" t="s">
        <v>96</v>
      </c>
      <c r="M854" t="s">
        <v>73</v>
      </c>
      <c r="R854" t="s">
        <v>5289</v>
      </c>
      <c r="S854" t="s">
        <v>1263</v>
      </c>
      <c r="T854" t="s">
        <v>1229</v>
      </c>
      <c r="U854" t="s">
        <v>74</v>
      </c>
      <c r="V854" t="str">
        <f>"107061523"</f>
        <v>107061523</v>
      </c>
      <c r="AC854" t="s">
        <v>76</v>
      </c>
      <c r="AD854" t="s">
        <v>73</v>
      </c>
      <c r="AE854" t="s">
        <v>97</v>
      </c>
      <c r="AF854" t="s">
        <v>2254</v>
      </c>
      <c r="AG854" t="s">
        <v>78</v>
      </c>
    </row>
    <row r="855" spans="1:33" hidden="1" x14ac:dyDescent="0.25">
      <c r="C855" t="s">
        <v>5290</v>
      </c>
      <c r="G855" t="s">
        <v>5291</v>
      </c>
      <c r="H855" t="s">
        <v>5292</v>
      </c>
      <c r="I855">
        <v>528</v>
      </c>
      <c r="J855" t="s">
        <v>5293</v>
      </c>
      <c r="K855" t="s">
        <v>93</v>
      </c>
      <c r="L855" t="s">
        <v>94</v>
      </c>
      <c r="M855" t="s">
        <v>73</v>
      </c>
      <c r="AC855" t="s">
        <v>76</v>
      </c>
      <c r="AD855" t="s">
        <v>73</v>
      </c>
      <c r="AE855" t="s">
        <v>95</v>
      </c>
      <c r="AF855" t="s">
        <v>2254</v>
      </c>
      <c r="AG855" t="s">
        <v>78</v>
      </c>
    </row>
    <row r="856" spans="1:33" hidden="1" x14ac:dyDescent="0.25">
      <c r="A856" t="str">
        <f>"1093823932"</f>
        <v>1093823932</v>
      </c>
      <c r="C856" t="s">
        <v>3746</v>
      </c>
      <c r="K856" t="s">
        <v>36</v>
      </c>
      <c r="L856" t="s">
        <v>96</v>
      </c>
      <c r="M856" t="s">
        <v>73</v>
      </c>
      <c r="R856" t="s">
        <v>3746</v>
      </c>
      <c r="S856" t="s">
        <v>5294</v>
      </c>
      <c r="T856" t="s">
        <v>91</v>
      </c>
      <c r="U856" t="s">
        <v>74</v>
      </c>
      <c r="V856" t="str">
        <f>"100214870"</f>
        <v>100214870</v>
      </c>
      <c r="AC856" t="s">
        <v>76</v>
      </c>
      <c r="AD856" t="s">
        <v>73</v>
      </c>
      <c r="AE856" t="s">
        <v>97</v>
      </c>
      <c r="AF856" t="s">
        <v>2254</v>
      </c>
      <c r="AG856" t="s">
        <v>78</v>
      </c>
    </row>
    <row r="857" spans="1:33" hidden="1" x14ac:dyDescent="0.25">
      <c r="A857" t="str">
        <f>"1629042478"</f>
        <v>1629042478</v>
      </c>
      <c r="B857" t="str">
        <f>"02348814"</f>
        <v>02348814</v>
      </c>
      <c r="C857" t="s">
        <v>5295</v>
      </c>
      <c r="D857" t="s">
        <v>5296</v>
      </c>
      <c r="E857" t="s">
        <v>5297</v>
      </c>
      <c r="G857" t="s">
        <v>2224</v>
      </c>
      <c r="H857" t="s">
        <v>2225</v>
      </c>
      <c r="J857" t="s">
        <v>2226</v>
      </c>
      <c r="L857" t="s">
        <v>81</v>
      </c>
      <c r="M857" t="s">
        <v>82</v>
      </c>
      <c r="R857" t="s">
        <v>5298</v>
      </c>
      <c r="W857" t="s">
        <v>5297</v>
      </c>
      <c r="X857" t="s">
        <v>5299</v>
      </c>
      <c r="Y857" t="s">
        <v>118</v>
      </c>
      <c r="Z857" t="s">
        <v>74</v>
      </c>
      <c r="AA857" t="str">
        <f>"10467-2401"</f>
        <v>10467-2401</v>
      </c>
      <c r="AB857" t="s">
        <v>75</v>
      </c>
      <c r="AC857" t="s">
        <v>76</v>
      </c>
      <c r="AD857" t="s">
        <v>73</v>
      </c>
      <c r="AE857" t="s">
        <v>77</v>
      </c>
      <c r="AF857" t="s">
        <v>2254</v>
      </c>
      <c r="AG857" t="s">
        <v>78</v>
      </c>
    </row>
    <row r="858" spans="1:33" hidden="1" x14ac:dyDescent="0.25">
      <c r="A858" t="str">
        <f>"1245229814"</f>
        <v>1245229814</v>
      </c>
      <c r="B858" t="str">
        <f>"01755013"</f>
        <v>01755013</v>
      </c>
      <c r="C858" t="s">
        <v>5300</v>
      </c>
      <c r="D858" t="s">
        <v>449</v>
      </c>
      <c r="E858" t="s">
        <v>450</v>
      </c>
      <c r="G858" t="s">
        <v>282</v>
      </c>
      <c r="H858" t="s">
        <v>248</v>
      </c>
      <c r="I858">
        <v>2604</v>
      </c>
      <c r="J858" t="s">
        <v>283</v>
      </c>
      <c r="L858" t="s">
        <v>129</v>
      </c>
      <c r="M858" t="s">
        <v>82</v>
      </c>
      <c r="R858" t="s">
        <v>448</v>
      </c>
      <c r="W858" t="s">
        <v>450</v>
      </c>
      <c r="X858" t="s">
        <v>414</v>
      </c>
      <c r="Y858" t="s">
        <v>91</v>
      </c>
      <c r="Z858" t="s">
        <v>74</v>
      </c>
      <c r="AA858" t="str">
        <f>"10013-5041"</f>
        <v>10013-5041</v>
      </c>
      <c r="AB858" t="s">
        <v>75</v>
      </c>
      <c r="AC858" t="s">
        <v>76</v>
      </c>
      <c r="AD858" t="s">
        <v>73</v>
      </c>
      <c r="AE858" t="s">
        <v>77</v>
      </c>
      <c r="AF858" t="s">
        <v>2319</v>
      </c>
      <c r="AG858" t="s">
        <v>78</v>
      </c>
    </row>
    <row r="859" spans="1:33" hidden="1" x14ac:dyDescent="0.25">
      <c r="A859" t="str">
        <f>"1952364077"</f>
        <v>1952364077</v>
      </c>
      <c r="B859" t="str">
        <f>"03500167"</f>
        <v>03500167</v>
      </c>
      <c r="C859" t="s">
        <v>5301</v>
      </c>
      <c r="D859" t="s">
        <v>5302</v>
      </c>
      <c r="E859" t="s">
        <v>5303</v>
      </c>
      <c r="G859" t="s">
        <v>2224</v>
      </c>
      <c r="H859" t="s">
        <v>2225</v>
      </c>
      <c r="J859" t="s">
        <v>2226</v>
      </c>
      <c r="L859" t="s">
        <v>88</v>
      </c>
      <c r="M859" t="s">
        <v>82</v>
      </c>
      <c r="R859" t="s">
        <v>5304</v>
      </c>
      <c r="W859" t="s">
        <v>5303</v>
      </c>
      <c r="X859" t="s">
        <v>762</v>
      </c>
      <c r="Y859" t="s">
        <v>91</v>
      </c>
      <c r="Z859" t="s">
        <v>74</v>
      </c>
      <c r="AA859" t="str">
        <f>"10034-4915"</f>
        <v>10034-4915</v>
      </c>
      <c r="AB859" t="s">
        <v>75</v>
      </c>
      <c r="AC859" t="s">
        <v>76</v>
      </c>
      <c r="AD859" t="s">
        <v>73</v>
      </c>
      <c r="AE859" t="s">
        <v>77</v>
      </c>
      <c r="AF859" t="s">
        <v>2228</v>
      </c>
      <c r="AG859" t="s">
        <v>78</v>
      </c>
    </row>
    <row r="860" spans="1:33" hidden="1" x14ac:dyDescent="0.25">
      <c r="A860" t="str">
        <f>"1134232846"</f>
        <v>1134232846</v>
      </c>
      <c r="B860" t="str">
        <f>"02142414"</f>
        <v>02142414</v>
      </c>
      <c r="C860" t="s">
        <v>5305</v>
      </c>
      <c r="D860" t="s">
        <v>5306</v>
      </c>
      <c r="E860" t="s">
        <v>5307</v>
      </c>
      <c r="L860" t="s">
        <v>80</v>
      </c>
      <c r="M860" t="s">
        <v>73</v>
      </c>
      <c r="R860" t="s">
        <v>5308</v>
      </c>
      <c r="W860" t="s">
        <v>5307</v>
      </c>
      <c r="X860" t="s">
        <v>5309</v>
      </c>
      <c r="Y860" t="s">
        <v>91</v>
      </c>
      <c r="Z860" t="s">
        <v>74</v>
      </c>
      <c r="AA860" t="str">
        <f>"10065-4870"</f>
        <v>10065-4870</v>
      </c>
      <c r="AB860" t="s">
        <v>75</v>
      </c>
      <c r="AC860" t="s">
        <v>76</v>
      </c>
      <c r="AD860" t="s">
        <v>73</v>
      </c>
      <c r="AE860" t="s">
        <v>77</v>
      </c>
      <c r="AF860" t="s">
        <v>2242</v>
      </c>
      <c r="AG860" t="s">
        <v>78</v>
      </c>
    </row>
    <row r="861" spans="1:33" hidden="1" x14ac:dyDescent="0.25">
      <c r="A861" t="str">
        <f>"1891951745"</f>
        <v>1891951745</v>
      </c>
      <c r="C861" t="s">
        <v>5310</v>
      </c>
      <c r="G861" t="s">
        <v>2224</v>
      </c>
      <c r="H861" t="s">
        <v>2312</v>
      </c>
      <c r="J861" t="s">
        <v>2226</v>
      </c>
      <c r="K861" t="s">
        <v>171</v>
      </c>
      <c r="L861" t="s">
        <v>96</v>
      </c>
      <c r="M861" t="s">
        <v>73</v>
      </c>
      <c r="R861" t="s">
        <v>5311</v>
      </c>
      <c r="S861" t="s">
        <v>170</v>
      </c>
      <c r="T861" t="s">
        <v>91</v>
      </c>
      <c r="U861" t="s">
        <v>74</v>
      </c>
      <c r="V861" t="str">
        <f>"100654870"</f>
        <v>100654870</v>
      </c>
      <c r="AC861" t="s">
        <v>76</v>
      </c>
      <c r="AD861" t="s">
        <v>73</v>
      </c>
      <c r="AE861" t="s">
        <v>97</v>
      </c>
      <c r="AF861" t="s">
        <v>2242</v>
      </c>
      <c r="AG861" t="s">
        <v>78</v>
      </c>
    </row>
    <row r="862" spans="1:33" hidden="1" x14ac:dyDescent="0.25">
      <c r="A862" t="str">
        <f>"1841202447"</f>
        <v>1841202447</v>
      </c>
      <c r="B862" t="str">
        <f>"02361851"</f>
        <v>02361851</v>
      </c>
      <c r="C862" t="s">
        <v>5312</v>
      </c>
      <c r="D862" t="s">
        <v>5313</v>
      </c>
      <c r="E862" t="s">
        <v>5314</v>
      </c>
      <c r="L862" t="s">
        <v>80</v>
      </c>
      <c r="M862" t="s">
        <v>73</v>
      </c>
      <c r="R862" t="s">
        <v>5315</v>
      </c>
      <c r="W862" t="s">
        <v>5314</v>
      </c>
      <c r="X862" t="s">
        <v>170</v>
      </c>
      <c r="Y862" t="s">
        <v>91</v>
      </c>
      <c r="Z862" t="s">
        <v>74</v>
      </c>
      <c r="AA862" t="str">
        <f>"10065-4870"</f>
        <v>10065-4870</v>
      </c>
      <c r="AB862" t="s">
        <v>75</v>
      </c>
      <c r="AC862" t="s">
        <v>76</v>
      </c>
      <c r="AD862" t="s">
        <v>73</v>
      </c>
      <c r="AE862" t="s">
        <v>77</v>
      </c>
      <c r="AF862" t="s">
        <v>2242</v>
      </c>
      <c r="AG862" t="s">
        <v>78</v>
      </c>
    </row>
    <row r="863" spans="1:33" hidden="1" x14ac:dyDescent="0.25">
      <c r="A863" t="str">
        <f>"1063593028"</f>
        <v>1063593028</v>
      </c>
      <c r="B863" t="str">
        <f>"02047510"</f>
        <v>02047510</v>
      </c>
      <c r="C863" t="s">
        <v>5316</v>
      </c>
      <c r="D863" t="s">
        <v>5317</v>
      </c>
      <c r="E863" t="s">
        <v>5318</v>
      </c>
      <c r="G863" t="s">
        <v>2224</v>
      </c>
      <c r="H863" t="s">
        <v>2225</v>
      </c>
      <c r="J863" t="s">
        <v>2226</v>
      </c>
      <c r="L863" t="s">
        <v>80</v>
      </c>
      <c r="M863" t="s">
        <v>73</v>
      </c>
      <c r="R863" t="s">
        <v>5319</v>
      </c>
      <c r="W863" t="s">
        <v>5318</v>
      </c>
      <c r="X863" t="s">
        <v>5318</v>
      </c>
      <c r="Y863" t="s">
        <v>91</v>
      </c>
      <c r="Z863" t="s">
        <v>74</v>
      </c>
      <c r="AA863" t="str">
        <f>"10011-6609"</f>
        <v>10011-6609</v>
      </c>
      <c r="AB863" t="s">
        <v>75</v>
      </c>
      <c r="AC863" t="s">
        <v>76</v>
      </c>
      <c r="AD863" t="s">
        <v>73</v>
      </c>
      <c r="AE863" t="s">
        <v>77</v>
      </c>
      <c r="AF863" t="s">
        <v>2228</v>
      </c>
      <c r="AG863" t="s">
        <v>78</v>
      </c>
    </row>
    <row r="864" spans="1:33" hidden="1" x14ac:dyDescent="0.25">
      <c r="A864" t="str">
        <f>"1841352515"</f>
        <v>1841352515</v>
      </c>
      <c r="B864" t="str">
        <f>"03484580"</f>
        <v>03484580</v>
      </c>
      <c r="C864" t="s">
        <v>5320</v>
      </c>
      <c r="D864" t="s">
        <v>5321</v>
      </c>
      <c r="E864" t="s">
        <v>5322</v>
      </c>
      <c r="G864" t="s">
        <v>2224</v>
      </c>
      <c r="H864" t="s">
        <v>2225</v>
      </c>
      <c r="J864" t="s">
        <v>2226</v>
      </c>
      <c r="L864" t="s">
        <v>72</v>
      </c>
      <c r="M864" t="s">
        <v>73</v>
      </c>
      <c r="R864" t="s">
        <v>5322</v>
      </c>
      <c r="W864" t="s">
        <v>5322</v>
      </c>
      <c r="X864" t="s">
        <v>221</v>
      </c>
      <c r="Y864" t="s">
        <v>91</v>
      </c>
      <c r="Z864" t="s">
        <v>74</v>
      </c>
      <c r="AA864" t="str">
        <f>"10029-5204"</f>
        <v>10029-5204</v>
      </c>
      <c r="AB864" t="s">
        <v>75</v>
      </c>
      <c r="AC864" t="s">
        <v>76</v>
      </c>
      <c r="AD864" t="s">
        <v>73</v>
      </c>
      <c r="AE864" t="s">
        <v>77</v>
      </c>
      <c r="AF864" t="s">
        <v>2254</v>
      </c>
      <c r="AG864" t="s">
        <v>78</v>
      </c>
    </row>
    <row r="865" spans="1:33" hidden="1" x14ac:dyDescent="0.25">
      <c r="A865" t="str">
        <f>"1982623310"</f>
        <v>1982623310</v>
      </c>
      <c r="B865" t="str">
        <f>"02998947"</f>
        <v>02998947</v>
      </c>
      <c r="C865" t="s">
        <v>390</v>
      </c>
      <c r="D865" t="s">
        <v>241</v>
      </c>
      <c r="E865" t="s">
        <v>242</v>
      </c>
      <c r="L865" t="s">
        <v>130</v>
      </c>
      <c r="M865" t="s">
        <v>82</v>
      </c>
      <c r="R865" t="s">
        <v>243</v>
      </c>
      <c r="W865" t="s">
        <v>242</v>
      </c>
      <c r="X865" t="s">
        <v>244</v>
      </c>
      <c r="Y865" t="s">
        <v>118</v>
      </c>
      <c r="Z865" t="s">
        <v>74</v>
      </c>
      <c r="AA865" t="str">
        <f>"10471-2138"</f>
        <v>10471-2138</v>
      </c>
      <c r="AB865" t="s">
        <v>87</v>
      </c>
      <c r="AC865" t="s">
        <v>76</v>
      </c>
      <c r="AD865" t="s">
        <v>73</v>
      </c>
      <c r="AE865" t="s">
        <v>77</v>
      </c>
      <c r="AF865" t="s">
        <v>2398</v>
      </c>
      <c r="AG865" t="s">
        <v>78</v>
      </c>
    </row>
    <row r="866" spans="1:33" hidden="1" x14ac:dyDescent="0.25">
      <c r="A866" t="str">
        <f>"1134216237"</f>
        <v>1134216237</v>
      </c>
      <c r="B866" t="str">
        <f>"00539840"</f>
        <v>00539840</v>
      </c>
      <c r="C866" t="s">
        <v>5323</v>
      </c>
      <c r="D866" t="s">
        <v>5324</v>
      </c>
      <c r="E866" t="s">
        <v>5325</v>
      </c>
      <c r="G866" t="s">
        <v>2224</v>
      </c>
      <c r="H866" t="s">
        <v>2225</v>
      </c>
      <c r="J866" t="s">
        <v>2226</v>
      </c>
      <c r="L866" t="s">
        <v>80</v>
      </c>
      <c r="M866" t="s">
        <v>73</v>
      </c>
      <c r="R866" t="s">
        <v>5326</v>
      </c>
      <c r="W866" t="s">
        <v>5325</v>
      </c>
      <c r="X866" t="s">
        <v>170</v>
      </c>
      <c r="Y866" t="s">
        <v>91</v>
      </c>
      <c r="Z866" t="s">
        <v>74</v>
      </c>
      <c r="AA866" t="str">
        <f>"10065-4870"</f>
        <v>10065-4870</v>
      </c>
      <c r="AB866" t="s">
        <v>75</v>
      </c>
      <c r="AC866" t="s">
        <v>76</v>
      </c>
      <c r="AD866" t="s">
        <v>73</v>
      </c>
      <c r="AE866" t="s">
        <v>77</v>
      </c>
      <c r="AF866" t="s">
        <v>2398</v>
      </c>
      <c r="AG866" t="s">
        <v>78</v>
      </c>
    </row>
    <row r="867" spans="1:33" hidden="1" x14ac:dyDescent="0.25">
      <c r="B867" t="str">
        <f>"00997580"</f>
        <v>00997580</v>
      </c>
      <c r="C867" t="s">
        <v>1763</v>
      </c>
      <c r="D867" t="s">
        <v>1761</v>
      </c>
      <c r="E867" t="s">
        <v>1762</v>
      </c>
      <c r="G867" t="s">
        <v>5327</v>
      </c>
      <c r="H867" t="s">
        <v>5328</v>
      </c>
      <c r="I867">
        <v>426</v>
      </c>
      <c r="J867" t="s">
        <v>5329</v>
      </c>
      <c r="L867" t="s">
        <v>174</v>
      </c>
      <c r="M867" t="s">
        <v>82</v>
      </c>
      <c r="W867" t="s">
        <v>1763</v>
      </c>
      <c r="X867" t="s">
        <v>1764</v>
      </c>
      <c r="Y867" t="s">
        <v>91</v>
      </c>
      <c r="Z867" t="s">
        <v>74</v>
      </c>
      <c r="AA867" t="str">
        <f>"10031-4611"</f>
        <v>10031-4611</v>
      </c>
      <c r="AB867" t="s">
        <v>110</v>
      </c>
      <c r="AC867" t="s">
        <v>76</v>
      </c>
      <c r="AD867" t="s">
        <v>73</v>
      </c>
      <c r="AE867" t="s">
        <v>77</v>
      </c>
      <c r="AF867" t="s">
        <v>5330</v>
      </c>
      <c r="AG867" t="s">
        <v>78</v>
      </c>
    </row>
    <row r="868" spans="1:33" hidden="1" x14ac:dyDescent="0.25">
      <c r="A868" t="str">
        <f>"1578723268"</f>
        <v>1578723268</v>
      </c>
      <c r="B868" t="str">
        <f>"03128796"</f>
        <v>03128796</v>
      </c>
      <c r="C868" t="s">
        <v>5331</v>
      </c>
      <c r="D868" t="s">
        <v>5332</v>
      </c>
      <c r="E868" t="s">
        <v>5333</v>
      </c>
      <c r="G868" t="s">
        <v>2224</v>
      </c>
      <c r="H868" t="s">
        <v>2225</v>
      </c>
      <c r="J868" t="s">
        <v>2226</v>
      </c>
      <c r="L868" t="s">
        <v>80</v>
      </c>
      <c r="M868" t="s">
        <v>73</v>
      </c>
      <c r="R868" t="s">
        <v>5334</v>
      </c>
      <c r="W868" t="s">
        <v>5333</v>
      </c>
      <c r="X868" t="s">
        <v>3183</v>
      </c>
      <c r="Y868" t="s">
        <v>91</v>
      </c>
      <c r="Z868" t="s">
        <v>74</v>
      </c>
      <c r="AA868" t="str">
        <f>"10065-4870"</f>
        <v>10065-4870</v>
      </c>
      <c r="AB868" t="s">
        <v>75</v>
      </c>
      <c r="AC868" t="s">
        <v>76</v>
      </c>
      <c r="AD868" t="s">
        <v>73</v>
      </c>
      <c r="AE868" t="s">
        <v>77</v>
      </c>
      <c r="AF868" t="s">
        <v>2254</v>
      </c>
      <c r="AG868" t="s">
        <v>78</v>
      </c>
    </row>
    <row r="869" spans="1:33" hidden="1" x14ac:dyDescent="0.25">
      <c r="A869" t="str">
        <f>"1386935674"</f>
        <v>1386935674</v>
      </c>
      <c r="C869" t="s">
        <v>5335</v>
      </c>
      <c r="G869" t="s">
        <v>2224</v>
      </c>
      <c r="H869" t="s">
        <v>2312</v>
      </c>
      <c r="J869" t="s">
        <v>2226</v>
      </c>
      <c r="K869" t="s">
        <v>171</v>
      </c>
      <c r="L869" t="s">
        <v>96</v>
      </c>
      <c r="M869" t="s">
        <v>73</v>
      </c>
      <c r="R869" t="s">
        <v>5336</v>
      </c>
      <c r="S869" t="s">
        <v>1697</v>
      </c>
      <c r="T869" t="s">
        <v>91</v>
      </c>
      <c r="U869" t="s">
        <v>74</v>
      </c>
      <c r="V869" t="str">
        <f>"100191147"</f>
        <v>100191147</v>
      </c>
      <c r="AC869" t="s">
        <v>76</v>
      </c>
      <c r="AD869" t="s">
        <v>73</v>
      </c>
      <c r="AE869" t="s">
        <v>97</v>
      </c>
      <c r="AF869" t="s">
        <v>2242</v>
      </c>
      <c r="AG869" t="s">
        <v>78</v>
      </c>
    </row>
    <row r="870" spans="1:33" hidden="1" x14ac:dyDescent="0.25">
      <c r="A870" t="str">
        <f>"1952668154"</f>
        <v>1952668154</v>
      </c>
      <c r="C870" t="s">
        <v>5337</v>
      </c>
      <c r="G870" t="s">
        <v>2224</v>
      </c>
      <c r="H870" t="s">
        <v>2312</v>
      </c>
      <c r="J870" t="s">
        <v>2226</v>
      </c>
      <c r="K870" t="s">
        <v>171</v>
      </c>
      <c r="L870" t="s">
        <v>96</v>
      </c>
      <c r="M870" t="s">
        <v>73</v>
      </c>
      <c r="R870" t="s">
        <v>5338</v>
      </c>
      <c r="S870" t="s">
        <v>1557</v>
      </c>
      <c r="T870" t="s">
        <v>91</v>
      </c>
      <c r="U870" t="s">
        <v>74</v>
      </c>
      <c r="V870" t="str">
        <f>"100033821"</f>
        <v>100033821</v>
      </c>
      <c r="AC870" t="s">
        <v>76</v>
      </c>
      <c r="AD870" t="s">
        <v>73</v>
      </c>
      <c r="AE870" t="s">
        <v>97</v>
      </c>
      <c r="AF870" t="s">
        <v>2242</v>
      </c>
      <c r="AG870" t="s">
        <v>78</v>
      </c>
    </row>
    <row r="871" spans="1:33" hidden="1" x14ac:dyDescent="0.25">
      <c r="A871" t="str">
        <f>"1003058074"</f>
        <v>1003058074</v>
      </c>
      <c r="B871" t="str">
        <f>"03535742"</f>
        <v>03535742</v>
      </c>
      <c r="C871" t="s">
        <v>5339</v>
      </c>
      <c r="D871" t="s">
        <v>5340</v>
      </c>
      <c r="E871" t="s">
        <v>5341</v>
      </c>
      <c r="G871" t="s">
        <v>2224</v>
      </c>
      <c r="H871" t="s">
        <v>2225</v>
      </c>
      <c r="J871" t="s">
        <v>2226</v>
      </c>
      <c r="L871" t="s">
        <v>88</v>
      </c>
      <c r="M871" t="s">
        <v>73</v>
      </c>
      <c r="R871" t="s">
        <v>5342</v>
      </c>
      <c r="W871" t="s">
        <v>5341</v>
      </c>
      <c r="X871" t="s">
        <v>4819</v>
      </c>
      <c r="Y871" t="s">
        <v>91</v>
      </c>
      <c r="Z871" t="s">
        <v>74</v>
      </c>
      <c r="AA871" t="str">
        <f>"10032-7104"</f>
        <v>10032-7104</v>
      </c>
      <c r="AB871" t="s">
        <v>75</v>
      </c>
      <c r="AC871" t="s">
        <v>76</v>
      </c>
      <c r="AD871" t="s">
        <v>73</v>
      </c>
      <c r="AE871" t="s">
        <v>77</v>
      </c>
      <c r="AF871" t="s">
        <v>2228</v>
      </c>
      <c r="AG871" t="s">
        <v>78</v>
      </c>
    </row>
    <row r="872" spans="1:33" hidden="1" x14ac:dyDescent="0.25">
      <c r="A872" t="str">
        <f>"1386797652"</f>
        <v>1386797652</v>
      </c>
      <c r="B872" t="str">
        <f>"03069261"</f>
        <v>03069261</v>
      </c>
      <c r="C872" t="s">
        <v>5343</v>
      </c>
      <c r="D872" t="s">
        <v>2063</v>
      </c>
      <c r="E872" t="s">
        <v>2064</v>
      </c>
      <c r="G872" t="s">
        <v>2224</v>
      </c>
      <c r="H872" t="s">
        <v>2225</v>
      </c>
      <c r="J872" t="s">
        <v>2226</v>
      </c>
      <c r="L872" t="s">
        <v>100</v>
      </c>
      <c r="M872" t="s">
        <v>73</v>
      </c>
      <c r="R872" t="s">
        <v>2065</v>
      </c>
      <c r="W872" t="s">
        <v>2066</v>
      </c>
      <c r="X872" t="s">
        <v>457</v>
      </c>
      <c r="Y872" t="s">
        <v>91</v>
      </c>
      <c r="Z872" t="s">
        <v>74</v>
      </c>
      <c r="AA872" t="str">
        <f>"10037-1802"</f>
        <v>10037-1802</v>
      </c>
      <c r="AB872" t="s">
        <v>75</v>
      </c>
      <c r="AC872" t="s">
        <v>76</v>
      </c>
      <c r="AD872" t="s">
        <v>73</v>
      </c>
      <c r="AE872" t="s">
        <v>77</v>
      </c>
      <c r="AF872" t="s">
        <v>2228</v>
      </c>
      <c r="AG872" t="s">
        <v>78</v>
      </c>
    </row>
    <row r="873" spans="1:33" hidden="1" x14ac:dyDescent="0.25">
      <c r="A873" t="str">
        <f>"1386803823"</f>
        <v>1386803823</v>
      </c>
      <c r="B873" t="str">
        <f>"03469252"</f>
        <v>03469252</v>
      </c>
      <c r="C873" t="s">
        <v>5344</v>
      </c>
      <c r="D873" t="s">
        <v>5345</v>
      </c>
      <c r="E873" t="s">
        <v>5346</v>
      </c>
      <c r="G873" t="s">
        <v>2224</v>
      </c>
      <c r="H873" t="s">
        <v>2225</v>
      </c>
      <c r="J873" t="s">
        <v>2226</v>
      </c>
      <c r="L873" t="s">
        <v>72</v>
      </c>
      <c r="M873" t="s">
        <v>73</v>
      </c>
      <c r="R873" t="s">
        <v>5347</v>
      </c>
      <c r="W873" t="s">
        <v>5346</v>
      </c>
      <c r="X873" t="s">
        <v>167</v>
      </c>
      <c r="Y873" t="s">
        <v>91</v>
      </c>
      <c r="Z873" t="s">
        <v>74</v>
      </c>
      <c r="AA873" t="str">
        <f>"10032-3720"</f>
        <v>10032-3720</v>
      </c>
      <c r="AB873" t="s">
        <v>75</v>
      </c>
      <c r="AC873" t="s">
        <v>76</v>
      </c>
      <c r="AD873" t="s">
        <v>73</v>
      </c>
      <c r="AE873" t="s">
        <v>77</v>
      </c>
      <c r="AF873" t="s">
        <v>2254</v>
      </c>
      <c r="AG873" t="s">
        <v>78</v>
      </c>
    </row>
    <row r="874" spans="1:33" hidden="1" x14ac:dyDescent="0.25">
      <c r="A874" t="str">
        <f>"1386828382"</f>
        <v>1386828382</v>
      </c>
      <c r="B874" t="str">
        <f>"03090080"</f>
        <v>03090080</v>
      </c>
      <c r="C874" t="s">
        <v>5348</v>
      </c>
      <c r="D874" t="s">
        <v>5349</v>
      </c>
      <c r="E874" t="s">
        <v>5350</v>
      </c>
      <c r="G874" t="s">
        <v>2224</v>
      </c>
      <c r="H874" t="s">
        <v>2225</v>
      </c>
      <c r="J874" t="s">
        <v>2226</v>
      </c>
      <c r="L874" t="s">
        <v>72</v>
      </c>
      <c r="M874" t="s">
        <v>73</v>
      </c>
      <c r="R874" t="s">
        <v>5350</v>
      </c>
      <c r="W874" t="s">
        <v>5350</v>
      </c>
      <c r="X874" t="s">
        <v>5351</v>
      </c>
      <c r="Y874" t="s">
        <v>91</v>
      </c>
      <c r="Z874" t="s">
        <v>74</v>
      </c>
      <c r="AA874" t="str">
        <f>"10032-3720"</f>
        <v>10032-3720</v>
      </c>
      <c r="AB874" t="s">
        <v>122</v>
      </c>
      <c r="AC874" t="s">
        <v>76</v>
      </c>
      <c r="AD874" t="s">
        <v>73</v>
      </c>
      <c r="AE874" t="s">
        <v>77</v>
      </c>
      <c r="AF874" t="s">
        <v>2254</v>
      </c>
      <c r="AG874" t="s">
        <v>78</v>
      </c>
    </row>
    <row r="875" spans="1:33" hidden="1" x14ac:dyDescent="0.25">
      <c r="A875" t="str">
        <f>"1063573152"</f>
        <v>1063573152</v>
      </c>
      <c r="B875" t="str">
        <f>"01539335"</f>
        <v>01539335</v>
      </c>
      <c r="C875" t="s">
        <v>5352</v>
      </c>
      <c r="D875" t="s">
        <v>1558</v>
      </c>
      <c r="E875" t="s">
        <v>1559</v>
      </c>
      <c r="G875" t="s">
        <v>4137</v>
      </c>
      <c r="H875" t="s">
        <v>1498</v>
      </c>
      <c r="J875" t="s">
        <v>4138</v>
      </c>
      <c r="L875" t="s">
        <v>34</v>
      </c>
      <c r="M875" t="s">
        <v>82</v>
      </c>
      <c r="R875" t="s">
        <v>1560</v>
      </c>
      <c r="W875" t="s">
        <v>1559</v>
      </c>
      <c r="X875" t="s">
        <v>1561</v>
      </c>
      <c r="Y875" t="s">
        <v>91</v>
      </c>
      <c r="Z875" t="s">
        <v>74</v>
      </c>
      <c r="AA875" t="str">
        <f>"10014-2840"</f>
        <v>10014-2840</v>
      </c>
      <c r="AB875" t="s">
        <v>92</v>
      </c>
      <c r="AC875" t="s">
        <v>76</v>
      </c>
      <c r="AD875" t="s">
        <v>73</v>
      </c>
      <c r="AE875" t="s">
        <v>77</v>
      </c>
      <c r="AF875" t="s">
        <v>2254</v>
      </c>
      <c r="AG875" t="s">
        <v>78</v>
      </c>
    </row>
    <row r="876" spans="1:33" hidden="1" x14ac:dyDescent="0.25">
      <c r="A876" t="str">
        <f>"1053364430"</f>
        <v>1053364430</v>
      </c>
      <c r="B876" t="str">
        <f>"01760407"</f>
        <v>01760407</v>
      </c>
      <c r="C876" t="s">
        <v>5353</v>
      </c>
      <c r="D876" t="s">
        <v>5354</v>
      </c>
      <c r="E876" t="s">
        <v>5355</v>
      </c>
      <c r="G876" t="s">
        <v>2224</v>
      </c>
      <c r="H876" t="s">
        <v>2225</v>
      </c>
      <c r="J876" t="s">
        <v>2226</v>
      </c>
      <c r="L876" t="s">
        <v>80</v>
      </c>
      <c r="M876" t="s">
        <v>73</v>
      </c>
      <c r="R876" t="s">
        <v>5356</v>
      </c>
      <c r="W876" t="s">
        <v>5355</v>
      </c>
      <c r="X876" t="s">
        <v>5357</v>
      </c>
      <c r="Y876" t="s">
        <v>352</v>
      </c>
      <c r="Z876" t="s">
        <v>74</v>
      </c>
      <c r="AA876" t="str">
        <f>"10549-3412"</f>
        <v>10549-3412</v>
      </c>
      <c r="AB876" t="s">
        <v>75</v>
      </c>
      <c r="AC876" t="s">
        <v>76</v>
      </c>
      <c r="AD876" t="s">
        <v>73</v>
      </c>
      <c r="AE876" t="s">
        <v>77</v>
      </c>
      <c r="AF876" t="s">
        <v>2254</v>
      </c>
      <c r="AG876" t="s">
        <v>78</v>
      </c>
    </row>
    <row r="877" spans="1:33" hidden="1" x14ac:dyDescent="0.25">
      <c r="A877" t="str">
        <f>"1346267192"</f>
        <v>1346267192</v>
      </c>
      <c r="B877" t="str">
        <f>"02543768"</f>
        <v>02543768</v>
      </c>
      <c r="C877" t="s">
        <v>5358</v>
      </c>
      <c r="D877" t="s">
        <v>5359</v>
      </c>
      <c r="E877" t="s">
        <v>5360</v>
      </c>
      <c r="G877" t="s">
        <v>2224</v>
      </c>
      <c r="H877" t="s">
        <v>2225</v>
      </c>
      <c r="J877" t="s">
        <v>2226</v>
      </c>
      <c r="L877" t="s">
        <v>80</v>
      </c>
      <c r="M877" t="s">
        <v>73</v>
      </c>
      <c r="R877" t="s">
        <v>5361</v>
      </c>
      <c r="W877" t="s">
        <v>5360</v>
      </c>
      <c r="X877" t="s">
        <v>5360</v>
      </c>
      <c r="Y877" t="s">
        <v>91</v>
      </c>
      <c r="Z877" t="s">
        <v>74</v>
      </c>
      <c r="AA877" t="str">
        <f>"10021-4153"</f>
        <v>10021-4153</v>
      </c>
      <c r="AB877" t="s">
        <v>75</v>
      </c>
      <c r="AC877" t="s">
        <v>76</v>
      </c>
      <c r="AD877" t="s">
        <v>73</v>
      </c>
      <c r="AE877" t="s">
        <v>77</v>
      </c>
      <c r="AF877" t="s">
        <v>2228</v>
      </c>
      <c r="AG877" t="s">
        <v>78</v>
      </c>
    </row>
    <row r="878" spans="1:33" hidden="1" x14ac:dyDescent="0.25">
      <c r="A878" t="str">
        <f>"1346317823"</f>
        <v>1346317823</v>
      </c>
      <c r="B878" t="str">
        <f>"02826391"</f>
        <v>02826391</v>
      </c>
      <c r="C878" t="s">
        <v>5362</v>
      </c>
      <c r="D878" t="s">
        <v>5363</v>
      </c>
      <c r="E878" t="s">
        <v>5364</v>
      </c>
      <c r="G878" t="s">
        <v>2224</v>
      </c>
      <c r="H878" t="s">
        <v>2225</v>
      </c>
      <c r="J878" t="s">
        <v>2226</v>
      </c>
      <c r="L878" t="s">
        <v>80</v>
      </c>
      <c r="M878" t="s">
        <v>73</v>
      </c>
      <c r="R878" t="s">
        <v>5365</v>
      </c>
      <c r="W878" t="s">
        <v>5364</v>
      </c>
      <c r="X878" t="s">
        <v>170</v>
      </c>
      <c r="Y878" t="s">
        <v>91</v>
      </c>
      <c r="Z878" t="s">
        <v>74</v>
      </c>
      <c r="AA878" t="str">
        <f>"10065-4870"</f>
        <v>10065-4870</v>
      </c>
      <c r="AB878" t="s">
        <v>75</v>
      </c>
      <c r="AC878" t="s">
        <v>76</v>
      </c>
      <c r="AD878" t="s">
        <v>73</v>
      </c>
      <c r="AE878" t="s">
        <v>77</v>
      </c>
      <c r="AF878" t="s">
        <v>2254</v>
      </c>
      <c r="AG878" t="s">
        <v>78</v>
      </c>
    </row>
    <row r="879" spans="1:33" hidden="1" x14ac:dyDescent="0.25">
      <c r="A879" t="str">
        <f>"1861594582"</f>
        <v>1861594582</v>
      </c>
      <c r="B879" t="str">
        <f>"00753815"</f>
        <v>00753815</v>
      </c>
      <c r="C879" t="s">
        <v>5366</v>
      </c>
      <c r="D879" t="s">
        <v>5367</v>
      </c>
      <c r="E879" t="s">
        <v>5368</v>
      </c>
      <c r="G879" t="s">
        <v>2224</v>
      </c>
      <c r="H879" t="s">
        <v>2225</v>
      </c>
      <c r="J879" t="s">
        <v>2226</v>
      </c>
      <c r="L879" t="s">
        <v>72</v>
      </c>
      <c r="M879" t="s">
        <v>73</v>
      </c>
      <c r="R879" t="s">
        <v>5369</v>
      </c>
      <c r="W879" t="s">
        <v>5368</v>
      </c>
      <c r="X879" t="s">
        <v>2143</v>
      </c>
      <c r="Y879" t="s">
        <v>481</v>
      </c>
      <c r="Z879" t="s">
        <v>74</v>
      </c>
      <c r="AA879" t="str">
        <f>"10580-2171"</f>
        <v>10580-2171</v>
      </c>
      <c r="AB879" t="s">
        <v>75</v>
      </c>
      <c r="AC879" t="s">
        <v>76</v>
      </c>
      <c r="AD879" t="s">
        <v>73</v>
      </c>
      <c r="AE879" t="s">
        <v>77</v>
      </c>
      <c r="AF879" t="s">
        <v>2228</v>
      </c>
      <c r="AG879" t="s">
        <v>78</v>
      </c>
    </row>
    <row r="880" spans="1:33" hidden="1" x14ac:dyDescent="0.25">
      <c r="A880" t="str">
        <f>"1366515553"</f>
        <v>1366515553</v>
      </c>
      <c r="B880" t="str">
        <f>"02721300"</f>
        <v>02721300</v>
      </c>
      <c r="C880" t="s">
        <v>5370</v>
      </c>
      <c r="D880" t="s">
        <v>5371</v>
      </c>
      <c r="E880" t="s">
        <v>5372</v>
      </c>
      <c r="G880" t="s">
        <v>2224</v>
      </c>
      <c r="H880" t="s">
        <v>2225</v>
      </c>
      <c r="J880" t="s">
        <v>2226</v>
      </c>
      <c r="L880" t="s">
        <v>72</v>
      </c>
      <c r="M880" t="s">
        <v>73</v>
      </c>
      <c r="R880" t="s">
        <v>5373</v>
      </c>
      <c r="W880" t="s">
        <v>5372</v>
      </c>
      <c r="X880" t="s">
        <v>167</v>
      </c>
      <c r="Y880" t="s">
        <v>91</v>
      </c>
      <c r="Z880" t="s">
        <v>74</v>
      </c>
      <c r="AA880" t="str">
        <f>"10032-3720"</f>
        <v>10032-3720</v>
      </c>
      <c r="AB880" t="s">
        <v>75</v>
      </c>
      <c r="AC880" t="s">
        <v>76</v>
      </c>
      <c r="AD880" t="s">
        <v>73</v>
      </c>
      <c r="AE880" t="s">
        <v>77</v>
      </c>
      <c r="AF880" t="s">
        <v>2254</v>
      </c>
      <c r="AG880" t="s">
        <v>78</v>
      </c>
    </row>
    <row r="881" spans="1:33" hidden="1" x14ac:dyDescent="0.25">
      <c r="A881" t="str">
        <f>"1528059805"</f>
        <v>1528059805</v>
      </c>
      <c r="B881" t="str">
        <f>"02996041"</f>
        <v>02996041</v>
      </c>
      <c r="C881" t="s">
        <v>753</v>
      </c>
      <c r="D881" t="s">
        <v>430</v>
      </c>
      <c r="E881" t="s">
        <v>431</v>
      </c>
      <c r="G881" t="s">
        <v>150</v>
      </c>
      <c r="H881" t="s">
        <v>3184</v>
      </c>
      <c r="J881" t="s">
        <v>754</v>
      </c>
      <c r="L881" t="s">
        <v>432</v>
      </c>
      <c r="M881" t="s">
        <v>82</v>
      </c>
      <c r="R881" t="s">
        <v>433</v>
      </c>
      <c r="W881" t="s">
        <v>434</v>
      </c>
      <c r="X881" t="s">
        <v>435</v>
      </c>
      <c r="Y881" t="s">
        <v>118</v>
      </c>
      <c r="Z881" t="s">
        <v>74</v>
      </c>
      <c r="AA881" t="str">
        <f>"10455-1307"</f>
        <v>10455-1307</v>
      </c>
      <c r="AB881" t="s">
        <v>87</v>
      </c>
      <c r="AC881" t="s">
        <v>76</v>
      </c>
      <c r="AD881" t="s">
        <v>73</v>
      </c>
      <c r="AE881" t="s">
        <v>77</v>
      </c>
      <c r="AF881" t="s">
        <v>2254</v>
      </c>
      <c r="AG881" t="s">
        <v>78</v>
      </c>
    </row>
    <row r="882" spans="1:33" hidden="1" x14ac:dyDescent="0.25">
      <c r="A882" t="str">
        <f>"1144396268"</f>
        <v>1144396268</v>
      </c>
      <c r="B882" t="str">
        <f>"01864180"</f>
        <v>01864180</v>
      </c>
      <c r="C882" t="s">
        <v>5374</v>
      </c>
      <c r="D882" t="s">
        <v>5375</v>
      </c>
      <c r="E882" t="s">
        <v>5376</v>
      </c>
      <c r="G882" t="s">
        <v>2224</v>
      </c>
      <c r="H882" t="s">
        <v>2225</v>
      </c>
      <c r="J882" t="s">
        <v>2226</v>
      </c>
      <c r="L882" t="s">
        <v>72</v>
      </c>
      <c r="M882" t="s">
        <v>73</v>
      </c>
      <c r="R882" t="s">
        <v>5377</v>
      </c>
      <c r="W882" t="s">
        <v>5376</v>
      </c>
      <c r="Y882" t="s">
        <v>91</v>
      </c>
      <c r="Z882" t="s">
        <v>74</v>
      </c>
      <c r="AA882" t="str">
        <f>"10029-6500"</f>
        <v>10029-6500</v>
      </c>
      <c r="AB882" t="s">
        <v>75</v>
      </c>
      <c r="AC882" t="s">
        <v>76</v>
      </c>
      <c r="AD882" t="s">
        <v>73</v>
      </c>
      <c r="AE882" t="s">
        <v>77</v>
      </c>
      <c r="AF882" t="s">
        <v>2254</v>
      </c>
      <c r="AG882" t="s">
        <v>78</v>
      </c>
    </row>
    <row r="883" spans="1:33" hidden="1" x14ac:dyDescent="0.25">
      <c r="A883" t="str">
        <f>"1972541365"</f>
        <v>1972541365</v>
      </c>
      <c r="B883" t="str">
        <f>"02559557"</f>
        <v>02559557</v>
      </c>
      <c r="C883" t="s">
        <v>3672</v>
      </c>
      <c r="D883" t="s">
        <v>5378</v>
      </c>
      <c r="E883" t="s">
        <v>5379</v>
      </c>
      <c r="L883" t="s">
        <v>99</v>
      </c>
      <c r="M883" t="s">
        <v>73</v>
      </c>
      <c r="R883" t="s">
        <v>3672</v>
      </c>
      <c r="W883" t="s">
        <v>5379</v>
      </c>
      <c r="X883" t="s">
        <v>1444</v>
      </c>
      <c r="Y883" t="s">
        <v>91</v>
      </c>
      <c r="Z883" t="s">
        <v>74</v>
      </c>
      <c r="AA883" t="str">
        <f>"10032-3733"</f>
        <v>10032-3733</v>
      </c>
      <c r="AB883" t="s">
        <v>114</v>
      </c>
      <c r="AC883" t="s">
        <v>76</v>
      </c>
      <c r="AD883" t="s">
        <v>73</v>
      </c>
      <c r="AE883" t="s">
        <v>77</v>
      </c>
      <c r="AF883" t="s">
        <v>2254</v>
      </c>
      <c r="AG883" t="s">
        <v>78</v>
      </c>
    </row>
    <row r="884" spans="1:33" hidden="1" x14ac:dyDescent="0.25">
      <c r="B884" t="str">
        <f>"01161875"</f>
        <v>01161875</v>
      </c>
      <c r="C884" t="s">
        <v>4627</v>
      </c>
      <c r="D884" t="s">
        <v>5380</v>
      </c>
      <c r="E884" t="s">
        <v>4627</v>
      </c>
      <c r="L884" t="s">
        <v>36</v>
      </c>
      <c r="M884" t="s">
        <v>73</v>
      </c>
      <c r="W884" t="s">
        <v>4627</v>
      </c>
      <c r="X884" t="s">
        <v>3547</v>
      </c>
      <c r="Y884" t="s">
        <v>91</v>
      </c>
      <c r="Z884" t="s">
        <v>74</v>
      </c>
      <c r="AA884" t="str">
        <f>"10021"</f>
        <v>10021</v>
      </c>
      <c r="AB884" t="s">
        <v>114</v>
      </c>
      <c r="AC884" t="s">
        <v>76</v>
      </c>
      <c r="AD884" t="s">
        <v>73</v>
      </c>
      <c r="AE884" t="s">
        <v>77</v>
      </c>
      <c r="AF884" t="s">
        <v>2254</v>
      </c>
      <c r="AG884" t="s">
        <v>78</v>
      </c>
    </row>
    <row r="885" spans="1:33" hidden="1" x14ac:dyDescent="0.25">
      <c r="A885" t="str">
        <f>"1699862797"</f>
        <v>1699862797</v>
      </c>
      <c r="B885" t="str">
        <f>"02395384"</f>
        <v>02395384</v>
      </c>
      <c r="C885" t="s">
        <v>5381</v>
      </c>
      <c r="D885" t="s">
        <v>5382</v>
      </c>
      <c r="E885" t="s">
        <v>5383</v>
      </c>
      <c r="G885" t="s">
        <v>2224</v>
      </c>
      <c r="H885" t="s">
        <v>2225</v>
      </c>
      <c r="J885" t="s">
        <v>2226</v>
      </c>
      <c r="L885" t="s">
        <v>80</v>
      </c>
      <c r="M885" t="s">
        <v>73</v>
      </c>
      <c r="R885" t="s">
        <v>5384</v>
      </c>
      <c r="W885" t="s">
        <v>5383</v>
      </c>
      <c r="X885" t="s">
        <v>5385</v>
      </c>
      <c r="Y885" t="s">
        <v>91</v>
      </c>
      <c r="Z885" t="s">
        <v>74</v>
      </c>
      <c r="AA885" t="str">
        <f>"10021-9800"</f>
        <v>10021-9800</v>
      </c>
      <c r="AB885" t="s">
        <v>75</v>
      </c>
      <c r="AC885" t="s">
        <v>76</v>
      </c>
      <c r="AD885" t="s">
        <v>73</v>
      </c>
      <c r="AE885" t="s">
        <v>77</v>
      </c>
      <c r="AF885" t="s">
        <v>2398</v>
      </c>
      <c r="AG885" t="s">
        <v>78</v>
      </c>
    </row>
    <row r="886" spans="1:33" hidden="1" x14ac:dyDescent="0.25">
      <c r="A886" t="str">
        <f>"1700968070"</f>
        <v>1700968070</v>
      </c>
      <c r="B886" t="str">
        <f>"01883729"</f>
        <v>01883729</v>
      </c>
      <c r="C886" t="s">
        <v>5386</v>
      </c>
      <c r="D886" t="s">
        <v>1659</v>
      </c>
      <c r="E886" t="s">
        <v>1660</v>
      </c>
      <c r="G886" t="s">
        <v>2224</v>
      </c>
      <c r="H886" t="s">
        <v>2225</v>
      </c>
      <c r="J886" t="s">
        <v>2226</v>
      </c>
      <c r="L886" t="s">
        <v>81</v>
      </c>
      <c r="M886" t="s">
        <v>82</v>
      </c>
      <c r="R886" t="s">
        <v>1661</v>
      </c>
      <c r="W886" t="s">
        <v>1660</v>
      </c>
      <c r="X886" t="s">
        <v>1662</v>
      </c>
      <c r="Y886" t="s">
        <v>91</v>
      </c>
      <c r="Z886" t="s">
        <v>74</v>
      </c>
      <c r="AA886" t="str">
        <f>"10032-3720"</f>
        <v>10032-3720</v>
      </c>
      <c r="AB886" t="s">
        <v>75</v>
      </c>
      <c r="AC886" t="s">
        <v>76</v>
      </c>
      <c r="AD886" t="s">
        <v>73</v>
      </c>
      <c r="AE886" t="s">
        <v>77</v>
      </c>
      <c r="AF886" t="s">
        <v>2228</v>
      </c>
      <c r="AG886" t="s">
        <v>78</v>
      </c>
    </row>
    <row r="887" spans="1:33" hidden="1" x14ac:dyDescent="0.25">
      <c r="A887" t="str">
        <f>"1912014945"</f>
        <v>1912014945</v>
      </c>
      <c r="B887" t="str">
        <f>"02243621"</f>
        <v>02243621</v>
      </c>
      <c r="C887" t="s">
        <v>5387</v>
      </c>
      <c r="D887" t="s">
        <v>5388</v>
      </c>
      <c r="E887" t="s">
        <v>5389</v>
      </c>
      <c r="G887" t="s">
        <v>282</v>
      </c>
      <c r="H887" t="s">
        <v>248</v>
      </c>
      <c r="I887">
        <v>2604</v>
      </c>
      <c r="J887" t="s">
        <v>283</v>
      </c>
      <c r="L887" t="s">
        <v>81</v>
      </c>
      <c r="M887" t="s">
        <v>82</v>
      </c>
      <c r="R887" t="s">
        <v>5390</v>
      </c>
      <c r="W887" t="s">
        <v>5389</v>
      </c>
      <c r="X887" t="s">
        <v>5391</v>
      </c>
      <c r="Y887" t="s">
        <v>84</v>
      </c>
      <c r="Z887" t="s">
        <v>74</v>
      </c>
      <c r="AA887" t="str">
        <f>"11213-2421"</f>
        <v>11213-2421</v>
      </c>
      <c r="AB887" t="s">
        <v>75</v>
      </c>
      <c r="AC887" t="s">
        <v>76</v>
      </c>
      <c r="AD887" t="s">
        <v>73</v>
      </c>
      <c r="AE887" t="s">
        <v>77</v>
      </c>
      <c r="AF887" t="s">
        <v>2319</v>
      </c>
      <c r="AG887" t="s">
        <v>78</v>
      </c>
    </row>
    <row r="888" spans="1:33" hidden="1" x14ac:dyDescent="0.25">
      <c r="A888" t="str">
        <f>"1073780763"</f>
        <v>1073780763</v>
      </c>
      <c r="B888" t="str">
        <f>"03674224"</f>
        <v>03674224</v>
      </c>
      <c r="C888" t="s">
        <v>5392</v>
      </c>
      <c r="D888" t="s">
        <v>446</v>
      </c>
      <c r="E888" t="s">
        <v>445</v>
      </c>
      <c r="G888" t="s">
        <v>282</v>
      </c>
      <c r="H888" t="s">
        <v>248</v>
      </c>
      <c r="I888">
        <v>2604</v>
      </c>
      <c r="J888" t="s">
        <v>283</v>
      </c>
      <c r="L888" t="s">
        <v>129</v>
      </c>
      <c r="M888" t="s">
        <v>73</v>
      </c>
      <c r="R888" t="s">
        <v>445</v>
      </c>
      <c r="W888" t="s">
        <v>445</v>
      </c>
      <c r="X888" t="s">
        <v>447</v>
      </c>
      <c r="Y888" t="s">
        <v>181</v>
      </c>
      <c r="Z888" t="s">
        <v>74</v>
      </c>
      <c r="AA888" t="str">
        <f>"10605-1504"</f>
        <v>10605-1504</v>
      </c>
      <c r="AB888" t="s">
        <v>75</v>
      </c>
      <c r="AC888" t="s">
        <v>76</v>
      </c>
      <c r="AD888" t="s">
        <v>73</v>
      </c>
      <c r="AE888" t="s">
        <v>77</v>
      </c>
      <c r="AF888" t="s">
        <v>2319</v>
      </c>
      <c r="AG888" t="s">
        <v>78</v>
      </c>
    </row>
    <row r="889" spans="1:33" hidden="1" x14ac:dyDescent="0.25">
      <c r="A889" t="str">
        <f>"1912060708"</f>
        <v>1912060708</v>
      </c>
      <c r="B889" t="str">
        <f>"02819794"</f>
        <v>02819794</v>
      </c>
      <c r="C889" t="s">
        <v>5393</v>
      </c>
      <c r="D889" t="s">
        <v>5394</v>
      </c>
      <c r="E889" t="s">
        <v>5395</v>
      </c>
      <c r="G889" t="s">
        <v>2224</v>
      </c>
      <c r="H889" t="s">
        <v>2225</v>
      </c>
      <c r="J889" t="s">
        <v>2226</v>
      </c>
      <c r="L889" t="s">
        <v>72</v>
      </c>
      <c r="M889" t="s">
        <v>73</v>
      </c>
      <c r="R889" t="s">
        <v>5395</v>
      </c>
      <c r="W889" t="s">
        <v>5395</v>
      </c>
      <c r="X889" t="s">
        <v>183</v>
      </c>
      <c r="Y889" t="s">
        <v>91</v>
      </c>
      <c r="Z889" t="s">
        <v>74</v>
      </c>
      <c r="AA889" t="str">
        <f>"10032-3729"</f>
        <v>10032-3729</v>
      </c>
      <c r="AB889" t="s">
        <v>75</v>
      </c>
      <c r="AC889" t="s">
        <v>76</v>
      </c>
      <c r="AD889" t="s">
        <v>73</v>
      </c>
      <c r="AE889" t="s">
        <v>77</v>
      </c>
      <c r="AF889" t="s">
        <v>2228</v>
      </c>
      <c r="AG889" t="s">
        <v>78</v>
      </c>
    </row>
    <row r="890" spans="1:33" hidden="1" x14ac:dyDescent="0.25">
      <c r="A890" t="str">
        <f>"1013129816"</f>
        <v>1013129816</v>
      </c>
      <c r="B890" t="str">
        <f>"03102196"</f>
        <v>03102196</v>
      </c>
      <c r="C890" t="s">
        <v>5396</v>
      </c>
      <c r="D890" t="s">
        <v>5397</v>
      </c>
      <c r="E890" t="s">
        <v>5398</v>
      </c>
      <c r="G890" t="s">
        <v>2224</v>
      </c>
      <c r="H890" t="s">
        <v>2225</v>
      </c>
      <c r="J890" t="s">
        <v>2226</v>
      </c>
      <c r="L890" t="s">
        <v>80</v>
      </c>
      <c r="M890" t="s">
        <v>73</v>
      </c>
      <c r="R890" t="s">
        <v>5399</v>
      </c>
      <c r="W890" t="s">
        <v>5400</v>
      </c>
      <c r="X890" t="s">
        <v>167</v>
      </c>
      <c r="Y890" t="s">
        <v>91</v>
      </c>
      <c r="Z890" t="s">
        <v>74</v>
      </c>
      <c r="AA890" t="str">
        <f>"10032-3720"</f>
        <v>10032-3720</v>
      </c>
      <c r="AB890" t="s">
        <v>75</v>
      </c>
      <c r="AC890" t="s">
        <v>76</v>
      </c>
      <c r="AD890" t="s">
        <v>73</v>
      </c>
      <c r="AE890" t="s">
        <v>77</v>
      </c>
      <c r="AF890" t="s">
        <v>2254</v>
      </c>
      <c r="AG890" t="s">
        <v>78</v>
      </c>
    </row>
    <row r="891" spans="1:33" hidden="1" x14ac:dyDescent="0.25">
      <c r="A891" t="str">
        <f>"1013165521"</f>
        <v>1013165521</v>
      </c>
      <c r="B891" t="str">
        <f>"00680433"</f>
        <v>00680433</v>
      </c>
      <c r="C891" t="s">
        <v>5401</v>
      </c>
      <c r="D891" t="s">
        <v>5402</v>
      </c>
      <c r="E891" t="s">
        <v>5403</v>
      </c>
      <c r="G891" t="s">
        <v>2224</v>
      </c>
      <c r="H891" t="s">
        <v>2225</v>
      </c>
      <c r="J891" t="s">
        <v>2226</v>
      </c>
      <c r="L891" t="s">
        <v>72</v>
      </c>
      <c r="M891" t="s">
        <v>73</v>
      </c>
      <c r="R891" t="s">
        <v>5404</v>
      </c>
      <c r="W891" t="s">
        <v>5405</v>
      </c>
      <c r="X891" t="s">
        <v>167</v>
      </c>
      <c r="Y891" t="s">
        <v>91</v>
      </c>
      <c r="Z891" t="s">
        <v>74</v>
      </c>
      <c r="AA891" t="str">
        <f>"10032-3720"</f>
        <v>10032-3720</v>
      </c>
      <c r="AB891" t="s">
        <v>75</v>
      </c>
      <c r="AC891" t="s">
        <v>76</v>
      </c>
      <c r="AD891" t="s">
        <v>73</v>
      </c>
      <c r="AE891" t="s">
        <v>77</v>
      </c>
      <c r="AF891" t="s">
        <v>2228</v>
      </c>
      <c r="AG891" t="s">
        <v>78</v>
      </c>
    </row>
    <row r="892" spans="1:33" hidden="1" x14ac:dyDescent="0.25">
      <c r="A892" t="str">
        <f>"1750526927"</f>
        <v>1750526927</v>
      </c>
      <c r="B892" t="str">
        <f>"03090360"</f>
        <v>03090360</v>
      </c>
      <c r="C892" t="s">
        <v>5406</v>
      </c>
      <c r="D892" t="s">
        <v>5407</v>
      </c>
      <c r="E892" t="s">
        <v>5408</v>
      </c>
      <c r="G892" t="s">
        <v>2224</v>
      </c>
      <c r="H892" t="s">
        <v>2225</v>
      </c>
      <c r="J892" t="s">
        <v>2226</v>
      </c>
      <c r="L892" t="s">
        <v>96</v>
      </c>
      <c r="M892" t="s">
        <v>73</v>
      </c>
      <c r="R892" t="s">
        <v>5409</v>
      </c>
      <c r="W892" t="s">
        <v>5408</v>
      </c>
      <c r="X892" t="s">
        <v>170</v>
      </c>
      <c r="Y892" t="s">
        <v>91</v>
      </c>
      <c r="Z892" t="s">
        <v>74</v>
      </c>
      <c r="AA892" t="str">
        <f>"10065-4870"</f>
        <v>10065-4870</v>
      </c>
      <c r="AB892" t="s">
        <v>106</v>
      </c>
      <c r="AC892" t="s">
        <v>76</v>
      </c>
      <c r="AD892" t="s">
        <v>73</v>
      </c>
      <c r="AE892" t="s">
        <v>77</v>
      </c>
      <c r="AF892" t="s">
        <v>2398</v>
      </c>
      <c r="AG892" t="s">
        <v>78</v>
      </c>
    </row>
    <row r="893" spans="1:33" hidden="1" x14ac:dyDescent="0.25">
      <c r="A893" t="str">
        <f>"1215024393"</f>
        <v>1215024393</v>
      </c>
      <c r="B893" t="str">
        <f>"02281001"</f>
        <v>02281001</v>
      </c>
      <c r="C893" t="s">
        <v>5410</v>
      </c>
      <c r="D893" t="s">
        <v>5411</v>
      </c>
      <c r="E893" t="s">
        <v>5412</v>
      </c>
      <c r="G893" t="s">
        <v>2224</v>
      </c>
      <c r="H893" t="s">
        <v>2225</v>
      </c>
      <c r="J893" t="s">
        <v>2226</v>
      </c>
      <c r="L893" t="s">
        <v>81</v>
      </c>
      <c r="M893" t="s">
        <v>82</v>
      </c>
      <c r="R893" t="s">
        <v>5413</v>
      </c>
      <c r="W893" t="s">
        <v>5412</v>
      </c>
      <c r="X893" t="s">
        <v>5414</v>
      </c>
      <c r="Y893" t="s">
        <v>91</v>
      </c>
      <c r="Z893" t="s">
        <v>74</v>
      </c>
      <c r="AA893" t="str">
        <f>"10065-6302"</f>
        <v>10065-6302</v>
      </c>
      <c r="AB893" t="s">
        <v>75</v>
      </c>
      <c r="AC893" t="s">
        <v>76</v>
      </c>
      <c r="AD893" t="s">
        <v>73</v>
      </c>
      <c r="AE893" t="s">
        <v>77</v>
      </c>
      <c r="AF893" t="s">
        <v>2398</v>
      </c>
      <c r="AG893" t="s">
        <v>78</v>
      </c>
    </row>
    <row r="894" spans="1:33" hidden="1" x14ac:dyDescent="0.25">
      <c r="A894" t="str">
        <f>"1396775243"</f>
        <v>1396775243</v>
      </c>
      <c r="B894" t="str">
        <f>"02245641"</f>
        <v>02245641</v>
      </c>
      <c r="C894" t="s">
        <v>5415</v>
      </c>
      <c r="D894" t="s">
        <v>5416</v>
      </c>
      <c r="E894" t="s">
        <v>5417</v>
      </c>
      <c r="G894" t="s">
        <v>2224</v>
      </c>
      <c r="H894" t="s">
        <v>2225</v>
      </c>
      <c r="J894" t="s">
        <v>2226</v>
      </c>
      <c r="L894" t="s">
        <v>80</v>
      </c>
      <c r="M894" t="s">
        <v>73</v>
      </c>
      <c r="R894" t="s">
        <v>2191</v>
      </c>
      <c r="W894" t="s">
        <v>5417</v>
      </c>
      <c r="X894" t="s">
        <v>5418</v>
      </c>
      <c r="Y894" t="s">
        <v>91</v>
      </c>
      <c r="Z894" t="s">
        <v>74</v>
      </c>
      <c r="AA894" t="str">
        <f>"10032-1559"</f>
        <v>10032-1559</v>
      </c>
      <c r="AB894" t="s">
        <v>75</v>
      </c>
      <c r="AC894" t="s">
        <v>76</v>
      </c>
      <c r="AD894" t="s">
        <v>73</v>
      </c>
      <c r="AE894" t="s">
        <v>77</v>
      </c>
      <c r="AF894" t="s">
        <v>2228</v>
      </c>
      <c r="AG894" t="s">
        <v>78</v>
      </c>
    </row>
    <row r="895" spans="1:33" hidden="1" x14ac:dyDescent="0.25">
      <c r="A895" t="str">
        <f>"1467527812"</f>
        <v>1467527812</v>
      </c>
      <c r="B895" t="str">
        <f>"03099992"</f>
        <v>03099992</v>
      </c>
      <c r="C895" t="s">
        <v>5419</v>
      </c>
      <c r="D895" t="s">
        <v>5420</v>
      </c>
      <c r="E895" t="s">
        <v>5421</v>
      </c>
      <c r="G895" t="s">
        <v>2224</v>
      </c>
      <c r="H895" t="s">
        <v>2225</v>
      </c>
      <c r="J895" t="s">
        <v>2226</v>
      </c>
      <c r="L895" t="s">
        <v>72</v>
      </c>
      <c r="M895" t="s">
        <v>73</v>
      </c>
      <c r="R895" t="s">
        <v>5422</v>
      </c>
      <c r="W895" t="s">
        <v>5421</v>
      </c>
      <c r="X895" t="s">
        <v>1981</v>
      </c>
      <c r="Y895" t="s">
        <v>91</v>
      </c>
      <c r="Z895" t="s">
        <v>74</v>
      </c>
      <c r="AA895" t="str">
        <f>"10032-1559"</f>
        <v>10032-1559</v>
      </c>
      <c r="AB895" t="s">
        <v>106</v>
      </c>
      <c r="AC895" t="s">
        <v>76</v>
      </c>
      <c r="AD895" t="s">
        <v>73</v>
      </c>
      <c r="AE895" t="s">
        <v>77</v>
      </c>
      <c r="AF895" t="s">
        <v>2254</v>
      </c>
      <c r="AG895" t="s">
        <v>78</v>
      </c>
    </row>
    <row r="896" spans="1:33" hidden="1" x14ac:dyDescent="0.25">
      <c r="A896" t="str">
        <f>"1528210903"</f>
        <v>1528210903</v>
      </c>
      <c r="C896" t="s">
        <v>5423</v>
      </c>
      <c r="G896" t="s">
        <v>2224</v>
      </c>
      <c r="H896" t="s">
        <v>2312</v>
      </c>
      <c r="J896" t="s">
        <v>2226</v>
      </c>
      <c r="K896" t="s">
        <v>171</v>
      </c>
      <c r="L896" t="s">
        <v>96</v>
      </c>
      <c r="M896" t="s">
        <v>73</v>
      </c>
      <c r="R896" t="s">
        <v>2215</v>
      </c>
      <c r="S896" t="s">
        <v>5424</v>
      </c>
      <c r="T896" t="s">
        <v>91</v>
      </c>
      <c r="U896" t="s">
        <v>74</v>
      </c>
      <c r="V896" t="str">
        <f>"100654870"</f>
        <v>100654870</v>
      </c>
      <c r="AC896" t="s">
        <v>76</v>
      </c>
      <c r="AD896" t="s">
        <v>73</v>
      </c>
      <c r="AE896" t="s">
        <v>97</v>
      </c>
      <c r="AF896" t="s">
        <v>2242</v>
      </c>
      <c r="AG896" t="s">
        <v>78</v>
      </c>
    </row>
    <row r="897" spans="1:33" hidden="1" x14ac:dyDescent="0.25">
      <c r="A897" t="str">
        <f>"1033205190"</f>
        <v>1033205190</v>
      </c>
      <c r="B897" t="str">
        <f>"01854026"</f>
        <v>01854026</v>
      </c>
      <c r="C897" t="s">
        <v>5425</v>
      </c>
      <c r="D897" t="s">
        <v>5426</v>
      </c>
      <c r="E897" t="s">
        <v>5427</v>
      </c>
      <c r="G897" t="s">
        <v>2224</v>
      </c>
      <c r="H897" t="s">
        <v>2225</v>
      </c>
      <c r="J897" t="s">
        <v>2226</v>
      </c>
      <c r="L897" t="s">
        <v>81</v>
      </c>
      <c r="M897" t="s">
        <v>82</v>
      </c>
      <c r="R897" t="s">
        <v>5428</v>
      </c>
      <c r="W897" t="s">
        <v>5427</v>
      </c>
      <c r="X897" t="s">
        <v>167</v>
      </c>
      <c r="Y897" t="s">
        <v>91</v>
      </c>
      <c r="Z897" t="s">
        <v>74</v>
      </c>
      <c r="AA897" t="str">
        <f>"10032-3720"</f>
        <v>10032-3720</v>
      </c>
      <c r="AB897" t="s">
        <v>75</v>
      </c>
      <c r="AC897" t="s">
        <v>76</v>
      </c>
      <c r="AD897" t="s">
        <v>73</v>
      </c>
      <c r="AE897" t="s">
        <v>77</v>
      </c>
      <c r="AF897" t="s">
        <v>2254</v>
      </c>
      <c r="AG897" t="s">
        <v>78</v>
      </c>
    </row>
    <row r="898" spans="1:33" hidden="1" x14ac:dyDescent="0.25">
      <c r="A898" t="str">
        <f>"1891956645"</f>
        <v>1891956645</v>
      </c>
      <c r="C898" t="s">
        <v>5429</v>
      </c>
      <c r="K898" t="s">
        <v>36</v>
      </c>
      <c r="L898" t="s">
        <v>96</v>
      </c>
      <c r="M898" t="s">
        <v>73</v>
      </c>
      <c r="R898" t="s">
        <v>5429</v>
      </c>
      <c r="S898" t="s">
        <v>167</v>
      </c>
      <c r="T898" t="s">
        <v>91</v>
      </c>
      <c r="U898" t="s">
        <v>74</v>
      </c>
      <c r="V898" t="str">
        <f>"100323720"</f>
        <v>100323720</v>
      </c>
      <c r="AC898" t="s">
        <v>76</v>
      </c>
      <c r="AD898" t="s">
        <v>73</v>
      </c>
      <c r="AE898" t="s">
        <v>97</v>
      </c>
      <c r="AF898" t="s">
        <v>2398</v>
      </c>
      <c r="AG898" t="s">
        <v>78</v>
      </c>
    </row>
    <row r="899" spans="1:33" hidden="1" x14ac:dyDescent="0.25">
      <c r="A899" t="str">
        <f>"1265758726"</f>
        <v>1265758726</v>
      </c>
      <c r="B899" t="str">
        <f>"03923993"</f>
        <v>03923993</v>
      </c>
      <c r="C899" t="s">
        <v>5430</v>
      </c>
      <c r="D899" t="s">
        <v>5431</v>
      </c>
      <c r="E899" t="s">
        <v>5432</v>
      </c>
      <c r="G899" t="s">
        <v>2224</v>
      </c>
      <c r="H899" t="s">
        <v>2225</v>
      </c>
      <c r="J899" t="s">
        <v>2226</v>
      </c>
      <c r="L899" t="s">
        <v>72</v>
      </c>
      <c r="M899" t="s">
        <v>73</v>
      </c>
      <c r="R899" t="s">
        <v>5433</v>
      </c>
      <c r="W899" t="s">
        <v>5434</v>
      </c>
      <c r="X899" t="s">
        <v>496</v>
      </c>
      <c r="Y899" t="s">
        <v>91</v>
      </c>
      <c r="Z899" t="s">
        <v>74</v>
      </c>
      <c r="AA899" t="str">
        <f>"10032-3726"</f>
        <v>10032-3726</v>
      </c>
      <c r="AB899" t="s">
        <v>75</v>
      </c>
      <c r="AC899" t="s">
        <v>76</v>
      </c>
      <c r="AD899" t="s">
        <v>73</v>
      </c>
      <c r="AE899" t="s">
        <v>77</v>
      </c>
      <c r="AF899" t="s">
        <v>2228</v>
      </c>
      <c r="AG899" t="s">
        <v>78</v>
      </c>
    </row>
    <row r="900" spans="1:33" hidden="1" x14ac:dyDescent="0.25">
      <c r="A900" t="str">
        <f>"1275534067"</f>
        <v>1275534067</v>
      </c>
      <c r="B900" t="str">
        <f>"01644251"</f>
        <v>01644251</v>
      </c>
      <c r="C900" t="s">
        <v>5435</v>
      </c>
      <c r="D900" t="s">
        <v>5436</v>
      </c>
      <c r="E900" t="s">
        <v>5437</v>
      </c>
      <c r="G900" t="s">
        <v>2224</v>
      </c>
      <c r="H900" t="s">
        <v>2225</v>
      </c>
      <c r="J900" t="s">
        <v>2226</v>
      </c>
      <c r="L900" t="s">
        <v>80</v>
      </c>
      <c r="M900" t="s">
        <v>73</v>
      </c>
      <c r="R900" t="s">
        <v>5438</v>
      </c>
      <c r="W900" t="s">
        <v>5437</v>
      </c>
      <c r="X900" t="s">
        <v>5439</v>
      </c>
      <c r="Y900" t="s">
        <v>91</v>
      </c>
      <c r="Z900" t="s">
        <v>74</v>
      </c>
      <c r="AA900" t="str">
        <f>"10032-3729"</f>
        <v>10032-3729</v>
      </c>
      <c r="AB900" t="s">
        <v>75</v>
      </c>
      <c r="AC900" t="s">
        <v>76</v>
      </c>
      <c r="AD900" t="s">
        <v>73</v>
      </c>
      <c r="AE900" t="s">
        <v>77</v>
      </c>
      <c r="AF900" t="s">
        <v>2228</v>
      </c>
      <c r="AG900" t="s">
        <v>78</v>
      </c>
    </row>
    <row r="901" spans="1:33" hidden="1" x14ac:dyDescent="0.25">
      <c r="A901" t="str">
        <f>"1124115217"</f>
        <v>1124115217</v>
      </c>
      <c r="B901" t="str">
        <f>"00187513"</f>
        <v>00187513</v>
      </c>
      <c r="C901" t="s">
        <v>5440</v>
      </c>
      <c r="D901" t="s">
        <v>5441</v>
      </c>
      <c r="E901" t="s">
        <v>5442</v>
      </c>
      <c r="G901" t="s">
        <v>2224</v>
      </c>
      <c r="H901" t="s">
        <v>2225</v>
      </c>
      <c r="J901" t="s">
        <v>2226</v>
      </c>
      <c r="L901" t="s">
        <v>72</v>
      </c>
      <c r="M901" t="s">
        <v>73</v>
      </c>
      <c r="R901" t="s">
        <v>5443</v>
      </c>
      <c r="W901" t="s">
        <v>5442</v>
      </c>
      <c r="X901" t="s">
        <v>170</v>
      </c>
      <c r="Y901" t="s">
        <v>91</v>
      </c>
      <c r="Z901" t="s">
        <v>74</v>
      </c>
      <c r="AA901" t="str">
        <f>"10065-4870"</f>
        <v>10065-4870</v>
      </c>
      <c r="AB901" t="s">
        <v>75</v>
      </c>
      <c r="AC901" t="s">
        <v>76</v>
      </c>
      <c r="AD901" t="s">
        <v>73</v>
      </c>
      <c r="AE901" t="s">
        <v>77</v>
      </c>
      <c r="AF901" t="s">
        <v>2254</v>
      </c>
      <c r="AG901" t="s">
        <v>78</v>
      </c>
    </row>
    <row r="902" spans="1:33" hidden="1" x14ac:dyDescent="0.25">
      <c r="A902" t="str">
        <f>"1790710184"</f>
        <v>1790710184</v>
      </c>
      <c r="B902" t="str">
        <f>"01754934"</f>
        <v>01754934</v>
      </c>
      <c r="C902" t="s">
        <v>5444</v>
      </c>
      <c r="D902" t="s">
        <v>5445</v>
      </c>
      <c r="E902" t="s">
        <v>5446</v>
      </c>
      <c r="G902" t="s">
        <v>2224</v>
      </c>
      <c r="H902" t="s">
        <v>2225</v>
      </c>
      <c r="J902" t="s">
        <v>2226</v>
      </c>
      <c r="L902" t="s">
        <v>72</v>
      </c>
      <c r="M902" t="s">
        <v>73</v>
      </c>
      <c r="R902" t="s">
        <v>5447</v>
      </c>
      <c r="W902" t="s">
        <v>5446</v>
      </c>
      <c r="X902" t="s">
        <v>537</v>
      </c>
      <c r="Y902" t="s">
        <v>91</v>
      </c>
      <c r="Z902" t="s">
        <v>74</v>
      </c>
      <c r="AA902" t="str">
        <f>"10032-3720"</f>
        <v>10032-3720</v>
      </c>
      <c r="AB902" t="s">
        <v>75</v>
      </c>
      <c r="AC902" t="s">
        <v>76</v>
      </c>
      <c r="AD902" t="s">
        <v>73</v>
      </c>
      <c r="AE902" t="s">
        <v>77</v>
      </c>
      <c r="AF902" t="s">
        <v>2254</v>
      </c>
      <c r="AG902" t="s">
        <v>78</v>
      </c>
    </row>
    <row r="903" spans="1:33" hidden="1" x14ac:dyDescent="0.25">
      <c r="A903" t="str">
        <f>"1790769487"</f>
        <v>1790769487</v>
      </c>
      <c r="B903" t="str">
        <f>"01800848"</f>
        <v>01800848</v>
      </c>
      <c r="C903" t="s">
        <v>5448</v>
      </c>
      <c r="D903" t="s">
        <v>5449</v>
      </c>
      <c r="E903" t="s">
        <v>5450</v>
      </c>
      <c r="G903" t="s">
        <v>2224</v>
      </c>
      <c r="H903" t="s">
        <v>2225</v>
      </c>
      <c r="J903" t="s">
        <v>2226</v>
      </c>
      <c r="L903" t="s">
        <v>72</v>
      </c>
      <c r="M903" t="s">
        <v>73</v>
      </c>
      <c r="R903" t="s">
        <v>5451</v>
      </c>
      <c r="W903" t="s">
        <v>5450</v>
      </c>
      <c r="X903" t="s">
        <v>1338</v>
      </c>
      <c r="Y903" t="s">
        <v>1339</v>
      </c>
      <c r="Z903" t="s">
        <v>74</v>
      </c>
      <c r="AA903" t="str">
        <f>"10954-1601"</f>
        <v>10954-1601</v>
      </c>
      <c r="AB903" t="s">
        <v>75</v>
      </c>
      <c r="AC903" t="s">
        <v>76</v>
      </c>
      <c r="AD903" t="s">
        <v>73</v>
      </c>
      <c r="AE903" t="s">
        <v>77</v>
      </c>
      <c r="AF903" t="s">
        <v>2228</v>
      </c>
      <c r="AG903" t="s">
        <v>78</v>
      </c>
    </row>
    <row r="904" spans="1:33" hidden="1" x14ac:dyDescent="0.25">
      <c r="A904" t="str">
        <f>"1033351689"</f>
        <v>1033351689</v>
      </c>
      <c r="B904" t="str">
        <f>"03586523"</f>
        <v>03586523</v>
      </c>
      <c r="C904" t="s">
        <v>5452</v>
      </c>
      <c r="D904" t="s">
        <v>374</v>
      </c>
      <c r="E904" t="s">
        <v>375</v>
      </c>
      <c r="G904" t="s">
        <v>2224</v>
      </c>
      <c r="H904" t="s">
        <v>2225</v>
      </c>
      <c r="J904" t="s">
        <v>2226</v>
      </c>
      <c r="L904" t="s">
        <v>72</v>
      </c>
      <c r="M904" t="s">
        <v>73</v>
      </c>
      <c r="R904" t="s">
        <v>373</v>
      </c>
      <c r="W904" t="s">
        <v>375</v>
      </c>
      <c r="X904" t="s">
        <v>309</v>
      </c>
      <c r="Y904" t="s">
        <v>91</v>
      </c>
      <c r="Z904" t="s">
        <v>74</v>
      </c>
      <c r="AA904" t="str">
        <f>"10032-3724"</f>
        <v>10032-3724</v>
      </c>
      <c r="AB904" t="s">
        <v>75</v>
      </c>
      <c r="AC904" t="s">
        <v>76</v>
      </c>
      <c r="AD904" t="s">
        <v>73</v>
      </c>
      <c r="AE904" t="s">
        <v>77</v>
      </c>
      <c r="AF904" t="s">
        <v>2254</v>
      </c>
      <c r="AG904" t="s">
        <v>78</v>
      </c>
    </row>
    <row r="905" spans="1:33" hidden="1" x14ac:dyDescent="0.25">
      <c r="A905" t="str">
        <f>"1902993074"</f>
        <v>1902993074</v>
      </c>
      <c r="B905" t="str">
        <f>"00791328"</f>
        <v>00791328</v>
      </c>
      <c r="C905" t="s">
        <v>5453</v>
      </c>
      <c r="D905" t="s">
        <v>5454</v>
      </c>
      <c r="E905" t="s">
        <v>5455</v>
      </c>
      <c r="G905" t="s">
        <v>2224</v>
      </c>
      <c r="H905" t="s">
        <v>2225</v>
      </c>
      <c r="J905" t="s">
        <v>2226</v>
      </c>
      <c r="L905" t="s">
        <v>80</v>
      </c>
      <c r="M905" t="s">
        <v>73</v>
      </c>
      <c r="R905" t="s">
        <v>1181</v>
      </c>
      <c r="W905" t="s">
        <v>5455</v>
      </c>
      <c r="X905" t="s">
        <v>1583</v>
      </c>
      <c r="Y905" t="s">
        <v>91</v>
      </c>
      <c r="Z905" t="s">
        <v>74</v>
      </c>
      <c r="AA905" t="str">
        <f>"10021-9800"</f>
        <v>10021-9800</v>
      </c>
      <c r="AB905" t="s">
        <v>75</v>
      </c>
      <c r="AC905" t="s">
        <v>76</v>
      </c>
      <c r="AD905" t="s">
        <v>73</v>
      </c>
      <c r="AE905" t="s">
        <v>77</v>
      </c>
      <c r="AF905" t="s">
        <v>2242</v>
      </c>
      <c r="AG905" t="s">
        <v>78</v>
      </c>
    </row>
    <row r="906" spans="1:33" hidden="1" x14ac:dyDescent="0.25">
      <c r="A906" t="str">
        <f>"1275659203"</f>
        <v>1275659203</v>
      </c>
      <c r="B906" t="str">
        <f>"03407861"</f>
        <v>03407861</v>
      </c>
      <c r="C906" t="s">
        <v>5456</v>
      </c>
      <c r="D906" t="s">
        <v>5457</v>
      </c>
      <c r="E906" t="s">
        <v>5458</v>
      </c>
      <c r="G906" t="s">
        <v>2224</v>
      </c>
      <c r="H906" t="s">
        <v>2225</v>
      </c>
      <c r="J906" t="s">
        <v>2226</v>
      </c>
      <c r="L906" t="s">
        <v>80</v>
      </c>
      <c r="M906" t="s">
        <v>73</v>
      </c>
      <c r="R906" t="s">
        <v>5458</v>
      </c>
      <c r="W906" t="s">
        <v>5458</v>
      </c>
      <c r="X906" t="s">
        <v>1583</v>
      </c>
      <c r="Y906" t="s">
        <v>91</v>
      </c>
      <c r="Z906" t="s">
        <v>74</v>
      </c>
      <c r="AA906" t="str">
        <f>"10021-9800"</f>
        <v>10021-9800</v>
      </c>
      <c r="AB906" t="s">
        <v>75</v>
      </c>
      <c r="AC906" t="s">
        <v>76</v>
      </c>
      <c r="AD906" t="s">
        <v>73</v>
      </c>
      <c r="AE906" t="s">
        <v>77</v>
      </c>
      <c r="AF906" t="s">
        <v>2242</v>
      </c>
      <c r="AG906" t="s">
        <v>78</v>
      </c>
    </row>
    <row r="907" spans="1:33" hidden="1" x14ac:dyDescent="0.25">
      <c r="A907" t="str">
        <f>"1275665002"</f>
        <v>1275665002</v>
      </c>
      <c r="B907" t="str">
        <f>"02385913"</f>
        <v>02385913</v>
      </c>
      <c r="C907" t="s">
        <v>5459</v>
      </c>
      <c r="D907" t="s">
        <v>5460</v>
      </c>
      <c r="E907" t="s">
        <v>5461</v>
      </c>
      <c r="G907" t="s">
        <v>2224</v>
      </c>
      <c r="H907" t="s">
        <v>2225</v>
      </c>
      <c r="J907" t="s">
        <v>2226</v>
      </c>
      <c r="L907" t="s">
        <v>72</v>
      </c>
      <c r="M907" t="s">
        <v>82</v>
      </c>
      <c r="R907" t="s">
        <v>5462</v>
      </c>
      <c r="W907" t="s">
        <v>5461</v>
      </c>
      <c r="X907" t="s">
        <v>5463</v>
      </c>
      <c r="Y907" t="s">
        <v>91</v>
      </c>
      <c r="Z907" t="s">
        <v>74</v>
      </c>
      <c r="AA907" t="str">
        <f>"10040-3401"</f>
        <v>10040-3401</v>
      </c>
      <c r="AB907" t="s">
        <v>75</v>
      </c>
      <c r="AC907" t="s">
        <v>76</v>
      </c>
      <c r="AD907" t="s">
        <v>73</v>
      </c>
      <c r="AE907" t="s">
        <v>77</v>
      </c>
      <c r="AF907" t="s">
        <v>2228</v>
      </c>
      <c r="AG907" t="s">
        <v>78</v>
      </c>
    </row>
    <row r="908" spans="1:33" hidden="1" x14ac:dyDescent="0.25">
      <c r="A908" t="str">
        <f>"1417115767"</f>
        <v>1417115767</v>
      </c>
      <c r="B908" t="str">
        <f>"03509973"</f>
        <v>03509973</v>
      </c>
      <c r="C908" t="s">
        <v>5464</v>
      </c>
      <c r="D908" t="s">
        <v>5465</v>
      </c>
      <c r="E908" t="s">
        <v>5466</v>
      </c>
      <c r="G908" t="s">
        <v>2224</v>
      </c>
      <c r="H908" t="s">
        <v>2225</v>
      </c>
      <c r="J908" t="s">
        <v>2226</v>
      </c>
      <c r="L908" t="s">
        <v>80</v>
      </c>
      <c r="M908" t="s">
        <v>73</v>
      </c>
      <c r="R908" t="s">
        <v>5467</v>
      </c>
      <c r="W908" t="s">
        <v>5466</v>
      </c>
      <c r="X908" t="s">
        <v>4408</v>
      </c>
      <c r="Y908" t="s">
        <v>91</v>
      </c>
      <c r="Z908" t="s">
        <v>74</v>
      </c>
      <c r="AA908" t="str">
        <f>"10019-6113"</f>
        <v>10019-6113</v>
      </c>
      <c r="AB908" t="s">
        <v>75</v>
      </c>
      <c r="AC908" t="s">
        <v>76</v>
      </c>
      <c r="AD908" t="s">
        <v>73</v>
      </c>
      <c r="AE908" t="s">
        <v>77</v>
      </c>
      <c r="AF908" t="s">
        <v>2254</v>
      </c>
      <c r="AG908" t="s">
        <v>78</v>
      </c>
    </row>
    <row r="909" spans="1:33" hidden="1" x14ac:dyDescent="0.25">
      <c r="A909" t="str">
        <f>"1417120932"</f>
        <v>1417120932</v>
      </c>
      <c r="B909" t="str">
        <f>"03917911"</f>
        <v>03917911</v>
      </c>
      <c r="C909" t="s">
        <v>5468</v>
      </c>
      <c r="D909" t="s">
        <v>5469</v>
      </c>
      <c r="E909" t="s">
        <v>5470</v>
      </c>
      <c r="G909" t="s">
        <v>2224</v>
      </c>
      <c r="H909" t="s">
        <v>2225</v>
      </c>
      <c r="J909" t="s">
        <v>2226</v>
      </c>
      <c r="L909" t="s">
        <v>72</v>
      </c>
      <c r="M909" t="s">
        <v>73</v>
      </c>
      <c r="R909" t="s">
        <v>5471</v>
      </c>
      <c r="W909" t="s">
        <v>5470</v>
      </c>
      <c r="X909" t="s">
        <v>183</v>
      </c>
      <c r="Y909" t="s">
        <v>91</v>
      </c>
      <c r="Z909" t="s">
        <v>74</v>
      </c>
      <c r="AA909" t="str">
        <f>"10032-3729"</f>
        <v>10032-3729</v>
      </c>
      <c r="AB909" t="s">
        <v>75</v>
      </c>
      <c r="AC909" t="s">
        <v>76</v>
      </c>
      <c r="AD909" t="s">
        <v>73</v>
      </c>
      <c r="AE909" t="s">
        <v>77</v>
      </c>
      <c r="AF909" t="s">
        <v>2228</v>
      </c>
      <c r="AG909" t="s">
        <v>78</v>
      </c>
    </row>
    <row r="910" spans="1:33" hidden="1" x14ac:dyDescent="0.25">
      <c r="A910" t="str">
        <f>"1194984724"</f>
        <v>1194984724</v>
      </c>
      <c r="B910" t="str">
        <f>"03255649"</f>
        <v>03255649</v>
      </c>
      <c r="C910" t="s">
        <v>5472</v>
      </c>
      <c r="D910" t="s">
        <v>5473</v>
      </c>
      <c r="E910" t="s">
        <v>5474</v>
      </c>
      <c r="G910" t="s">
        <v>2224</v>
      </c>
      <c r="H910" t="s">
        <v>2225</v>
      </c>
      <c r="J910" t="s">
        <v>2226</v>
      </c>
      <c r="L910" t="s">
        <v>88</v>
      </c>
      <c r="M910" t="s">
        <v>82</v>
      </c>
      <c r="R910" t="s">
        <v>5475</v>
      </c>
      <c r="W910" t="s">
        <v>5474</v>
      </c>
      <c r="X910" t="s">
        <v>167</v>
      </c>
      <c r="Y910" t="s">
        <v>91</v>
      </c>
      <c r="Z910" t="s">
        <v>74</v>
      </c>
      <c r="AA910" t="str">
        <f>"10032-3720"</f>
        <v>10032-3720</v>
      </c>
      <c r="AB910" t="s">
        <v>75</v>
      </c>
      <c r="AC910" t="s">
        <v>76</v>
      </c>
      <c r="AD910" t="s">
        <v>73</v>
      </c>
      <c r="AE910" t="s">
        <v>77</v>
      </c>
      <c r="AF910" t="s">
        <v>2228</v>
      </c>
      <c r="AG910" t="s">
        <v>78</v>
      </c>
    </row>
    <row r="911" spans="1:33" hidden="1" x14ac:dyDescent="0.25">
      <c r="A911" t="str">
        <f>"1629386776"</f>
        <v>1629386776</v>
      </c>
      <c r="B911" t="str">
        <f>"03697376"</f>
        <v>03697376</v>
      </c>
      <c r="C911" t="s">
        <v>5476</v>
      </c>
      <c r="D911" t="s">
        <v>5477</v>
      </c>
      <c r="E911" t="s">
        <v>5478</v>
      </c>
      <c r="G911" t="s">
        <v>2514</v>
      </c>
      <c r="H911" t="s">
        <v>5479</v>
      </c>
      <c r="J911" t="s">
        <v>2516</v>
      </c>
      <c r="L911" t="s">
        <v>96</v>
      </c>
      <c r="M911" t="s">
        <v>73</v>
      </c>
      <c r="R911" t="s">
        <v>5480</v>
      </c>
      <c r="W911" t="s">
        <v>5478</v>
      </c>
      <c r="X911" t="s">
        <v>1377</v>
      </c>
      <c r="Y911" t="s">
        <v>91</v>
      </c>
      <c r="Z911" t="s">
        <v>74</v>
      </c>
      <c r="AA911" t="str">
        <f>"10040-1602"</f>
        <v>10040-1602</v>
      </c>
      <c r="AB911" t="s">
        <v>107</v>
      </c>
      <c r="AC911" t="s">
        <v>76</v>
      </c>
      <c r="AD911" t="s">
        <v>73</v>
      </c>
      <c r="AE911" t="s">
        <v>77</v>
      </c>
      <c r="AF911" t="s">
        <v>2518</v>
      </c>
      <c r="AG911" t="s">
        <v>78</v>
      </c>
    </row>
    <row r="912" spans="1:33" hidden="1" x14ac:dyDescent="0.25">
      <c r="A912" t="str">
        <f>"1821025099"</f>
        <v>1821025099</v>
      </c>
      <c r="B912" t="str">
        <f>"01169093"</f>
        <v>01169093</v>
      </c>
      <c r="C912" t="s">
        <v>5481</v>
      </c>
      <c r="D912" t="s">
        <v>1632</v>
      </c>
      <c r="E912" t="s">
        <v>1633</v>
      </c>
      <c r="G912" t="s">
        <v>2260</v>
      </c>
      <c r="H912" t="s">
        <v>1511</v>
      </c>
      <c r="J912" t="s">
        <v>1512</v>
      </c>
      <c r="L912" t="s">
        <v>80</v>
      </c>
      <c r="M912" t="s">
        <v>73</v>
      </c>
      <c r="R912" t="s">
        <v>1634</v>
      </c>
      <c r="W912" t="s">
        <v>1633</v>
      </c>
      <c r="X912" t="s">
        <v>1635</v>
      </c>
      <c r="Y912" t="s">
        <v>84</v>
      </c>
      <c r="Z912" t="s">
        <v>74</v>
      </c>
      <c r="AA912" t="str">
        <f>"11226-1203"</f>
        <v>11226-1203</v>
      </c>
      <c r="AB912" t="s">
        <v>75</v>
      </c>
      <c r="AC912" t="s">
        <v>76</v>
      </c>
      <c r="AD912" t="s">
        <v>73</v>
      </c>
      <c r="AE912" t="s">
        <v>77</v>
      </c>
      <c r="AF912" t="s">
        <v>2254</v>
      </c>
      <c r="AG912" t="s">
        <v>78</v>
      </c>
    </row>
    <row r="913" spans="1:33" hidden="1" x14ac:dyDescent="0.25">
      <c r="A913" t="str">
        <f>"1134379787"</f>
        <v>1134379787</v>
      </c>
      <c r="B913" t="str">
        <f>"03602779"</f>
        <v>03602779</v>
      </c>
      <c r="C913" t="s">
        <v>5482</v>
      </c>
      <c r="D913" t="s">
        <v>5483</v>
      </c>
      <c r="E913" t="s">
        <v>5484</v>
      </c>
      <c r="G913" t="s">
        <v>2224</v>
      </c>
      <c r="H913" t="s">
        <v>2225</v>
      </c>
      <c r="J913" t="s">
        <v>2226</v>
      </c>
      <c r="L913" t="s">
        <v>72</v>
      </c>
      <c r="M913" t="s">
        <v>73</v>
      </c>
      <c r="R913" t="s">
        <v>5485</v>
      </c>
      <c r="W913" t="s">
        <v>5484</v>
      </c>
      <c r="X913" t="s">
        <v>1444</v>
      </c>
      <c r="Y913" t="s">
        <v>91</v>
      </c>
      <c r="Z913" t="s">
        <v>74</v>
      </c>
      <c r="AA913" t="str">
        <f>"10032-3733"</f>
        <v>10032-3733</v>
      </c>
      <c r="AB913" t="s">
        <v>75</v>
      </c>
      <c r="AC913" t="s">
        <v>76</v>
      </c>
      <c r="AD913" t="s">
        <v>73</v>
      </c>
      <c r="AE913" t="s">
        <v>77</v>
      </c>
      <c r="AF913" t="s">
        <v>2228</v>
      </c>
      <c r="AG913" t="s">
        <v>78</v>
      </c>
    </row>
    <row r="914" spans="1:33" hidden="1" x14ac:dyDescent="0.25">
      <c r="A914" t="str">
        <f>"1174795116"</f>
        <v>1174795116</v>
      </c>
      <c r="B914" t="str">
        <f>"03047550"</f>
        <v>03047550</v>
      </c>
      <c r="C914" t="s">
        <v>5486</v>
      </c>
      <c r="D914" t="s">
        <v>5487</v>
      </c>
      <c r="E914" t="s">
        <v>5488</v>
      </c>
      <c r="G914" t="s">
        <v>2224</v>
      </c>
      <c r="H914" t="s">
        <v>2225</v>
      </c>
      <c r="J914" t="s">
        <v>2226</v>
      </c>
      <c r="L914" t="s">
        <v>72</v>
      </c>
      <c r="M914" t="s">
        <v>73</v>
      </c>
      <c r="R914" t="s">
        <v>5489</v>
      </c>
      <c r="W914" t="s">
        <v>5488</v>
      </c>
      <c r="X914" t="s">
        <v>496</v>
      </c>
      <c r="Y914" t="s">
        <v>91</v>
      </c>
      <c r="Z914" t="s">
        <v>74</v>
      </c>
      <c r="AA914" t="str">
        <f>"10032-3726"</f>
        <v>10032-3726</v>
      </c>
      <c r="AB914" t="s">
        <v>75</v>
      </c>
      <c r="AC914" t="s">
        <v>76</v>
      </c>
      <c r="AD914" t="s">
        <v>73</v>
      </c>
      <c r="AE914" t="s">
        <v>77</v>
      </c>
      <c r="AF914" t="s">
        <v>2228</v>
      </c>
      <c r="AG914" t="s">
        <v>78</v>
      </c>
    </row>
    <row r="915" spans="1:33" hidden="1" x14ac:dyDescent="0.25">
      <c r="A915" t="str">
        <f>"1609963784"</f>
        <v>1609963784</v>
      </c>
      <c r="B915" t="str">
        <f>"02591977"</f>
        <v>02591977</v>
      </c>
      <c r="C915" t="s">
        <v>5490</v>
      </c>
      <c r="D915" t="s">
        <v>5491</v>
      </c>
      <c r="E915" t="s">
        <v>5492</v>
      </c>
      <c r="G915" t="s">
        <v>2224</v>
      </c>
      <c r="H915" t="s">
        <v>2225</v>
      </c>
      <c r="J915" t="s">
        <v>2226</v>
      </c>
      <c r="L915" t="s">
        <v>88</v>
      </c>
      <c r="M915" t="s">
        <v>73</v>
      </c>
      <c r="R915" t="s">
        <v>5493</v>
      </c>
      <c r="W915" t="s">
        <v>5492</v>
      </c>
      <c r="X915" t="s">
        <v>170</v>
      </c>
      <c r="Y915" t="s">
        <v>91</v>
      </c>
      <c r="Z915" t="s">
        <v>74</v>
      </c>
      <c r="AA915" t="str">
        <f>"10065-4870"</f>
        <v>10065-4870</v>
      </c>
      <c r="AB915" t="s">
        <v>75</v>
      </c>
      <c r="AC915" t="s">
        <v>76</v>
      </c>
      <c r="AD915" t="s">
        <v>73</v>
      </c>
      <c r="AE915" t="s">
        <v>77</v>
      </c>
      <c r="AF915" t="s">
        <v>2242</v>
      </c>
      <c r="AG915" t="s">
        <v>78</v>
      </c>
    </row>
    <row r="916" spans="1:33" hidden="1" x14ac:dyDescent="0.25">
      <c r="A916" t="str">
        <f>"1619008844"</f>
        <v>1619008844</v>
      </c>
      <c r="B916" t="str">
        <f>"01993984"</f>
        <v>01993984</v>
      </c>
      <c r="C916" t="s">
        <v>5494</v>
      </c>
      <c r="D916" t="s">
        <v>5495</v>
      </c>
      <c r="E916" t="s">
        <v>5496</v>
      </c>
      <c r="G916" t="s">
        <v>2224</v>
      </c>
      <c r="H916" t="s">
        <v>2225</v>
      </c>
      <c r="J916" t="s">
        <v>2226</v>
      </c>
      <c r="L916" t="s">
        <v>81</v>
      </c>
      <c r="M916" t="s">
        <v>82</v>
      </c>
      <c r="R916" t="s">
        <v>5497</v>
      </c>
      <c r="W916" t="s">
        <v>5496</v>
      </c>
      <c r="X916" t="s">
        <v>167</v>
      </c>
      <c r="Y916" t="s">
        <v>91</v>
      </c>
      <c r="Z916" t="s">
        <v>74</v>
      </c>
      <c r="AA916" t="str">
        <f>"10032-3720"</f>
        <v>10032-3720</v>
      </c>
      <c r="AB916" t="s">
        <v>75</v>
      </c>
      <c r="AC916" t="s">
        <v>76</v>
      </c>
      <c r="AD916" t="s">
        <v>73</v>
      </c>
      <c r="AE916" t="s">
        <v>77</v>
      </c>
      <c r="AF916" t="s">
        <v>2254</v>
      </c>
      <c r="AG916" t="s">
        <v>78</v>
      </c>
    </row>
    <row r="917" spans="1:33" hidden="1" x14ac:dyDescent="0.25">
      <c r="A917" t="str">
        <f>"1619140076"</f>
        <v>1619140076</v>
      </c>
      <c r="B917" t="str">
        <f>"02980990"</f>
        <v>02980990</v>
      </c>
      <c r="C917" t="s">
        <v>5498</v>
      </c>
      <c r="D917" t="s">
        <v>5499</v>
      </c>
      <c r="E917" t="s">
        <v>5500</v>
      </c>
      <c r="G917" t="s">
        <v>2224</v>
      </c>
      <c r="H917" t="s">
        <v>2225</v>
      </c>
      <c r="J917" t="s">
        <v>2226</v>
      </c>
      <c r="L917" t="s">
        <v>81</v>
      </c>
      <c r="M917" t="s">
        <v>82</v>
      </c>
      <c r="R917" t="s">
        <v>5501</v>
      </c>
      <c r="W917" t="s">
        <v>5502</v>
      </c>
      <c r="X917" t="s">
        <v>5503</v>
      </c>
      <c r="Y917" t="s">
        <v>1079</v>
      </c>
      <c r="Z917" t="s">
        <v>74</v>
      </c>
      <c r="AA917" t="str">
        <f>"10021"</f>
        <v>10021</v>
      </c>
      <c r="AB917" t="s">
        <v>75</v>
      </c>
      <c r="AC917" t="s">
        <v>76</v>
      </c>
      <c r="AD917" t="s">
        <v>73</v>
      </c>
      <c r="AE917" t="s">
        <v>77</v>
      </c>
      <c r="AF917" t="s">
        <v>2242</v>
      </c>
      <c r="AG917" t="s">
        <v>78</v>
      </c>
    </row>
    <row r="918" spans="1:33" hidden="1" x14ac:dyDescent="0.25">
      <c r="A918" t="str">
        <f>"1235244419"</f>
        <v>1235244419</v>
      </c>
      <c r="B918" t="str">
        <f>"02622773"</f>
        <v>02622773</v>
      </c>
      <c r="C918" t="s">
        <v>5504</v>
      </c>
      <c r="D918" t="s">
        <v>5505</v>
      </c>
      <c r="E918" t="s">
        <v>5506</v>
      </c>
      <c r="G918" t="s">
        <v>2224</v>
      </c>
      <c r="H918" t="s">
        <v>2225</v>
      </c>
      <c r="J918" t="s">
        <v>2226</v>
      </c>
      <c r="L918" t="s">
        <v>88</v>
      </c>
      <c r="M918" t="s">
        <v>82</v>
      </c>
      <c r="R918" t="s">
        <v>5507</v>
      </c>
      <c r="W918" t="s">
        <v>5506</v>
      </c>
      <c r="X918" t="s">
        <v>5508</v>
      </c>
      <c r="Y918" t="s">
        <v>84</v>
      </c>
      <c r="Z918" t="s">
        <v>74</v>
      </c>
      <c r="AA918" t="str">
        <f>"11217-1001"</f>
        <v>11217-1001</v>
      </c>
      <c r="AB918" t="s">
        <v>75</v>
      </c>
      <c r="AC918" t="s">
        <v>76</v>
      </c>
      <c r="AD918" t="s">
        <v>73</v>
      </c>
      <c r="AE918" t="s">
        <v>77</v>
      </c>
      <c r="AF918" t="s">
        <v>2228</v>
      </c>
      <c r="AG918" t="s">
        <v>78</v>
      </c>
    </row>
    <row r="919" spans="1:33" hidden="1" x14ac:dyDescent="0.25">
      <c r="A919" t="str">
        <f>"1932488145"</f>
        <v>1932488145</v>
      </c>
      <c r="B919" t="str">
        <f>"03370532"</f>
        <v>03370532</v>
      </c>
      <c r="C919" t="s">
        <v>5509</v>
      </c>
      <c r="D919" t="s">
        <v>5510</v>
      </c>
      <c r="E919" t="s">
        <v>5511</v>
      </c>
      <c r="G919" t="s">
        <v>2224</v>
      </c>
      <c r="H919" t="s">
        <v>2225</v>
      </c>
      <c r="J919" t="s">
        <v>2226</v>
      </c>
      <c r="L919" t="s">
        <v>81</v>
      </c>
      <c r="M919" t="s">
        <v>73</v>
      </c>
      <c r="R919" t="s">
        <v>5512</v>
      </c>
      <c r="W919" t="s">
        <v>5511</v>
      </c>
      <c r="X919" t="s">
        <v>628</v>
      </c>
      <c r="Y919" t="s">
        <v>91</v>
      </c>
      <c r="Z919" t="s">
        <v>74</v>
      </c>
      <c r="AA919" t="str">
        <f>"10021-4872"</f>
        <v>10021-4872</v>
      </c>
      <c r="AB919" t="s">
        <v>75</v>
      </c>
      <c r="AC919" t="s">
        <v>76</v>
      </c>
      <c r="AD919" t="s">
        <v>73</v>
      </c>
      <c r="AE919" t="s">
        <v>77</v>
      </c>
      <c r="AF919" t="s">
        <v>2242</v>
      </c>
      <c r="AG919" t="s">
        <v>78</v>
      </c>
    </row>
    <row r="920" spans="1:33" hidden="1" x14ac:dyDescent="0.25">
      <c r="A920" t="str">
        <f>"1720019144"</f>
        <v>1720019144</v>
      </c>
      <c r="B920" t="str">
        <f>"02407638"</f>
        <v>02407638</v>
      </c>
      <c r="C920" t="s">
        <v>378</v>
      </c>
      <c r="D920" t="s">
        <v>379</v>
      </c>
      <c r="E920" t="s">
        <v>380</v>
      </c>
      <c r="G920" t="s">
        <v>5513</v>
      </c>
      <c r="H920" t="s">
        <v>338</v>
      </c>
      <c r="J920" t="s">
        <v>339</v>
      </c>
      <c r="L920" t="s">
        <v>36</v>
      </c>
      <c r="M920" t="s">
        <v>82</v>
      </c>
      <c r="R920" t="s">
        <v>381</v>
      </c>
      <c r="W920" t="s">
        <v>380</v>
      </c>
      <c r="X920" t="s">
        <v>382</v>
      </c>
      <c r="Y920" t="s">
        <v>91</v>
      </c>
      <c r="Z920" t="s">
        <v>74</v>
      </c>
      <c r="AA920" t="str">
        <f>"10001-1629"</f>
        <v>10001-1629</v>
      </c>
      <c r="AB920" t="s">
        <v>92</v>
      </c>
      <c r="AC920" t="s">
        <v>76</v>
      </c>
      <c r="AD920" t="s">
        <v>73</v>
      </c>
      <c r="AE920" t="s">
        <v>77</v>
      </c>
      <c r="AF920" t="s">
        <v>2398</v>
      </c>
      <c r="AG920" t="s">
        <v>78</v>
      </c>
    </row>
    <row r="921" spans="1:33" hidden="1" x14ac:dyDescent="0.25">
      <c r="A921" t="str">
        <f>"1609874585"</f>
        <v>1609874585</v>
      </c>
      <c r="B921" t="str">
        <f>"01552056"</f>
        <v>01552056</v>
      </c>
      <c r="C921" t="s">
        <v>1836</v>
      </c>
      <c r="D921" t="s">
        <v>1837</v>
      </c>
      <c r="E921" t="s">
        <v>1838</v>
      </c>
      <c r="G921" t="s">
        <v>4137</v>
      </c>
      <c r="H921" t="s">
        <v>1498</v>
      </c>
      <c r="J921" t="s">
        <v>1499</v>
      </c>
      <c r="L921" t="s">
        <v>101</v>
      </c>
      <c r="M921" t="s">
        <v>82</v>
      </c>
      <c r="R921" t="s">
        <v>1839</v>
      </c>
      <c r="W921" t="s">
        <v>1838</v>
      </c>
      <c r="X921" t="s">
        <v>1840</v>
      </c>
      <c r="Y921" t="s">
        <v>91</v>
      </c>
      <c r="Z921" t="s">
        <v>74</v>
      </c>
      <c r="AA921" t="str">
        <f>"10002-1304"</f>
        <v>10002-1304</v>
      </c>
      <c r="AB921" t="s">
        <v>102</v>
      </c>
      <c r="AC921" t="s">
        <v>76</v>
      </c>
      <c r="AD921" t="s">
        <v>73</v>
      </c>
      <c r="AE921" t="s">
        <v>77</v>
      </c>
      <c r="AF921" t="s">
        <v>2254</v>
      </c>
      <c r="AG921" t="s">
        <v>78</v>
      </c>
    </row>
    <row r="922" spans="1:33" hidden="1" x14ac:dyDescent="0.25">
      <c r="A922" t="str">
        <f>"1912064460"</f>
        <v>1912064460</v>
      </c>
      <c r="B922" t="str">
        <f>"02766925"</f>
        <v>02766925</v>
      </c>
      <c r="C922" t="s">
        <v>5514</v>
      </c>
      <c r="D922" t="s">
        <v>5515</v>
      </c>
      <c r="E922" t="s">
        <v>5516</v>
      </c>
      <c r="G922" t="s">
        <v>2514</v>
      </c>
      <c r="H922" t="s">
        <v>5517</v>
      </c>
      <c r="J922" t="s">
        <v>2516</v>
      </c>
      <c r="L922" t="s">
        <v>72</v>
      </c>
      <c r="M922" t="s">
        <v>73</v>
      </c>
      <c r="R922" t="s">
        <v>5516</v>
      </c>
      <c r="W922" t="s">
        <v>5518</v>
      </c>
      <c r="X922" t="s">
        <v>2114</v>
      </c>
      <c r="Y922" t="s">
        <v>91</v>
      </c>
      <c r="Z922" t="s">
        <v>74</v>
      </c>
      <c r="AA922" t="str">
        <f>"10001-4406"</f>
        <v>10001-4406</v>
      </c>
      <c r="AB922" t="s">
        <v>106</v>
      </c>
      <c r="AC922" t="s">
        <v>76</v>
      </c>
      <c r="AD922" t="s">
        <v>73</v>
      </c>
      <c r="AE922" t="s">
        <v>77</v>
      </c>
      <c r="AF922" t="s">
        <v>2518</v>
      </c>
      <c r="AG922" t="s">
        <v>78</v>
      </c>
    </row>
    <row r="923" spans="1:33" hidden="1" x14ac:dyDescent="0.25">
      <c r="A923" t="str">
        <f>"1689982795"</f>
        <v>1689982795</v>
      </c>
      <c r="C923" t="s">
        <v>5519</v>
      </c>
      <c r="G923" t="s">
        <v>2514</v>
      </c>
      <c r="H923" t="s">
        <v>5520</v>
      </c>
      <c r="J923" t="s">
        <v>2516</v>
      </c>
      <c r="K923" t="s">
        <v>507</v>
      </c>
      <c r="L923" t="s">
        <v>96</v>
      </c>
      <c r="M923" t="s">
        <v>73</v>
      </c>
      <c r="R923" t="s">
        <v>5521</v>
      </c>
      <c r="S923" t="s">
        <v>1377</v>
      </c>
      <c r="T923" t="s">
        <v>91</v>
      </c>
      <c r="U923" t="s">
        <v>74</v>
      </c>
      <c r="V923" t="str">
        <f>"100401602"</f>
        <v>100401602</v>
      </c>
      <c r="AC923" t="s">
        <v>76</v>
      </c>
      <c r="AD923" t="s">
        <v>73</v>
      </c>
      <c r="AE923" t="s">
        <v>97</v>
      </c>
      <c r="AF923" t="s">
        <v>2518</v>
      </c>
      <c r="AG923" t="s">
        <v>78</v>
      </c>
    </row>
    <row r="924" spans="1:33" hidden="1" x14ac:dyDescent="0.25">
      <c r="A924" t="str">
        <f>"1700992757"</f>
        <v>1700992757</v>
      </c>
      <c r="B924" t="str">
        <f>"01088059"</f>
        <v>01088059</v>
      </c>
      <c r="C924" t="s">
        <v>5522</v>
      </c>
      <c r="D924" t="s">
        <v>5523</v>
      </c>
      <c r="E924" t="s">
        <v>5524</v>
      </c>
      <c r="G924" t="s">
        <v>2224</v>
      </c>
      <c r="H924" t="s">
        <v>2225</v>
      </c>
      <c r="J924" t="s">
        <v>2226</v>
      </c>
      <c r="L924" t="s">
        <v>72</v>
      </c>
      <c r="M924" t="s">
        <v>73</v>
      </c>
      <c r="R924" t="s">
        <v>5525</v>
      </c>
      <c r="W924" t="s">
        <v>5524</v>
      </c>
      <c r="X924" t="s">
        <v>2936</v>
      </c>
      <c r="Y924" t="s">
        <v>91</v>
      </c>
      <c r="Z924" t="s">
        <v>74</v>
      </c>
      <c r="AA924" t="str">
        <f>"10032-3720"</f>
        <v>10032-3720</v>
      </c>
      <c r="AB924" t="s">
        <v>75</v>
      </c>
      <c r="AC924" t="s">
        <v>76</v>
      </c>
      <c r="AD924" t="s">
        <v>73</v>
      </c>
      <c r="AE924" t="s">
        <v>77</v>
      </c>
      <c r="AF924" t="s">
        <v>2228</v>
      </c>
      <c r="AG924" t="s">
        <v>78</v>
      </c>
    </row>
    <row r="925" spans="1:33" hidden="1" x14ac:dyDescent="0.25">
      <c r="A925" t="str">
        <f>"1386818391"</f>
        <v>1386818391</v>
      </c>
      <c r="B925" t="str">
        <f>"03287501"</f>
        <v>03287501</v>
      </c>
      <c r="C925" t="s">
        <v>5526</v>
      </c>
      <c r="D925" t="s">
        <v>5527</v>
      </c>
      <c r="E925" t="s">
        <v>5528</v>
      </c>
      <c r="G925" t="s">
        <v>2224</v>
      </c>
      <c r="H925" t="s">
        <v>2225</v>
      </c>
      <c r="J925" t="s">
        <v>2226</v>
      </c>
      <c r="L925" t="s">
        <v>81</v>
      </c>
      <c r="M925" t="s">
        <v>73</v>
      </c>
      <c r="R925" t="s">
        <v>5529</v>
      </c>
      <c r="W925" t="s">
        <v>5530</v>
      </c>
      <c r="X925" t="s">
        <v>2115</v>
      </c>
      <c r="Y925" t="s">
        <v>91</v>
      </c>
      <c r="Z925" t="s">
        <v>74</v>
      </c>
      <c r="AA925" t="str">
        <f>"10032-7104"</f>
        <v>10032-7104</v>
      </c>
      <c r="AB925" t="s">
        <v>75</v>
      </c>
      <c r="AC925" t="s">
        <v>76</v>
      </c>
      <c r="AD925" t="s">
        <v>73</v>
      </c>
      <c r="AE925" t="s">
        <v>77</v>
      </c>
      <c r="AF925" t="s">
        <v>2228</v>
      </c>
      <c r="AG925" t="s">
        <v>78</v>
      </c>
    </row>
    <row r="926" spans="1:33" hidden="1" x14ac:dyDescent="0.25">
      <c r="A926" t="str">
        <f>"1912143900"</f>
        <v>1912143900</v>
      </c>
      <c r="B926" t="str">
        <f>"03125913"</f>
        <v>03125913</v>
      </c>
      <c r="C926" t="s">
        <v>5531</v>
      </c>
      <c r="D926" t="s">
        <v>5532</v>
      </c>
      <c r="E926" t="s">
        <v>5533</v>
      </c>
      <c r="G926" t="s">
        <v>2224</v>
      </c>
      <c r="H926" t="s">
        <v>5534</v>
      </c>
      <c r="J926" t="s">
        <v>2226</v>
      </c>
      <c r="L926" t="s">
        <v>80</v>
      </c>
      <c r="M926" t="s">
        <v>82</v>
      </c>
      <c r="R926" t="s">
        <v>5535</v>
      </c>
      <c r="W926" t="s">
        <v>5536</v>
      </c>
      <c r="X926" t="s">
        <v>236</v>
      </c>
      <c r="Y926" t="s">
        <v>91</v>
      </c>
      <c r="Z926" t="s">
        <v>74</v>
      </c>
      <c r="AA926" t="str">
        <f>"10034-1159"</f>
        <v>10034-1159</v>
      </c>
      <c r="AB926" t="s">
        <v>75</v>
      </c>
      <c r="AC926" t="s">
        <v>76</v>
      </c>
      <c r="AD926" t="s">
        <v>73</v>
      </c>
      <c r="AE926" t="s">
        <v>77</v>
      </c>
      <c r="AF926" t="s">
        <v>2228</v>
      </c>
      <c r="AG926" t="s">
        <v>78</v>
      </c>
    </row>
    <row r="927" spans="1:33" hidden="1" x14ac:dyDescent="0.25">
      <c r="A927" t="str">
        <f>"1497824817"</f>
        <v>1497824817</v>
      </c>
      <c r="B927" t="str">
        <f>"01072586"</f>
        <v>01072586</v>
      </c>
      <c r="C927" t="s">
        <v>5537</v>
      </c>
      <c r="D927" t="s">
        <v>5538</v>
      </c>
      <c r="E927" t="s">
        <v>5539</v>
      </c>
      <c r="G927" t="s">
        <v>5540</v>
      </c>
      <c r="H927" t="s">
        <v>5541</v>
      </c>
      <c r="J927" t="s">
        <v>5542</v>
      </c>
      <c r="L927" t="s">
        <v>81</v>
      </c>
      <c r="M927" t="s">
        <v>82</v>
      </c>
      <c r="R927" t="s">
        <v>5543</v>
      </c>
      <c r="W927" t="s">
        <v>5539</v>
      </c>
      <c r="X927" t="s">
        <v>5544</v>
      </c>
      <c r="Y927" t="s">
        <v>91</v>
      </c>
      <c r="Z927" t="s">
        <v>74</v>
      </c>
      <c r="AA927" t="str">
        <f>"10040-1604"</f>
        <v>10040-1604</v>
      </c>
      <c r="AB927" t="s">
        <v>75</v>
      </c>
      <c r="AC927" t="s">
        <v>76</v>
      </c>
      <c r="AD927" t="s">
        <v>73</v>
      </c>
      <c r="AE927" t="s">
        <v>77</v>
      </c>
      <c r="AF927" t="s">
        <v>3147</v>
      </c>
      <c r="AG927" t="s">
        <v>78</v>
      </c>
    </row>
    <row r="928" spans="1:33" hidden="1" x14ac:dyDescent="0.25">
      <c r="A928" t="str">
        <f>"1104810514"</f>
        <v>1104810514</v>
      </c>
      <c r="B928" t="str">
        <f>"01867330"</f>
        <v>01867330</v>
      </c>
      <c r="C928" t="s">
        <v>5545</v>
      </c>
      <c r="D928" t="s">
        <v>5546</v>
      </c>
      <c r="E928" t="s">
        <v>5547</v>
      </c>
      <c r="G928" t="s">
        <v>2224</v>
      </c>
      <c r="H928" t="s">
        <v>2225</v>
      </c>
      <c r="J928" t="s">
        <v>2226</v>
      </c>
      <c r="L928" t="s">
        <v>80</v>
      </c>
      <c r="M928" t="s">
        <v>73</v>
      </c>
      <c r="R928" t="s">
        <v>5548</v>
      </c>
      <c r="W928" t="s">
        <v>5547</v>
      </c>
      <c r="X928" t="s">
        <v>2027</v>
      </c>
      <c r="Y928" t="s">
        <v>91</v>
      </c>
      <c r="Z928" t="s">
        <v>74</v>
      </c>
      <c r="AA928" t="str">
        <f>"10016"</f>
        <v>10016</v>
      </c>
      <c r="AB928" t="s">
        <v>75</v>
      </c>
      <c r="AC928" t="s">
        <v>76</v>
      </c>
      <c r="AD928" t="s">
        <v>73</v>
      </c>
      <c r="AE928" t="s">
        <v>77</v>
      </c>
      <c r="AF928" t="s">
        <v>2242</v>
      </c>
      <c r="AG928" t="s">
        <v>78</v>
      </c>
    </row>
    <row r="929" spans="1:33" hidden="1" x14ac:dyDescent="0.25">
      <c r="A929" t="str">
        <f>"1508931999"</f>
        <v>1508931999</v>
      </c>
      <c r="B929" t="str">
        <f>"01160732"</f>
        <v>01160732</v>
      </c>
      <c r="C929" t="s">
        <v>5549</v>
      </c>
      <c r="D929" t="s">
        <v>5550</v>
      </c>
      <c r="E929" t="s">
        <v>5551</v>
      </c>
      <c r="G929" t="s">
        <v>2224</v>
      </c>
      <c r="H929" t="s">
        <v>2225</v>
      </c>
      <c r="J929" t="s">
        <v>2226</v>
      </c>
      <c r="L929" t="s">
        <v>80</v>
      </c>
      <c r="M929" t="s">
        <v>73</v>
      </c>
      <c r="R929" t="s">
        <v>5552</v>
      </c>
      <c r="W929" t="s">
        <v>5551</v>
      </c>
      <c r="X929" t="s">
        <v>236</v>
      </c>
      <c r="Y929" t="s">
        <v>91</v>
      </c>
      <c r="Z929" t="s">
        <v>74</v>
      </c>
      <c r="AA929" t="str">
        <f>"10034-1159"</f>
        <v>10034-1159</v>
      </c>
      <c r="AB929" t="s">
        <v>75</v>
      </c>
      <c r="AC929" t="s">
        <v>76</v>
      </c>
      <c r="AD929" t="s">
        <v>73</v>
      </c>
      <c r="AE929" t="s">
        <v>77</v>
      </c>
      <c r="AF929" t="s">
        <v>2228</v>
      </c>
      <c r="AG929" t="s">
        <v>78</v>
      </c>
    </row>
    <row r="930" spans="1:33" hidden="1" x14ac:dyDescent="0.25">
      <c r="A930" t="str">
        <f>"1972700201"</f>
        <v>1972700201</v>
      </c>
      <c r="B930" t="str">
        <f>"02891601"</f>
        <v>02891601</v>
      </c>
      <c r="C930" t="s">
        <v>5553</v>
      </c>
      <c r="D930" t="s">
        <v>5554</v>
      </c>
      <c r="E930" t="s">
        <v>5555</v>
      </c>
      <c r="L930" t="s">
        <v>80</v>
      </c>
      <c r="M930" t="s">
        <v>73</v>
      </c>
      <c r="R930" t="s">
        <v>5556</v>
      </c>
      <c r="W930" t="s">
        <v>5555</v>
      </c>
      <c r="X930" t="s">
        <v>170</v>
      </c>
      <c r="Y930" t="s">
        <v>91</v>
      </c>
      <c r="Z930" t="s">
        <v>74</v>
      </c>
      <c r="AA930" t="str">
        <f>"10065-4870"</f>
        <v>10065-4870</v>
      </c>
      <c r="AB930" t="s">
        <v>75</v>
      </c>
      <c r="AC930" t="s">
        <v>76</v>
      </c>
      <c r="AD930" t="s">
        <v>73</v>
      </c>
      <c r="AE930" t="s">
        <v>77</v>
      </c>
      <c r="AF930" t="s">
        <v>2242</v>
      </c>
      <c r="AG930" t="s">
        <v>78</v>
      </c>
    </row>
    <row r="931" spans="1:33" hidden="1" x14ac:dyDescent="0.25">
      <c r="A931" t="str">
        <f>"1336556380"</f>
        <v>1336556380</v>
      </c>
      <c r="C931" t="s">
        <v>5557</v>
      </c>
      <c r="G931" t="s">
        <v>2224</v>
      </c>
      <c r="H931" t="s">
        <v>2312</v>
      </c>
      <c r="J931" t="s">
        <v>2226</v>
      </c>
      <c r="K931" t="s">
        <v>171</v>
      </c>
      <c r="L931" t="s">
        <v>96</v>
      </c>
      <c r="M931" t="s">
        <v>73</v>
      </c>
      <c r="R931" t="s">
        <v>5558</v>
      </c>
      <c r="S931" t="s">
        <v>5559</v>
      </c>
      <c r="T931" t="s">
        <v>579</v>
      </c>
      <c r="U931" t="s">
        <v>74</v>
      </c>
      <c r="V931" t="str">
        <f>"12771"</f>
        <v>12771</v>
      </c>
      <c r="AC931" t="s">
        <v>76</v>
      </c>
      <c r="AD931" t="s">
        <v>73</v>
      </c>
      <c r="AE931" t="s">
        <v>97</v>
      </c>
      <c r="AF931" t="s">
        <v>2242</v>
      </c>
      <c r="AG931" t="s">
        <v>78</v>
      </c>
    </row>
    <row r="932" spans="1:33" hidden="1" x14ac:dyDescent="0.25">
      <c r="A932" t="str">
        <f>"1184826786"</f>
        <v>1184826786</v>
      </c>
      <c r="C932" t="s">
        <v>5560</v>
      </c>
      <c r="G932" t="s">
        <v>2224</v>
      </c>
      <c r="H932" t="s">
        <v>2312</v>
      </c>
      <c r="J932" t="s">
        <v>2226</v>
      </c>
      <c r="K932" t="s">
        <v>171</v>
      </c>
      <c r="L932" t="s">
        <v>72</v>
      </c>
      <c r="M932" t="s">
        <v>73</v>
      </c>
      <c r="R932" t="s">
        <v>5561</v>
      </c>
      <c r="S932" t="s">
        <v>170</v>
      </c>
      <c r="T932" t="s">
        <v>91</v>
      </c>
      <c r="U932" t="s">
        <v>74</v>
      </c>
      <c r="V932" t="str">
        <f>"100214870"</f>
        <v>100214870</v>
      </c>
      <c r="AC932" t="s">
        <v>76</v>
      </c>
      <c r="AD932" t="s">
        <v>73</v>
      </c>
      <c r="AE932" t="s">
        <v>97</v>
      </c>
      <c r="AF932" t="s">
        <v>2242</v>
      </c>
      <c r="AG932" t="s">
        <v>78</v>
      </c>
    </row>
    <row r="933" spans="1:33" hidden="1" x14ac:dyDescent="0.25">
      <c r="A933" t="str">
        <f>"1669884201"</f>
        <v>1669884201</v>
      </c>
      <c r="C933" t="s">
        <v>5562</v>
      </c>
      <c r="G933" t="s">
        <v>2224</v>
      </c>
      <c r="H933" t="s">
        <v>2312</v>
      </c>
      <c r="J933" t="s">
        <v>2226</v>
      </c>
      <c r="K933" t="s">
        <v>171</v>
      </c>
      <c r="L933" t="s">
        <v>96</v>
      </c>
      <c r="M933" t="s">
        <v>73</v>
      </c>
      <c r="R933" t="s">
        <v>5563</v>
      </c>
      <c r="S933" t="s">
        <v>5564</v>
      </c>
      <c r="T933" t="s">
        <v>91</v>
      </c>
      <c r="U933" t="s">
        <v>74</v>
      </c>
      <c r="V933" t="str">
        <f>"100654870"</f>
        <v>100654870</v>
      </c>
      <c r="AC933" t="s">
        <v>76</v>
      </c>
      <c r="AD933" t="s">
        <v>73</v>
      </c>
      <c r="AE933" t="s">
        <v>97</v>
      </c>
      <c r="AF933" t="s">
        <v>2242</v>
      </c>
      <c r="AG933" t="s">
        <v>78</v>
      </c>
    </row>
    <row r="934" spans="1:33" hidden="1" x14ac:dyDescent="0.25">
      <c r="A934" t="str">
        <f>"1366692352"</f>
        <v>1366692352</v>
      </c>
      <c r="C934" t="s">
        <v>5565</v>
      </c>
      <c r="G934" t="s">
        <v>2224</v>
      </c>
      <c r="H934" t="s">
        <v>2312</v>
      </c>
      <c r="J934" t="s">
        <v>2226</v>
      </c>
      <c r="K934" t="s">
        <v>171</v>
      </c>
      <c r="L934" t="s">
        <v>72</v>
      </c>
      <c r="M934" t="s">
        <v>73</v>
      </c>
      <c r="R934" t="s">
        <v>5566</v>
      </c>
      <c r="S934" t="s">
        <v>3231</v>
      </c>
      <c r="T934" t="s">
        <v>74</v>
      </c>
      <c r="U934" t="s">
        <v>74</v>
      </c>
      <c r="V934" t="str">
        <f>"10032"</f>
        <v>10032</v>
      </c>
      <c r="AC934" t="s">
        <v>76</v>
      </c>
      <c r="AD934" t="s">
        <v>73</v>
      </c>
      <c r="AE934" t="s">
        <v>97</v>
      </c>
      <c r="AF934" t="s">
        <v>2228</v>
      </c>
      <c r="AG934" t="s">
        <v>78</v>
      </c>
    </row>
    <row r="935" spans="1:33" hidden="1" x14ac:dyDescent="0.25">
      <c r="A935" t="str">
        <f>"1497827729"</f>
        <v>1497827729</v>
      </c>
      <c r="B935" t="str">
        <f>"02830404"</f>
        <v>02830404</v>
      </c>
      <c r="C935" t="s">
        <v>5567</v>
      </c>
      <c r="D935" t="s">
        <v>5568</v>
      </c>
      <c r="E935" t="s">
        <v>5569</v>
      </c>
      <c r="G935" t="s">
        <v>2224</v>
      </c>
      <c r="H935" t="s">
        <v>5570</v>
      </c>
      <c r="J935" t="s">
        <v>2226</v>
      </c>
      <c r="L935" t="s">
        <v>80</v>
      </c>
      <c r="M935" t="s">
        <v>73</v>
      </c>
      <c r="R935" t="s">
        <v>5571</v>
      </c>
      <c r="W935" t="s">
        <v>5572</v>
      </c>
      <c r="X935" t="s">
        <v>167</v>
      </c>
      <c r="Y935" t="s">
        <v>91</v>
      </c>
      <c r="Z935" t="s">
        <v>74</v>
      </c>
      <c r="AA935" t="str">
        <f>"10032-3720"</f>
        <v>10032-3720</v>
      </c>
      <c r="AB935" t="s">
        <v>75</v>
      </c>
      <c r="AC935" t="s">
        <v>76</v>
      </c>
      <c r="AD935" t="s">
        <v>73</v>
      </c>
      <c r="AE935" t="s">
        <v>77</v>
      </c>
      <c r="AF935" t="s">
        <v>2228</v>
      </c>
      <c r="AG935" t="s">
        <v>78</v>
      </c>
    </row>
    <row r="936" spans="1:33" hidden="1" x14ac:dyDescent="0.25">
      <c r="A936" t="str">
        <f>"1720382690"</f>
        <v>1720382690</v>
      </c>
      <c r="B936" t="str">
        <f>"03529811"</f>
        <v>03529811</v>
      </c>
      <c r="C936" t="s">
        <v>5573</v>
      </c>
      <c r="D936" t="s">
        <v>5574</v>
      </c>
      <c r="E936" t="s">
        <v>5575</v>
      </c>
      <c r="G936" t="s">
        <v>2224</v>
      </c>
      <c r="H936" t="s">
        <v>5576</v>
      </c>
      <c r="J936" t="s">
        <v>2226</v>
      </c>
      <c r="L936" t="s">
        <v>72</v>
      </c>
      <c r="M936" t="s">
        <v>73</v>
      </c>
      <c r="R936" t="s">
        <v>5577</v>
      </c>
      <c r="W936" t="s">
        <v>5575</v>
      </c>
      <c r="X936" t="s">
        <v>1379</v>
      </c>
      <c r="Y936" t="s">
        <v>91</v>
      </c>
      <c r="Z936" t="s">
        <v>74</v>
      </c>
      <c r="AA936" t="str">
        <f>"10032-3720"</f>
        <v>10032-3720</v>
      </c>
      <c r="AB936" t="s">
        <v>75</v>
      </c>
      <c r="AC936" t="s">
        <v>76</v>
      </c>
      <c r="AD936" t="s">
        <v>73</v>
      </c>
      <c r="AE936" t="s">
        <v>77</v>
      </c>
      <c r="AF936" t="s">
        <v>2228</v>
      </c>
      <c r="AG936" t="s">
        <v>78</v>
      </c>
    </row>
    <row r="937" spans="1:33" hidden="1" x14ac:dyDescent="0.25">
      <c r="A937" t="str">
        <f>"1588729438"</f>
        <v>1588729438</v>
      </c>
      <c r="B937" t="str">
        <f>"00693870"</f>
        <v>00693870</v>
      </c>
      <c r="C937" t="s">
        <v>5578</v>
      </c>
      <c r="D937" t="s">
        <v>5579</v>
      </c>
      <c r="E937" t="s">
        <v>5580</v>
      </c>
      <c r="G937" t="s">
        <v>2224</v>
      </c>
      <c r="H937" t="s">
        <v>2225</v>
      </c>
      <c r="J937" t="s">
        <v>2226</v>
      </c>
      <c r="L937" t="s">
        <v>80</v>
      </c>
      <c r="M937" t="s">
        <v>73</v>
      </c>
      <c r="R937" t="s">
        <v>5581</v>
      </c>
      <c r="W937" t="s">
        <v>5580</v>
      </c>
      <c r="X937" t="s">
        <v>167</v>
      </c>
      <c r="Y937" t="s">
        <v>91</v>
      </c>
      <c r="Z937" t="s">
        <v>74</v>
      </c>
      <c r="AA937" t="str">
        <f>"10032-3720"</f>
        <v>10032-3720</v>
      </c>
      <c r="AB937" t="s">
        <v>75</v>
      </c>
      <c r="AC937" t="s">
        <v>76</v>
      </c>
      <c r="AD937" t="s">
        <v>73</v>
      </c>
      <c r="AE937" t="s">
        <v>77</v>
      </c>
      <c r="AF937" t="s">
        <v>2228</v>
      </c>
      <c r="AG937" t="s">
        <v>78</v>
      </c>
    </row>
    <row r="938" spans="1:33" hidden="1" x14ac:dyDescent="0.25">
      <c r="A938" t="str">
        <f>"1588777528"</f>
        <v>1588777528</v>
      </c>
      <c r="B938" t="str">
        <f>"00600986"</f>
        <v>00600986</v>
      </c>
      <c r="C938" t="s">
        <v>5582</v>
      </c>
      <c r="D938" t="s">
        <v>5583</v>
      </c>
      <c r="E938" t="s">
        <v>5584</v>
      </c>
      <c r="G938" t="s">
        <v>2224</v>
      </c>
      <c r="H938" t="s">
        <v>2225</v>
      </c>
      <c r="J938" t="s">
        <v>2226</v>
      </c>
      <c r="L938" t="s">
        <v>72</v>
      </c>
      <c r="M938" t="s">
        <v>73</v>
      </c>
      <c r="R938" t="s">
        <v>1447</v>
      </c>
      <c r="W938" t="s">
        <v>5584</v>
      </c>
      <c r="X938" t="s">
        <v>2029</v>
      </c>
      <c r="Y938" t="s">
        <v>91</v>
      </c>
      <c r="Z938" t="s">
        <v>74</v>
      </c>
      <c r="AA938" t="str">
        <f>"10032-3725"</f>
        <v>10032-3725</v>
      </c>
      <c r="AB938" t="s">
        <v>75</v>
      </c>
      <c r="AC938" t="s">
        <v>76</v>
      </c>
      <c r="AD938" t="s">
        <v>73</v>
      </c>
      <c r="AE938" t="s">
        <v>77</v>
      </c>
      <c r="AF938" t="s">
        <v>2228</v>
      </c>
      <c r="AG938" t="s">
        <v>78</v>
      </c>
    </row>
    <row r="939" spans="1:33" hidden="1" x14ac:dyDescent="0.25">
      <c r="A939" t="str">
        <f>"1164490421"</f>
        <v>1164490421</v>
      </c>
      <c r="B939" t="str">
        <f>"00314269"</f>
        <v>00314269</v>
      </c>
      <c r="C939" t="s">
        <v>5585</v>
      </c>
      <c r="D939" t="s">
        <v>694</v>
      </c>
      <c r="E939" t="s">
        <v>695</v>
      </c>
      <c r="G939" t="s">
        <v>696</v>
      </c>
      <c r="H939" t="s">
        <v>697</v>
      </c>
      <c r="I939">
        <v>206</v>
      </c>
      <c r="J939" t="s">
        <v>5586</v>
      </c>
      <c r="L939" t="s">
        <v>101</v>
      </c>
      <c r="M939" t="s">
        <v>82</v>
      </c>
      <c r="R939" t="s">
        <v>698</v>
      </c>
      <c r="W939" t="s">
        <v>695</v>
      </c>
      <c r="X939" t="s">
        <v>699</v>
      </c>
      <c r="Y939" t="s">
        <v>118</v>
      </c>
      <c r="Z939" t="s">
        <v>74</v>
      </c>
      <c r="AA939" t="str">
        <f>"10463-4620"</f>
        <v>10463-4620</v>
      </c>
      <c r="AB939" t="s">
        <v>102</v>
      </c>
      <c r="AC939" t="s">
        <v>76</v>
      </c>
      <c r="AD939" t="s">
        <v>73</v>
      </c>
      <c r="AE939" t="s">
        <v>77</v>
      </c>
      <c r="AF939" t="s">
        <v>2254</v>
      </c>
      <c r="AG939" t="s">
        <v>78</v>
      </c>
    </row>
    <row r="940" spans="1:33" hidden="1" x14ac:dyDescent="0.25">
      <c r="A940" t="str">
        <f>"1316105612"</f>
        <v>1316105612</v>
      </c>
      <c r="B940" t="str">
        <f>"03116658"</f>
        <v>03116658</v>
      </c>
      <c r="C940" t="s">
        <v>5587</v>
      </c>
      <c r="D940" t="s">
        <v>5588</v>
      </c>
      <c r="E940" t="s">
        <v>5589</v>
      </c>
      <c r="L940" t="s">
        <v>72</v>
      </c>
      <c r="M940" t="s">
        <v>73</v>
      </c>
      <c r="R940" t="s">
        <v>5590</v>
      </c>
      <c r="W940" t="s">
        <v>5591</v>
      </c>
      <c r="X940" t="s">
        <v>152</v>
      </c>
      <c r="Y940" t="s">
        <v>118</v>
      </c>
      <c r="Z940" t="s">
        <v>74</v>
      </c>
      <c r="AA940" t="str">
        <f>"10461-2301"</f>
        <v>10461-2301</v>
      </c>
      <c r="AB940" t="s">
        <v>75</v>
      </c>
      <c r="AC940" t="s">
        <v>76</v>
      </c>
      <c r="AD940" t="s">
        <v>73</v>
      </c>
      <c r="AE940" t="s">
        <v>77</v>
      </c>
      <c r="AF940" t="s">
        <v>2242</v>
      </c>
      <c r="AG940" t="s">
        <v>78</v>
      </c>
    </row>
    <row r="941" spans="1:33" hidden="1" x14ac:dyDescent="0.25">
      <c r="A941" t="str">
        <f>"1144300310"</f>
        <v>1144300310</v>
      </c>
      <c r="B941" t="str">
        <f>"03384970"</f>
        <v>03384970</v>
      </c>
      <c r="C941" t="s">
        <v>5592</v>
      </c>
      <c r="D941" t="s">
        <v>5593</v>
      </c>
      <c r="E941" t="s">
        <v>5594</v>
      </c>
      <c r="G941" t="s">
        <v>2224</v>
      </c>
      <c r="H941" t="s">
        <v>5595</v>
      </c>
      <c r="J941" t="s">
        <v>2226</v>
      </c>
      <c r="L941" t="s">
        <v>80</v>
      </c>
      <c r="M941" t="s">
        <v>73</v>
      </c>
      <c r="R941" t="s">
        <v>5594</v>
      </c>
      <c r="W941" t="s">
        <v>5594</v>
      </c>
      <c r="X941" t="s">
        <v>170</v>
      </c>
      <c r="Y941" t="s">
        <v>91</v>
      </c>
      <c r="Z941" t="s">
        <v>74</v>
      </c>
      <c r="AA941" t="str">
        <f>"10065-4870"</f>
        <v>10065-4870</v>
      </c>
      <c r="AB941" t="s">
        <v>75</v>
      </c>
      <c r="AC941" t="s">
        <v>76</v>
      </c>
      <c r="AD941" t="s">
        <v>73</v>
      </c>
      <c r="AE941" t="s">
        <v>77</v>
      </c>
      <c r="AF941" t="s">
        <v>2242</v>
      </c>
      <c r="AG941" t="s">
        <v>78</v>
      </c>
    </row>
    <row r="942" spans="1:33" hidden="1" x14ac:dyDescent="0.25">
      <c r="A942" t="str">
        <f>"1376702621"</f>
        <v>1376702621</v>
      </c>
      <c r="B942" t="str">
        <f>"03375555"</f>
        <v>03375555</v>
      </c>
      <c r="C942" t="s">
        <v>5596</v>
      </c>
      <c r="D942" t="s">
        <v>1474</v>
      </c>
      <c r="E942" t="s">
        <v>1475</v>
      </c>
      <c r="G942" t="s">
        <v>2224</v>
      </c>
      <c r="H942" t="s">
        <v>5597</v>
      </c>
      <c r="J942" t="s">
        <v>2226</v>
      </c>
      <c r="L942" t="s">
        <v>80</v>
      </c>
      <c r="M942" t="s">
        <v>73</v>
      </c>
      <c r="R942" t="s">
        <v>1476</v>
      </c>
      <c r="W942" t="s">
        <v>1475</v>
      </c>
      <c r="X942" t="s">
        <v>170</v>
      </c>
      <c r="Y942" t="s">
        <v>91</v>
      </c>
      <c r="Z942" t="s">
        <v>74</v>
      </c>
      <c r="AA942" t="str">
        <f>"10065-4870"</f>
        <v>10065-4870</v>
      </c>
      <c r="AB942" t="s">
        <v>75</v>
      </c>
      <c r="AC942" t="s">
        <v>76</v>
      </c>
      <c r="AD942" t="s">
        <v>73</v>
      </c>
      <c r="AE942" t="s">
        <v>77</v>
      </c>
      <c r="AF942" t="s">
        <v>2398</v>
      </c>
      <c r="AG942" t="s">
        <v>78</v>
      </c>
    </row>
    <row r="943" spans="1:33" hidden="1" x14ac:dyDescent="0.25">
      <c r="A943" t="str">
        <f>"1740423516"</f>
        <v>1740423516</v>
      </c>
      <c r="B943" t="str">
        <f>"03589397"</f>
        <v>03589397</v>
      </c>
      <c r="C943" t="s">
        <v>5598</v>
      </c>
      <c r="D943" t="s">
        <v>5599</v>
      </c>
      <c r="E943" t="s">
        <v>5600</v>
      </c>
      <c r="G943" t="s">
        <v>2224</v>
      </c>
      <c r="H943" t="s">
        <v>5601</v>
      </c>
      <c r="J943" t="s">
        <v>2226</v>
      </c>
      <c r="L943" t="s">
        <v>80</v>
      </c>
      <c r="M943" t="s">
        <v>73</v>
      </c>
      <c r="R943" t="s">
        <v>5602</v>
      </c>
      <c r="W943" t="s">
        <v>5600</v>
      </c>
      <c r="X943" t="s">
        <v>170</v>
      </c>
      <c r="Y943" t="s">
        <v>91</v>
      </c>
      <c r="Z943" t="s">
        <v>74</v>
      </c>
      <c r="AA943" t="str">
        <f>"10065-4870"</f>
        <v>10065-4870</v>
      </c>
      <c r="AB943" t="s">
        <v>75</v>
      </c>
      <c r="AC943" t="s">
        <v>76</v>
      </c>
      <c r="AD943" t="s">
        <v>73</v>
      </c>
      <c r="AE943" t="s">
        <v>77</v>
      </c>
      <c r="AF943" t="s">
        <v>2242</v>
      </c>
      <c r="AG943" t="s">
        <v>78</v>
      </c>
    </row>
    <row r="944" spans="1:33" hidden="1" x14ac:dyDescent="0.25">
      <c r="A944" t="str">
        <f>"1730276825"</f>
        <v>1730276825</v>
      </c>
      <c r="B944" t="str">
        <f>"02318069"</f>
        <v>02318069</v>
      </c>
      <c r="C944" t="s">
        <v>5603</v>
      </c>
      <c r="D944" t="s">
        <v>5604</v>
      </c>
      <c r="E944" t="s">
        <v>5605</v>
      </c>
      <c r="G944" t="s">
        <v>2224</v>
      </c>
      <c r="H944" t="s">
        <v>2225</v>
      </c>
      <c r="J944" t="s">
        <v>2226</v>
      </c>
      <c r="L944" t="s">
        <v>80</v>
      </c>
      <c r="M944" t="s">
        <v>73</v>
      </c>
      <c r="R944" t="s">
        <v>5606</v>
      </c>
      <c r="W944" t="s">
        <v>5605</v>
      </c>
      <c r="X944" t="s">
        <v>5607</v>
      </c>
      <c r="Y944" t="s">
        <v>91</v>
      </c>
      <c r="Z944" t="s">
        <v>74</v>
      </c>
      <c r="AA944" t="str">
        <f>"10065-4870"</f>
        <v>10065-4870</v>
      </c>
      <c r="AB944" t="s">
        <v>75</v>
      </c>
      <c r="AC944" t="s">
        <v>76</v>
      </c>
      <c r="AD944" t="s">
        <v>73</v>
      </c>
      <c r="AE944" t="s">
        <v>77</v>
      </c>
      <c r="AF944" t="s">
        <v>2398</v>
      </c>
      <c r="AG944" t="s">
        <v>78</v>
      </c>
    </row>
    <row r="945" spans="1:33" hidden="1" x14ac:dyDescent="0.25">
      <c r="A945" t="str">
        <f>"1164462594"</f>
        <v>1164462594</v>
      </c>
      <c r="B945" t="str">
        <f>"00690620"</f>
        <v>00690620</v>
      </c>
      <c r="C945" t="s">
        <v>5608</v>
      </c>
      <c r="D945" t="s">
        <v>5609</v>
      </c>
      <c r="E945" t="s">
        <v>5610</v>
      </c>
      <c r="G945" t="s">
        <v>2224</v>
      </c>
      <c r="H945" t="s">
        <v>2225</v>
      </c>
      <c r="J945" t="s">
        <v>2226</v>
      </c>
      <c r="L945" t="s">
        <v>72</v>
      </c>
      <c r="M945" t="s">
        <v>73</v>
      </c>
      <c r="R945" t="s">
        <v>5611</v>
      </c>
      <c r="W945" t="s">
        <v>5610</v>
      </c>
      <c r="X945" t="s">
        <v>5612</v>
      </c>
      <c r="Y945" t="s">
        <v>91</v>
      </c>
      <c r="Z945" t="s">
        <v>74</v>
      </c>
      <c r="AA945" t="str">
        <f>"10032-3726"</f>
        <v>10032-3726</v>
      </c>
      <c r="AB945" t="s">
        <v>75</v>
      </c>
      <c r="AC945" t="s">
        <v>76</v>
      </c>
      <c r="AD945" t="s">
        <v>73</v>
      </c>
      <c r="AE945" t="s">
        <v>77</v>
      </c>
      <c r="AF945" t="s">
        <v>2228</v>
      </c>
      <c r="AG945" t="s">
        <v>78</v>
      </c>
    </row>
    <row r="946" spans="1:33" hidden="1" x14ac:dyDescent="0.25">
      <c r="C946" t="s">
        <v>5613</v>
      </c>
      <c r="G946" t="s">
        <v>5291</v>
      </c>
      <c r="H946" t="s">
        <v>5292</v>
      </c>
      <c r="I946">
        <v>528</v>
      </c>
      <c r="J946" t="s">
        <v>5293</v>
      </c>
      <c r="K946" t="s">
        <v>93</v>
      </c>
      <c r="L946" t="s">
        <v>94</v>
      </c>
      <c r="M946" t="s">
        <v>73</v>
      </c>
      <c r="AC946" t="s">
        <v>76</v>
      </c>
      <c r="AD946" t="s">
        <v>73</v>
      </c>
      <c r="AE946" t="s">
        <v>95</v>
      </c>
      <c r="AF946" t="s">
        <v>2398</v>
      </c>
      <c r="AG946" t="s">
        <v>78</v>
      </c>
    </row>
    <row r="947" spans="1:33" hidden="1" x14ac:dyDescent="0.25">
      <c r="A947" t="str">
        <f>"1487754792"</f>
        <v>1487754792</v>
      </c>
      <c r="B947" t="str">
        <f>"02098433"</f>
        <v>02098433</v>
      </c>
      <c r="C947" t="s">
        <v>5614</v>
      </c>
      <c r="D947" t="s">
        <v>5615</v>
      </c>
      <c r="E947" t="s">
        <v>5616</v>
      </c>
      <c r="G947" t="s">
        <v>2224</v>
      </c>
      <c r="H947" t="s">
        <v>2225</v>
      </c>
      <c r="J947" t="s">
        <v>2226</v>
      </c>
      <c r="L947" t="s">
        <v>72</v>
      </c>
      <c r="M947" t="s">
        <v>73</v>
      </c>
      <c r="R947" t="s">
        <v>5617</v>
      </c>
      <c r="W947" t="s">
        <v>5616</v>
      </c>
      <c r="X947" t="s">
        <v>167</v>
      </c>
      <c r="Y947" t="s">
        <v>91</v>
      </c>
      <c r="Z947" t="s">
        <v>74</v>
      </c>
      <c r="AA947" t="str">
        <f>"10032-3720"</f>
        <v>10032-3720</v>
      </c>
      <c r="AB947" t="s">
        <v>75</v>
      </c>
      <c r="AC947" t="s">
        <v>76</v>
      </c>
      <c r="AD947" t="s">
        <v>73</v>
      </c>
      <c r="AE947" t="s">
        <v>77</v>
      </c>
      <c r="AF947" t="s">
        <v>2228</v>
      </c>
      <c r="AG947" t="s">
        <v>78</v>
      </c>
    </row>
    <row r="948" spans="1:33" hidden="1" x14ac:dyDescent="0.25">
      <c r="A948" t="str">
        <f>"1487780979"</f>
        <v>1487780979</v>
      </c>
      <c r="B948" t="str">
        <f>"02145682"</f>
        <v>02145682</v>
      </c>
      <c r="C948" t="s">
        <v>5618</v>
      </c>
      <c r="D948" t="s">
        <v>5619</v>
      </c>
      <c r="E948" t="s">
        <v>5620</v>
      </c>
      <c r="G948" t="s">
        <v>2224</v>
      </c>
      <c r="H948" t="s">
        <v>2225</v>
      </c>
      <c r="J948" t="s">
        <v>2226</v>
      </c>
      <c r="L948" t="s">
        <v>72</v>
      </c>
      <c r="M948" t="s">
        <v>73</v>
      </c>
      <c r="R948" t="s">
        <v>5621</v>
      </c>
      <c r="W948" t="s">
        <v>5620</v>
      </c>
      <c r="X948" t="s">
        <v>3189</v>
      </c>
      <c r="Y948" t="s">
        <v>91</v>
      </c>
      <c r="Z948" t="s">
        <v>74</v>
      </c>
      <c r="AA948" t="str">
        <f>"10032-1559"</f>
        <v>10032-1559</v>
      </c>
      <c r="AB948" t="s">
        <v>113</v>
      </c>
      <c r="AC948" t="s">
        <v>76</v>
      </c>
      <c r="AD948" t="s">
        <v>73</v>
      </c>
      <c r="AE948" t="s">
        <v>77</v>
      </c>
      <c r="AF948" t="s">
        <v>2228</v>
      </c>
      <c r="AG948" t="s">
        <v>78</v>
      </c>
    </row>
    <row r="949" spans="1:33" hidden="1" x14ac:dyDescent="0.25">
      <c r="A949" t="str">
        <f>"1770626715"</f>
        <v>1770626715</v>
      </c>
      <c r="B949" t="str">
        <f>"02851054"</f>
        <v>02851054</v>
      </c>
      <c r="C949" t="s">
        <v>5622</v>
      </c>
      <c r="D949" t="s">
        <v>5623</v>
      </c>
      <c r="E949" t="s">
        <v>5624</v>
      </c>
      <c r="G949" t="s">
        <v>2224</v>
      </c>
      <c r="H949" t="s">
        <v>2225</v>
      </c>
      <c r="J949" t="s">
        <v>2226</v>
      </c>
      <c r="L949" t="s">
        <v>81</v>
      </c>
      <c r="M949" t="s">
        <v>82</v>
      </c>
      <c r="R949" t="s">
        <v>5625</v>
      </c>
      <c r="W949" t="s">
        <v>5626</v>
      </c>
      <c r="X949" t="s">
        <v>170</v>
      </c>
      <c r="Y949" t="s">
        <v>91</v>
      </c>
      <c r="Z949" t="s">
        <v>74</v>
      </c>
      <c r="AA949" t="str">
        <f>"10065-4870"</f>
        <v>10065-4870</v>
      </c>
      <c r="AB949" t="s">
        <v>75</v>
      </c>
      <c r="AC949" t="s">
        <v>76</v>
      </c>
      <c r="AD949" t="s">
        <v>73</v>
      </c>
      <c r="AE949" t="s">
        <v>77</v>
      </c>
      <c r="AF949" t="s">
        <v>2398</v>
      </c>
      <c r="AG949" t="s">
        <v>78</v>
      </c>
    </row>
    <row r="950" spans="1:33" hidden="1" x14ac:dyDescent="0.25">
      <c r="A950" t="str">
        <f>"1750324703"</f>
        <v>1750324703</v>
      </c>
      <c r="B950" t="str">
        <f>"03557173"</f>
        <v>03557173</v>
      </c>
      <c r="C950" t="s">
        <v>5627</v>
      </c>
      <c r="D950" t="s">
        <v>5628</v>
      </c>
      <c r="E950" t="s">
        <v>5629</v>
      </c>
      <c r="G950" t="s">
        <v>2224</v>
      </c>
      <c r="H950" t="s">
        <v>5630</v>
      </c>
      <c r="J950" t="s">
        <v>2226</v>
      </c>
      <c r="L950" t="s">
        <v>88</v>
      </c>
      <c r="M950" t="s">
        <v>73</v>
      </c>
      <c r="R950" t="s">
        <v>5631</v>
      </c>
      <c r="W950" t="s">
        <v>5629</v>
      </c>
      <c r="X950" t="s">
        <v>5632</v>
      </c>
      <c r="Y950" t="s">
        <v>91</v>
      </c>
      <c r="Z950" t="s">
        <v>74</v>
      </c>
      <c r="AA950" t="str">
        <f>"10032-1559"</f>
        <v>10032-1559</v>
      </c>
      <c r="AB950" t="s">
        <v>75</v>
      </c>
      <c r="AC950" t="s">
        <v>76</v>
      </c>
      <c r="AD950" t="s">
        <v>73</v>
      </c>
      <c r="AE950" t="s">
        <v>77</v>
      </c>
      <c r="AF950" t="s">
        <v>2228</v>
      </c>
      <c r="AG950" t="s">
        <v>78</v>
      </c>
    </row>
    <row r="951" spans="1:33" hidden="1" x14ac:dyDescent="0.25">
      <c r="A951" t="str">
        <f>"1154418242"</f>
        <v>1154418242</v>
      </c>
      <c r="B951" t="str">
        <f>"01148067"</f>
        <v>01148067</v>
      </c>
      <c r="C951" t="s">
        <v>5633</v>
      </c>
      <c r="D951" t="s">
        <v>5634</v>
      </c>
      <c r="E951" t="s">
        <v>5635</v>
      </c>
      <c r="G951" t="s">
        <v>2224</v>
      </c>
      <c r="H951" t="s">
        <v>2225</v>
      </c>
      <c r="J951" t="s">
        <v>2226</v>
      </c>
      <c r="L951" t="s">
        <v>80</v>
      </c>
      <c r="M951" t="s">
        <v>73</v>
      </c>
      <c r="R951" t="s">
        <v>5636</v>
      </c>
      <c r="W951" t="s">
        <v>5635</v>
      </c>
      <c r="X951" t="s">
        <v>2186</v>
      </c>
      <c r="Y951" t="s">
        <v>91</v>
      </c>
      <c r="Z951" t="s">
        <v>74</v>
      </c>
      <c r="AA951" t="str">
        <f>"10065-4805"</f>
        <v>10065-4805</v>
      </c>
      <c r="AB951" t="s">
        <v>75</v>
      </c>
      <c r="AC951" t="s">
        <v>76</v>
      </c>
      <c r="AD951" t="s">
        <v>73</v>
      </c>
      <c r="AE951" t="s">
        <v>77</v>
      </c>
      <c r="AF951" t="s">
        <v>2398</v>
      </c>
      <c r="AG951" t="s">
        <v>78</v>
      </c>
    </row>
    <row r="952" spans="1:33" hidden="1" x14ac:dyDescent="0.25">
      <c r="A952" t="str">
        <f>"1992904106"</f>
        <v>1992904106</v>
      </c>
      <c r="B952" t="str">
        <f>"02828022"</f>
        <v>02828022</v>
      </c>
      <c r="C952" t="s">
        <v>5637</v>
      </c>
      <c r="D952" t="s">
        <v>5638</v>
      </c>
      <c r="E952" t="s">
        <v>5639</v>
      </c>
      <c r="G952" t="s">
        <v>2224</v>
      </c>
      <c r="H952" t="s">
        <v>2225</v>
      </c>
      <c r="J952" t="s">
        <v>2226</v>
      </c>
      <c r="L952" t="s">
        <v>72</v>
      </c>
      <c r="M952" t="s">
        <v>73</v>
      </c>
      <c r="R952" t="s">
        <v>1691</v>
      </c>
      <c r="W952" t="s">
        <v>5639</v>
      </c>
      <c r="X952" t="s">
        <v>183</v>
      </c>
      <c r="Y952" t="s">
        <v>91</v>
      </c>
      <c r="Z952" t="s">
        <v>74</v>
      </c>
      <c r="AA952" t="str">
        <f>"10032-3729"</f>
        <v>10032-3729</v>
      </c>
      <c r="AB952" t="s">
        <v>75</v>
      </c>
      <c r="AC952" t="s">
        <v>76</v>
      </c>
      <c r="AD952" t="s">
        <v>73</v>
      </c>
      <c r="AE952" t="s">
        <v>77</v>
      </c>
      <c r="AF952" t="s">
        <v>2254</v>
      </c>
      <c r="AG952" t="s">
        <v>78</v>
      </c>
    </row>
    <row r="953" spans="1:33" hidden="1" x14ac:dyDescent="0.25">
      <c r="A953" t="str">
        <f>"1992928667"</f>
        <v>1992928667</v>
      </c>
      <c r="B953" t="str">
        <f>"02912701"</f>
        <v>02912701</v>
      </c>
      <c r="C953" t="s">
        <v>5640</v>
      </c>
      <c r="D953" t="s">
        <v>5641</v>
      </c>
      <c r="E953" t="s">
        <v>5642</v>
      </c>
      <c r="G953" t="s">
        <v>2224</v>
      </c>
      <c r="H953" t="s">
        <v>2225</v>
      </c>
      <c r="J953" t="s">
        <v>2226</v>
      </c>
      <c r="L953" t="s">
        <v>72</v>
      </c>
      <c r="M953" t="s">
        <v>73</v>
      </c>
      <c r="R953" t="s">
        <v>5643</v>
      </c>
      <c r="W953" t="s">
        <v>5642</v>
      </c>
      <c r="X953" t="s">
        <v>1958</v>
      </c>
      <c r="Y953" t="s">
        <v>91</v>
      </c>
      <c r="Z953" t="s">
        <v>74</v>
      </c>
      <c r="AA953" t="str">
        <f>"10032-3722"</f>
        <v>10032-3722</v>
      </c>
      <c r="AB953" t="s">
        <v>75</v>
      </c>
      <c r="AC953" t="s">
        <v>76</v>
      </c>
      <c r="AD953" t="s">
        <v>73</v>
      </c>
      <c r="AE953" t="s">
        <v>77</v>
      </c>
      <c r="AF953" t="s">
        <v>2228</v>
      </c>
      <c r="AG953" t="s">
        <v>78</v>
      </c>
    </row>
    <row r="954" spans="1:33" hidden="1" x14ac:dyDescent="0.25">
      <c r="A954" t="str">
        <f>"1457528655"</f>
        <v>1457528655</v>
      </c>
      <c r="B954" t="str">
        <f>"03220037"</f>
        <v>03220037</v>
      </c>
      <c r="C954" t="s">
        <v>5644</v>
      </c>
      <c r="D954" t="s">
        <v>5645</v>
      </c>
      <c r="E954" t="s">
        <v>5646</v>
      </c>
      <c r="G954" t="s">
        <v>2224</v>
      </c>
      <c r="H954" t="s">
        <v>2225</v>
      </c>
      <c r="J954" t="s">
        <v>2226</v>
      </c>
      <c r="L954" t="s">
        <v>72</v>
      </c>
      <c r="M954" t="s">
        <v>73</v>
      </c>
      <c r="R954" t="s">
        <v>5647</v>
      </c>
      <c r="W954" t="s">
        <v>5646</v>
      </c>
      <c r="X954" t="s">
        <v>410</v>
      </c>
      <c r="Y954" t="s">
        <v>91</v>
      </c>
      <c r="Z954" t="s">
        <v>74</v>
      </c>
      <c r="AA954" t="str">
        <f>"10032-1559"</f>
        <v>10032-1559</v>
      </c>
      <c r="AB954" t="s">
        <v>75</v>
      </c>
      <c r="AC954" t="s">
        <v>76</v>
      </c>
      <c r="AD954" t="s">
        <v>73</v>
      </c>
      <c r="AE954" t="s">
        <v>77</v>
      </c>
      <c r="AF954" t="s">
        <v>2228</v>
      </c>
      <c r="AG954" t="s">
        <v>78</v>
      </c>
    </row>
    <row r="955" spans="1:33" hidden="1" x14ac:dyDescent="0.25">
      <c r="A955" t="str">
        <f>"1457542573"</f>
        <v>1457542573</v>
      </c>
      <c r="B955" t="str">
        <f>"03468504"</f>
        <v>03468504</v>
      </c>
      <c r="C955" t="s">
        <v>5648</v>
      </c>
      <c r="D955" t="s">
        <v>5649</v>
      </c>
      <c r="E955" t="s">
        <v>5650</v>
      </c>
      <c r="G955" t="s">
        <v>2224</v>
      </c>
      <c r="H955" t="s">
        <v>2225</v>
      </c>
      <c r="J955" t="s">
        <v>2226</v>
      </c>
      <c r="L955" t="s">
        <v>72</v>
      </c>
      <c r="M955" t="s">
        <v>73</v>
      </c>
      <c r="R955" t="s">
        <v>5650</v>
      </c>
      <c r="W955" t="s">
        <v>5650</v>
      </c>
      <c r="X955" t="s">
        <v>1379</v>
      </c>
      <c r="Y955" t="s">
        <v>91</v>
      </c>
      <c r="Z955" t="s">
        <v>74</v>
      </c>
      <c r="AA955" t="str">
        <f>"10032-3720"</f>
        <v>10032-3720</v>
      </c>
      <c r="AB955" t="s">
        <v>75</v>
      </c>
      <c r="AC955" t="s">
        <v>76</v>
      </c>
      <c r="AD955" t="s">
        <v>73</v>
      </c>
      <c r="AE955" t="s">
        <v>77</v>
      </c>
      <c r="AF955" t="s">
        <v>2228</v>
      </c>
      <c r="AG955" t="s">
        <v>78</v>
      </c>
    </row>
    <row r="956" spans="1:33" hidden="1" x14ac:dyDescent="0.25">
      <c r="A956" t="str">
        <f>"1336308758"</f>
        <v>1336308758</v>
      </c>
      <c r="B956" t="str">
        <f>"03498937"</f>
        <v>03498937</v>
      </c>
      <c r="C956" t="s">
        <v>5651</v>
      </c>
      <c r="D956" t="s">
        <v>5652</v>
      </c>
      <c r="E956" t="s">
        <v>5653</v>
      </c>
      <c r="G956" t="s">
        <v>2224</v>
      </c>
      <c r="H956" t="s">
        <v>2225</v>
      </c>
      <c r="J956" t="s">
        <v>2226</v>
      </c>
      <c r="L956" t="s">
        <v>80</v>
      </c>
      <c r="M956" t="s">
        <v>73</v>
      </c>
      <c r="R956" t="s">
        <v>5654</v>
      </c>
      <c r="W956" t="s">
        <v>5653</v>
      </c>
      <c r="X956" t="s">
        <v>5655</v>
      </c>
      <c r="Y956" t="s">
        <v>91</v>
      </c>
      <c r="Z956" t="s">
        <v>74</v>
      </c>
      <c r="AA956" t="str">
        <f>"10065-4870"</f>
        <v>10065-4870</v>
      </c>
      <c r="AB956" t="s">
        <v>75</v>
      </c>
      <c r="AC956" t="s">
        <v>76</v>
      </c>
      <c r="AD956" t="s">
        <v>73</v>
      </c>
      <c r="AE956" t="s">
        <v>77</v>
      </c>
      <c r="AF956" t="s">
        <v>2398</v>
      </c>
      <c r="AG956" t="s">
        <v>78</v>
      </c>
    </row>
    <row r="957" spans="1:33" hidden="1" x14ac:dyDescent="0.25">
      <c r="A957" t="str">
        <f>"1114186731"</f>
        <v>1114186731</v>
      </c>
      <c r="B957" t="str">
        <f>"03495127"</f>
        <v>03495127</v>
      </c>
      <c r="C957" t="s">
        <v>5656</v>
      </c>
      <c r="D957" t="s">
        <v>5657</v>
      </c>
      <c r="E957" t="s">
        <v>5658</v>
      </c>
      <c r="G957" t="s">
        <v>2224</v>
      </c>
      <c r="H957" t="s">
        <v>2225</v>
      </c>
      <c r="J957" t="s">
        <v>2226</v>
      </c>
      <c r="L957" t="s">
        <v>72</v>
      </c>
      <c r="M957" t="s">
        <v>73</v>
      </c>
      <c r="R957" t="s">
        <v>5659</v>
      </c>
      <c r="W957" t="s">
        <v>5658</v>
      </c>
      <c r="X957" t="s">
        <v>496</v>
      </c>
      <c r="Y957" t="s">
        <v>91</v>
      </c>
      <c r="Z957" t="s">
        <v>74</v>
      </c>
      <c r="AA957" t="str">
        <f>"10032-3726"</f>
        <v>10032-3726</v>
      </c>
      <c r="AB957" t="s">
        <v>75</v>
      </c>
      <c r="AC957" t="s">
        <v>76</v>
      </c>
      <c r="AD957" t="s">
        <v>73</v>
      </c>
      <c r="AE957" t="s">
        <v>77</v>
      </c>
      <c r="AF957" t="s">
        <v>2228</v>
      </c>
      <c r="AG957" t="s">
        <v>78</v>
      </c>
    </row>
    <row r="958" spans="1:33" hidden="1" x14ac:dyDescent="0.25">
      <c r="A958" t="str">
        <f>"1164842928"</f>
        <v>1164842928</v>
      </c>
      <c r="C958" t="s">
        <v>5660</v>
      </c>
      <c r="G958" t="s">
        <v>2224</v>
      </c>
      <c r="H958" t="s">
        <v>2312</v>
      </c>
      <c r="J958" t="s">
        <v>2226</v>
      </c>
      <c r="K958" t="s">
        <v>171</v>
      </c>
      <c r="L958" t="s">
        <v>96</v>
      </c>
      <c r="M958" t="s">
        <v>73</v>
      </c>
      <c r="R958" t="s">
        <v>5661</v>
      </c>
      <c r="S958" t="s">
        <v>5662</v>
      </c>
      <c r="T958" t="s">
        <v>91</v>
      </c>
      <c r="U958" t="s">
        <v>74</v>
      </c>
      <c r="V958" t="str">
        <f>"100323720"</f>
        <v>100323720</v>
      </c>
      <c r="AC958" t="s">
        <v>76</v>
      </c>
      <c r="AD958" t="s">
        <v>73</v>
      </c>
      <c r="AE958" t="s">
        <v>97</v>
      </c>
      <c r="AF958" t="s">
        <v>2228</v>
      </c>
      <c r="AG958" t="s">
        <v>78</v>
      </c>
    </row>
    <row r="959" spans="1:33" hidden="1" x14ac:dyDescent="0.25">
      <c r="A959" t="str">
        <f>"1427478395"</f>
        <v>1427478395</v>
      </c>
      <c r="C959" t="s">
        <v>5663</v>
      </c>
      <c r="G959" t="s">
        <v>2224</v>
      </c>
      <c r="H959" t="s">
        <v>2312</v>
      </c>
      <c r="J959" t="s">
        <v>2226</v>
      </c>
      <c r="K959" t="s">
        <v>171</v>
      </c>
      <c r="L959" t="s">
        <v>96</v>
      </c>
      <c r="M959" t="s">
        <v>73</v>
      </c>
      <c r="R959" t="s">
        <v>5664</v>
      </c>
      <c r="S959" t="s">
        <v>2442</v>
      </c>
      <c r="T959" t="s">
        <v>91</v>
      </c>
      <c r="U959" t="s">
        <v>74</v>
      </c>
      <c r="V959" t="str">
        <f>"100323720"</f>
        <v>100323720</v>
      </c>
      <c r="AC959" t="s">
        <v>76</v>
      </c>
      <c r="AD959" t="s">
        <v>73</v>
      </c>
      <c r="AE959" t="s">
        <v>97</v>
      </c>
      <c r="AF959" t="s">
        <v>2228</v>
      </c>
      <c r="AG959" t="s">
        <v>78</v>
      </c>
    </row>
    <row r="960" spans="1:33" hidden="1" x14ac:dyDescent="0.25">
      <c r="A960" t="str">
        <f>"1528358231"</f>
        <v>1528358231</v>
      </c>
      <c r="B960" t="str">
        <f>"04514710"</f>
        <v>04514710</v>
      </c>
      <c r="C960" t="s">
        <v>5665</v>
      </c>
      <c r="D960" t="s">
        <v>5666</v>
      </c>
      <c r="E960" t="s">
        <v>5667</v>
      </c>
      <c r="G960" t="s">
        <v>2224</v>
      </c>
      <c r="H960" t="s">
        <v>2312</v>
      </c>
      <c r="J960" t="s">
        <v>2226</v>
      </c>
      <c r="L960" t="s">
        <v>72</v>
      </c>
      <c r="M960" t="s">
        <v>73</v>
      </c>
      <c r="R960" t="s">
        <v>5667</v>
      </c>
      <c r="W960" t="s">
        <v>5667</v>
      </c>
      <c r="AB960" t="s">
        <v>75</v>
      </c>
      <c r="AC960" t="s">
        <v>76</v>
      </c>
      <c r="AD960" t="s">
        <v>73</v>
      </c>
      <c r="AE960" t="s">
        <v>77</v>
      </c>
      <c r="AF960" t="s">
        <v>2228</v>
      </c>
      <c r="AG960" t="s">
        <v>78</v>
      </c>
    </row>
    <row r="961" spans="1:33" hidden="1" x14ac:dyDescent="0.25">
      <c r="A961" t="str">
        <f>"1881854438"</f>
        <v>1881854438</v>
      </c>
      <c r="B961" t="str">
        <f>"03109368"</f>
        <v>03109368</v>
      </c>
      <c r="C961" t="s">
        <v>5668</v>
      </c>
      <c r="D961" t="s">
        <v>5669</v>
      </c>
      <c r="E961" t="s">
        <v>5670</v>
      </c>
      <c r="L961" t="s">
        <v>80</v>
      </c>
      <c r="M961" t="s">
        <v>73</v>
      </c>
      <c r="R961" t="s">
        <v>5671</v>
      </c>
      <c r="W961" t="s">
        <v>5672</v>
      </c>
      <c r="X961" t="s">
        <v>1244</v>
      </c>
      <c r="Y961" t="s">
        <v>572</v>
      </c>
      <c r="Z961" t="s">
        <v>536</v>
      </c>
      <c r="AA961" t="str">
        <f>"06810-6099"</f>
        <v>06810-6099</v>
      </c>
      <c r="AB961" t="s">
        <v>75</v>
      </c>
      <c r="AC961" t="s">
        <v>76</v>
      </c>
      <c r="AD961" t="s">
        <v>73</v>
      </c>
      <c r="AE961" t="s">
        <v>77</v>
      </c>
      <c r="AF961" t="s">
        <v>2242</v>
      </c>
      <c r="AG961" t="s">
        <v>78</v>
      </c>
    </row>
    <row r="962" spans="1:33" hidden="1" x14ac:dyDescent="0.25">
      <c r="A962" t="str">
        <f>"1962416719"</f>
        <v>1962416719</v>
      </c>
      <c r="B962" t="str">
        <f>"01260351"</f>
        <v>01260351</v>
      </c>
      <c r="C962" t="s">
        <v>5673</v>
      </c>
      <c r="D962" t="s">
        <v>5674</v>
      </c>
      <c r="E962" t="s">
        <v>5675</v>
      </c>
      <c r="L962" t="s">
        <v>80</v>
      </c>
      <c r="M962" t="s">
        <v>73</v>
      </c>
      <c r="R962" t="s">
        <v>5676</v>
      </c>
      <c r="W962" t="s">
        <v>5675</v>
      </c>
      <c r="X962" t="s">
        <v>170</v>
      </c>
      <c r="Y962" t="s">
        <v>91</v>
      </c>
      <c r="Z962" t="s">
        <v>74</v>
      </c>
      <c r="AA962" t="str">
        <f>"10065-4870"</f>
        <v>10065-4870</v>
      </c>
      <c r="AB962" t="s">
        <v>75</v>
      </c>
      <c r="AC962" t="s">
        <v>76</v>
      </c>
      <c r="AD962" t="s">
        <v>73</v>
      </c>
      <c r="AE962" t="s">
        <v>77</v>
      </c>
      <c r="AF962" t="s">
        <v>2242</v>
      </c>
      <c r="AG962" t="s">
        <v>78</v>
      </c>
    </row>
    <row r="963" spans="1:33" hidden="1" x14ac:dyDescent="0.25">
      <c r="A963" t="str">
        <f>"1366562233"</f>
        <v>1366562233</v>
      </c>
      <c r="B963" t="str">
        <f>"03323291"</f>
        <v>03323291</v>
      </c>
      <c r="C963" t="s">
        <v>5677</v>
      </c>
      <c r="D963" t="s">
        <v>5678</v>
      </c>
      <c r="E963" t="s">
        <v>5679</v>
      </c>
      <c r="G963" t="s">
        <v>2224</v>
      </c>
      <c r="H963" t="s">
        <v>4675</v>
      </c>
      <c r="J963" t="s">
        <v>2226</v>
      </c>
      <c r="L963" t="s">
        <v>80</v>
      </c>
      <c r="M963" t="s">
        <v>73</v>
      </c>
      <c r="R963" t="s">
        <v>5680</v>
      </c>
      <c r="W963" t="s">
        <v>5679</v>
      </c>
      <c r="X963" t="s">
        <v>170</v>
      </c>
      <c r="Y963" t="s">
        <v>91</v>
      </c>
      <c r="Z963" t="s">
        <v>74</v>
      </c>
      <c r="AA963" t="str">
        <f>"10065-4870"</f>
        <v>10065-4870</v>
      </c>
      <c r="AB963" t="s">
        <v>75</v>
      </c>
      <c r="AC963" t="s">
        <v>76</v>
      </c>
      <c r="AD963" t="s">
        <v>73</v>
      </c>
      <c r="AE963" t="s">
        <v>77</v>
      </c>
      <c r="AF963" t="s">
        <v>2242</v>
      </c>
      <c r="AG963" t="s">
        <v>78</v>
      </c>
    </row>
    <row r="964" spans="1:33" hidden="1" x14ac:dyDescent="0.25">
      <c r="A964" t="str">
        <f>"1023051786"</f>
        <v>1023051786</v>
      </c>
      <c r="B964" t="str">
        <f>"02762265"</f>
        <v>02762265</v>
      </c>
      <c r="C964" t="s">
        <v>5681</v>
      </c>
      <c r="D964" t="s">
        <v>5682</v>
      </c>
      <c r="E964" t="s">
        <v>5683</v>
      </c>
      <c r="G964" t="s">
        <v>2224</v>
      </c>
      <c r="H964" t="s">
        <v>5684</v>
      </c>
      <c r="J964" t="s">
        <v>2226</v>
      </c>
      <c r="L964" t="s">
        <v>80</v>
      </c>
      <c r="M964" t="s">
        <v>73</v>
      </c>
      <c r="R964" t="s">
        <v>5685</v>
      </c>
      <c r="W964" t="s">
        <v>5683</v>
      </c>
      <c r="X964" t="s">
        <v>170</v>
      </c>
      <c r="Y964" t="s">
        <v>91</v>
      </c>
      <c r="Z964" t="s">
        <v>74</v>
      </c>
      <c r="AA964" t="str">
        <f>"10065-4870"</f>
        <v>10065-4870</v>
      </c>
      <c r="AB964" t="s">
        <v>75</v>
      </c>
      <c r="AC964" t="s">
        <v>76</v>
      </c>
      <c r="AD964" t="s">
        <v>73</v>
      </c>
      <c r="AE964" t="s">
        <v>77</v>
      </c>
      <c r="AF964" t="s">
        <v>2242</v>
      </c>
      <c r="AG964" t="s">
        <v>78</v>
      </c>
    </row>
    <row r="965" spans="1:33" hidden="1" x14ac:dyDescent="0.25">
      <c r="A965" t="str">
        <f>"1457332751"</f>
        <v>1457332751</v>
      </c>
      <c r="B965" t="str">
        <f>"02510965"</f>
        <v>02510965</v>
      </c>
      <c r="C965" t="s">
        <v>5686</v>
      </c>
      <c r="D965" t="s">
        <v>5687</v>
      </c>
      <c r="E965" t="s">
        <v>5688</v>
      </c>
      <c r="G965" t="s">
        <v>2224</v>
      </c>
      <c r="H965" t="s">
        <v>5689</v>
      </c>
      <c r="J965" t="s">
        <v>2226</v>
      </c>
      <c r="L965" t="s">
        <v>80</v>
      </c>
      <c r="M965" t="s">
        <v>73</v>
      </c>
      <c r="R965" t="s">
        <v>5690</v>
      </c>
      <c r="W965" t="s">
        <v>5690</v>
      </c>
      <c r="X965" t="s">
        <v>5691</v>
      </c>
      <c r="Y965" t="s">
        <v>91</v>
      </c>
      <c r="Z965" t="s">
        <v>74</v>
      </c>
      <c r="AA965" t="str">
        <f>"10128"</f>
        <v>10128</v>
      </c>
      <c r="AB965" t="s">
        <v>75</v>
      </c>
      <c r="AC965" t="s">
        <v>76</v>
      </c>
      <c r="AD965" t="s">
        <v>73</v>
      </c>
      <c r="AE965" t="s">
        <v>77</v>
      </c>
      <c r="AF965" t="s">
        <v>2398</v>
      </c>
      <c r="AG965" t="s">
        <v>78</v>
      </c>
    </row>
    <row r="966" spans="1:33" hidden="1" x14ac:dyDescent="0.25">
      <c r="A966" t="str">
        <f>"1093789018"</f>
        <v>1093789018</v>
      </c>
      <c r="B966" t="str">
        <f>"02683934"</f>
        <v>02683934</v>
      </c>
      <c r="C966" t="s">
        <v>5692</v>
      </c>
      <c r="D966" t="s">
        <v>5693</v>
      </c>
      <c r="E966" t="s">
        <v>5694</v>
      </c>
      <c r="L966" t="s">
        <v>80</v>
      </c>
      <c r="M966" t="s">
        <v>73</v>
      </c>
      <c r="R966" t="s">
        <v>5695</v>
      </c>
      <c r="W966" t="s">
        <v>5694</v>
      </c>
      <c r="X966" t="s">
        <v>540</v>
      </c>
      <c r="Y966" t="s">
        <v>541</v>
      </c>
      <c r="Z966" t="s">
        <v>519</v>
      </c>
      <c r="AA966" t="str">
        <f>"15213-2536"</f>
        <v>15213-2536</v>
      </c>
      <c r="AB966" t="s">
        <v>75</v>
      </c>
      <c r="AC966" t="s">
        <v>76</v>
      </c>
      <c r="AD966" t="s">
        <v>73</v>
      </c>
      <c r="AE966" t="s">
        <v>77</v>
      </c>
      <c r="AF966" t="s">
        <v>2242</v>
      </c>
      <c r="AG966" t="s">
        <v>78</v>
      </c>
    </row>
    <row r="967" spans="1:33" hidden="1" x14ac:dyDescent="0.25">
      <c r="A967" t="str">
        <f>"1316954910"</f>
        <v>1316954910</v>
      </c>
      <c r="B967" t="str">
        <f>"00495607"</f>
        <v>00495607</v>
      </c>
      <c r="C967" t="s">
        <v>5696</v>
      </c>
      <c r="D967" t="s">
        <v>5697</v>
      </c>
      <c r="E967" t="s">
        <v>5698</v>
      </c>
      <c r="G967" t="s">
        <v>2224</v>
      </c>
      <c r="H967" t="s">
        <v>5699</v>
      </c>
      <c r="J967" t="s">
        <v>2226</v>
      </c>
      <c r="L967" t="s">
        <v>80</v>
      </c>
      <c r="M967" t="s">
        <v>73</v>
      </c>
      <c r="R967" t="s">
        <v>5700</v>
      </c>
      <c r="W967" t="s">
        <v>5698</v>
      </c>
      <c r="Y967" t="s">
        <v>91</v>
      </c>
      <c r="Z967" t="s">
        <v>74</v>
      </c>
      <c r="AA967" t="str">
        <f>"10032-3720"</f>
        <v>10032-3720</v>
      </c>
      <c r="AB967" t="s">
        <v>75</v>
      </c>
      <c r="AC967" t="s">
        <v>76</v>
      </c>
      <c r="AD967" t="s">
        <v>73</v>
      </c>
      <c r="AE967" t="s">
        <v>77</v>
      </c>
      <c r="AF967" t="s">
        <v>2254</v>
      </c>
      <c r="AG967" t="s">
        <v>78</v>
      </c>
    </row>
    <row r="968" spans="1:33" hidden="1" x14ac:dyDescent="0.25">
      <c r="A968" t="str">
        <f>"1568757607"</f>
        <v>1568757607</v>
      </c>
      <c r="B968" t="str">
        <f>"04317768"</f>
        <v>04317768</v>
      </c>
      <c r="C968" t="s">
        <v>5701</v>
      </c>
      <c r="D968" t="s">
        <v>5702</v>
      </c>
      <c r="E968" t="s">
        <v>5703</v>
      </c>
      <c r="G968" t="s">
        <v>2224</v>
      </c>
      <c r="H968" t="s">
        <v>2312</v>
      </c>
      <c r="J968" t="s">
        <v>2226</v>
      </c>
      <c r="L968" t="s">
        <v>72</v>
      </c>
      <c r="M968" t="s">
        <v>73</v>
      </c>
      <c r="R968" t="s">
        <v>5704</v>
      </c>
      <c r="W968" t="s">
        <v>5703</v>
      </c>
      <c r="X968" t="s">
        <v>167</v>
      </c>
      <c r="Y968" t="s">
        <v>91</v>
      </c>
      <c r="Z968" t="s">
        <v>74</v>
      </c>
      <c r="AA968" t="str">
        <f>"10032-3720"</f>
        <v>10032-3720</v>
      </c>
      <c r="AB968" t="s">
        <v>75</v>
      </c>
      <c r="AC968" t="s">
        <v>76</v>
      </c>
      <c r="AD968" t="s">
        <v>73</v>
      </c>
      <c r="AE968" t="s">
        <v>77</v>
      </c>
      <c r="AF968" t="s">
        <v>2228</v>
      </c>
      <c r="AG968" t="s">
        <v>78</v>
      </c>
    </row>
    <row r="969" spans="1:33" hidden="1" x14ac:dyDescent="0.25">
      <c r="A969" t="str">
        <f>"1013193176"</f>
        <v>1013193176</v>
      </c>
      <c r="B969" t="str">
        <f>"03014371"</f>
        <v>03014371</v>
      </c>
      <c r="C969" t="s">
        <v>5705</v>
      </c>
      <c r="D969" t="s">
        <v>5706</v>
      </c>
      <c r="E969" t="s">
        <v>5707</v>
      </c>
      <c r="L969" t="s">
        <v>80</v>
      </c>
      <c r="M969" t="s">
        <v>73</v>
      </c>
      <c r="R969" t="s">
        <v>5708</v>
      </c>
      <c r="W969" t="s">
        <v>5707</v>
      </c>
      <c r="X969" t="s">
        <v>170</v>
      </c>
      <c r="Y969" t="s">
        <v>91</v>
      </c>
      <c r="Z969" t="s">
        <v>74</v>
      </c>
      <c r="AA969" t="str">
        <f>"10065-4870"</f>
        <v>10065-4870</v>
      </c>
      <c r="AB969" t="s">
        <v>75</v>
      </c>
      <c r="AC969" t="s">
        <v>76</v>
      </c>
      <c r="AD969" t="s">
        <v>73</v>
      </c>
      <c r="AE969" t="s">
        <v>77</v>
      </c>
      <c r="AF969" t="s">
        <v>2228</v>
      </c>
      <c r="AG969" t="s">
        <v>78</v>
      </c>
    </row>
    <row r="970" spans="1:33" hidden="1" x14ac:dyDescent="0.25">
      <c r="A970" t="str">
        <f>"1437114782"</f>
        <v>1437114782</v>
      </c>
      <c r="B970" t="str">
        <f>"02501224"</f>
        <v>02501224</v>
      </c>
      <c r="C970" t="s">
        <v>5709</v>
      </c>
      <c r="D970" t="s">
        <v>5710</v>
      </c>
      <c r="E970" t="s">
        <v>5711</v>
      </c>
      <c r="L970" t="s">
        <v>80</v>
      </c>
      <c r="M970" t="s">
        <v>73</v>
      </c>
      <c r="R970" t="s">
        <v>5712</v>
      </c>
      <c r="W970" t="s">
        <v>5711</v>
      </c>
      <c r="X970" t="s">
        <v>2087</v>
      </c>
      <c r="Y970" t="s">
        <v>91</v>
      </c>
      <c r="Z970" t="s">
        <v>74</v>
      </c>
      <c r="AA970" t="str">
        <f>"10016-6402"</f>
        <v>10016-6402</v>
      </c>
      <c r="AB970" t="s">
        <v>75</v>
      </c>
      <c r="AC970" t="s">
        <v>76</v>
      </c>
      <c r="AD970" t="s">
        <v>73</v>
      </c>
      <c r="AE970" t="s">
        <v>77</v>
      </c>
      <c r="AF970" t="s">
        <v>2228</v>
      </c>
      <c r="AG970" t="s">
        <v>78</v>
      </c>
    </row>
    <row r="971" spans="1:33" hidden="1" x14ac:dyDescent="0.25">
      <c r="A971" t="str">
        <f>"1093977225"</f>
        <v>1093977225</v>
      </c>
      <c r="B971" t="str">
        <f>"03949731"</f>
        <v>03949731</v>
      </c>
      <c r="C971" t="s">
        <v>5713</v>
      </c>
      <c r="D971" t="s">
        <v>5714</v>
      </c>
      <c r="E971" t="s">
        <v>5715</v>
      </c>
      <c r="G971" t="s">
        <v>2224</v>
      </c>
      <c r="H971" t="s">
        <v>2312</v>
      </c>
      <c r="J971" t="s">
        <v>2226</v>
      </c>
      <c r="L971" t="s">
        <v>72</v>
      </c>
      <c r="M971" t="s">
        <v>73</v>
      </c>
      <c r="R971" t="s">
        <v>5716</v>
      </c>
      <c r="W971" t="s">
        <v>5717</v>
      </c>
      <c r="X971" t="s">
        <v>170</v>
      </c>
      <c r="Y971" t="s">
        <v>91</v>
      </c>
      <c r="Z971" t="s">
        <v>74</v>
      </c>
      <c r="AA971" t="str">
        <f>"10065-4870"</f>
        <v>10065-4870</v>
      </c>
      <c r="AB971" t="s">
        <v>75</v>
      </c>
      <c r="AC971" t="s">
        <v>76</v>
      </c>
      <c r="AD971" t="s">
        <v>73</v>
      </c>
      <c r="AE971" t="s">
        <v>77</v>
      </c>
      <c r="AF971" t="s">
        <v>2242</v>
      </c>
      <c r="AG971" t="s">
        <v>78</v>
      </c>
    </row>
    <row r="972" spans="1:33" hidden="1" x14ac:dyDescent="0.25">
      <c r="A972" t="str">
        <f>"1396801056"</f>
        <v>1396801056</v>
      </c>
      <c r="C972" t="s">
        <v>5718</v>
      </c>
      <c r="G972" t="s">
        <v>2260</v>
      </c>
      <c r="H972" t="s">
        <v>5719</v>
      </c>
      <c r="J972" t="s">
        <v>1512</v>
      </c>
      <c r="K972" t="s">
        <v>507</v>
      </c>
      <c r="L972" t="s">
        <v>96</v>
      </c>
      <c r="M972" t="s">
        <v>73</v>
      </c>
      <c r="R972" t="s">
        <v>1589</v>
      </c>
      <c r="S972" t="s">
        <v>1590</v>
      </c>
      <c r="T972" t="s">
        <v>118</v>
      </c>
      <c r="U972" t="s">
        <v>74</v>
      </c>
      <c r="V972" t="str">
        <f>"104534303"</f>
        <v>104534303</v>
      </c>
      <c r="AC972" t="s">
        <v>76</v>
      </c>
      <c r="AD972" t="s">
        <v>73</v>
      </c>
      <c r="AE972" t="s">
        <v>97</v>
      </c>
      <c r="AF972" t="s">
        <v>2254</v>
      </c>
      <c r="AG972" t="s">
        <v>78</v>
      </c>
    </row>
    <row r="973" spans="1:33" hidden="1" x14ac:dyDescent="0.25">
      <c r="A973" t="str">
        <f>"1306098520"</f>
        <v>1306098520</v>
      </c>
      <c r="B973" t="str">
        <f>"03579908"</f>
        <v>03579908</v>
      </c>
      <c r="C973" t="s">
        <v>5720</v>
      </c>
      <c r="D973" t="s">
        <v>5721</v>
      </c>
      <c r="E973" t="s">
        <v>5722</v>
      </c>
      <c r="L973" t="s">
        <v>80</v>
      </c>
      <c r="M973" t="s">
        <v>73</v>
      </c>
      <c r="R973" t="s">
        <v>5723</v>
      </c>
      <c r="W973" t="s">
        <v>5724</v>
      </c>
      <c r="X973" t="s">
        <v>2688</v>
      </c>
      <c r="Y973" t="s">
        <v>91</v>
      </c>
      <c r="Z973" t="s">
        <v>74</v>
      </c>
      <c r="AA973" t="str">
        <f>"10024-4332"</f>
        <v>10024-4332</v>
      </c>
      <c r="AB973" t="s">
        <v>75</v>
      </c>
      <c r="AC973" t="s">
        <v>76</v>
      </c>
      <c r="AD973" t="s">
        <v>73</v>
      </c>
      <c r="AE973" t="s">
        <v>77</v>
      </c>
      <c r="AF973" t="s">
        <v>2242</v>
      </c>
      <c r="AG973" t="s">
        <v>78</v>
      </c>
    </row>
    <row r="974" spans="1:33" hidden="1" x14ac:dyDescent="0.25">
      <c r="A974" t="str">
        <f>"1215183785"</f>
        <v>1215183785</v>
      </c>
      <c r="B974" t="str">
        <f>"03491494"</f>
        <v>03491494</v>
      </c>
      <c r="C974" t="s">
        <v>5725</v>
      </c>
      <c r="D974" t="s">
        <v>5726</v>
      </c>
      <c r="E974" t="s">
        <v>5727</v>
      </c>
      <c r="L974" t="s">
        <v>80</v>
      </c>
      <c r="M974" t="s">
        <v>73</v>
      </c>
      <c r="R974" t="s">
        <v>5728</v>
      </c>
      <c r="W974" t="s">
        <v>5727</v>
      </c>
      <c r="X974" t="s">
        <v>2693</v>
      </c>
      <c r="Y974" t="s">
        <v>91</v>
      </c>
      <c r="Z974" t="s">
        <v>74</v>
      </c>
      <c r="AA974" t="str">
        <f>"10065-4870"</f>
        <v>10065-4870</v>
      </c>
      <c r="AB974" t="s">
        <v>75</v>
      </c>
      <c r="AC974" t="s">
        <v>76</v>
      </c>
      <c r="AD974" t="s">
        <v>73</v>
      </c>
      <c r="AE974" t="s">
        <v>77</v>
      </c>
      <c r="AF974" t="s">
        <v>2242</v>
      </c>
      <c r="AG974" t="s">
        <v>78</v>
      </c>
    </row>
    <row r="975" spans="1:33" hidden="1" x14ac:dyDescent="0.25">
      <c r="A975" t="str">
        <f>"1548284763"</f>
        <v>1548284763</v>
      </c>
      <c r="B975" t="str">
        <f>"01626420"</f>
        <v>01626420</v>
      </c>
      <c r="C975" t="s">
        <v>5729</v>
      </c>
      <c r="D975" t="s">
        <v>5730</v>
      </c>
      <c r="E975" t="s">
        <v>5731</v>
      </c>
      <c r="L975" t="s">
        <v>80</v>
      </c>
      <c r="M975" t="s">
        <v>73</v>
      </c>
      <c r="R975" t="s">
        <v>5732</v>
      </c>
      <c r="W975" t="s">
        <v>5731</v>
      </c>
      <c r="X975" t="s">
        <v>5733</v>
      </c>
      <c r="Y975" t="s">
        <v>544</v>
      </c>
      <c r="Z975" t="s">
        <v>74</v>
      </c>
      <c r="AA975" t="str">
        <f>"11777-2119"</f>
        <v>11777-2119</v>
      </c>
      <c r="AB975" t="s">
        <v>75</v>
      </c>
      <c r="AC975" t="s">
        <v>76</v>
      </c>
      <c r="AD975" t="s">
        <v>73</v>
      </c>
      <c r="AE975" t="s">
        <v>77</v>
      </c>
      <c r="AF975" t="s">
        <v>2242</v>
      </c>
      <c r="AG975" t="s">
        <v>78</v>
      </c>
    </row>
    <row r="976" spans="1:33" hidden="1" x14ac:dyDescent="0.25">
      <c r="A976" t="str">
        <f>"1881600922"</f>
        <v>1881600922</v>
      </c>
      <c r="B976" t="str">
        <f>"01144554"</f>
        <v>01144554</v>
      </c>
      <c r="C976" t="s">
        <v>5734</v>
      </c>
      <c r="D976" t="s">
        <v>5735</v>
      </c>
      <c r="E976" t="s">
        <v>5736</v>
      </c>
      <c r="L976" t="s">
        <v>80</v>
      </c>
      <c r="M976" t="s">
        <v>73</v>
      </c>
      <c r="R976" t="s">
        <v>5737</v>
      </c>
      <c r="W976" t="s">
        <v>5736</v>
      </c>
      <c r="X976" t="s">
        <v>2084</v>
      </c>
      <c r="Y976" t="s">
        <v>84</v>
      </c>
      <c r="Z976" t="s">
        <v>74</v>
      </c>
      <c r="AA976" t="str">
        <f>"11201"</f>
        <v>11201</v>
      </c>
      <c r="AB976" t="s">
        <v>75</v>
      </c>
      <c r="AC976" t="s">
        <v>76</v>
      </c>
      <c r="AD976" t="s">
        <v>73</v>
      </c>
      <c r="AE976" t="s">
        <v>77</v>
      </c>
      <c r="AF976" t="s">
        <v>2242</v>
      </c>
      <c r="AG976" t="s">
        <v>78</v>
      </c>
    </row>
    <row r="977" spans="1:33" hidden="1" x14ac:dyDescent="0.25">
      <c r="A977" t="str">
        <f>"1891844122"</f>
        <v>1891844122</v>
      </c>
      <c r="B977" t="str">
        <f>"03070651"</f>
        <v>03070651</v>
      </c>
      <c r="C977" t="s">
        <v>5738</v>
      </c>
      <c r="D977" t="s">
        <v>5739</v>
      </c>
      <c r="E977" t="s">
        <v>5740</v>
      </c>
      <c r="L977" t="s">
        <v>80</v>
      </c>
      <c r="M977" t="s">
        <v>73</v>
      </c>
      <c r="R977" t="s">
        <v>5741</v>
      </c>
      <c r="W977" t="s">
        <v>5740</v>
      </c>
      <c r="X977" t="s">
        <v>170</v>
      </c>
      <c r="Y977" t="s">
        <v>91</v>
      </c>
      <c r="Z977" t="s">
        <v>74</v>
      </c>
      <c r="AA977" t="str">
        <f>"10065-4870"</f>
        <v>10065-4870</v>
      </c>
      <c r="AB977" t="s">
        <v>75</v>
      </c>
      <c r="AC977" t="s">
        <v>76</v>
      </c>
      <c r="AD977" t="s">
        <v>73</v>
      </c>
      <c r="AE977" t="s">
        <v>77</v>
      </c>
      <c r="AF977" t="s">
        <v>2242</v>
      </c>
      <c r="AG977" t="s">
        <v>78</v>
      </c>
    </row>
    <row r="978" spans="1:33" hidden="1" x14ac:dyDescent="0.25">
      <c r="A978" t="str">
        <f>"1104830017"</f>
        <v>1104830017</v>
      </c>
      <c r="B978" t="str">
        <f>"02389191"</f>
        <v>02389191</v>
      </c>
      <c r="C978" t="s">
        <v>5742</v>
      </c>
      <c r="D978" t="s">
        <v>5743</v>
      </c>
      <c r="E978" t="s">
        <v>5744</v>
      </c>
      <c r="L978" t="s">
        <v>80</v>
      </c>
      <c r="M978" t="s">
        <v>73</v>
      </c>
      <c r="R978" t="s">
        <v>5745</v>
      </c>
      <c r="W978" t="s">
        <v>5744</v>
      </c>
      <c r="X978" t="s">
        <v>5746</v>
      </c>
      <c r="Y978" t="s">
        <v>91</v>
      </c>
      <c r="Z978" t="s">
        <v>74</v>
      </c>
      <c r="AA978" t="str">
        <f>"10065-4870"</f>
        <v>10065-4870</v>
      </c>
      <c r="AB978" t="s">
        <v>75</v>
      </c>
      <c r="AC978" t="s">
        <v>76</v>
      </c>
      <c r="AD978" t="s">
        <v>73</v>
      </c>
      <c r="AE978" t="s">
        <v>77</v>
      </c>
      <c r="AF978" t="s">
        <v>2242</v>
      </c>
      <c r="AG978" t="s">
        <v>78</v>
      </c>
    </row>
    <row r="979" spans="1:33" hidden="1" x14ac:dyDescent="0.25">
      <c r="A979" t="str">
        <f>"1871507442"</f>
        <v>1871507442</v>
      </c>
      <c r="B979" t="str">
        <f>"00258122"</f>
        <v>00258122</v>
      </c>
      <c r="C979" t="s">
        <v>5747</v>
      </c>
      <c r="D979" t="s">
        <v>5748</v>
      </c>
      <c r="E979" t="s">
        <v>5749</v>
      </c>
      <c r="L979" t="s">
        <v>80</v>
      </c>
      <c r="M979" t="s">
        <v>73</v>
      </c>
      <c r="R979" t="s">
        <v>5750</v>
      </c>
      <c r="W979" t="s">
        <v>5749</v>
      </c>
      <c r="X979" t="s">
        <v>5751</v>
      </c>
      <c r="Y979" t="s">
        <v>91</v>
      </c>
      <c r="Z979" t="s">
        <v>74</v>
      </c>
      <c r="AA979" t="str">
        <f>"10021"</f>
        <v>10021</v>
      </c>
      <c r="AB979" t="s">
        <v>75</v>
      </c>
      <c r="AC979" t="s">
        <v>76</v>
      </c>
      <c r="AD979" t="s">
        <v>73</v>
      </c>
      <c r="AE979" t="s">
        <v>77</v>
      </c>
      <c r="AF979" t="s">
        <v>2242</v>
      </c>
      <c r="AG979" t="s">
        <v>78</v>
      </c>
    </row>
    <row r="980" spans="1:33" hidden="1" x14ac:dyDescent="0.25">
      <c r="A980" t="str">
        <f>"1225048994"</f>
        <v>1225048994</v>
      </c>
      <c r="B980" t="str">
        <f>"00250748"</f>
        <v>00250748</v>
      </c>
      <c r="C980" t="s">
        <v>5752</v>
      </c>
      <c r="D980" t="s">
        <v>5753</v>
      </c>
      <c r="E980" t="s">
        <v>5754</v>
      </c>
      <c r="L980" t="s">
        <v>80</v>
      </c>
      <c r="M980" t="s">
        <v>73</v>
      </c>
      <c r="R980" t="s">
        <v>5755</v>
      </c>
      <c r="W980" t="s">
        <v>5754</v>
      </c>
      <c r="X980" t="s">
        <v>2365</v>
      </c>
      <c r="Y980" t="s">
        <v>91</v>
      </c>
      <c r="Z980" t="s">
        <v>74</v>
      </c>
      <c r="AA980" t="str">
        <f>"10065-4870"</f>
        <v>10065-4870</v>
      </c>
      <c r="AB980" t="s">
        <v>75</v>
      </c>
      <c r="AC980" t="s">
        <v>76</v>
      </c>
      <c r="AD980" t="s">
        <v>73</v>
      </c>
      <c r="AE980" t="s">
        <v>77</v>
      </c>
      <c r="AF980" t="s">
        <v>2242</v>
      </c>
      <c r="AG980" t="s">
        <v>78</v>
      </c>
    </row>
    <row r="981" spans="1:33" hidden="1" x14ac:dyDescent="0.25">
      <c r="A981" t="str">
        <f>"1790075638"</f>
        <v>1790075638</v>
      </c>
      <c r="B981" t="str">
        <f>"03481330"</f>
        <v>03481330</v>
      </c>
      <c r="C981" t="s">
        <v>5756</v>
      </c>
      <c r="D981" t="s">
        <v>5757</v>
      </c>
      <c r="E981" t="s">
        <v>5758</v>
      </c>
      <c r="L981" t="s">
        <v>80</v>
      </c>
      <c r="M981" t="s">
        <v>73</v>
      </c>
      <c r="R981" t="s">
        <v>5759</v>
      </c>
      <c r="W981" t="s">
        <v>5758</v>
      </c>
      <c r="X981" t="s">
        <v>5760</v>
      </c>
      <c r="Y981" t="s">
        <v>91</v>
      </c>
      <c r="Z981" t="s">
        <v>74</v>
      </c>
      <c r="AA981" t="str">
        <f>"10065-4870"</f>
        <v>10065-4870</v>
      </c>
      <c r="AB981" t="s">
        <v>75</v>
      </c>
      <c r="AC981" t="s">
        <v>76</v>
      </c>
      <c r="AD981" t="s">
        <v>73</v>
      </c>
      <c r="AE981" t="s">
        <v>77</v>
      </c>
      <c r="AF981" t="s">
        <v>2398</v>
      </c>
      <c r="AG981" t="s">
        <v>78</v>
      </c>
    </row>
    <row r="982" spans="1:33" hidden="1" x14ac:dyDescent="0.25">
      <c r="A982" t="str">
        <f>"1740550672"</f>
        <v>1740550672</v>
      </c>
      <c r="B982" t="str">
        <f>"03624040"</f>
        <v>03624040</v>
      </c>
      <c r="C982" t="s">
        <v>5761</v>
      </c>
      <c r="D982" t="s">
        <v>5762</v>
      </c>
      <c r="E982" t="s">
        <v>5763</v>
      </c>
      <c r="L982" t="s">
        <v>80</v>
      </c>
      <c r="M982" t="s">
        <v>73</v>
      </c>
      <c r="R982" t="s">
        <v>5764</v>
      </c>
      <c r="W982" t="s">
        <v>5764</v>
      </c>
      <c r="X982" t="s">
        <v>2688</v>
      </c>
      <c r="Y982" t="s">
        <v>91</v>
      </c>
      <c r="Z982" t="s">
        <v>74</v>
      </c>
      <c r="AA982" t="str">
        <f>"10024-4332"</f>
        <v>10024-4332</v>
      </c>
      <c r="AB982" t="s">
        <v>75</v>
      </c>
      <c r="AC982" t="s">
        <v>76</v>
      </c>
      <c r="AD982" t="s">
        <v>73</v>
      </c>
      <c r="AE982" t="s">
        <v>77</v>
      </c>
      <c r="AF982" t="s">
        <v>2242</v>
      </c>
      <c r="AG982" t="s">
        <v>78</v>
      </c>
    </row>
    <row r="983" spans="1:33" hidden="1" x14ac:dyDescent="0.25">
      <c r="A983" t="str">
        <f>"1467611335"</f>
        <v>1467611335</v>
      </c>
      <c r="C983" t="s">
        <v>5765</v>
      </c>
      <c r="G983" t="s">
        <v>2224</v>
      </c>
      <c r="H983" t="s">
        <v>2312</v>
      </c>
      <c r="J983" t="s">
        <v>2226</v>
      </c>
      <c r="K983" t="s">
        <v>171</v>
      </c>
      <c r="L983" t="s">
        <v>72</v>
      </c>
      <c r="M983" t="s">
        <v>73</v>
      </c>
      <c r="R983" t="s">
        <v>5766</v>
      </c>
      <c r="S983" t="s">
        <v>2770</v>
      </c>
      <c r="T983" t="s">
        <v>91</v>
      </c>
      <c r="U983" t="s">
        <v>74</v>
      </c>
      <c r="V983" t="str">
        <f>"100323720"</f>
        <v>100323720</v>
      </c>
      <c r="AC983" t="s">
        <v>76</v>
      </c>
      <c r="AD983" t="s">
        <v>73</v>
      </c>
      <c r="AE983" t="s">
        <v>97</v>
      </c>
      <c r="AF983" t="s">
        <v>2228</v>
      </c>
      <c r="AG983" t="s">
        <v>78</v>
      </c>
    </row>
    <row r="984" spans="1:33" hidden="1" x14ac:dyDescent="0.25">
      <c r="A984" t="str">
        <f>"1053480384"</f>
        <v>1053480384</v>
      </c>
      <c r="B984" t="str">
        <f>"02131602"</f>
        <v>02131602</v>
      </c>
      <c r="C984" t="s">
        <v>5767</v>
      </c>
      <c r="D984" t="s">
        <v>5768</v>
      </c>
      <c r="E984" t="s">
        <v>5769</v>
      </c>
      <c r="G984" t="s">
        <v>2224</v>
      </c>
      <c r="H984" t="s">
        <v>2225</v>
      </c>
      <c r="J984" t="s">
        <v>2226</v>
      </c>
      <c r="L984" t="s">
        <v>72</v>
      </c>
      <c r="M984" t="s">
        <v>73</v>
      </c>
      <c r="R984" t="s">
        <v>5770</v>
      </c>
      <c r="W984" t="s">
        <v>5769</v>
      </c>
      <c r="X984" t="s">
        <v>5771</v>
      </c>
      <c r="Y984" t="s">
        <v>91</v>
      </c>
      <c r="Z984" t="s">
        <v>74</v>
      </c>
      <c r="AA984" t="str">
        <f>"10032-3726"</f>
        <v>10032-3726</v>
      </c>
      <c r="AB984" t="s">
        <v>75</v>
      </c>
      <c r="AC984" t="s">
        <v>76</v>
      </c>
      <c r="AD984" t="s">
        <v>73</v>
      </c>
      <c r="AE984" t="s">
        <v>77</v>
      </c>
      <c r="AF984" t="s">
        <v>2228</v>
      </c>
      <c r="AG984" t="s">
        <v>78</v>
      </c>
    </row>
    <row r="985" spans="1:33" hidden="1" x14ac:dyDescent="0.25">
      <c r="A985" t="str">
        <f>"1134330921"</f>
        <v>1134330921</v>
      </c>
      <c r="B985" t="str">
        <f>"03596141"</f>
        <v>03596141</v>
      </c>
      <c r="C985" t="s">
        <v>5772</v>
      </c>
      <c r="D985" t="s">
        <v>5773</v>
      </c>
      <c r="E985" t="s">
        <v>5774</v>
      </c>
      <c r="G985" t="s">
        <v>2224</v>
      </c>
      <c r="H985" t="s">
        <v>5775</v>
      </c>
      <c r="J985" t="s">
        <v>2226</v>
      </c>
      <c r="L985" t="s">
        <v>72</v>
      </c>
      <c r="M985" t="s">
        <v>73</v>
      </c>
      <c r="R985" t="s">
        <v>5776</v>
      </c>
      <c r="W985" t="s">
        <v>5777</v>
      </c>
      <c r="X985" t="s">
        <v>5778</v>
      </c>
      <c r="Y985" t="s">
        <v>91</v>
      </c>
      <c r="Z985" t="s">
        <v>74</v>
      </c>
      <c r="AA985" t="str">
        <f>"10032-1559"</f>
        <v>10032-1559</v>
      </c>
      <c r="AB985" t="s">
        <v>75</v>
      </c>
      <c r="AC985" t="s">
        <v>76</v>
      </c>
      <c r="AD985" t="s">
        <v>73</v>
      </c>
      <c r="AE985" t="s">
        <v>77</v>
      </c>
      <c r="AF985" t="s">
        <v>2228</v>
      </c>
      <c r="AG985" t="s">
        <v>78</v>
      </c>
    </row>
    <row r="986" spans="1:33" hidden="1" x14ac:dyDescent="0.25">
      <c r="A986" t="str">
        <f>"1710057369"</f>
        <v>1710057369</v>
      </c>
      <c r="B986" t="str">
        <f>"01105637"</f>
        <v>01105637</v>
      </c>
      <c r="C986" t="s">
        <v>5779</v>
      </c>
      <c r="D986" t="s">
        <v>5780</v>
      </c>
      <c r="E986" t="s">
        <v>5781</v>
      </c>
      <c r="G986" t="s">
        <v>2224</v>
      </c>
      <c r="H986" t="s">
        <v>2225</v>
      </c>
      <c r="J986" t="s">
        <v>2226</v>
      </c>
      <c r="L986" t="s">
        <v>72</v>
      </c>
      <c r="M986" t="s">
        <v>73</v>
      </c>
      <c r="R986" t="s">
        <v>5782</v>
      </c>
      <c r="W986" t="s">
        <v>5781</v>
      </c>
      <c r="X986" t="s">
        <v>496</v>
      </c>
      <c r="Y986" t="s">
        <v>91</v>
      </c>
      <c r="Z986" t="s">
        <v>74</v>
      </c>
      <c r="AA986" t="str">
        <f>"10032-3726"</f>
        <v>10032-3726</v>
      </c>
      <c r="AB986" t="s">
        <v>75</v>
      </c>
      <c r="AC986" t="s">
        <v>76</v>
      </c>
      <c r="AD986" t="s">
        <v>73</v>
      </c>
      <c r="AE986" t="s">
        <v>77</v>
      </c>
      <c r="AF986" t="s">
        <v>2228</v>
      </c>
      <c r="AG986" t="s">
        <v>78</v>
      </c>
    </row>
    <row r="987" spans="1:33" hidden="1" x14ac:dyDescent="0.25">
      <c r="A987" t="str">
        <f>"1710115282"</f>
        <v>1710115282</v>
      </c>
      <c r="B987" t="str">
        <f>"03128636"</f>
        <v>03128636</v>
      </c>
      <c r="C987" t="s">
        <v>5783</v>
      </c>
      <c r="D987" t="s">
        <v>1496</v>
      </c>
      <c r="E987" t="s">
        <v>1497</v>
      </c>
      <c r="G987" t="s">
        <v>2224</v>
      </c>
      <c r="H987" t="s">
        <v>2225</v>
      </c>
      <c r="J987" t="s">
        <v>2226</v>
      </c>
      <c r="L987" t="s">
        <v>80</v>
      </c>
      <c r="M987" t="s">
        <v>73</v>
      </c>
      <c r="R987" t="s">
        <v>1497</v>
      </c>
      <c r="W987" t="s">
        <v>1497</v>
      </c>
      <c r="X987" t="s">
        <v>1096</v>
      </c>
      <c r="Y987" t="s">
        <v>91</v>
      </c>
      <c r="Z987" t="s">
        <v>74</v>
      </c>
      <c r="AA987" t="str">
        <f>"10065-4870"</f>
        <v>10065-4870</v>
      </c>
      <c r="AB987" t="s">
        <v>75</v>
      </c>
      <c r="AC987" t="s">
        <v>76</v>
      </c>
      <c r="AD987" t="s">
        <v>73</v>
      </c>
      <c r="AE987" t="s">
        <v>77</v>
      </c>
      <c r="AF987" t="s">
        <v>2242</v>
      </c>
      <c r="AG987" t="s">
        <v>78</v>
      </c>
    </row>
    <row r="988" spans="1:33" hidden="1" x14ac:dyDescent="0.25">
      <c r="A988" t="str">
        <f>"1073833166"</f>
        <v>1073833166</v>
      </c>
      <c r="B988" t="str">
        <f>"03695810"</f>
        <v>03695810</v>
      </c>
      <c r="C988" t="s">
        <v>5784</v>
      </c>
      <c r="D988" t="s">
        <v>5785</v>
      </c>
      <c r="E988" t="s">
        <v>5786</v>
      </c>
      <c r="G988" t="s">
        <v>2224</v>
      </c>
      <c r="H988" t="s">
        <v>2225</v>
      </c>
      <c r="J988" t="s">
        <v>2226</v>
      </c>
      <c r="L988" t="s">
        <v>72</v>
      </c>
      <c r="M988" t="s">
        <v>73</v>
      </c>
      <c r="R988" t="s">
        <v>5787</v>
      </c>
      <c r="W988" t="s">
        <v>5786</v>
      </c>
      <c r="X988" t="s">
        <v>5788</v>
      </c>
      <c r="Y988" t="s">
        <v>91</v>
      </c>
      <c r="Z988" t="s">
        <v>74</v>
      </c>
      <c r="AA988" t="str">
        <f>"10032-1559"</f>
        <v>10032-1559</v>
      </c>
      <c r="AB988" t="s">
        <v>113</v>
      </c>
      <c r="AC988" t="s">
        <v>76</v>
      </c>
      <c r="AD988" t="s">
        <v>73</v>
      </c>
      <c r="AE988" t="s">
        <v>77</v>
      </c>
      <c r="AF988" t="s">
        <v>2254</v>
      </c>
      <c r="AG988" t="s">
        <v>78</v>
      </c>
    </row>
    <row r="989" spans="1:33" hidden="1" x14ac:dyDescent="0.25">
      <c r="A989" t="str">
        <f>"1639221799"</f>
        <v>1639221799</v>
      </c>
      <c r="B989" t="str">
        <f>"02706389"</f>
        <v>02706389</v>
      </c>
      <c r="C989" t="s">
        <v>5789</v>
      </c>
      <c r="D989" t="s">
        <v>5790</v>
      </c>
      <c r="E989" t="s">
        <v>5791</v>
      </c>
      <c r="G989" t="s">
        <v>2224</v>
      </c>
      <c r="H989" t="s">
        <v>2225</v>
      </c>
      <c r="J989" t="s">
        <v>2226</v>
      </c>
      <c r="L989" t="s">
        <v>72</v>
      </c>
      <c r="M989" t="s">
        <v>73</v>
      </c>
      <c r="R989" t="s">
        <v>5792</v>
      </c>
      <c r="W989" t="s">
        <v>5793</v>
      </c>
      <c r="X989" t="s">
        <v>1784</v>
      </c>
      <c r="Y989" t="s">
        <v>91</v>
      </c>
      <c r="Z989" t="s">
        <v>74</v>
      </c>
      <c r="AA989" t="str">
        <f>"10032-3724"</f>
        <v>10032-3724</v>
      </c>
      <c r="AB989" t="s">
        <v>113</v>
      </c>
      <c r="AC989" t="s">
        <v>76</v>
      </c>
      <c r="AD989" t="s">
        <v>73</v>
      </c>
      <c r="AE989" t="s">
        <v>77</v>
      </c>
      <c r="AF989" t="s">
        <v>2228</v>
      </c>
      <c r="AG989" t="s">
        <v>78</v>
      </c>
    </row>
    <row r="990" spans="1:33" hidden="1" x14ac:dyDescent="0.25">
      <c r="A990" t="str">
        <f>"1659468742"</f>
        <v>1659468742</v>
      </c>
      <c r="B990" t="str">
        <f>"01567073"</f>
        <v>01567073</v>
      </c>
      <c r="C990" t="s">
        <v>5794</v>
      </c>
      <c r="D990" t="s">
        <v>1122</v>
      </c>
      <c r="E990" t="s">
        <v>1123</v>
      </c>
      <c r="G990" t="s">
        <v>2224</v>
      </c>
      <c r="H990" t="s">
        <v>2225</v>
      </c>
      <c r="J990" t="s">
        <v>2226</v>
      </c>
      <c r="L990" t="s">
        <v>81</v>
      </c>
      <c r="M990" t="s">
        <v>73</v>
      </c>
      <c r="R990" t="s">
        <v>1124</v>
      </c>
      <c r="W990" t="s">
        <v>1123</v>
      </c>
      <c r="X990" t="s">
        <v>1125</v>
      </c>
      <c r="Y990" t="s">
        <v>91</v>
      </c>
      <c r="Z990" t="s">
        <v>74</v>
      </c>
      <c r="AA990" t="str">
        <f>"10021-4872"</f>
        <v>10021-4872</v>
      </c>
      <c r="AB990" t="s">
        <v>75</v>
      </c>
      <c r="AC990" t="s">
        <v>76</v>
      </c>
      <c r="AD990" t="s">
        <v>73</v>
      </c>
      <c r="AE990" t="s">
        <v>77</v>
      </c>
      <c r="AF990" t="s">
        <v>2398</v>
      </c>
      <c r="AG990" t="s">
        <v>78</v>
      </c>
    </row>
    <row r="991" spans="1:33" hidden="1" x14ac:dyDescent="0.25">
      <c r="A991" t="str">
        <f>"1922200245"</f>
        <v>1922200245</v>
      </c>
      <c r="B991" t="str">
        <f>"03090388"</f>
        <v>03090388</v>
      </c>
      <c r="C991" t="s">
        <v>5795</v>
      </c>
      <c r="D991" t="s">
        <v>5796</v>
      </c>
      <c r="E991" t="s">
        <v>5797</v>
      </c>
      <c r="G991" t="s">
        <v>2224</v>
      </c>
      <c r="H991" t="s">
        <v>2225</v>
      </c>
      <c r="J991" t="s">
        <v>2226</v>
      </c>
      <c r="L991" t="s">
        <v>81</v>
      </c>
      <c r="M991" t="s">
        <v>73</v>
      </c>
      <c r="R991" t="s">
        <v>5798</v>
      </c>
      <c r="W991" t="s">
        <v>5799</v>
      </c>
      <c r="X991" t="s">
        <v>1707</v>
      </c>
      <c r="Y991" t="s">
        <v>91</v>
      </c>
      <c r="Z991" t="s">
        <v>74</v>
      </c>
      <c r="AA991" t="str">
        <f>"10032-3720"</f>
        <v>10032-3720</v>
      </c>
      <c r="AB991" t="s">
        <v>75</v>
      </c>
      <c r="AC991" t="s">
        <v>76</v>
      </c>
      <c r="AD991" t="s">
        <v>73</v>
      </c>
      <c r="AE991" t="s">
        <v>77</v>
      </c>
      <c r="AF991" t="s">
        <v>2234</v>
      </c>
      <c r="AG991" t="s">
        <v>78</v>
      </c>
    </row>
    <row r="992" spans="1:33" hidden="1" x14ac:dyDescent="0.25">
      <c r="C992" t="s">
        <v>5800</v>
      </c>
      <c r="G992" t="s">
        <v>5291</v>
      </c>
      <c r="H992" t="s">
        <v>5292</v>
      </c>
      <c r="I992">
        <v>528</v>
      </c>
      <c r="J992" t="s">
        <v>5293</v>
      </c>
      <c r="K992" t="s">
        <v>93</v>
      </c>
      <c r="L992" t="s">
        <v>94</v>
      </c>
      <c r="M992" t="s">
        <v>73</v>
      </c>
      <c r="AC992" t="s">
        <v>76</v>
      </c>
      <c r="AD992" t="s">
        <v>73</v>
      </c>
      <c r="AE992" t="s">
        <v>95</v>
      </c>
      <c r="AG992" t="s">
        <v>78</v>
      </c>
    </row>
    <row r="993" spans="1:33" hidden="1" x14ac:dyDescent="0.25">
      <c r="A993" t="str">
        <f>"1659356889"</f>
        <v>1659356889</v>
      </c>
      <c r="B993" t="str">
        <f>"02913019"</f>
        <v>02913019</v>
      </c>
      <c r="C993" t="s">
        <v>5801</v>
      </c>
      <c r="D993" t="s">
        <v>5802</v>
      </c>
      <c r="E993" t="s">
        <v>5803</v>
      </c>
      <c r="G993" t="s">
        <v>2224</v>
      </c>
      <c r="H993" t="s">
        <v>2225</v>
      </c>
      <c r="J993" t="s">
        <v>2226</v>
      </c>
      <c r="L993" t="s">
        <v>72</v>
      </c>
      <c r="M993" t="s">
        <v>73</v>
      </c>
      <c r="R993" t="s">
        <v>5804</v>
      </c>
      <c r="W993" t="s">
        <v>5803</v>
      </c>
      <c r="X993" t="s">
        <v>167</v>
      </c>
      <c r="Y993" t="s">
        <v>91</v>
      </c>
      <c r="Z993" t="s">
        <v>74</v>
      </c>
      <c r="AA993" t="str">
        <f>"10032-3720"</f>
        <v>10032-3720</v>
      </c>
      <c r="AB993" t="s">
        <v>75</v>
      </c>
      <c r="AC993" t="s">
        <v>76</v>
      </c>
      <c r="AD993" t="s">
        <v>73</v>
      </c>
      <c r="AE993" t="s">
        <v>77</v>
      </c>
      <c r="AF993" t="s">
        <v>2234</v>
      </c>
      <c r="AG993" t="s">
        <v>78</v>
      </c>
    </row>
    <row r="994" spans="1:33" hidden="1" x14ac:dyDescent="0.25">
      <c r="A994" t="str">
        <f>"1558380501"</f>
        <v>1558380501</v>
      </c>
      <c r="B994" t="str">
        <f>"02998910"</f>
        <v>02998910</v>
      </c>
      <c r="C994" t="s">
        <v>390</v>
      </c>
      <c r="D994" t="s">
        <v>241</v>
      </c>
      <c r="E994" t="s">
        <v>242</v>
      </c>
      <c r="L994" t="s">
        <v>130</v>
      </c>
      <c r="M994" t="s">
        <v>82</v>
      </c>
      <c r="R994" t="s">
        <v>243</v>
      </c>
      <c r="W994" t="s">
        <v>242</v>
      </c>
      <c r="X994" t="s">
        <v>244</v>
      </c>
      <c r="Y994" t="s">
        <v>118</v>
      </c>
      <c r="Z994" t="s">
        <v>74</v>
      </c>
      <c r="AA994" t="str">
        <f>"10471-2138"</f>
        <v>10471-2138</v>
      </c>
      <c r="AB994" t="s">
        <v>110</v>
      </c>
      <c r="AC994" t="s">
        <v>76</v>
      </c>
      <c r="AD994" t="s">
        <v>73</v>
      </c>
      <c r="AE994" t="s">
        <v>77</v>
      </c>
      <c r="AG994" t="s">
        <v>78</v>
      </c>
    </row>
    <row r="995" spans="1:33" hidden="1" x14ac:dyDescent="0.25">
      <c r="A995" t="str">
        <f>"1437294824"</f>
        <v>1437294824</v>
      </c>
      <c r="B995" t="str">
        <f>"02698286"</f>
        <v>02698286</v>
      </c>
      <c r="C995" t="s">
        <v>5805</v>
      </c>
      <c r="D995" t="s">
        <v>5806</v>
      </c>
      <c r="E995" t="s">
        <v>5807</v>
      </c>
      <c r="G995" t="s">
        <v>2224</v>
      </c>
      <c r="H995" t="s">
        <v>2225</v>
      </c>
      <c r="J995" t="s">
        <v>2226</v>
      </c>
      <c r="L995" t="s">
        <v>80</v>
      </c>
      <c r="M995" t="s">
        <v>73</v>
      </c>
      <c r="R995" t="s">
        <v>5808</v>
      </c>
      <c r="W995" t="s">
        <v>5807</v>
      </c>
      <c r="X995" t="s">
        <v>183</v>
      </c>
      <c r="Y995" t="s">
        <v>91</v>
      </c>
      <c r="Z995" t="s">
        <v>74</v>
      </c>
      <c r="AA995" t="str">
        <f>"10032-3729"</f>
        <v>10032-3729</v>
      </c>
      <c r="AB995" t="s">
        <v>75</v>
      </c>
      <c r="AC995" t="s">
        <v>76</v>
      </c>
      <c r="AD995" t="s">
        <v>73</v>
      </c>
      <c r="AE995" t="s">
        <v>77</v>
      </c>
      <c r="AF995" t="s">
        <v>2228</v>
      </c>
      <c r="AG995" t="s">
        <v>78</v>
      </c>
    </row>
    <row r="996" spans="1:33" hidden="1" x14ac:dyDescent="0.25">
      <c r="A996" t="str">
        <f>"1881618304"</f>
        <v>1881618304</v>
      </c>
      <c r="B996" t="str">
        <f>"02405874"</f>
        <v>02405874</v>
      </c>
      <c r="C996" t="s">
        <v>5809</v>
      </c>
      <c r="D996" t="s">
        <v>5810</v>
      </c>
      <c r="E996" t="s">
        <v>5811</v>
      </c>
      <c r="G996" t="s">
        <v>2224</v>
      </c>
      <c r="H996" t="s">
        <v>2225</v>
      </c>
      <c r="J996" t="s">
        <v>2226</v>
      </c>
      <c r="L996" t="s">
        <v>80</v>
      </c>
      <c r="M996" t="s">
        <v>73</v>
      </c>
      <c r="R996" t="s">
        <v>5812</v>
      </c>
      <c r="W996" t="s">
        <v>5811</v>
      </c>
      <c r="X996" t="s">
        <v>5813</v>
      </c>
      <c r="Y996" t="s">
        <v>251</v>
      </c>
      <c r="Z996" t="s">
        <v>74</v>
      </c>
      <c r="AA996" t="str">
        <f>"11357"</f>
        <v>11357</v>
      </c>
      <c r="AB996" t="s">
        <v>75</v>
      </c>
      <c r="AC996" t="s">
        <v>76</v>
      </c>
      <c r="AD996" t="s">
        <v>73</v>
      </c>
      <c r="AE996" t="s">
        <v>77</v>
      </c>
      <c r="AF996" t="s">
        <v>2228</v>
      </c>
      <c r="AG996" t="s">
        <v>78</v>
      </c>
    </row>
    <row r="997" spans="1:33" hidden="1" x14ac:dyDescent="0.25">
      <c r="A997" t="str">
        <f>"1881648970"</f>
        <v>1881648970</v>
      </c>
      <c r="B997" t="str">
        <f>"03568958"</f>
        <v>03568958</v>
      </c>
      <c r="C997" t="s">
        <v>5814</v>
      </c>
      <c r="D997" t="s">
        <v>5815</v>
      </c>
      <c r="E997" t="s">
        <v>5816</v>
      </c>
      <c r="G997" t="s">
        <v>2224</v>
      </c>
      <c r="H997" t="s">
        <v>2225</v>
      </c>
      <c r="J997" t="s">
        <v>2226</v>
      </c>
      <c r="L997" t="s">
        <v>72</v>
      </c>
      <c r="M997" t="s">
        <v>73</v>
      </c>
      <c r="R997" t="s">
        <v>5817</v>
      </c>
      <c r="W997" t="s">
        <v>5816</v>
      </c>
      <c r="X997" t="s">
        <v>183</v>
      </c>
      <c r="Y997" t="s">
        <v>91</v>
      </c>
      <c r="Z997" t="s">
        <v>74</v>
      </c>
      <c r="AA997" t="str">
        <f>"10032-3729"</f>
        <v>10032-3729</v>
      </c>
      <c r="AB997" t="s">
        <v>75</v>
      </c>
      <c r="AC997" t="s">
        <v>76</v>
      </c>
      <c r="AD997" t="s">
        <v>73</v>
      </c>
      <c r="AE997" t="s">
        <v>77</v>
      </c>
      <c r="AF997" t="s">
        <v>2254</v>
      </c>
      <c r="AG997" t="s">
        <v>78</v>
      </c>
    </row>
    <row r="998" spans="1:33" hidden="1" x14ac:dyDescent="0.25">
      <c r="A998" t="str">
        <f>"1881650422"</f>
        <v>1881650422</v>
      </c>
      <c r="B998" t="str">
        <f>"01683169"</f>
        <v>01683169</v>
      </c>
      <c r="C998" t="s">
        <v>5818</v>
      </c>
      <c r="D998" t="s">
        <v>411</v>
      </c>
      <c r="E998" t="s">
        <v>412</v>
      </c>
      <c r="G998" t="s">
        <v>2224</v>
      </c>
      <c r="H998" t="s">
        <v>2225</v>
      </c>
      <c r="J998" t="s">
        <v>2226</v>
      </c>
      <c r="L998" t="s">
        <v>80</v>
      </c>
      <c r="M998" t="s">
        <v>82</v>
      </c>
      <c r="R998" t="s">
        <v>413</v>
      </c>
      <c r="W998" t="s">
        <v>412</v>
      </c>
      <c r="X998" t="s">
        <v>194</v>
      </c>
      <c r="Y998" t="s">
        <v>125</v>
      </c>
      <c r="Z998" t="s">
        <v>74</v>
      </c>
      <c r="AA998" t="str">
        <f>"11355-2205"</f>
        <v>11355-2205</v>
      </c>
      <c r="AB998" t="s">
        <v>75</v>
      </c>
      <c r="AC998" t="s">
        <v>76</v>
      </c>
      <c r="AD998" t="s">
        <v>73</v>
      </c>
      <c r="AE998" t="s">
        <v>77</v>
      </c>
      <c r="AF998" t="s">
        <v>2228</v>
      </c>
      <c r="AG998" t="s">
        <v>78</v>
      </c>
    </row>
    <row r="999" spans="1:33" hidden="1" x14ac:dyDescent="0.25">
      <c r="A999" t="str">
        <f>"1497794861"</f>
        <v>1497794861</v>
      </c>
      <c r="B999" t="str">
        <f>"00090120"</f>
        <v>00090120</v>
      </c>
      <c r="C999" t="s">
        <v>5819</v>
      </c>
      <c r="D999" t="s">
        <v>5820</v>
      </c>
      <c r="E999" t="s">
        <v>5821</v>
      </c>
      <c r="G999" t="s">
        <v>2224</v>
      </c>
      <c r="H999" t="s">
        <v>2225</v>
      </c>
      <c r="J999" t="s">
        <v>2226</v>
      </c>
      <c r="L999" t="s">
        <v>72</v>
      </c>
      <c r="M999" t="s">
        <v>73</v>
      </c>
      <c r="R999" t="s">
        <v>5822</v>
      </c>
      <c r="W999" t="s">
        <v>5821</v>
      </c>
      <c r="X999" t="s">
        <v>5823</v>
      </c>
      <c r="Y999" t="s">
        <v>251</v>
      </c>
      <c r="Z999" t="s">
        <v>74</v>
      </c>
      <c r="AA999" t="str">
        <f>"11357-3247"</f>
        <v>11357-3247</v>
      </c>
      <c r="AB999" t="s">
        <v>75</v>
      </c>
      <c r="AC999" t="s">
        <v>76</v>
      </c>
      <c r="AD999" t="s">
        <v>73</v>
      </c>
      <c r="AE999" t="s">
        <v>77</v>
      </c>
      <c r="AF999" t="s">
        <v>2254</v>
      </c>
      <c r="AG999" t="s">
        <v>78</v>
      </c>
    </row>
    <row r="1000" spans="1:33" hidden="1" x14ac:dyDescent="0.25">
      <c r="A1000" t="str">
        <f>"1659394294"</f>
        <v>1659394294</v>
      </c>
      <c r="B1000" t="str">
        <f>"01581153"</f>
        <v>01581153</v>
      </c>
      <c r="C1000" t="s">
        <v>5824</v>
      </c>
      <c r="D1000" t="s">
        <v>5825</v>
      </c>
      <c r="E1000" t="s">
        <v>5826</v>
      </c>
      <c r="G1000" t="s">
        <v>2224</v>
      </c>
      <c r="H1000" t="s">
        <v>2225</v>
      </c>
      <c r="J1000" t="s">
        <v>2226</v>
      </c>
      <c r="L1000" t="s">
        <v>80</v>
      </c>
      <c r="M1000" t="s">
        <v>73</v>
      </c>
      <c r="R1000" t="s">
        <v>5827</v>
      </c>
      <c r="W1000" t="s">
        <v>5826</v>
      </c>
      <c r="X1000" t="s">
        <v>1397</v>
      </c>
      <c r="Y1000" t="s">
        <v>91</v>
      </c>
      <c r="Z1000" t="s">
        <v>74</v>
      </c>
      <c r="AA1000" t="str">
        <f>"10032-3724"</f>
        <v>10032-3724</v>
      </c>
      <c r="AB1000" t="s">
        <v>75</v>
      </c>
      <c r="AC1000" t="s">
        <v>76</v>
      </c>
      <c r="AD1000" t="s">
        <v>73</v>
      </c>
      <c r="AE1000" t="s">
        <v>77</v>
      </c>
      <c r="AF1000" t="s">
        <v>2254</v>
      </c>
      <c r="AG1000" t="s">
        <v>78</v>
      </c>
    </row>
    <row r="1001" spans="1:33" hidden="1" x14ac:dyDescent="0.25">
      <c r="A1001" t="str">
        <f>"1093802167"</f>
        <v>1093802167</v>
      </c>
      <c r="B1001" t="str">
        <f>"00827174"</f>
        <v>00827174</v>
      </c>
      <c r="C1001" t="s">
        <v>5828</v>
      </c>
      <c r="D1001" t="s">
        <v>5829</v>
      </c>
      <c r="E1001" t="s">
        <v>5830</v>
      </c>
      <c r="G1001" t="s">
        <v>2224</v>
      </c>
      <c r="H1001" t="s">
        <v>2225</v>
      </c>
      <c r="J1001" t="s">
        <v>2226</v>
      </c>
      <c r="L1001" t="s">
        <v>81</v>
      </c>
      <c r="M1001" t="s">
        <v>73</v>
      </c>
      <c r="R1001" t="s">
        <v>5831</v>
      </c>
      <c r="W1001" t="s">
        <v>5830</v>
      </c>
      <c r="X1001" t="s">
        <v>5832</v>
      </c>
      <c r="Y1001" t="s">
        <v>91</v>
      </c>
      <c r="Z1001" t="s">
        <v>74</v>
      </c>
      <c r="AA1001" t="str">
        <f>"10021"</f>
        <v>10021</v>
      </c>
      <c r="AB1001" t="s">
        <v>75</v>
      </c>
      <c r="AC1001" t="s">
        <v>76</v>
      </c>
      <c r="AD1001" t="s">
        <v>73</v>
      </c>
      <c r="AE1001" t="s">
        <v>77</v>
      </c>
      <c r="AF1001" t="s">
        <v>2242</v>
      </c>
      <c r="AG1001" t="s">
        <v>78</v>
      </c>
    </row>
    <row r="1002" spans="1:33" hidden="1" x14ac:dyDescent="0.25">
      <c r="A1002" t="str">
        <f>"1790001626"</f>
        <v>1790001626</v>
      </c>
      <c r="C1002" t="s">
        <v>471</v>
      </c>
      <c r="G1002" t="s">
        <v>5513</v>
      </c>
      <c r="H1002" t="s">
        <v>338</v>
      </c>
      <c r="J1002" t="s">
        <v>339</v>
      </c>
      <c r="K1002" t="s">
        <v>1145</v>
      </c>
      <c r="L1002" t="s">
        <v>96</v>
      </c>
      <c r="M1002" t="s">
        <v>73</v>
      </c>
      <c r="R1002" t="s">
        <v>471</v>
      </c>
      <c r="S1002" t="s">
        <v>472</v>
      </c>
      <c r="T1002" t="s">
        <v>84</v>
      </c>
      <c r="U1002" t="s">
        <v>74</v>
      </c>
      <c r="V1002" t="str">
        <f>"112204742"</f>
        <v>112204742</v>
      </c>
      <c r="AC1002" t="s">
        <v>76</v>
      </c>
      <c r="AD1002" t="s">
        <v>73</v>
      </c>
      <c r="AE1002" t="s">
        <v>97</v>
      </c>
      <c r="AG1002" t="s">
        <v>78</v>
      </c>
    </row>
    <row r="1003" spans="1:33" hidden="1" x14ac:dyDescent="0.25">
      <c r="A1003" t="str">
        <f>"1396891644"</f>
        <v>1396891644</v>
      </c>
      <c r="B1003" t="str">
        <f>"02420033"</f>
        <v>02420033</v>
      </c>
      <c r="C1003" t="s">
        <v>5833</v>
      </c>
      <c r="D1003" t="s">
        <v>5834</v>
      </c>
      <c r="E1003" t="s">
        <v>5835</v>
      </c>
      <c r="G1003" t="s">
        <v>2224</v>
      </c>
      <c r="H1003" t="s">
        <v>2225</v>
      </c>
      <c r="J1003" t="s">
        <v>2226</v>
      </c>
      <c r="L1003" t="s">
        <v>81</v>
      </c>
      <c r="M1003" t="s">
        <v>82</v>
      </c>
      <c r="R1003" t="s">
        <v>5836</v>
      </c>
      <c r="W1003" t="s">
        <v>5837</v>
      </c>
      <c r="X1003" t="s">
        <v>4560</v>
      </c>
      <c r="Y1003" t="s">
        <v>91</v>
      </c>
      <c r="Z1003" t="s">
        <v>74</v>
      </c>
      <c r="AA1003" t="str">
        <f>"10065-4870"</f>
        <v>10065-4870</v>
      </c>
      <c r="AB1003" t="s">
        <v>75</v>
      </c>
      <c r="AC1003" t="s">
        <v>76</v>
      </c>
      <c r="AD1003" t="s">
        <v>73</v>
      </c>
      <c r="AE1003" t="s">
        <v>77</v>
      </c>
      <c r="AF1003" t="s">
        <v>2398</v>
      </c>
      <c r="AG1003" t="s">
        <v>78</v>
      </c>
    </row>
    <row r="1004" spans="1:33" hidden="1" x14ac:dyDescent="0.25">
      <c r="A1004" t="str">
        <f>"1003902024"</f>
        <v>1003902024</v>
      </c>
      <c r="B1004" t="str">
        <f>"01768363"</f>
        <v>01768363</v>
      </c>
      <c r="C1004" t="s">
        <v>5838</v>
      </c>
      <c r="D1004" t="s">
        <v>5839</v>
      </c>
      <c r="E1004" t="s">
        <v>5840</v>
      </c>
      <c r="G1004" t="s">
        <v>2224</v>
      </c>
      <c r="H1004" t="s">
        <v>2225</v>
      </c>
      <c r="J1004" t="s">
        <v>2226</v>
      </c>
      <c r="L1004" t="s">
        <v>88</v>
      </c>
      <c r="M1004" t="s">
        <v>82</v>
      </c>
      <c r="R1004" t="s">
        <v>5841</v>
      </c>
      <c r="W1004" t="s">
        <v>5840</v>
      </c>
      <c r="X1004" t="s">
        <v>167</v>
      </c>
      <c r="Y1004" t="s">
        <v>91</v>
      </c>
      <c r="Z1004" t="s">
        <v>74</v>
      </c>
      <c r="AA1004" t="str">
        <f>"10032-3720"</f>
        <v>10032-3720</v>
      </c>
      <c r="AB1004" t="s">
        <v>75</v>
      </c>
      <c r="AC1004" t="s">
        <v>76</v>
      </c>
      <c r="AD1004" t="s">
        <v>73</v>
      </c>
      <c r="AE1004" t="s">
        <v>77</v>
      </c>
      <c r="AF1004" t="s">
        <v>2254</v>
      </c>
      <c r="AG1004" t="s">
        <v>78</v>
      </c>
    </row>
    <row r="1005" spans="1:33" hidden="1" x14ac:dyDescent="0.25">
      <c r="A1005" t="str">
        <f>"1154429686"</f>
        <v>1154429686</v>
      </c>
      <c r="B1005" t="str">
        <f>"02862980"</f>
        <v>02862980</v>
      </c>
      <c r="C1005" t="s">
        <v>5842</v>
      </c>
      <c r="D1005" t="s">
        <v>5843</v>
      </c>
      <c r="E1005" t="s">
        <v>5844</v>
      </c>
      <c r="G1005" t="s">
        <v>2224</v>
      </c>
      <c r="H1005" t="s">
        <v>2225</v>
      </c>
      <c r="J1005" t="s">
        <v>2226</v>
      </c>
      <c r="L1005" t="s">
        <v>88</v>
      </c>
      <c r="M1005" t="s">
        <v>73</v>
      </c>
      <c r="R1005" t="s">
        <v>5844</v>
      </c>
      <c r="W1005" t="s">
        <v>5844</v>
      </c>
      <c r="X1005" t="s">
        <v>272</v>
      </c>
      <c r="Y1005" t="s">
        <v>91</v>
      </c>
      <c r="Z1005" t="s">
        <v>74</v>
      </c>
      <c r="AA1005" t="str">
        <f>"10038-2612"</f>
        <v>10038-2612</v>
      </c>
      <c r="AB1005" t="s">
        <v>75</v>
      </c>
      <c r="AC1005" t="s">
        <v>76</v>
      </c>
      <c r="AD1005" t="s">
        <v>73</v>
      </c>
      <c r="AE1005" t="s">
        <v>77</v>
      </c>
      <c r="AF1005" t="s">
        <v>2234</v>
      </c>
      <c r="AG1005" t="s">
        <v>78</v>
      </c>
    </row>
    <row r="1006" spans="1:33" hidden="1" x14ac:dyDescent="0.25">
      <c r="A1006" t="str">
        <f>"1609054956"</f>
        <v>1609054956</v>
      </c>
      <c r="B1006" t="str">
        <f>"03041210"</f>
        <v>03041210</v>
      </c>
      <c r="C1006" t="s">
        <v>5845</v>
      </c>
      <c r="D1006" t="s">
        <v>5846</v>
      </c>
      <c r="E1006" t="s">
        <v>5847</v>
      </c>
      <c r="G1006" t="s">
        <v>2224</v>
      </c>
      <c r="H1006" t="s">
        <v>2225</v>
      </c>
      <c r="J1006" t="s">
        <v>2226</v>
      </c>
      <c r="L1006" t="s">
        <v>80</v>
      </c>
      <c r="M1006" t="s">
        <v>73</v>
      </c>
      <c r="R1006" t="s">
        <v>5847</v>
      </c>
      <c r="W1006" t="s">
        <v>5848</v>
      </c>
      <c r="X1006" t="s">
        <v>170</v>
      </c>
      <c r="Y1006" t="s">
        <v>91</v>
      </c>
      <c r="Z1006" t="s">
        <v>74</v>
      </c>
      <c r="AA1006" t="str">
        <f>"10065-4870"</f>
        <v>10065-4870</v>
      </c>
      <c r="AB1006" t="s">
        <v>75</v>
      </c>
      <c r="AC1006" t="s">
        <v>76</v>
      </c>
      <c r="AD1006" t="s">
        <v>73</v>
      </c>
      <c r="AE1006" t="s">
        <v>77</v>
      </c>
      <c r="AF1006" t="s">
        <v>2242</v>
      </c>
      <c r="AG1006" t="s">
        <v>78</v>
      </c>
    </row>
    <row r="1007" spans="1:33" hidden="1" x14ac:dyDescent="0.25">
      <c r="A1007" t="str">
        <f>"1720175896"</f>
        <v>1720175896</v>
      </c>
      <c r="B1007" t="str">
        <f>"02154281"</f>
        <v>02154281</v>
      </c>
      <c r="C1007" t="s">
        <v>5849</v>
      </c>
      <c r="D1007" t="s">
        <v>5850</v>
      </c>
      <c r="E1007" t="s">
        <v>5851</v>
      </c>
      <c r="G1007" t="s">
        <v>2224</v>
      </c>
      <c r="H1007" t="s">
        <v>2225</v>
      </c>
      <c r="J1007" t="s">
        <v>2226</v>
      </c>
      <c r="L1007" t="s">
        <v>88</v>
      </c>
      <c r="M1007" t="s">
        <v>73</v>
      </c>
      <c r="R1007" t="s">
        <v>5852</v>
      </c>
      <c r="W1007" t="s">
        <v>5851</v>
      </c>
      <c r="X1007" t="s">
        <v>5853</v>
      </c>
      <c r="Y1007" t="s">
        <v>91</v>
      </c>
      <c r="Z1007" t="s">
        <v>74</v>
      </c>
      <c r="AA1007" t="str">
        <f>"10075-2304"</f>
        <v>10075-2304</v>
      </c>
      <c r="AB1007" t="s">
        <v>75</v>
      </c>
      <c r="AC1007" t="s">
        <v>76</v>
      </c>
      <c r="AD1007" t="s">
        <v>73</v>
      </c>
      <c r="AE1007" t="s">
        <v>77</v>
      </c>
      <c r="AF1007" t="s">
        <v>2242</v>
      </c>
      <c r="AG1007" t="s">
        <v>78</v>
      </c>
    </row>
    <row r="1008" spans="1:33" hidden="1" x14ac:dyDescent="0.25">
      <c r="A1008" t="str">
        <f>"1811090194"</f>
        <v>1811090194</v>
      </c>
      <c r="B1008" t="str">
        <f>"02727071"</f>
        <v>02727071</v>
      </c>
      <c r="C1008" t="s">
        <v>5854</v>
      </c>
      <c r="D1008" t="s">
        <v>5855</v>
      </c>
      <c r="E1008" t="s">
        <v>5856</v>
      </c>
      <c r="G1008" t="s">
        <v>2224</v>
      </c>
      <c r="H1008" t="s">
        <v>2225</v>
      </c>
      <c r="J1008" t="s">
        <v>2226</v>
      </c>
      <c r="L1008" t="s">
        <v>88</v>
      </c>
      <c r="M1008" t="s">
        <v>82</v>
      </c>
      <c r="R1008" t="s">
        <v>5857</v>
      </c>
      <c r="W1008" t="s">
        <v>5858</v>
      </c>
      <c r="X1008" t="s">
        <v>2115</v>
      </c>
      <c r="Y1008" t="s">
        <v>91</v>
      </c>
      <c r="Z1008" t="s">
        <v>74</v>
      </c>
      <c r="AA1008" t="str">
        <f>"10032-7104"</f>
        <v>10032-7104</v>
      </c>
      <c r="AB1008" t="s">
        <v>75</v>
      </c>
      <c r="AC1008" t="s">
        <v>76</v>
      </c>
      <c r="AD1008" t="s">
        <v>73</v>
      </c>
      <c r="AE1008" t="s">
        <v>77</v>
      </c>
      <c r="AF1008" t="s">
        <v>2228</v>
      </c>
      <c r="AG1008" t="s">
        <v>78</v>
      </c>
    </row>
    <row r="1009" spans="1:33" hidden="1" x14ac:dyDescent="0.25">
      <c r="A1009" t="str">
        <f>"1356468557"</f>
        <v>1356468557</v>
      </c>
      <c r="B1009" t="str">
        <f>"03313408"</f>
        <v>03313408</v>
      </c>
      <c r="C1009" t="s">
        <v>5859</v>
      </c>
      <c r="D1009" t="s">
        <v>5860</v>
      </c>
      <c r="E1009" t="s">
        <v>5861</v>
      </c>
      <c r="G1009" t="s">
        <v>2224</v>
      </c>
      <c r="H1009" t="s">
        <v>2225</v>
      </c>
      <c r="J1009" t="s">
        <v>2226</v>
      </c>
      <c r="L1009" t="s">
        <v>72</v>
      </c>
      <c r="M1009" t="s">
        <v>73</v>
      </c>
      <c r="R1009" t="s">
        <v>5862</v>
      </c>
      <c r="W1009" t="s">
        <v>5861</v>
      </c>
      <c r="X1009" t="s">
        <v>1784</v>
      </c>
      <c r="Y1009" t="s">
        <v>91</v>
      </c>
      <c r="Z1009" t="s">
        <v>74</v>
      </c>
      <c r="AA1009" t="str">
        <f>"10032-3724"</f>
        <v>10032-3724</v>
      </c>
      <c r="AB1009" t="s">
        <v>113</v>
      </c>
      <c r="AC1009" t="s">
        <v>76</v>
      </c>
      <c r="AD1009" t="s">
        <v>73</v>
      </c>
      <c r="AE1009" t="s">
        <v>77</v>
      </c>
      <c r="AF1009" t="s">
        <v>2254</v>
      </c>
      <c r="AG1009" t="s">
        <v>78</v>
      </c>
    </row>
    <row r="1010" spans="1:33" hidden="1" x14ac:dyDescent="0.25">
      <c r="A1010" t="str">
        <f>"1568429157"</f>
        <v>1568429157</v>
      </c>
      <c r="B1010" t="str">
        <f>"02490155"</f>
        <v>02490155</v>
      </c>
      <c r="C1010" t="s">
        <v>5863</v>
      </c>
      <c r="D1010" t="s">
        <v>5864</v>
      </c>
      <c r="E1010" t="s">
        <v>5865</v>
      </c>
      <c r="G1010" t="s">
        <v>2224</v>
      </c>
      <c r="H1010" t="s">
        <v>2225</v>
      </c>
      <c r="J1010" t="s">
        <v>2226</v>
      </c>
      <c r="L1010" t="s">
        <v>80</v>
      </c>
      <c r="M1010" t="s">
        <v>73</v>
      </c>
      <c r="R1010" t="s">
        <v>5866</v>
      </c>
      <c r="W1010" t="s">
        <v>5865</v>
      </c>
      <c r="X1010" t="s">
        <v>5867</v>
      </c>
      <c r="Y1010" t="s">
        <v>91</v>
      </c>
      <c r="Z1010" t="s">
        <v>74</v>
      </c>
      <c r="AA1010" t="str">
        <f>"10003-3314"</f>
        <v>10003-3314</v>
      </c>
      <c r="AB1010" t="s">
        <v>75</v>
      </c>
      <c r="AC1010" t="s">
        <v>76</v>
      </c>
      <c r="AD1010" t="s">
        <v>73</v>
      </c>
      <c r="AE1010" t="s">
        <v>77</v>
      </c>
      <c r="AF1010" t="s">
        <v>2228</v>
      </c>
      <c r="AG1010" t="s">
        <v>78</v>
      </c>
    </row>
    <row r="1011" spans="1:33" hidden="1" x14ac:dyDescent="0.25">
      <c r="A1011" t="str">
        <f>"1376538025"</f>
        <v>1376538025</v>
      </c>
      <c r="B1011" t="str">
        <f>"02667641"</f>
        <v>02667641</v>
      </c>
      <c r="C1011" t="s">
        <v>5868</v>
      </c>
      <c r="D1011" t="s">
        <v>5869</v>
      </c>
      <c r="E1011" t="s">
        <v>5870</v>
      </c>
      <c r="G1011" t="s">
        <v>282</v>
      </c>
      <c r="H1011" t="s">
        <v>248</v>
      </c>
      <c r="I1011">
        <v>2604</v>
      </c>
      <c r="J1011" t="s">
        <v>283</v>
      </c>
      <c r="L1011" t="s">
        <v>80</v>
      </c>
      <c r="M1011" t="s">
        <v>82</v>
      </c>
      <c r="R1011" t="s">
        <v>5871</v>
      </c>
      <c r="W1011" t="s">
        <v>5870</v>
      </c>
      <c r="X1011" t="s">
        <v>5872</v>
      </c>
      <c r="Y1011" t="s">
        <v>91</v>
      </c>
      <c r="Z1011" t="s">
        <v>74</v>
      </c>
      <c r="AA1011" t="str">
        <f>"10013-5041"</f>
        <v>10013-5041</v>
      </c>
      <c r="AB1011" t="s">
        <v>75</v>
      </c>
      <c r="AC1011" t="s">
        <v>76</v>
      </c>
      <c r="AD1011" t="s">
        <v>73</v>
      </c>
      <c r="AE1011" t="s">
        <v>77</v>
      </c>
      <c r="AF1011" t="s">
        <v>2319</v>
      </c>
      <c r="AG1011" t="s">
        <v>78</v>
      </c>
    </row>
    <row r="1012" spans="1:33" hidden="1" x14ac:dyDescent="0.25">
      <c r="A1012" t="str">
        <f>"1285807628"</f>
        <v>1285807628</v>
      </c>
      <c r="B1012" t="str">
        <f>"02965704"</f>
        <v>02965704</v>
      </c>
      <c r="C1012" t="s">
        <v>5873</v>
      </c>
      <c r="D1012" t="s">
        <v>5874</v>
      </c>
      <c r="E1012" t="s">
        <v>5875</v>
      </c>
      <c r="G1012" t="s">
        <v>2224</v>
      </c>
      <c r="H1012" t="s">
        <v>2225</v>
      </c>
      <c r="J1012" t="s">
        <v>2226</v>
      </c>
      <c r="L1012" t="s">
        <v>81</v>
      </c>
      <c r="M1012" t="s">
        <v>73</v>
      </c>
      <c r="R1012" t="s">
        <v>5876</v>
      </c>
      <c r="W1012" t="s">
        <v>5875</v>
      </c>
      <c r="X1012" t="s">
        <v>5877</v>
      </c>
      <c r="Y1012" t="s">
        <v>91</v>
      </c>
      <c r="Z1012" t="s">
        <v>74</v>
      </c>
      <c r="AA1012" t="str">
        <f>"10011-1913"</f>
        <v>10011-1913</v>
      </c>
      <c r="AB1012" t="s">
        <v>75</v>
      </c>
      <c r="AC1012" t="s">
        <v>76</v>
      </c>
      <c r="AD1012" t="s">
        <v>73</v>
      </c>
      <c r="AE1012" t="s">
        <v>77</v>
      </c>
      <c r="AF1012" t="s">
        <v>2242</v>
      </c>
      <c r="AG1012" t="s">
        <v>78</v>
      </c>
    </row>
    <row r="1013" spans="1:33" hidden="1" x14ac:dyDescent="0.25">
      <c r="A1013" t="str">
        <f>"1295713634"</f>
        <v>1295713634</v>
      </c>
      <c r="B1013" t="str">
        <f>"00671485"</f>
        <v>00671485</v>
      </c>
      <c r="C1013" t="s">
        <v>5878</v>
      </c>
      <c r="D1013" t="s">
        <v>5879</v>
      </c>
      <c r="E1013" t="s">
        <v>5880</v>
      </c>
      <c r="G1013" t="s">
        <v>2224</v>
      </c>
      <c r="H1013" t="s">
        <v>2225</v>
      </c>
      <c r="J1013" t="s">
        <v>2226</v>
      </c>
      <c r="L1013" t="s">
        <v>81</v>
      </c>
      <c r="M1013" t="s">
        <v>82</v>
      </c>
      <c r="R1013" t="s">
        <v>5881</v>
      </c>
      <c r="W1013" t="s">
        <v>5880</v>
      </c>
      <c r="Y1013" t="s">
        <v>91</v>
      </c>
      <c r="Z1013" t="s">
        <v>74</v>
      </c>
      <c r="AA1013" t="str">
        <f>"10032-1559"</f>
        <v>10032-1559</v>
      </c>
      <c r="AB1013" t="s">
        <v>75</v>
      </c>
      <c r="AC1013" t="s">
        <v>76</v>
      </c>
      <c r="AD1013" t="s">
        <v>73</v>
      </c>
      <c r="AE1013" t="s">
        <v>77</v>
      </c>
      <c r="AF1013" t="s">
        <v>2228</v>
      </c>
      <c r="AG1013" t="s">
        <v>78</v>
      </c>
    </row>
    <row r="1014" spans="1:33" hidden="1" x14ac:dyDescent="0.25">
      <c r="A1014" t="str">
        <f>"1851439335"</f>
        <v>1851439335</v>
      </c>
      <c r="B1014" t="str">
        <f>"00571004"</f>
        <v>00571004</v>
      </c>
      <c r="C1014" t="s">
        <v>5882</v>
      </c>
      <c r="D1014" t="s">
        <v>1260</v>
      </c>
      <c r="E1014" t="s">
        <v>1261</v>
      </c>
      <c r="G1014" t="s">
        <v>2224</v>
      </c>
      <c r="H1014" t="s">
        <v>2225</v>
      </c>
      <c r="J1014" t="s">
        <v>2226</v>
      </c>
      <c r="L1014" t="s">
        <v>72</v>
      </c>
      <c r="M1014" t="s">
        <v>73</v>
      </c>
      <c r="R1014" t="s">
        <v>1262</v>
      </c>
      <c r="W1014" t="s">
        <v>1261</v>
      </c>
      <c r="X1014" t="s">
        <v>1263</v>
      </c>
      <c r="Y1014" t="s">
        <v>1229</v>
      </c>
      <c r="Z1014" t="s">
        <v>74</v>
      </c>
      <c r="AA1014" t="str">
        <f>"10706-1523"</f>
        <v>10706-1523</v>
      </c>
      <c r="AB1014" t="s">
        <v>75</v>
      </c>
      <c r="AC1014" t="s">
        <v>76</v>
      </c>
      <c r="AD1014" t="s">
        <v>73</v>
      </c>
      <c r="AE1014" t="s">
        <v>77</v>
      </c>
      <c r="AF1014" t="s">
        <v>2228</v>
      </c>
      <c r="AG1014" t="s">
        <v>78</v>
      </c>
    </row>
    <row r="1015" spans="1:33" hidden="1" x14ac:dyDescent="0.25">
      <c r="A1015" t="str">
        <f>"1851457808"</f>
        <v>1851457808</v>
      </c>
      <c r="B1015" t="str">
        <f>"02819776"</f>
        <v>02819776</v>
      </c>
      <c r="C1015" t="s">
        <v>5883</v>
      </c>
      <c r="D1015" t="s">
        <v>5884</v>
      </c>
      <c r="E1015" t="s">
        <v>5885</v>
      </c>
      <c r="G1015" t="s">
        <v>2224</v>
      </c>
      <c r="H1015" t="s">
        <v>2225</v>
      </c>
      <c r="J1015" t="s">
        <v>2226</v>
      </c>
      <c r="L1015" t="s">
        <v>72</v>
      </c>
      <c r="M1015" t="s">
        <v>73</v>
      </c>
      <c r="R1015" t="s">
        <v>5885</v>
      </c>
      <c r="W1015" t="s">
        <v>5885</v>
      </c>
      <c r="X1015" t="s">
        <v>5886</v>
      </c>
      <c r="Y1015" t="s">
        <v>91</v>
      </c>
      <c r="Z1015" t="s">
        <v>74</v>
      </c>
      <c r="AA1015" t="str">
        <f>"10021-5608"</f>
        <v>10021-5608</v>
      </c>
      <c r="AB1015" t="s">
        <v>75</v>
      </c>
      <c r="AC1015" t="s">
        <v>76</v>
      </c>
      <c r="AD1015" t="s">
        <v>73</v>
      </c>
      <c r="AE1015" t="s">
        <v>77</v>
      </c>
      <c r="AF1015" t="s">
        <v>2398</v>
      </c>
      <c r="AG1015" t="s">
        <v>78</v>
      </c>
    </row>
    <row r="1016" spans="1:33" hidden="1" x14ac:dyDescent="0.25">
      <c r="A1016" t="str">
        <f>"1962434720"</f>
        <v>1962434720</v>
      </c>
      <c r="B1016" t="str">
        <f>"00787619"</f>
        <v>00787619</v>
      </c>
      <c r="C1016" t="s">
        <v>5887</v>
      </c>
      <c r="D1016" t="s">
        <v>5888</v>
      </c>
      <c r="E1016" t="s">
        <v>5889</v>
      </c>
      <c r="G1016" t="s">
        <v>2224</v>
      </c>
      <c r="H1016" t="s">
        <v>2225</v>
      </c>
      <c r="J1016" t="s">
        <v>2226</v>
      </c>
      <c r="L1016" t="s">
        <v>72</v>
      </c>
      <c r="M1016" t="s">
        <v>73</v>
      </c>
      <c r="R1016" t="s">
        <v>5890</v>
      </c>
      <c r="W1016" t="s">
        <v>5889</v>
      </c>
      <c r="X1016" t="s">
        <v>5891</v>
      </c>
      <c r="Y1016" t="s">
        <v>91</v>
      </c>
      <c r="Z1016" t="s">
        <v>74</v>
      </c>
      <c r="AA1016" t="str">
        <f>"10032-3720"</f>
        <v>10032-3720</v>
      </c>
      <c r="AB1016" t="s">
        <v>75</v>
      </c>
      <c r="AC1016" t="s">
        <v>76</v>
      </c>
      <c r="AD1016" t="s">
        <v>73</v>
      </c>
      <c r="AE1016" t="s">
        <v>77</v>
      </c>
      <c r="AF1016" t="s">
        <v>2228</v>
      </c>
      <c r="AG1016" t="s">
        <v>78</v>
      </c>
    </row>
    <row r="1017" spans="1:33" hidden="1" x14ac:dyDescent="0.25">
      <c r="A1017" t="str">
        <f>"1962479287"</f>
        <v>1962479287</v>
      </c>
      <c r="B1017" t="str">
        <f>"01114543"</f>
        <v>01114543</v>
      </c>
      <c r="C1017" t="s">
        <v>5892</v>
      </c>
      <c r="D1017" t="s">
        <v>1950</v>
      </c>
      <c r="E1017" t="s">
        <v>1951</v>
      </c>
      <c r="G1017" t="s">
        <v>2224</v>
      </c>
      <c r="H1017" t="s">
        <v>2225</v>
      </c>
      <c r="J1017" t="s">
        <v>2226</v>
      </c>
      <c r="L1017" t="s">
        <v>80</v>
      </c>
      <c r="M1017" t="s">
        <v>73</v>
      </c>
      <c r="R1017" t="s">
        <v>1952</v>
      </c>
      <c r="W1017" t="s">
        <v>1951</v>
      </c>
      <c r="Y1017" t="s">
        <v>91</v>
      </c>
      <c r="Z1017" t="s">
        <v>74</v>
      </c>
      <c r="AA1017" t="str">
        <f>"10032-3724"</f>
        <v>10032-3724</v>
      </c>
      <c r="AB1017" t="s">
        <v>75</v>
      </c>
      <c r="AC1017" t="s">
        <v>76</v>
      </c>
      <c r="AD1017" t="s">
        <v>73</v>
      </c>
      <c r="AE1017" t="s">
        <v>77</v>
      </c>
      <c r="AF1017" t="s">
        <v>2228</v>
      </c>
      <c r="AG1017" t="s">
        <v>78</v>
      </c>
    </row>
    <row r="1018" spans="1:33" hidden="1" x14ac:dyDescent="0.25">
      <c r="A1018" t="str">
        <f>"1174511000"</f>
        <v>1174511000</v>
      </c>
      <c r="B1018" t="str">
        <f>"02404566"</f>
        <v>02404566</v>
      </c>
      <c r="C1018" t="s">
        <v>5893</v>
      </c>
      <c r="D1018" t="s">
        <v>5894</v>
      </c>
      <c r="E1018" t="s">
        <v>5895</v>
      </c>
      <c r="G1018" t="s">
        <v>282</v>
      </c>
      <c r="H1018" t="s">
        <v>248</v>
      </c>
      <c r="I1018">
        <v>2604</v>
      </c>
      <c r="J1018" t="s">
        <v>283</v>
      </c>
      <c r="L1018" t="s">
        <v>81</v>
      </c>
      <c r="M1018" t="s">
        <v>82</v>
      </c>
      <c r="R1018" t="s">
        <v>5895</v>
      </c>
      <c r="W1018" t="s">
        <v>5896</v>
      </c>
      <c r="X1018" t="s">
        <v>2045</v>
      </c>
      <c r="Y1018" t="s">
        <v>91</v>
      </c>
      <c r="Z1018" t="s">
        <v>74</v>
      </c>
      <c r="AA1018" t="str">
        <f>"10013-3599"</f>
        <v>10013-3599</v>
      </c>
      <c r="AB1018" t="s">
        <v>75</v>
      </c>
      <c r="AC1018" t="s">
        <v>76</v>
      </c>
      <c r="AD1018" t="s">
        <v>73</v>
      </c>
      <c r="AE1018" t="s">
        <v>77</v>
      </c>
      <c r="AF1018" t="s">
        <v>2319</v>
      </c>
      <c r="AG1018" t="s">
        <v>78</v>
      </c>
    </row>
    <row r="1019" spans="1:33" hidden="1" x14ac:dyDescent="0.25">
      <c r="A1019" t="str">
        <f>"1649316845"</f>
        <v>1649316845</v>
      </c>
      <c r="B1019" t="str">
        <f>"03223443"</f>
        <v>03223443</v>
      </c>
      <c r="C1019" t="s">
        <v>5897</v>
      </c>
      <c r="D1019" t="s">
        <v>5898</v>
      </c>
      <c r="E1019" t="s">
        <v>5899</v>
      </c>
      <c r="G1019" t="s">
        <v>2224</v>
      </c>
      <c r="H1019" t="s">
        <v>2225</v>
      </c>
      <c r="J1019" t="s">
        <v>2226</v>
      </c>
      <c r="L1019" t="s">
        <v>72</v>
      </c>
      <c r="M1019" t="s">
        <v>73</v>
      </c>
      <c r="R1019" t="s">
        <v>5900</v>
      </c>
      <c r="W1019" t="s">
        <v>5899</v>
      </c>
      <c r="X1019" t="s">
        <v>5901</v>
      </c>
      <c r="Y1019" t="s">
        <v>91</v>
      </c>
      <c r="Z1019" t="s">
        <v>74</v>
      </c>
      <c r="AA1019" t="str">
        <f>"10032"</f>
        <v>10032</v>
      </c>
      <c r="AB1019" t="s">
        <v>75</v>
      </c>
      <c r="AC1019" t="s">
        <v>76</v>
      </c>
      <c r="AD1019" t="s">
        <v>73</v>
      </c>
      <c r="AE1019" t="s">
        <v>77</v>
      </c>
      <c r="AF1019" t="s">
        <v>2228</v>
      </c>
      <c r="AG1019" t="s">
        <v>78</v>
      </c>
    </row>
    <row r="1020" spans="1:33" hidden="1" x14ac:dyDescent="0.25">
      <c r="A1020" t="str">
        <f>"1821081027"</f>
        <v>1821081027</v>
      </c>
      <c r="B1020" t="str">
        <f>"00806235"</f>
        <v>00806235</v>
      </c>
      <c r="C1020" t="s">
        <v>5902</v>
      </c>
      <c r="D1020" t="s">
        <v>1471</v>
      </c>
      <c r="E1020" t="s">
        <v>1472</v>
      </c>
      <c r="G1020" t="s">
        <v>2224</v>
      </c>
      <c r="H1020" t="s">
        <v>2225</v>
      </c>
      <c r="J1020" t="s">
        <v>2226</v>
      </c>
      <c r="L1020" t="s">
        <v>80</v>
      </c>
      <c r="M1020" t="s">
        <v>73</v>
      </c>
      <c r="R1020" t="s">
        <v>1473</v>
      </c>
      <c r="W1020" t="s">
        <v>1472</v>
      </c>
      <c r="X1020" t="s">
        <v>1248</v>
      </c>
      <c r="Y1020" t="s">
        <v>118</v>
      </c>
      <c r="Z1020" t="s">
        <v>74</v>
      </c>
      <c r="AA1020" t="str">
        <f>"10465-2038"</f>
        <v>10465-2038</v>
      </c>
      <c r="AB1020" t="s">
        <v>75</v>
      </c>
      <c r="AC1020" t="s">
        <v>76</v>
      </c>
      <c r="AD1020" t="s">
        <v>73</v>
      </c>
      <c r="AE1020" t="s">
        <v>77</v>
      </c>
      <c r="AF1020" t="s">
        <v>2228</v>
      </c>
      <c r="AG1020" t="s">
        <v>78</v>
      </c>
    </row>
    <row r="1021" spans="1:33" hidden="1" x14ac:dyDescent="0.25">
      <c r="A1021" t="str">
        <f>"1912145426"</f>
        <v>1912145426</v>
      </c>
      <c r="C1021" t="s">
        <v>4585</v>
      </c>
      <c r="K1021" t="s">
        <v>36</v>
      </c>
      <c r="L1021" t="s">
        <v>96</v>
      </c>
      <c r="M1021" t="s">
        <v>73</v>
      </c>
      <c r="R1021" t="s">
        <v>4585</v>
      </c>
      <c r="S1021" t="s">
        <v>5903</v>
      </c>
      <c r="T1021" t="s">
        <v>91</v>
      </c>
      <c r="U1021" t="s">
        <v>74</v>
      </c>
      <c r="V1021" t="str">
        <f>"100323720"</f>
        <v>100323720</v>
      </c>
      <c r="AC1021" t="s">
        <v>76</v>
      </c>
      <c r="AD1021" t="s">
        <v>73</v>
      </c>
      <c r="AE1021" t="s">
        <v>97</v>
      </c>
      <c r="AG1021" t="s">
        <v>78</v>
      </c>
    </row>
    <row r="1022" spans="1:33" hidden="1" x14ac:dyDescent="0.25">
      <c r="A1022" t="str">
        <f>"1295175230"</f>
        <v>1295175230</v>
      </c>
      <c r="B1022" t="str">
        <f>"03918081"</f>
        <v>03918081</v>
      </c>
      <c r="C1022" t="s">
        <v>5904</v>
      </c>
      <c r="D1022" t="s">
        <v>5905</v>
      </c>
      <c r="E1022" t="s">
        <v>5906</v>
      </c>
      <c r="G1022" t="s">
        <v>2224</v>
      </c>
      <c r="H1022" t="s">
        <v>2225</v>
      </c>
      <c r="J1022" t="s">
        <v>2226</v>
      </c>
      <c r="L1022" t="s">
        <v>72</v>
      </c>
      <c r="M1022" t="s">
        <v>73</v>
      </c>
      <c r="R1022" t="s">
        <v>5906</v>
      </c>
      <c r="W1022" t="s">
        <v>5907</v>
      </c>
      <c r="X1022" t="s">
        <v>170</v>
      </c>
      <c r="Y1022" t="s">
        <v>91</v>
      </c>
      <c r="Z1022" t="s">
        <v>74</v>
      </c>
      <c r="AA1022" t="str">
        <f>"10065-4870"</f>
        <v>10065-4870</v>
      </c>
      <c r="AB1022" t="s">
        <v>75</v>
      </c>
      <c r="AC1022" t="s">
        <v>76</v>
      </c>
      <c r="AD1022" t="s">
        <v>73</v>
      </c>
      <c r="AE1022" t="s">
        <v>77</v>
      </c>
      <c r="AF1022" t="s">
        <v>2242</v>
      </c>
      <c r="AG1022" t="s">
        <v>78</v>
      </c>
    </row>
    <row r="1023" spans="1:33" hidden="1" x14ac:dyDescent="0.25">
      <c r="A1023" t="str">
        <f>"1538450325"</f>
        <v>1538450325</v>
      </c>
      <c r="C1023" t="s">
        <v>5908</v>
      </c>
      <c r="G1023" t="s">
        <v>2224</v>
      </c>
      <c r="H1023" t="s">
        <v>2312</v>
      </c>
      <c r="J1023" t="s">
        <v>2226</v>
      </c>
      <c r="K1023" t="s">
        <v>171</v>
      </c>
      <c r="L1023" t="s">
        <v>96</v>
      </c>
      <c r="M1023" t="s">
        <v>73</v>
      </c>
      <c r="R1023" t="s">
        <v>5909</v>
      </c>
      <c r="S1023" t="s">
        <v>5910</v>
      </c>
      <c r="T1023" t="s">
        <v>1189</v>
      </c>
      <c r="U1023" t="s">
        <v>1190</v>
      </c>
      <c r="V1023" t="str">
        <f>"841320002"</f>
        <v>841320002</v>
      </c>
      <c r="AC1023" t="s">
        <v>76</v>
      </c>
      <c r="AD1023" t="s">
        <v>73</v>
      </c>
      <c r="AE1023" t="s">
        <v>97</v>
      </c>
      <c r="AF1023" t="s">
        <v>2242</v>
      </c>
      <c r="AG1023" t="s">
        <v>78</v>
      </c>
    </row>
    <row r="1024" spans="1:33" hidden="1" x14ac:dyDescent="0.25">
      <c r="A1024" t="str">
        <f>"1154418259"</f>
        <v>1154418259</v>
      </c>
      <c r="B1024" t="str">
        <f>"02682479"</f>
        <v>02682479</v>
      </c>
      <c r="C1024" t="s">
        <v>5911</v>
      </c>
      <c r="D1024" t="s">
        <v>5912</v>
      </c>
      <c r="E1024" t="s">
        <v>5913</v>
      </c>
      <c r="G1024" t="s">
        <v>2224</v>
      </c>
      <c r="H1024" t="s">
        <v>2225</v>
      </c>
      <c r="J1024" t="s">
        <v>2226</v>
      </c>
      <c r="L1024" t="s">
        <v>81</v>
      </c>
      <c r="M1024" t="s">
        <v>82</v>
      </c>
      <c r="R1024" t="s">
        <v>5914</v>
      </c>
      <c r="W1024" t="s">
        <v>5913</v>
      </c>
      <c r="X1024" t="s">
        <v>5915</v>
      </c>
      <c r="Y1024" t="s">
        <v>91</v>
      </c>
      <c r="Z1024" t="s">
        <v>74</v>
      </c>
      <c r="AA1024" t="str">
        <f>"10021"</f>
        <v>10021</v>
      </c>
      <c r="AB1024" t="s">
        <v>75</v>
      </c>
      <c r="AC1024" t="s">
        <v>76</v>
      </c>
      <c r="AD1024" t="s">
        <v>73</v>
      </c>
      <c r="AE1024" t="s">
        <v>77</v>
      </c>
      <c r="AF1024" t="s">
        <v>2398</v>
      </c>
      <c r="AG1024" t="s">
        <v>78</v>
      </c>
    </row>
    <row r="1025" spans="1:33" hidden="1" x14ac:dyDescent="0.25">
      <c r="A1025" t="str">
        <f>"1215191887"</f>
        <v>1215191887</v>
      </c>
      <c r="B1025" t="str">
        <f>"03347353"</f>
        <v>03347353</v>
      </c>
      <c r="C1025" t="s">
        <v>5916</v>
      </c>
      <c r="D1025" t="s">
        <v>5917</v>
      </c>
      <c r="E1025" t="s">
        <v>5918</v>
      </c>
      <c r="G1025" t="s">
        <v>2224</v>
      </c>
      <c r="H1025" t="s">
        <v>2225</v>
      </c>
      <c r="J1025" t="s">
        <v>2226</v>
      </c>
      <c r="L1025" t="s">
        <v>72</v>
      </c>
      <c r="M1025" t="s">
        <v>73</v>
      </c>
      <c r="R1025" t="s">
        <v>5919</v>
      </c>
      <c r="W1025" t="s">
        <v>5918</v>
      </c>
      <c r="X1025" t="s">
        <v>5920</v>
      </c>
      <c r="Y1025" t="s">
        <v>91</v>
      </c>
      <c r="Z1025" t="s">
        <v>74</v>
      </c>
      <c r="AA1025" t="str">
        <f>"10032-3720"</f>
        <v>10032-3720</v>
      </c>
      <c r="AB1025" t="s">
        <v>75</v>
      </c>
      <c r="AC1025" t="s">
        <v>76</v>
      </c>
      <c r="AD1025" t="s">
        <v>73</v>
      </c>
      <c r="AE1025" t="s">
        <v>77</v>
      </c>
      <c r="AF1025" t="s">
        <v>2228</v>
      </c>
      <c r="AG1025" t="s">
        <v>78</v>
      </c>
    </row>
    <row r="1026" spans="1:33" hidden="1" x14ac:dyDescent="0.25">
      <c r="A1026" t="str">
        <f>"1215193230"</f>
        <v>1215193230</v>
      </c>
      <c r="B1026" t="str">
        <f>"03921693"</f>
        <v>03921693</v>
      </c>
      <c r="C1026" t="s">
        <v>5921</v>
      </c>
      <c r="D1026" t="s">
        <v>5922</v>
      </c>
      <c r="E1026" t="s">
        <v>5923</v>
      </c>
      <c r="G1026" t="s">
        <v>2224</v>
      </c>
      <c r="H1026" t="s">
        <v>2225</v>
      </c>
      <c r="J1026" t="s">
        <v>2226</v>
      </c>
      <c r="L1026" t="s">
        <v>80</v>
      </c>
      <c r="M1026" t="s">
        <v>73</v>
      </c>
      <c r="R1026" t="s">
        <v>5924</v>
      </c>
      <c r="W1026" t="s">
        <v>5923</v>
      </c>
      <c r="X1026" t="s">
        <v>170</v>
      </c>
      <c r="Y1026" t="s">
        <v>91</v>
      </c>
      <c r="Z1026" t="s">
        <v>74</v>
      </c>
      <c r="AA1026" t="str">
        <f>"10065-4870"</f>
        <v>10065-4870</v>
      </c>
      <c r="AB1026" t="s">
        <v>75</v>
      </c>
      <c r="AC1026" t="s">
        <v>76</v>
      </c>
      <c r="AD1026" t="s">
        <v>73</v>
      </c>
      <c r="AE1026" t="s">
        <v>77</v>
      </c>
      <c r="AF1026" t="s">
        <v>2398</v>
      </c>
      <c r="AG1026" t="s">
        <v>78</v>
      </c>
    </row>
    <row r="1027" spans="1:33" hidden="1" x14ac:dyDescent="0.25">
      <c r="A1027" t="str">
        <f>"1164531828"</f>
        <v>1164531828</v>
      </c>
      <c r="B1027" t="str">
        <f>"00132494"</f>
        <v>00132494</v>
      </c>
      <c r="C1027" t="s">
        <v>5925</v>
      </c>
      <c r="D1027" t="s">
        <v>1250</v>
      </c>
      <c r="E1027" t="s">
        <v>1251</v>
      </c>
      <c r="G1027" t="s">
        <v>2224</v>
      </c>
      <c r="H1027" t="s">
        <v>3370</v>
      </c>
      <c r="J1027" t="s">
        <v>2226</v>
      </c>
      <c r="L1027" t="s">
        <v>80</v>
      </c>
      <c r="M1027" t="s">
        <v>73</v>
      </c>
      <c r="R1027" t="s">
        <v>1252</v>
      </c>
      <c r="W1027" t="s">
        <v>1251</v>
      </c>
      <c r="X1027" t="s">
        <v>1253</v>
      </c>
      <c r="Y1027" t="s">
        <v>91</v>
      </c>
      <c r="Z1027" t="s">
        <v>74</v>
      </c>
      <c r="AA1027" t="str">
        <f>"10029-6501"</f>
        <v>10029-6501</v>
      </c>
      <c r="AB1027" t="s">
        <v>75</v>
      </c>
      <c r="AC1027" t="s">
        <v>76</v>
      </c>
      <c r="AD1027" t="s">
        <v>73</v>
      </c>
      <c r="AE1027" t="s">
        <v>77</v>
      </c>
      <c r="AF1027" t="s">
        <v>2242</v>
      </c>
      <c r="AG1027" t="s">
        <v>78</v>
      </c>
    </row>
    <row r="1028" spans="1:33" hidden="1" x14ac:dyDescent="0.25">
      <c r="A1028" t="str">
        <f>"1053578997"</f>
        <v>1053578997</v>
      </c>
      <c r="B1028" t="str">
        <f>"03493294"</f>
        <v>03493294</v>
      </c>
      <c r="C1028" t="s">
        <v>5926</v>
      </c>
      <c r="D1028" t="s">
        <v>5927</v>
      </c>
      <c r="E1028" t="s">
        <v>5928</v>
      </c>
      <c r="G1028" t="s">
        <v>2224</v>
      </c>
      <c r="H1028" t="s">
        <v>5929</v>
      </c>
      <c r="J1028" t="s">
        <v>2226</v>
      </c>
      <c r="L1028" t="s">
        <v>80</v>
      </c>
      <c r="M1028" t="s">
        <v>73</v>
      </c>
      <c r="R1028" t="s">
        <v>5930</v>
      </c>
      <c r="W1028" t="s">
        <v>5928</v>
      </c>
      <c r="X1028" t="s">
        <v>5931</v>
      </c>
      <c r="Y1028" t="s">
        <v>91</v>
      </c>
      <c r="Z1028" t="s">
        <v>74</v>
      </c>
      <c r="AA1028" t="str">
        <f>"10065-4870"</f>
        <v>10065-4870</v>
      </c>
      <c r="AB1028" t="s">
        <v>75</v>
      </c>
      <c r="AC1028" t="s">
        <v>76</v>
      </c>
      <c r="AD1028" t="s">
        <v>73</v>
      </c>
      <c r="AE1028" t="s">
        <v>77</v>
      </c>
      <c r="AF1028" t="s">
        <v>2242</v>
      </c>
      <c r="AG1028" t="s">
        <v>78</v>
      </c>
    </row>
    <row r="1029" spans="1:33" hidden="1" x14ac:dyDescent="0.25">
      <c r="A1029" t="str">
        <f>"1245310739"</f>
        <v>1245310739</v>
      </c>
      <c r="B1029" t="str">
        <f>"02585275"</f>
        <v>02585275</v>
      </c>
      <c r="C1029" t="s">
        <v>5932</v>
      </c>
      <c r="D1029" t="s">
        <v>5933</v>
      </c>
      <c r="E1029" t="s">
        <v>5934</v>
      </c>
      <c r="G1029" t="s">
        <v>2224</v>
      </c>
      <c r="H1029" t="s">
        <v>5935</v>
      </c>
      <c r="J1029" t="s">
        <v>2226</v>
      </c>
      <c r="L1029" t="s">
        <v>80</v>
      </c>
      <c r="M1029" t="s">
        <v>73</v>
      </c>
      <c r="R1029" t="s">
        <v>5934</v>
      </c>
      <c r="W1029" t="s">
        <v>5934</v>
      </c>
      <c r="X1029" t="s">
        <v>5934</v>
      </c>
      <c r="Y1029" t="s">
        <v>118</v>
      </c>
      <c r="Z1029" t="s">
        <v>74</v>
      </c>
      <c r="AA1029" t="str">
        <f>"10461"</f>
        <v>10461</v>
      </c>
      <c r="AB1029" t="s">
        <v>75</v>
      </c>
      <c r="AC1029" t="s">
        <v>76</v>
      </c>
      <c r="AD1029" t="s">
        <v>73</v>
      </c>
      <c r="AE1029" t="s">
        <v>77</v>
      </c>
      <c r="AF1029" t="s">
        <v>2242</v>
      </c>
      <c r="AG1029" t="s">
        <v>78</v>
      </c>
    </row>
    <row r="1030" spans="1:33" hidden="1" x14ac:dyDescent="0.25">
      <c r="A1030" t="str">
        <f>"1346383528"</f>
        <v>1346383528</v>
      </c>
      <c r="B1030" t="str">
        <f>"02556458"</f>
        <v>02556458</v>
      </c>
      <c r="C1030" t="s">
        <v>5936</v>
      </c>
      <c r="D1030" t="s">
        <v>1993</v>
      </c>
      <c r="E1030" t="s">
        <v>1994</v>
      </c>
      <c r="L1030" t="s">
        <v>72</v>
      </c>
      <c r="M1030" t="s">
        <v>73</v>
      </c>
      <c r="R1030" t="s">
        <v>1995</v>
      </c>
      <c r="W1030" t="s">
        <v>1996</v>
      </c>
      <c r="X1030" t="s">
        <v>156</v>
      </c>
      <c r="Y1030" t="s">
        <v>91</v>
      </c>
      <c r="Z1030" t="s">
        <v>74</v>
      </c>
      <c r="AA1030" t="str">
        <f>"10025-1716"</f>
        <v>10025-1716</v>
      </c>
      <c r="AB1030" t="s">
        <v>75</v>
      </c>
      <c r="AC1030" t="s">
        <v>76</v>
      </c>
      <c r="AD1030" t="s">
        <v>73</v>
      </c>
      <c r="AE1030" t="s">
        <v>77</v>
      </c>
      <c r="AF1030" t="s">
        <v>2228</v>
      </c>
      <c r="AG1030" t="s">
        <v>78</v>
      </c>
    </row>
    <row r="1031" spans="1:33" hidden="1" x14ac:dyDescent="0.25">
      <c r="A1031" t="str">
        <f>"1992953970"</f>
        <v>1992953970</v>
      </c>
      <c r="C1031" t="s">
        <v>5937</v>
      </c>
      <c r="G1031" t="s">
        <v>2224</v>
      </c>
      <c r="H1031" t="s">
        <v>2312</v>
      </c>
      <c r="J1031" t="s">
        <v>2226</v>
      </c>
      <c r="K1031" t="s">
        <v>171</v>
      </c>
      <c r="L1031" t="s">
        <v>96</v>
      </c>
      <c r="M1031" t="s">
        <v>73</v>
      </c>
      <c r="R1031" t="s">
        <v>5938</v>
      </c>
      <c r="S1031" t="s">
        <v>1195</v>
      </c>
      <c r="T1031" t="s">
        <v>567</v>
      </c>
      <c r="U1031" t="s">
        <v>111</v>
      </c>
      <c r="V1031" t="str">
        <f>"021156110"</f>
        <v>021156110</v>
      </c>
      <c r="AC1031" t="s">
        <v>76</v>
      </c>
      <c r="AD1031" t="s">
        <v>73</v>
      </c>
      <c r="AE1031" t="s">
        <v>97</v>
      </c>
      <c r="AF1031" t="s">
        <v>2228</v>
      </c>
      <c r="AG1031" t="s">
        <v>78</v>
      </c>
    </row>
    <row r="1032" spans="1:33" hidden="1" x14ac:dyDescent="0.25">
      <c r="A1032" t="str">
        <f>"1942436597"</f>
        <v>1942436597</v>
      </c>
      <c r="B1032" t="str">
        <f>"03145833"</f>
        <v>03145833</v>
      </c>
      <c r="C1032" t="s">
        <v>5939</v>
      </c>
      <c r="D1032" t="s">
        <v>1083</v>
      </c>
      <c r="E1032" t="s">
        <v>1084</v>
      </c>
      <c r="G1032" t="s">
        <v>749</v>
      </c>
      <c r="H1032" t="s">
        <v>320</v>
      </c>
      <c r="J1032" t="s">
        <v>750</v>
      </c>
      <c r="L1032" t="s">
        <v>81</v>
      </c>
      <c r="M1032" t="s">
        <v>82</v>
      </c>
      <c r="R1032" t="s">
        <v>1085</v>
      </c>
      <c r="W1032" t="s">
        <v>1084</v>
      </c>
      <c r="X1032" t="s">
        <v>255</v>
      </c>
      <c r="Y1032" t="s">
        <v>84</v>
      </c>
      <c r="Z1032" t="s">
        <v>74</v>
      </c>
      <c r="AA1032" t="str">
        <f>"11206-5317"</f>
        <v>11206-5317</v>
      </c>
      <c r="AB1032" t="s">
        <v>75</v>
      </c>
      <c r="AC1032" t="s">
        <v>76</v>
      </c>
      <c r="AD1032" t="s">
        <v>73</v>
      </c>
      <c r="AE1032" t="s">
        <v>77</v>
      </c>
      <c r="AF1032" t="s">
        <v>2445</v>
      </c>
      <c r="AG1032" t="s">
        <v>78</v>
      </c>
    </row>
    <row r="1033" spans="1:33" hidden="1" x14ac:dyDescent="0.25">
      <c r="A1033" t="str">
        <f>"1427387448"</f>
        <v>1427387448</v>
      </c>
      <c r="B1033" t="str">
        <f>"03214019"</f>
        <v>03214019</v>
      </c>
      <c r="C1033" t="s">
        <v>5940</v>
      </c>
      <c r="D1033" t="s">
        <v>894</v>
      </c>
      <c r="E1033" t="s">
        <v>895</v>
      </c>
      <c r="G1033" t="s">
        <v>749</v>
      </c>
      <c r="H1033" t="s">
        <v>320</v>
      </c>
      <c r="J1033" t="s">
        <v>750</v>
      </c>
      <c r="L1033" t="s">
        <v>81</v>
      </c>
      <c r="M1033" t="s">
        <v>82</v>
      </c>
      <c r="R1033" t="s">
        <v>896</v>
      </c>
      <c r="W1033" t="s">
        <v>895</v>
      </c>
      <c r="X1033" t="s">
        <v>707</v>
      </c>
      <c r="Y1033" t="s">
        <v>84</v>
      </c>
      <c r="Z1033" t="s">
        <v>74</v>
      </c>
      <c r="AA1033" t="str">
        <f>"11208-3535"</f>
        <v>11208-3535</v>
      </c>
      <c r="AB1033" t="s">
        <v>75</v>
      </c>
      <c r="AC1033" t="s">
        <v>76</v>
      </c>
      <c r="AD1033" t="s">
        <v>73</v>
      </c>
      <c r="AE1033" t="s">
        <v>77</v>
      </c>
      <c r="AF1033" t="s">
        <v>2445</v>
      </c>
      <c r="AG1033" t="s">
        <v>78</v>
      </c>
    </row>
    <row r="1034" spans="1:33" hidden="1" x14ac:dyDescent="0.25">
      <c r="A1034" t="str">
        <f>"1124297122"</f>
        <v>1124297122</v>
      </c>
      <c r="B1034" t="str">
        <f>"03078177"</f>
        <v>03078177</v>
      </c>
      <c r="C1034" t="s">
        <v>5941</v>
      </c>
      <c r="D1034" t="s">
        <v>680</v>
      </c>
      <c r="E1034" t="s">
        <v>681</v>
      </c>
      <c r="G1034" t="s">
        <v>749</v>
      </c>
      <c r="H1034" t="s">
        <v>320</v>
      </c>
      <c r="J1034" t="s">
        <v>750</v>
      </c>
      <c r="L1034" t="s">
        <v>81</v>
      </c>
      <c r="M1034" t="s">
        <v>82</v>
      </c>
      <c r="R1034" t="s">
        <v>682</v>
      </c>
      <c r="W1034" t="s">
        <v>681</v>
      </c>
      <c r="X1034" t="s">
        <v>683</v>
      </c>
      <c r="Y1034" t="s">
        <v>118</v>
      </c>
      <c r="Z1034" t="s">
        <v>74</v>
      </c>
      <c r="AA1034" t="str">
        <f>"10459-3204"</f>
        <v>10459-3204</v>
      </c>
      <c r="AB1034" t="s">
        <v>75</v>
      </c>
      <c r="AC1034" t="s">
        <v>76</v>
      </c>
      <c r="AD1034" t="s">
        <v>73</v>
      </c>
      <c r="AE1034" t="s">
        <v>77</v>
      </c>
      <c r="AF1034" t="s">
        <v>2445</v>
      </c>
      <c r="AG1034" t="s">
        <v>78</v>
      </c>
    </row>
    <row r="1035" spans="1:33" hidden="1" x14ac:dyDescent="0.25">
      <c r="A1035" t="str">
        <f>"1003991480"</f>
        <v>1003991480</v>
      </c>
      <c r="B1035" t="str">
        <f>"01571911"</f>
        <v>01571911</v>
      </c>
      <c r="C1035" t="s">
        <v>5942</v>
      </c>
      <c r="D1035" t="s">
        <v>890</v>
      </c>
      <c r="E1035" t="s">
        <v>891</v>
      </c>
      <c r="G1035" t="s">
        <v>749</v>
      </c>
      <c r="H1035" t="s">
        <v>320</v>
      </c>
      <c r="J1035" t="s">
        <v>750</v>
      </c>
      <c r="L1035" t="s">
        <v>129</v>
      </c>
      <c r="M1035" t="s">
        <v>82</v>
      </c>
      <c r="R1035" t="s">
        <v>892</v>
      </c>
      <c r="W1035" t="s">
        <v>891</v>
      </c>
      <c r="X1035" t="s">
        <v>893</v>
      </c>
      <c r="Y1035" t="s">
        <v>84</v>
      </c>
      <c r="Z1035" t="s">
        <v>74</v>
      </c>
      <c r="AA1035" t="str">
        <f>"11230-1977"</f>
        <v>11230-1977</v>
      </c>
      <c r="AB1035" t="s">
        <v>75</v>
      </c>
      <c r="AC1035" t="s">
        <v>76</v>
      </c>
      <c r="AD1035" t="s">
        <v>73</v>
      </c>
      <c r="AE1035" t="s">
        <v>77</v>
      </c>
      <c r="AF1035" t="s">
        <v>2445</v>
      </c>
      <c r="AG1035" t="s">
        <v>78</v>
      </c>
    </row>
    <row r="1036" spans="1:33" hidden="1" x14ac:dyDescent="0.25">
      <c r="A1036" t="str">
        <f>"1396046918"</f>
        <v>1396046918</v>
      </c>
      <c r="B1036" t="str">
        <f>"03312883"</f>
        <v>03312883</v>
      </c>
      <c r="C1036" t="s">
        <v>2181</v>
      </c>
      <c r="D1036" t="s">
        <v>1065</v>
      </c>
      <c r="E1036" t="s">
        <v>1066</v>
      </c>
      <c r="G1036" t="s">
        <v>749</v>
      </c>
      <c r="H1036" t="s">
        <v>320</v>
      </c>
      <c r="J1036" t="s">
        <v>750</v>
      </c>
      <c r="L1036" t="s">
        <v>80</v>
      </c>
      <c r="M1036" t="s">
        <v>82</v>
      </c>
      <c r="R1036" t="s">
        <v>1067</v>
      </c>
      <c r="W1036" t="s">
        <v>1066</v>
      </c>
      <c r="X1036" t="s">
        <v>863</v>
      </c>
      <c r="Y1036" t="s">
        <v>118</v>
      </c>
      <c r="Z1036" t="s">
        <v>74</v>
      </c>
      <c r="AA1036" t="str">
        <f>"10457-4501"</f>
        <v>10457-4501</v>
      </c>
      <c r="AB1036" t="s">
        <v>75</v>
      </c>
      <c r="AC1036" t="s">
        <v>76</v>
      </c>
      <c r="AD1036" t="s">
        <v>73</v>
      </c>
      <c r="AE1036" t="s">
        <v>77</v>
      </c>
      <c r="AF1036" t="s">
        <v>2445</v>
      </c>
      <c r="AG1036" t="s">
        <v>78</v>
      </c>
    </row>
    <row r="1037" spans="1:33" hidden="1" x14ac:dyDescent="0.25">
      <c r="A1037" t="str">
        <f>"1538494448"</f>
        <v>1538494448</v>
      </c>
      <c r="B1037" t="str">
        <f>"03174256"</f>
        <v>03174256</v>
      </c>
      <c r="C1037" t="s">
        <v>5943</v>
      </c>
      <c r="D1037" t="s">
        <v>1076</v>
      </c>
      <c r="E1037" t="s">
        <v>1077</v>
      </c>
      <c r="G1037" t="s">
        <v>749</v>
      </c>
      <c r="H1037" t="s">
        <v>320</v>
      </c>
      <c r="J1037" t="s">
        <v>750</v>
      </c>
      <c r="L1037" t="s">
        <v>81</v>
      </c>
      <c r="M1037" t="s">
        <v>82</v>
      </c>
      <c r="R1037" t="s">
        <v>1077</v>
      </c>
      <c r="W1037" t="s">
        <v>1078</v>
      </c>
      <c r="X1037" t="s">
        <v>487</v>
      </c>
      <c r="Y1037" t="s">
        <v>1079</v>
      </c>
      <c r="Z1037" t="s">
        <v>74</v>
      </c>
      <c r="AA1037" t="str">
        <f>"10065-4885"</f>
        <v>10065-4885</v>
      </c>
      <c r="AB1037" t="s">
        <v>75</v>
      </c>
      <c r="AC1037" t="s">
        <v>76</v>
      </c>
      <c r="AD1037" t="s">
        <v>73</v>
      </c>
      <c r="AE1037" t="s">
        <v>77</v>
      </c>
      <c r="AF1037" t="s">
        <v>2445</v>
      </c>
      <c r="AG1037" t="s">
        <v>78</v>
      </c>
    </row>
    <row r="1038" spans="1:33" hidden="1" x14ac:dyDescent="0.25">
      <c r="A1038" t="str">
        <f>"1558379628"</f>
        <v>1558379628</v>
      </c>
      <c r="B1038" t="str">
        <f>"02586107"</f>
        <v>02586107</v>
      </c>
      <c r="C1038" t="s">
        <v>5944</v>
      </c>
      <c r="D1038" t="s">
        <v>872</v>
      </c>
      <c r="E1038" t="s">
        <v>873</v>
      </c>
      <c r="G1038" t="s">
        <v>749</v>
      </c>
      <c r="H1038" t="s">
        <v>320</v>
      </c>
      <c r="J1038" t="s">
        <v>750</v>
      </c>
      <c r="L1038" t="s">
        <v>81</v>
      </c>
      <c r="M1038" t="s">
        <v>82</v>
      </c>
      <c r="R1038" t="s">
        <v>874</v>
      </c>
      <c r="W1038" t="s">
        <v>873</v>
      </c>
      <c r="X1038" t="s">
        <v>187</v>
      </c>
      <c r="Y1038" t="s">
        <v>155</v>
      </c>
      <c r="Z1038" t="s">
        <v>74</v>
      </c>
      <c r="AA1038" t="str">
        <f>"10701-4004"</f>
        <v>10701-4004</v>
      </c>
      <c r="AB1038" t="s">
        <v>75</v>
      </c>
      <c r="AC1038" t="s">
        <v>76</v>
      </c>
      <c r="AD1038" t="s">
        <v>73</v>
      </c>
      <c r="AE1038" t="s">
        <v>77</v>
      </c>
      <c r="AF1038" t="s">
        <v>2445</v>
      </c>
      <c r="AG1038" t="s">
        <v>78</v>
      </c>
    </row>
    <row r="1039" spans="1:33" hidden="1" x14ac:dyDescent="0.25">
      <c r="A1039" t="str">
        <f>"1285853549"</f>
        <v>1285853549</v>
      </c>
      <c r="B1039" t="str">
        <f>"02230537"</f>
        <v>02230537</v>
      </c>
      <c r="C1039" t="s">
        <v>5945</v>
      </c>
      <c r="D1039" t="s">
        <v>870</v>
      </c>
      <c r="E1039" t="s">
        <v>871</v>
      </c>
      <c r="G1039" t="s">
        <v>749</v>
      </c>
      <c r="H1039" t="s">
        <v>320</v>
      </c>
      <c r="J1039" t="s">
        <v>750</v>
      </c>
      <c r="L1039" t="s">
        <v>81</v>
      </c>
      <c r="M1039" t="s">
        <v>73</v>
      </c>
      <c r="R1039" t="s">
        <v>871</v>
      </c>
      <c r="W1039" t="s">
        <v>871</v>
      </c>
      <c r="X1039" t="s">
        <v>871</v>
      </c>
      <c r="Y1039" t="s">
        <v>84</v>
      </c>
      <c r="Z1039" t="s">
        <v>74</v>
      </c>
      <c r="AA1039" t="str">
        <f>"11225-5417"</f>
        <v>11225-5417</v>
      </c>
      <c r="AB1039" t="s">
        <v>107</v>
      </c>
      <c r="AC1039" t="s">
        <v>76</v>
      </c>
      <c r="AD1039" t="s">
        <v>73</v>
      </c>
      <c r="AE1039" t="s">
        <v>77</v>
      </c>
      <c r="AF1039" t="s">
        <v>2445</v>
      </c>
      <c r="AG1039" t="s">
        <v>78</v>
      </c>
    </row>
    <row r="1040" spans="1:33" hidden="1" x14ac:dyDescent="0.25">
      <c r="A1040" t="str">
        <f>"1548675671"</f>
        <v>1548675671</v>
      </c>
      <c r="B1040" t="str">
        <f>"03915991"</f>
        <v>03915991</v>
      </c>
      <c r="C1040" t="s">
        <v>2187</v>
      </c>
      <c r="D1040" t="s">
        <v>859</v>
      </c>
      <c r="E1040" t="s">
        <v>860</v>
      </c>
      <c r="G1040" t="s">
        <v>749</v>
      </c>
      <c r="H1040" t="s">
        <v>320</v>
      </c>
      <c r="J1040" t="s">
        <v>750</v>
      </c>
      <c r="L1040" t="s">
        <v>81</v>
      </c>
      <c r="M1040" t="s">
        <v>73</v>
      </c>
      <c r="R1040" t="s">
        <v>861</v>
      </c>
      <c r="W1040" t="s">
        <v>862</v>
      </c>
      <c r="X1040" t="s">
        <v>863</v>
      </c>
      <c r="Y1040" t="s">
        <v>118</v>
      </c>
      <c r="Z1040" t="s">
        <v>74</v>
      </c>
      <c r="AA1040" t="str">
        <f>"10457-4501"</f>
        <v>10457-4501</v>
      </c>
      <c r="AB1040" t="s">
        <v>75</v>
      </c>
      <c r="AC1040" t="s">
        <v>76</v>
      </c>
      <c r="AD1040" t="s">
        <v>73</v>
      </c>
      <c r="AE1040" t="s">
        <v>77</v>
      </c>
      <c r="AF1040" t="s">
        <v>2445</v>
      </c>
      <c r="AG1040" t="s">
        <v>78</v>
      </c>
    </row>
    <row r="1041" spans="1:33" hidden="1" x14ac:dyDescent="0.25">
      <c r="A1041" t="str">
        <f>"1225125321"</f>
        <v>1225125321</v>
      </c>
      <c r="B1041" t="str">
        <f>"01497290"</f>
        <v>01497290</v>
      </c>
      <c r="C1041" t="s">
        <v>5946</v>
      </c>
      <c r="D1041" t="s">
        <v>801</v>
      </c>
      <c r="E1041" t="s">
        <v>802</v>
      </c>
      <c r="G1041" t="s">
        <v>749</v>
      </c>
      <c r="H1041" t="s">
        <v>320</v>
      </c>
      <c r="J1041" t="s">
        <v>750</v>
      </c>
      <c r="L1041" t="s">
        <v>81</v>
      </c>
      <c r="M1041" t="s">
        <v>73</v>
      </c>
      <c r="R1041" t="s">
        <v>803</v>
      </c>
      <c r="W1041" t="s">
        <v>802</v>
      </c>
      <c r="X1041" t="s">
        <v>628</v>
      </c>
      <c r="Y1041" t="s">
        <v>91</v>
      </c>
      <c r="Z1041" t="s">
        <v>74</v>
      </c>
      <c r="AA1041" t="str">
        <f>"10021-4872"</f>
        <v>10021-4872</v>
      </c>
      <c r="AB1041" t="s">
        <v>75</v>
      </c>
      <c r="AC1041" t="s">
        <v>76</v>
      </c>
      <c r="AD1041" t="s">
        <v>73</v>
      </c>
      <c r="AE1041" t="s">
        <v>77</v>
      </c>
      <c r="AF1041" t="s">
        <v>2445</v>
      </c>
      <c r="AG1041" t="s">
        <v>78</v>
      </c>
    </row>
    <row r="1042" spans="1:33" hidden="1" x14ac:dyDescent="0.25">
      <c r="A1042" t="str">
        <f>"1578648770"</f>
        <v>1578648770</v>
      </c>
      <c r="B1042" t="str">
        <f>"02583131"</f>
        <v>02583131</v>
      </c>
      <c r="C1042" t="s">
        <v>5947</v>
      </c>
      <c r="D1042" t="s">
        <v>649</v>
      </c>
      <c r="E1042" t="s">
        <v>650</v>
      </c>
      <c r="G1042" t="s">
        <v>749</v>
      </c>
      <c r="H1042" t="s">
        <v>320</v>
      </c>
      <c r="J1042" t="s">
        <v>750</v>
      </c>
      <c r="L1042" t="s">
        <v>81</v>
      </c>
      <c r="M1042" t="s">
        <v>82</v>
      </c>
      <c r="R1042" t="s">
        <v>650</v>
      </c>
      <c r="W1042" t="s">
        <v>651</v>
      </c>
      <c r="X1042" t="s">
        <v>652</v>
      </c>
      <c r="Y1042" t="s">
        <v>91</v>
      </c>
      <c r="Z1042" t="s">
        <v>74</v>
      </c>
      <c r="AA1042" t="str">
        <f>"10002-2301"</f>
        <v>10002-2301</v>
      </c>
      <c r="AB1042" t="s">
        <v>75</v>
      </c>
      <c r="AC1042" t="s">
        <v>76</v>
      </c>
      <c r="AD1042" t="s">
        <v>73</v>
      </c>
      <c r="AE1042" t="s">
        <v>77</v>
      </c>
      <c r="AF1042" t="s">
        <v>2445</v>
      </c>
      <c r="AG1042" t="s">
        <v>78</v>
      </c>
    </row>
    <row r="1043" spans="1:33" hidden="1" x14ac:dyDescent="0.25">
      <c r="A1043" t="str">
        <f>"1093045353"</f>
        <v>1093045353</v>
      </c>
      <c r="B1043" t="str">
        <f>"03194305"</f>
        <v>03194305</v>
      </c>
      <c r="C1043" t="s">
        <v>756</v>
      </c>
      <c r="D1043" t="s">
        <v>673</v>
      </c>
      <c r="E1043" t="s">
        <v>674</v>
      </c>
      <c r="G1043" t="s">
        <v>749</v>
      </c>
      <c r="H1043" t="s">
        <v>320</v>
      </c>
      <c r="J1043" t="s">
        <v>750</v>
      </c>
      <c r="L1043" t="s">
        <v>81</v>
      </c>
      <c r="M1043" t="s">
        <v>82</v>
      </c>
      <c r="R1043" t="s">
        <v>675</v>
      </c>
      <c r="W1043" t="s">
        <v>674</v>
      </c>
      <c r="X1043" t="s">
        <v>218</v>
      </c>
      <c r="Y1043" t="s">
        <v>84</v>
      </c>
      <c r="Z1043" t="s">
        <v>74</v>
      </c>
      <c r="AA1043" t="str">
        <f>"11201-5509"</f>
        <v>11201-5509</v>
      </c>
      <c r="AB1043" t="s">
        <v>75</v>
      </c>
      <c r="AC1043" t="s">
        <v>76</v>
      </c>
      <c r="AD1043" t="s">
        <v>73</v>
      </c>
      <c r="AE1043" t="s">
        <v>77</v>
      </c>
      <c r="AF1043" t="s">
        <v>2445</v>
      </c>
      <c r="AG1043" t="s">
        <v>78</v>
      </c>
    </row>
    <row r="1044" spans="1:33" hidden="1" x14ac:dyDescent="0.25">
      <c r="A1044" t="str">
        <f>"1790918613"</f>
        <v>1790918613</v>
      </c>
      <c r="B1044" t="str">
        <f>"03255685"</f>
        <v>03255685</v>
      </c>
      <c r="C1044" t="s">
        <v>5948</v>
      </c>
      <c r="D1044" t="s">
        <v>1060</v>
      </c>
      <c r="E1044" t="s">
        <v>1061</v>
      </c>
      <c r="G1044" t="s">
        <v>749</v>
      </c>
      <c r="H1044" t="s">
        <v>320</v>
      </c>
      <c r="J1044" t="s">
        <v>750</v>
      </c>
      <c r="L1044" t="s">
        <v>81</v>
      </c>
      <c r="M1044" t="s">
        <v>82</v>
      </c>
      <c r="R1044" t="s">
        <v>1061</v>
      </c>
      <c r="W1044" t="s">
        <v>1061</v>
      </c>
      <c r="X1044" t="s">
        <v>620</v>
      </c>
      <c r="Y1044" t="s">
        <v>91</v>
      </c>
      <c r="Z1044" t="s">
        <v>74</v>
      </c>
      <c r="AA1044" t="str">
        <f>"10002-2301"</f>
        <v>10002-2301</v>
      </c>
      <c r="AB1044" t="s">
        <v>75</v>
      </c>
      <c r="AC1044" t="s">
        <v>76</v>
      </c>
      <c r="AD1044" t="s">
        <v>73</v>
      </c>
      <c r="AE1044" t="s">
        <v>77</v>
      </c>
      <c r="AF1044" t="s">
        <v>2445</v>
      </c>
      <c r="AG1044" t="s">
        <v>78</v>
      </c>
    </row>
    <row r="1045" spans="1:33" hidden="1" x14ac:dyDescent="0.25">
      <c r="A1045" t="str">
        <f>"1306120936"</f>
        <v>1306120936</v>
      </c>
      <c r="B1045" t="str">
        <f>"03404400"</f>
        <v>03404400</v>
      </c>
      <c r="C1045" t="s">
        <v>5949</v>
      </c>
      <c r="D1045" t="s">
        <v>688</v>
      </c>
      <c r="E1045" t="s">
        <v>689</v>
      </c>
      <c r="G1045" t="s">
        <v>749</v>
      </c>
      <c r="H1045" t="s">
        <v>320</v>
      </c>
      <c r="J1045" t="s">
        <v>750</v>
      </c>
      <c r="L1045" t="s">
        <v>80</v>
      </c>
      <c r="M1045" t="s">
        <v>82</v>
      </c>
      <c r="R1045" t="s">
        <v>690</v>
      </c>
      <c r="W1045" t="s">
        <v>689</v>
      </c>
      <c r="X1045" t="s">
        <v>691</v>
      </c>
      <c r="Y1045" t="s">
        <v>84</v>
      </c>
      <c r="Z1045" t="s">
        <v>74</v>
      </c>
      <c r="AA1045" t="str">
        <f>"11206-2501"</f>
        <v>11206-2501</v>
      </c>
      <c r="AB1045" t="s">
        <v>75</v>
      </c>
      <c r="AC1045" t="s">
        <v>76</v>
      </c>
      <c r="AD1045" t="s">
        <v>73</v>
      </c>
      <c r="AE1045" t="s">
        <v>77</v>
      </c>
      <c r="AF1045" t="s">
        <v>2445</v>
      </c>
      <c r="AG1045" t="s">
        <v>78</v>
      </c>
    </row>
    <row r="1046" spans="1:33" hidden="1" x14ac:dyDescent="0.25">
      <c r="A1046" t="str">
        <f>"1649611922"</f>
        <v>1649611922</v>
      </c>
      <c r="B1046" t="str">
        <f>"03949846"</f>
        <v>03949846</v>
      </c>
      <c r="C1046" t="s">
        <v>1862</v>
      </c>
      <c r="D1046" t="s">
        <v>1111</v>
      </c>
      <c r="E1046" t="s">
        <v>1112</v>
      </c>
      <c r="G1046" t="s">
        <v>749</v>
      </c>
      <c r="H1046" t="s">
        <v>320</v>
      </c>
      <c r="J1046" t="s">
        <v>750</v>
      </c>
      <c r="L1046" t="s">
        <v>81</v>
      </c>
      <c r="M1046" t="s">
        <v>73</v>
      </c>
      <c r="R1046" t="s">
        <v>1113</v>
      </c>
      <c r="W1046" t="s">
        <v>1114</v>
      </c>
      <c r="X1046" t="s">
        <v>679</v>
      </c>
      <c r="Y1046" t="s">
        <v>91</v>
      </c>
      <c r="Z1046" t="s">
        <v>74</v>
      </c>
      <c r="AA1046" t="str">
        <f>"10032-7601"</f>
        <v>10032-7601</v>
      </c>
      <c r="AB1046" t="s">
        <v>75</v>
      </c>
      <c r="AC1046" t="s">
        <v>76</v>
      </c>
      <c r="AD1046" t="s">
        <v>73</v>
      </c>
      <c r="AE1046" t="s">
        <v>77</v>
      </c>
      <c r="AF1046" t="s">
        <v>2445</v>
      </c>
      <c r="AG1046" t="s">
        <v>78</v>
      </c>
    </row>
    <row r="1047" spans="1:33" hidden="1" x14ac:dyDescent="0.25">
      <c r="A1047" t="str">
        <f>"1396817268"</f>
        <v>1396817268</v>
      </c>
      <c r="B1047" t="str">
        <f>"02618399"</f>
        <v>02618399</v>
      </c>
      <c r="C1047" t="s">
        <v>5950</v>
      </c>
      <c r="D1047" t="s">
        <v>725</v>
      </c>
      <c r="E1047" t="s">
        <v>726</v>
      </c>
      <c r="G1047" t="s">
        <v>749</v>
      </c>
      <c r="H1047" t="s">
        <v>320</v>
      </c>
      <c r="J1047" t="s">
        <v>750</v>
      </c>
      <c r="L1047" t="s">
        <v>81</v>
      </c>
      <c r="M1047" t="s">
        <v>82</v>
      </c>
      <c r="R1047" t="s">
        <v>727</v>
      </c>
      <c r="W1047" t="s">
        <v>726</v>
      </c>
      <c r="X1047" t="s">
        <v>728</v>
      </c>
      <c r="Y1047" t="s">
        <v>84</v>
      </c>
      <c r="Z1047" t="s">
        <v>74</v>
      </c>
      <c r="AA1047" t="str">
        <f>"11238-2669"</f>
        <v>11238-2669</v>
      </c>
      <c r="AB1047" t="s">
        <v>75</v>
      </c>
      <c r="AC1047" t="s">
        <v>76</v>
      </c>
      <c r="AD1047" t="s">
        <v>73</v>
      </c>
      <c r="AE1047" t="s">
        <v>77</v>
      </c>
      <c r="AF1047" t="s">
        <v>2445</v>
      </c>
      <c r="AG1047" t="s">
        <v>78</v>
      </c>
    </row>
    <row r="1048" spans="1:33" hidden="1" x14ac:dyDescent="0.25">
      <c r="A1048" t="str">
        <f>"1992766174"</f>
        <v>1992766174</v>
      </c>
      <c r="B1048" t="str">
        <f>"02080697"</f>
        <v>02080697</v>
      </c>
      <c r="C1048" t="s">
        <v>5951</v>
      </c>
      <c r="D1048" t="s">
        <v>5952</v>
      </c>
      <c r="E1048" t="s">
        <v>5953</v>
      </c>
      <c r="G1048" t="s">
        <v>2224</v>
      </c>
      <c r="H1048" t="s">
        <v>2225</v>
      </c>
      <c r="J1048" t="s">
        <v>2226</v>
      </c>
      <c r="L1048" t="s">
        <v>72</v>
      </c>
      <c r="M1048" t="s">
        <v>73</v>
      </c>
      <c r="R1048" t="s">
        <v>5954</v>
      </c>
      <c r="W1048" t="s">
        <v>5953</v>
      </c>
      <c r="X1048" t="s">
        <v>1793</v>
      </c>
      <c r="Y1048" t="s">
        <v>91</v>
      </c>
      <c r="Z1048" t="s">
        <v>74</v>
      </c>
      <c r="AA1048" t="str">
        <f>"10032-3724"</f>
        <v>10032-3724</v>
      </c>
      <c r="AB1048" t="s">
        <v>75</v>
      </c>
      <c r="AC1048" t="s">
        <v>76</v>
      </c>
      <c r="AD1048" t="s">
        <v>73</v>
      </c>
      <c r="AE1048" t="s">
        <v>77</v>
      </c>
      <c r="AF1048" t="s">
        <v>2228</v>
      </c>
      <c r="AG1048" t="s">
        <v>78</v>
      </c>
    </row>
    <row r="1049" spans="1:33" hidden="1" x14ac:dyDescent="0.25">
      <c r="A1049" t="str">
        <f>"1578980793"</f>
        <v>1578980793</v>
      </c>
      <c r="B1049" t="str">
        <f>"03805483"</f>
        <v>03805483</v>
      </c>
      <c r="C1049" t="s">
        <v>5955</v>
      </c>
      <c r="D1049" t="s">
        <v>5956</v>
      </c>
      <c r="E1049" t="s">
        <v>5957</v>
      </c>
      <c r="G1049" t="s">
        <v>2224</v>
      </c>
      <c r="H1049" t="s">
        <v>2225</v>
      </c>
      <c r="J1049" t="s">
        <v>2226</v>
      </c>
      <c r="L1049" t="s">
        <v>72</v>
      </c>
      <c r="M1049" t="s">
        <v>73</v>
      </c>
      <c r="R1049" t="s">
        <v>5957</v>
      </c>
      <c r="W1049" t="s">
        <v>5957</v>
      </c>
      <c r="X1049" t="s">
        <v>2057</v>
      </c>
      <c r="Y1049" t="s">
        <v>91</v>
      </c>
      <c r="Z1049" t="s">
        <v>74</v>
      </c>
      <c r="AA1049" t="str">
        <f>"10032-3720"</f>
        <v>10032-3720</v>
      </c>
      <c r="AB1049" t="s">
        <v>104</v>
      </c>
      <c r="AC1049" t="s">
        <v>76</v>
      </c>
      <c r="AD1049" t="s">
        <v>73</v>
      </c>
      <c r="AE1049" t="s">
        <v>77</v>
      </c>
      <c r="AF1049" t="s">
        <v>2234</v>
      </c>
      <c r="AG1049" t="s">
        <v>78</v>
      </c>
    </row>
    <row r="1050" spans="1:33" hidden="1" x14ac:dyDescent="0.25">
      <c r="A1050" t="str">
        <f>"1104902949"</f>
        <v>1104902949</v>
      </c>
      <c r="B1050" t="str">
        <f>"01136130"</f>
        <v>01136130</v>
      </c>
      <c r="C1050" t="s">
        <v>819</v>
      </c>
      <c r="D1050" t="s">
        <v>816</v>
      </c>
      <c r="E1050" t="s">
        <v>817</v>
      </c>
      <c r="G1050" t="s">
        <v>818</v>
      </c>
      <c r="L1050" t="s">
        <v>36</v>
      </c>
      <c r="M1050" t="s">
        <v>82</v>
      </c>
      <c r="R1050" t="s">
        <v>819</v>
      </c>
      <c r="W1050" t="s">
        <v>817</v>
      </c>
      <c r="X1050" t="s">
        <v>504</v>
      </c>
      <c r="Y1050" t="s">
        <v>820</v>
      </c>
      <c r="Z1050" t="s">
        <v>74</v>
      </c>
      <c r="AA1050" t="str">
        <f>"10562-2327"</f>
        <v>10562-2327</v>
      </c>
      <c r="AB1050" t="s">
        <v>92</v>
      </c>
      <c r="AC1050" t="s">
        <v>76</v>
      </c>
      <c r="AD1050" t="s">
        <v>73</v>
      </c>
      <c r="AE1050" t="s">
        <v>77</v>
      </c>
      <c r="AG1050" t="s">
        <v>78</v>
      </c>
    </row>
    <row r="1051" spans="1:33" hidden="1" x14ac:dyDescent="0.25">
      <c r="A1051" t="str">
        <f>"1548244395"</f>
        <v>1548244395</v>
      </c>
      <c r="B1051" t="str">
        <f>"00736232"</f>
        <v>00736232</v>
      </c>
      <c r="C1051" t="s">
        <v>5958</v>
      </c>
      <c r="D1051" t="s">
        <v>5959</v>
      </c>
      <c r="E1051" t="s">
        <v>5960</v>
      </c>
      <c r="G1051" t="s">
        <v>2224</v>
      </c>
      <c r="H1051" t="s">
        <v>2225</v>
      </c>
      <c r="J1051" t="s">
        <v>2226</v>
      </c>
      <c r="L1051" t="s">
        <v>72</v>
      </c>
      <c r="M1051" t="s">
        <v>73</v>
      </c>
      <c r="R1051" t="s">
        <v>5961</v>
      </c>
      <c r="W1051" t="s">
        <v>5962</v>
      </c>
      <c r="X1051" t="s">
        <v>5963</v>
      </c>
      <c r="Y1051" t="s">
        <v>1339</v>
      </c>
      <c r="Z1051" t="s">
        <v>74</v>
      </c>
      <c r="AA1051" t="str">
        <f>"10954-1601"</f>
        <v>10954-1601</v>
      </c>
      <c r="AB1051" t="s">
        <v>75</v>
      </c>
      <c r="AC1051" t="s">
        <v>76</v>
      </c>
      <c r="AD1051" t="s">
        <v>73</v>
      </c>
      <c r="AE1051" t="s">
        <v>77</v>
      </c>
      <c r="AF1051" t="s">
        <v>2228</v>
      </c>
      <c r="AG1051" t="s">
        <v>78</v>
      </c>
    </row>
    <row r="1052" spans="1:33" hidden="1" x14ac:dyDescent="0.25">
      <c r="A1052" t="str">
        <f>"1992855696"</f>
        <v>1992855696</v>
      </c>
      <c r="B1052" t="str">
        <f>"03674022"</f>
        <v>03674022</v>
      </c>
      <c r="C1052" t="s">
        <v>5964</v>
      </c>
      <c r="D1052" t="s">
        <v>5965</v>
      </c>
      <c r="E1052" t="s">
        <v>5966</v>
      </c>
      <c r="G1052" t="s">
        <v>2514</v>
      </c>
      <c r="H1052" t="s">
        <v>5967</v>
      </c>
      <c r="J1052" t="s">
        <v>2516</v>
      </c>
      <c r="L1052" t="s">
        <v>72</v>
      </c>
      <c r="M1052" t="s">
        <v>73</v>
      </c>
      <c r="R1052" t="s">
        <v>5968</v>
      </c>
      <c r="W1052" t="s">
        <v>5966</v>
      </c>
      <c r="X1052" t="s">
        <v>1377</v>
      </c>
      <c r="Y1052" t="s">
        <v>91</v>
      </c>
      <c r="Z1052" t="s">
        <v>74</v>
      </c>
      <c r="AA1052" t="str">
        <f>"10040-1602"</f>
        <v>10040-1602</v>
      </c>
      <c r="AB1052" t="s">
        <v>75</v>
      </c>
      <c r="AC1052" t="s">
        <v>76</v>
      </c>
      <c r="AD1052" t="s">
        <v>73</v>
      </c>
      <c r="AE1052" t="s">
        <v>77</v>
      </c>
      <c r="AF1052" t="s">
        <v>2518</v>
      </c>
      <c r="AG1052" t="s">
        <v>78</v>
      </c>
    </row>
    <row r="1053" spans="1:33" hidden="1" x14ac:dyDescent="0.25">
      <c r="A1053" t="str">
        <f>"1750494589"</f>
        <v>1750494589</v>
      </c>
      <c r="B1053" t="str">
        <f>"02819881"</f>
        <v>02819881</v>
      </c>
      <c r="C1053" t="s">
        <v>5969</v>
      </c>
      <c r="D1053" t="s">
        <v>5970</v>
      </c>
      <c r="E1053" t="s">
        <v>5971</v>
      </c>
      <c r="G1053" t="s">
        <v>2224</v>
      </c>
      <c r="H1053" t="s">
        <v>2225</v>
      </c>
      <c r="J1053" t="s">
        <v>2226</v>
      </c>
      <c r="L1053" t="s">
        <v>72</v>
      </c>
      <c r="M1053" t="s">
        <v>73</v>
      </c>
      <c r="W1053" t="s">
        <v>5971</v>
      </c>
      <c r="X1053" t="s">
        <v>183</v>
      </c>
      <c r="Y1053" t="s">
        <v>91</v>
      </c>
      <c r="Z1053" t="s">
        <v>74</v>
      </c>
      <c r="AA1053" t="str">
        <f>"10032-3729"</f>
        <v>10032-3729</v>
      </c>
      <c r="AB1053" t="s">
        <v>75</v>
      </c>
      <c r="AC1053" t="s">
        <v>76</v>
      </c>
      <c r="AD1053" t="s">
        <v>73</v>
      </c>
      <c r="AE1053" t="s">
        <v>77</v>
      </c>
      <c r="AF1053" t="s">
        <v>2228</v>
      </c>
      <c r="AG1053" t="s">
        <v>78</v>
      </c>
    </row>
    <row r="1054" spans="1:33" hidden="1" x14ac:dyDescent="0.25">
      <c r="A1054" t="str">
        <f>"1124229463"</f>
        <v>1124229463</v>
      </c>
      <c r="B1054" t="str">
        <f>"02892208"</f>
        <v>02892208</v>
      </c>
      <c r="C1054" t="s">
        <v>5972</v>
      </c>
      <c r="D1054" t="s">
        <v>5973</v>
      </c>
      <c r="E1054" t="s">
        <v>5974</v>
      </c>
      <c r="G1054" t="s">
        <v>2224</v>
      </c>
      <c r="H1054" t="s">
        <v>2225</v>
      </c>
      <c r="J1054" t="s">
        <v>2226</v>
      </c>
      <c r="L1054" t="s">
        <v>80</v>
      </c>
      <c r="M1054" t="s">
        <v>82</v>
      </c>
      <c r="R1054" t="s">
        <v>5975</v>
      </c>
      <c r="W1054" t="s">
        <v>5974</v>
      </c>
      <c r="X1054" t="s">
        <v>5976</v>
      </c>
      <c r="Y1054" t="s">
        <v>172</v>
      </c>
      <c r="Z1054" t="s">
        <v>74</v>
      </c>
      <c r="AA1054" t="str">
        <f>"11794-0001"</f>
        <v>11794-0001</v>
      </c>
      <c r="AB1054" t="s">
        <v>75</v>
      </c>
      <c r="AC1054" t="s">
        <v>76</v>
      </c>
      <c r="AD1054" t="s">
        <v>73</v>
      </c>
      <c r="AE1054" t="s">
        <v>77</v>
      </c>
      <c r="AF1054" t="s">
        <v>2242</v>
      </c>
      <c r="AG1054" t="s">
        <v>78</v>
      </c>
    </row>
    <row r="1055" spans="1:33" hidden="1" x14ac:dyDescent="0.25">
      <c r="C1055" t="s">
        <v>5977</v>
      </c>
      <c r="G1055" t="s">
        <v>5291</v>
      </c>
      <c r="H1055" t="s">
        <v>5292</v>
      </c>
      <c r="I1055">
        <v>528</v>
      </c>
      <c r="J1055" t="s">
        <v>5293</v>
      </c>
      <c r="K1055" t="s">
        <v>93</v>
      </c>
      <c r="L1055" t="s">
        <v>94</v>
      </c>
      <c r="M1055" t="s">
        <v>73</v>
      </c>
      <c r="AC1055" t="s">
        <v>76</v>
      </c>
      <c r="AD1055" t="s">
        <v>73</v>
      </c>
      <c r="AE1055" t="s">
        <v>95</v>
      </c>
      <c r="AG1055" t="s">
        <v>78</v>
      </c>
    </row>
    <row r="1056" spans="1:33" hidden="1" x14ac:dyDescent="0.25">
      <c r="A1056" t="str">
        <f>"1326120783"</f>
        <v>1326120783</v>
      </c>
      <c r="B1056" t="str">
        <f>"02754901"</f>
        <v>02754901</v>
      </c>
      <c r="C1056" t="s">
        <v>5978</v>
      </c>
      <c r="D1056" t="s">
        <v>2157</v>
      </c>
      <c r="E1056" t="s">
        <v>2156</v>
      </c>
      <c r="G1056" t="s">
        <v>2224</v>
      </c>
      <c r="H1056" t="s">
        <v>2225</v>
      </c>
      <c r="J1056" t="s">
        <v>2226</v>
      </c>
      <c r="L1056" t="s">
        <v>80</v>
      </c>
      <c r="M1056" t="s">
        <v>73</v>
      </c>
      <c r="R1056" t="s">
        <v>2158</v>
      </c>
      <c r="W1056" t="s">
        <v>2156</v>
      </c>
      <c r="X1056" t="s">
        <v>410</v>
      </c>
      <c r="Y1056" t="s">
        <v>91</v>
      </c>
      <c r="Z1056" t="s">
        <v>74</v>
      </c>
      <c r="AA1056" t="str">
        <f>"10032-1559"</f>
        <v>10032-1559</v>
      </c>
      <c r="AB1056" t="s">
        <v>75</v>
      </c>
      <c r="AC1056" t="s">
        <v>76</v>
      </c>
      <c r="AD1056" t="s">
        <v>73</v>
      </c>
      <c r="AE1056" t="s">
        <v>77</v>
      </c>
      <c r="AF1056" t="s">
        <v>2228</v>
      </c>
      <c r="AG1056" t="s">
        <v>78</v>
      </c>
    </row>
    <row r="1057" spans="1:33" hidden="1" x14ac:dyDescent="0.25">
      <c r="A1057" t="str">
        <f>"1700869534"</f>
        <v>1700869534</v>
      </c>
      <c r="B1057" t="str">
        <f>"03007361"</f>
        <v>03007361</v>
      </c>
      <c r="C1057" t="s">
        <v>1770</v>
      </c>
      <c r="D1057" t="s">
        <v>1768</v>
      </c>
      <c r="E1057" t="s">
        <v>1769</v>
      </c>
      <c r="G1057" t="s">
        <v>4137</v>
      </c>
      <c r="H1057" t="s">
        <v>1498</v>
      </c>
      <c r="J1057" t="s">
        <v>1499</v>
      </c>
      <c r="L1057" t="s">
        <v>36</v>
      </c>
      <c r="M1057" t="s">
        <v>82</v>
      </c>
      <c r="R1057" t="s">
        <v>1770</v>
      </c>
      <c r="W1057" t="s">
        <v>1769</v>
      </c>
      <c r="X1057" t="s">
        <v>1771</v>
      </c>
      <c r="Y1057" t="s">
        <v>91</v>
      </c>
      <c r="Z1057" t="s">
        <v>74</v>
      </c>
      <c r="AA1057" t="str">
        <f>"10014"</f>
        <v>10014</v>
      </c>
      <c r="AB1057" t="s">
        <v>102</v>
      </c>
      <c r="AC1057" t="s">
        <v>76</v>
      </c>
      <c r="AD1057" t="s">
        <v>73</v>
      </c>
      <c r="AE1057" t="s">
        <v>77</v>
      </c>
      <c r="AG1057" t="s">
        <v>78</v>
      </c>
    </row>
    <row r="1058" spans="1:33" hidden="1" x14ac:dyDescent="0.25">
      <c r="A1058" t="str">
        <f>"1104084920"</f>
        <v>1104084920</v>
      </c>
      <c r="B1058" t="str">
        <f>"03972709"</f>
        <v>03972709</v>
      </c>
      <c r="C1058" t="s">
        <v>5979</v>
      </c>
      <c r="D1058" t="s">
        <v>5980</v>
      </c>
      <c r="E1058" t="s">
        <v>5981</v>
      </c>
      <c r="G1058" t="s">
        <v>2224</v>
      </c>
      <c r="H1058" t="s">
        <v>2225</v>
      </c>
      <c r="J1058" t="s">
        <v>2226</v>
      </c>
      <c r="L1058" t="s">
        <v>72</v>
      </c>
      <c r="M1058" t="s">
        <v>73</v>
      </c>
      <c r="R1058" t="s">
        <v>5982</v>
      </c>
      <c r="W1058" t="s">
        <v>5983</v>
      </c>
      <c r="X1058" t="s">
        <v>170</v>
      </c>
      <c r="Y1058" t="s">
        <v>91</v>
      </c>
      <c r="Z1058" t="s">
        <v>74</v>
      </c>
      <c r="AA1058" t="str">
        <f>"10065-4870"</f>
        <v>10065-4870</v>
      </c>
      <c r="AB1058" t="s">
        <v>75</v>
      </c>
      <c r="AC1058" t="s">
        <v>76</v>
      </c>
      <c r="AD1058" t="s">
        <v>73</v>
      </c>
      <c r="AE1058" t="s">
        <v>77</v>
      </c>
      <c r="AF1058" t="s">
        <v>2242</v>
      </c>
      <c r="AG1058" t="s">
        <v>78</v>
      </c>
    </row>
    <row r="1059" spans="1:33" hidden="1" x14ac:dyDescent="0.25">
      <c r="A1059" t="str">
        <f>"1104126416"</f>
        <v>1104126416</v>
      </c>
      <c r="B1059" t="str">
        <f>"03493469"</f>
        <v>03493469</v>
      </c>
      <c r="C1059" t="s">
        <v>5984</v>
      </c>
      <c r="D1059" t="s">
        <v>5985</v>
      </c>
      <c r="E1059" t="s">
        <v>5986</v>
      </c>
      <c r="G1059" t="s">
        <v>2224</v>
      </c>
      <c r="H1059" t="s">
        <v>2225</v>
      </c>
      <c r="J1059" t="s">
        <v>2226</v>
      </c>
      <c r="L1059" t="s">
        <v>80</v>
      </c>
      <c r="M1059" t="s">
        <v>73</v>
      </c>
      <c r="R1059" t="s">
        <v>5987</v>
      </c>
      <c r="W1059" t="s">
        <v>5986</v>
      </c>
      <c r="X1059" t="s">
        <v>4996</v>
      </c>
      <c r="Y1059" t="s">
        <v>91</v>
      </c>
      <c r="Z1059" t="s">
        <v>74</v>
      </c>
      <c r="AA1059" t="str">
        <f>"10031-8644"</f>
        <v>10031-8644</v>
      </c>
      <c r="AB1059" t="s">
        <v>75</v>
      </c>
      <c r="AC1059" t="s">
        <v>76</v>
      </c>
      <c r="AD1059" t="s">
        <v>73</v>
      </c>
      <c r="AE1059" t="s">
        <v>77</v>
      </c>
      <c r="AF1059" t="s">
        <v>2228</v>
      </c>
      <c r="AG1059" t="s">
        <v>78</v>
      </c>
    </row>
    <row r="1060" spans="1:33" hidden="1" x14ac:dyDescent="0.25">
      <c r="A1060" t="str">
        <f>"1629002969"</f>
        <v>1629002969</v>
      </c>
      <c r="B1060" t="str">
        <f>"02998929"</f>
        <v>02998929</v>
      </c>
      <c r="C1060" t="s">
        <v>391</v>
      </c>
      <c r="D1060" t="s">
        <v>241</v>
      </c>
      <c r="E1060" t="s">
        <v>242</v>
      </c>
      <c r="L1060" t="s">
        <v>130</v>
      </c>
      <c r="M1060" t="s">
        <v>82</v>
      </c>
      <c r="R1060" t="s">
        <v>243</v>
      </c>
      <c r="W1060" t="s">
        <v>242</v>
      </c>
      <c r="X1060" t="s">
        <v>244</v>
      </c>
      <c r="Y1060" t="s">
        <v>118</v>
      </c>
      <c r="Z1060" t="s">
        <v>74</v>
      </c>
      <c r="AA1060" t="str">
        <f>"10471-2138"</f>
        <v>10471-2138</v>
      </c>
      <c r="AB1060" t="s">
        <v>87</v>
      </c>
      <c r="AC1060" t="s">
        <v>76</v>
      </c>
      <c r="AD1060" t="s">
        <v>73</v>
      </c>
      <c r="AE1060" t="s">
        <v>77</v>
      </c>
      <c r="AG1060" t="s">
        <v>78</v>
      </c>
    </row>
    <row r="1061" spans="1:33" hidden="1" x14ac:dyDescent="0.25">
      <c r="A1061" t="str">
        <f>"1912024373"</f>
        <v>1912024373</v>
      </c>
      <c r="B1061" t="str">
        <f>"02208006"</f>
        <v>02208006</v>
      </c>
      <c r="C1061" t="s">
        <v>5988</v>
      </c>
      <c r="D1061" t="s">
        <v>5989</v>
      </c>
      <c r="E1061" t="s">
        <v>5990</v>
      </c>
      <c r="G1061" t="s">
        <v>2224</v>
      </c>
      <c r="H1061" t="s">
        <v>5991</v>
      </c>
      <c r="J1061" t="s">
        <v>2226</v>
      </c>
      <c r="L1061" t="s">
        <v>80</v>
      </c>
      <c r="M1061" t="s">
        <v>73</v>
      </c>
      <c r="R1061" t="s">
        <v>5992</v>
      </c>
      <c r="W1061" t="s">
        <v>5990</v>
      </c>
      <c r="X1061" t="s">
        <v>5993</v>
      </c>
      <c r="Y1061" t="s">
        <v>91</v>
      </c>
      <c r="Z1061" t="s">
        <v>74</v>
      </c>
      <c r="AA1061" t="str">
        <f>"10065-8789"</f>
        <v>10065-8789</v>
      </c>
      <c r="AB1061" t="s">
        <v>75</v>
      </c>
      <c r="AC1061" t="s">
        <v>76</v>
      </c>
      <c r="AD1061" t="s">
        <v>73</v>
      </c>
      <c r="AE1061" t="s">
        <v>77</v>
      </c>
      <c r="AF1061" t="s">
        <v>2242</v>
      </c>
      <c r="AG1061" t="s">
        <v>78</v>
      </c>
    </row>
    <row r="1062" spans="1:33" hidden="1" x14ac:dyDescent="0.25">
      <c r="A1062" t="str">
        <f>"1427258367"</f>
        <v>1427258367</v>
      </c>
      <c r="B1062" t="str">
        <f>"03421785"</f>
        <v>03421785</v>
      </c>
      <c r="C1062" t="s">
        <v>5994</v>
      </c>
      <c r="D1062" t="s">
        <v>5995</v>
      </c>
      <c r="E1062" t="s">
        <v>5996</v>
      </c>
      <c r="G1062" t="s">
        <v>2224</v>
      </c>
      <c r="H1062" t="s">
        <v>2225</v>
      </c>
      <c r="J1062" t="s">
        <v>2226</v>
      </c>
      <c r="L1062" t="s">
        <v>72</v>
      </c>
      <c r="M1062" t="s">
        <v>73</v>
      </c>
      <c r="R1062" t="s">
        <v>5996</v>
      </c>
      <c r="W1062" t="s">
        <v>5996</v>
      </c>
      <c r="X1062" t="s">
        <v>183</v>
      </c>
      <c r="Y1062" t="s">
        <v>91</v>
      </c>
      <c r="Z1062" t="s">
        <v>74</v>
      </c>
      <c r="AA1062" t="str">
        <f>"10032-3729"</f>
        <v>10032-3729</v>
      </c>
      <c r="AB1062" t="s">
        <v>75</v>
      </c>
      <c r="AC1062" t="s">
        <v>76</v>
      </c>
      <c r="AD1062" t="s">
        <v>73</v>
      </c>
      <c r="AE1062" t="s">
        <v>77</v>
      </c>
      <c r="AF1062" t="s">
        <v>2254</v>
      </c>
      <c r="AG1062" t="s">
        <v>78</v>
      </c>
    </row>
    <row r="1063" spans="1:33" hidden="1" x14ac:dyDescent="0.25">
      <c r="A1063" t="str">
        <f>"1427278845"</f>
        <v>1427278845</v>
      </c>
      <c r="B1063" t="str">
        <f>"02265745"</f>
        <v>02265745</v>
      </c>
      <c r="C1063" t="s">
        <v>5997</v>
      </c>
      <c r="D1063" t="s">
        <v>5998</v>
      </c>
      <c r="E1063" t="s">
        <v>5999</v>
      </c>
      <c r="G1063" t="s">
        <v>2224</v>
      </c>
      <c r="H1063" t="s">
        <v>2225</v>
      </c>
      <c r="J1063" t="s">
        <v>2226</v>
      </c>
      <c r="L1063" t="s">
        <v>100</v>
      </c>
      <c r="M1063" t="s">
        <v>73</v>
      </c>
      <c r="R1063" t="s">
        <v>6000</v>
      </c>
      <c r="W1063" t="s">
        <v>6001</v>
      </c>
      <c r="X1063" t="s">
        <v>6002</v>
      </c>
      <c r="Y1063" t="s">
        <v>91</v>
      </c>
      <c r="Z1063" t="s">
        <v>74</v>
      </c>
      <c r="AA1063" t="str">
        <f>"10032-1559"</f>
        <v>10032-1559</v>
      </c>
      <c r="AB1063" t="s">
        <v>113</v>
      </c>
      <c r="AC1063" t="s">
        <v>76</v>
      </c>
      <c r="AD1063" t="s">
        <v>73</v>
      </c>
      <c r="AE1063" t="s">
        <v>77</v>
      </c>
      <c r="AF1063" t="s">
        <v>2254</v>
      </c>
      <c r="AG1063" t="s">
        <v>78</v>
      </c>
    </row>
    <row r="1064" spans="1:33" hidden="1" x14ac:dyDescent="0.25">
      <c r="A1064" t="str">
        <f>"1003989211"</f>
        <v>1003989211</v>
      </c>
      <c r="B1064" t="str">
        <f>"02641069"</f>
        <v>02641069</v>
      </c>
      <c r="C1064" t="s">
        <v>6003</v>
      </c>
      <c r="D1064" t="s">
        <v>6004</v>
      </c>
      <c r="E1064" t="s">
        <v>6005</v>
      </c>
      <c r="G1064" t="s">
        <v>2224</v>
      </c>
      <c r="H1064" t="s">
        <v>2225</v>
      </c>
      <c r="J1064" t="s">
        <v>2226</v>
      </c>
      <c r="L1064" t="s">
        <v>80</v>
      </c>
      <c r="M1064" t="s">
        <v>73</v>
      </c>
      <c r="R1064" t="s">
        <v>6006</v>
      </c>
      <c r="W1064" t="s">
        <v>6005</v>
      </c>
      <c r="X1064" t="s">
        <v>167</v>
      </c>
      <c r="Y1064" t="s">
        <v>91</v>
      </c>
      <c r="Z1064" t="s">
        <v>74</v>
      </c>
      <c r="AA1064" t="str">
        <f>"10032-3720"</f>
        <v>10032-3720</v>
      </c>
      <c r="AB1064" t="s">
        <v>75</v>
      </c>
      <c r="AC1064" t="s">
        <v>76</v>
      </c>
      <c r="AD1064" t="s">
        <v>73</v>
      </c>
      <c r="AE1064" t="s">
        <v>77</v>
      </c>
      <c r="AF1064" t="s">
        <v>2228</v>
      </c>
      <c r="AG1064" t="s">
        <v>78</v>
      </c>
    </row>
    <row r="1065" spans="1:33" hidden="1" x14ac:dyDescent="0.25">
      <c r="A1065" t="str">
        <f>"1174613343"</f>
        <v>1174613343</v>
      </c>
      <c r="B1065" t="str">
        <f>"02884077"</f>
        <v>02884077</v>
      </c>
      <c r="C1065" t="s">
        <v>6007</v>
      </c>
      <c r="D1065" t="s">
        <v>6008</v>
      </c>
      <c r="E1065" t="s">
        <v>6009</v>
      </c>
      <c r="G1065" t="s">
        <v>2224</v>
      </c>
      <c r="H1065" t="s">
        <v>2225</v>
      </c>
      <c r="J1065" t="s">
        <v>2226</v>
      </c>
      <c r="L1065" t="s">
        <v>80</v>
      </c>
      <c r="M1065" t="s">
        <v>73</v>
      </c>
      <c r="R1065" t="s">
        <v>6010</v>
      </c>
      <c r="W1065" t="s">
        <v>6009</v>
      </c>
      <c r="X1065" t="s">
        <v>3183</v>
      </c>
      <c r="Y1065" t="s">
        <v>91</v>
      </c>
      <c r="Z1065" t="s">
        <v>74</v>
      </c>
      <c r="AA1065" t="str">
        <f>"10065-4870"</f>
        <v>10065-4870</v>
      </c>
      <c r="AB1065" t="s">
        <v>75</v>
      </c>
      <c r="AC1065" t="s">
        <v>76</v>
      </c>
      <c r="AD1065" t="s">
        <v>73</v>
      </c>
      <c r="AE1065" t="s">
        <v>77</v>
      </c>
      <c r="AF1065" t="s">
        <v>2398</v>
      </c>
      <c r="AG1065" t="s">
        <v>78</v>
      </c>
    </row>
    <row r="1066" spans="1:33" hidden="1" x14ac:dyDescent="0.25">
      <c r="A1066" t="str">
        <f>"1871873646"</f>
        <v>1871873646</v>
      </c>
      <c r="C1066" t="s">
        <v>6011</v>
      </c>
      <c r="G1066" t="s">
        <v>2514</v>
      </c>
      <c r="H1066" t="s">
        <v>6012</v>
      </c>
      <c r="J1066" t="s">
        <v>2516</v>
      </c>
      <c r="K1066" t="s">
        <v>507</v>
      </c>
      <c r="L1066" t="s">
        <v>96</v>
      </c>
      <c r="M1066" t="s">
        <v>73</v>
      </c>
      <c r="R1066" t="s">
        <v>6013</v>
      </c>
      <c r="S1066" t="s">
        <v>1377</v>
      </c>
      <c r="T1066" t="s">
        <v>91</v>
      </c>
      <c r="U1066" t="s">
        <v>74</v>
      </c>
      <c r="V1066" t="str">
        <f>"100401602"</f>
        <v>100401602</v>
      </c>
      <c r="AC1066" t="s">
        <v>76</v>
      </c>
      <c r="AD1066" t="s">
        <v>73</v>
      </c>
      <c r="AE1066" t="s">
        <v>97</v>
      </c>
      <c r="AF1066" t="s">
        <v>2518</v>
      </c>
      <c r="AG1066" t="s">
        <v>78</v>
      </c>
    </row>
    <row r="1067" spans="1:33" hidden="1" x14ac:dyDescent="0.25">
      <c r="A1067" t="str">
        <f>"1255649315"</f>
        <v>1255649315</v>
      </c>
      <c r="B1067" t="str">
        <f>"04012855"</f>
        <v>04012855</v>
      </c>
      <c r="C1067" t="s">
        <v>6014</v>
      </c>
      <c r="D1067" t="s">
        <v>6015</v>
      </c>
      <c r="E1067" t="s">
        <v>6016</v>
      </c>
      <c r="G1067" t="s">
        <v>2514</v>
      </c>
      <c r="H1067" t="s">
        <v>6017</v>
      </c>
      <c r="J1067" t="s">
        <v>2516</v>
      </c>
      <c r="L1067" t="s">
        <v>96</v>
      </c>
      <c r="M1067" t="s">
        <v>73</v>
      </c>
      <c r="R1067" t="s">
        <v>6018</v>
      </c>
      <c r="W1067" t="s">
        <v>6016</v>
      </c>
      <c r="X1067" t="s">
        <v>1377</v>
      </c>
      <c r="Y1067" t="s">
        <v>91</v>
      </c>
      <c r="Z1067" t="s">
        <v>74</v>
      </c>
      <c r="AA1067" t="str">
        <f>"10040-1602"</f>
        <v>10040-1602</v>
      </c>
      <c r="AB1067" t="s">
        <v>106</v>
      </c>
      <c r="AC1067" t="s">
        <v>76</v>
      </c>
      <c r="AD1067" t="s">
        <v>73</v>
      </c>
      <c r="AE1067" t="s">
        <v>77</v>
      </c>
      <c r="AF1067" t="s">
        <v>2518</v>
      </c>
      <c r="AG1067" t="s">
        <v>78</v>
      </c>
    </row>
    <row r="1068" spans="1:33" hidden="1" x14ac:dyDescent="0.25">
      <c r="A1068" t="str">
        <f>"1669770756"</f>
        <v>1669770756</v>
      </c>
      <c r="C1068" t="s">
        <v>6019</v>
      </c>
      <c r="K1068" t="s">
        <v>36</v>
      </c>
      <c r="L1068" t="s">
        <v>96</v>
      </c>
      <c r="M1068" t="s">
        <v>73</v>
      </c>
      <c r="R1068" t="s">
        <v>6019</v>
      </c>
      <c r="S1068" t="s">
        <v>6020</v>
      </c>
      <c r="T1068" t="s">
        <v>580</v>
      </c>
      <c r="U1068" t="s">
        <v>74</v>
      </c>
      <c r="V1068" t="str">
        <f>"109015208"</f>
        <v>109015208</v>
      </c>
      <c r="AC1068" t="s">
        <v>76</v>
      </c>
      <c r="AD1068" t="s">
        <v>73</v>
      </c>
      <c r="AE1068" t="s">
        <v>97</v>
      </c>
      <c r="AG1068" t="s">
        <v>78</v>
      </c>
    </row>
    <row r="1069" spans="1:33" hidden="1" x14ac:dyDescent="0.25">
      <c r="A1069" t="str">
        <f>"1366467243"</f>
        <v>1366467243</v>
      </c>
      <c r="B1069" t="str">
        <f>"02248786"</f>
        <v>02248786</v>
      </c>
      <c r="C1069" t="s">
        <v>6021</v>
      </c>
      <c r="D1069" t="s">
        <v>6022</v>
      </c>
      <c r="E1069" t="s">
        <v>3672</v>
      </c>
      <c r="L1069" t="s">
        <v>36</v>
      </c>
      <c r="M1069" t="s">
        <v>73</v>
      </c>
      <c r="R1069" t="s">
        <v>6021</v>
      </c>
      <c r="W1069" t="s">
        <v>3672</v>
      </c>
      <c r="X1069" t="s">
        <v>167</v>
      </c>
      <c r="Y1069" t="s">
        <v>91</v>
      </c>
      <c r="Z1069" t="s">
        <v>74</v>
      </c>
      <c r="AA1069" t="str">
        <f>"10032-3720"</f>
        <v>10032-3720</v>
      </c>
      <c r="AB1069" t="s">
        <v>123</v>
      </c>
      <c r="AC1069" t="s">
        <v>76</v>
      </c>
      <c r="AD1069" t="s">
        <v>73</v>
      </c>
      <c r="AE1069" t="s">
        <v>77</v>
      </c>
      <c r="AG1069" t="s">
        <v>78</v>
      </c>
    </row>
    <row r="1070" spans="1:33" hidden="1" x14ac:dyDescent="0.25">
      <c r="A1070" t="str">
        <f>"1013280205"</f>
        <v>1013280205</v>
      </c>
      <c r="B1070" t="str">
        <f>"03535706"</f>
        <v>03535706</v>
      </c>
      <c r="C1070" t="s">
        <v>6023</v>
      </c>
      <c r="D1070" t="s">
        <v>6024</v>
      </c>
      <c r="E1070" t="s">
        <v>6025</v>
      </c>
      <c r="G1070" t="s">
        <v>2224</v>
      </c>
      <c r="H1070" t="s">
        <v>2225</v>
      </c>
      <c r="J1070" t="s">
        <v>2226</v>
      </c>
      <c r="L1070" t="s">
        <v>72</v>
      </c>
      <c r="M1070" t="s">
        <v>73</v>
      </c>
      <c r="R1070" t="s">
        <v>6025</v>
      </c>
      <c r="W1070" t="s">
        <v>6026</v>
      </c>
      <c r="X1070" t="s">
        <v>5788</v>
      </c>
      <c r="Y1070" t="s">
        <v>91</v>
      </c>
      <c r="Z1070" t="s">
        <v>74</v>
      </c>
      <c r="AA1070" t="str">
        <f>"10032-1559"</f>
        <v>10032-1559</v>
      </c>
      <c r="AB1070" t="s">
        <v>113</v>
      </c>
      <c r="AC1070" t="s">
        <v>76</v>
      </c>
      <c r="AD1070" t="s">
        <v>73</v>
      </c>
      <c r="AE1070" t="s">
        <v>77</v>
      </c>
      <c r="AF1070" t="s">
        <v>2254</v>
      </c>
      <c r="AG1070" t="s">
        <v>78</v>
      </c>
    </row>
    <row r="1071" spans="1:33" hidden="1" x14ac:dyDescent="0.25">
      <c r="A1071" t="str">
        <f>"1396734067"</f>
        <v>1396734067</v>
      </c>
      <c r="B1071" t="str">
        <f>"02686033"</f>
        <v>02686033</v>
      </c>
      <c r="C1071" t="s">
        <v>6027</v>
      </c>
      <c r="D1071" t="s">
        <v>6028</v>
      </c>
      <c r="E1071" t="s">
        <v>6029</v>
      </c>
      <c r="G1071" t="s">
        <v>282</v>
      </c>
      <c r="H1071" t="s">
        <v>248</v>
      </c>
      <c r="I1071">
        <v>2604</v>
      </c>
      <c r="J1071" t="s">
        <v>283</v>
      </c>
      <c r="L1071" t="s">
        <v>81</v>
      </c>
      <c r="M1071" t="s">
        <v>82</v>
      </c>
      <c r="R1071" t="s">
        <v>6030</v>
      </c>
      <c r="W1071" t="s">
        <v>6031</v>
      </c>
      <c r="X1071" t="s">
        <v>285</v>
      </c>
      <c r="Y1071" t="s">
        <v>91</v>
      </c>
      <c r="Z1071" t="s">
        <v>74</v>
      </c>
      <c r="AA1071" t="str">
        <f>"10013-4135"</f>
        <v>10013-4135</v>
      </c>
      <c r="AB1071" t="s">
        <v>75</v>
      </c>
      <c r="AC1071" t="s">
        <v>76</v>
      </c>
      <c r="AD1071" t="s">
        <v>73</v>
      </c>
      <c r="AE1071" t="s">
        <v>77</v>
      </c>
      <c r="AF1071" t="s">
        <v>2319</v>
      </c>
      <c r="AG1071" t="s">
        <v>78</v>
      </c>
    </row>
    <row r="1072" spans="1:33" hidden="1" x14ac:dyDescent="0.25">
      <c r="A1072" t="str">
        <f>"1770677940"</f>
        <v>1770677940</v>
      </c>
      <c r="B1072" t="str">
        <f>"01978252"</f>
        <v>01978252</v>
      </c>
      <c r="C1072" t="s">
        <v>6032</v>
      </c>
      <c r="D1072" t="s">
        <v>6033</v>
      </c>
      <c r="E1072" t="s">
        <v>6034</v>
      </c>
      <c r="G1072" t="s">
        <v>2224</v>
      </c>
      <c r="H1072" t="s">
        <v>2225</v>
      </c>
      <c r="J1072" t="s">
        <v>2226</v>
      </c>
      <c r="L1072" t="s">
        <v>81</v>
      </c>
      <c r="M1072" t="s">
        <v>82</v>
      </c>
      <c r="R1072" t="s">
        <v>6034</v>
      </c>
      <c r="W1072" t="s">
        <v>6034</v>
      </c>
      <c r="X1072" t="s">
        <v>332</v>
      </c>
      <c r="Y1072" t="s">
        <v>118</v>
      </c>
      <c r="Z1072" t="s">
        <v>74</v>
      </c>
      <c r="AA1072" t="str">
        <f>"10457-7697"</f>
        <v>10457-7697</v>
      </c>
      <c r="AB1072" t="s">
        <v>75</v>
      </c>
      <c r="AC1072" t="s">
        <v>76</v>
      </c>
      <c r="AD1072" t="s">
        <v>73</v>
      </c>
      <c r="AE1072" t="s">
        <v>77</v>
      </c>
      <c r="AF1072" t="s">
        <v>2398</v>
      </c>
      <c r="AG1072" t="s">
        <v>78</v>
      </c>
    </row>
    <row r="1073" spans="1:33" hidden="1" x14ac:dyDescent="0.25">
      <c r="A1073" t="str">
        <f>"1639218035"</f>
        <v>1639218035</v>
      </c>
      <c r="B1073" t="str">
        <f>"02706316"</f>
        <v>02706316</v>
      </c>
      <c r="C1073" t="s">
        <v>6035</v>
      </c>
      <c r="D1073" t="s">
        <v>6036</v>
      </c>
      <c r="E1073" t="s">
        <v>6037</v>
      </c>
      <c r="G1073" t="s">
        <v>2224</v>
      </c>
      <c r="H1073" t="s">
        <v>2225</v>
      </c>
      <c r="J1073" t="s">
        <v>2226</v>
      </c>
      <c r="L1073" t="s">
        <v>72</v>
      </c>
      <c r="M1073" t="s">
        <v>73</v>
      </c>
      <c r="R1073" t="s">
        <v>6038</v>
      </c>
      <c r="W1073" t="s">
        <v>6037</v>
      </c>
      <c r="X1073" t="s">
        <v>410</v>
      </c>
      <c r="Y1073" t="s">
        <v>91</v>
      </c>
      <c r="Z1073" t="s">
        <v>74</v>
      </c>
      <c r="AA1073" t="str">
        <f>"10032-1559"</f>
        <v>10032-1559</v>
      </c>
      <c r="AB1073" t="s">
        <v>113</v>
      </c>
      <c r="AC1073" t="s">
        <v>76</v>
      </c>
      <c r="AD1073" t="s">
        <v>73</v>
      </c>
      <c r="AE1073" t="s">
        <v>77</v>
      </c>
      <c r="AF1073" t="s">
        <v>2228</v>
      </c>
      <c r="AG1073" t="s">
        <v>78</v>
      </c>
    </row>
    <row r="1074" spans="1:33" hidden="1" x14ac:dyDescent="0.25">
      <c r="A1074" t="str">
        <f>"1700949955"</f>
        <v>1700949955</v>
      </c>
      <c r="B1074" t="str">
        <f>"02819809"</f>
        <v>02819809</v>
      </c>
      <c r="C1074" t="s">
        <v>6039</v>
      </c>
      <c r="D1074" t="s">
        <v>6040</v>
      </c>
      <c r="E1074" t="s">
        <v>6041</v>
      </c>
      <c r="G1074" t="s">
        <v>2224</v>
      </c>
      <c r="H1074" t="s">
        <v>2225</v>
      </c>
      <c r="J1074" t="s">
        <v>2226</v>
      </c>
      <c r="L1074" t="s">
        <v>100</v>
      </c>
      <c r="M1074" t="s">
        <v>73</v>
      </c>
      <c r="R1074" t="s">
        <v>6042</v>
      </c>
      <c r="W1074" t="s">
        <v>6041</v>
      </c>
      <c r="X1074" t="s">
        <v>6043</v>
      </c>
      <c r="Y1074" t="s">
        <v>91</v>
      </c>
      <c r="Z1074" t="s">
        <v>74</v>
      </c>
      <c r="AA1074" t="str">
        <f>"10036-4206"</f>
        <v>10036-4206</v>
      </c>
      <c r="AB1074" t="s">
        <v>75</v>
      </c>
      <c r="AC1074" t="s">
        <v>76</v>
      </c>
      <c r="AD1074" t="s">
        <v>73</v>
      </c>
      <c r="AE1074" t="s">
        <v>77</v>
      </c>
      <c r="AF1074" t="s">
        <v>2398</v>
      </c>
      <c r="AG1074" t="s">
        <v>78</v>
      </c>
    </row>
    <row r="1075" spans="1:33" hidden="1" x14ac:dyDescent="0.25">
      <c r="A1075" t="str">
        <f>"1083865828"</f>
        <v>1083865828</v>
      </c>
      <c r="B1075" t="str">
        <f>"03533915"</f>
        <v>03533915</v>
      </c>
      <c r="C1075" t="s">
        <v>6044</v>
      </c>
      <c r="D1075" t="s">
        <v>6045</v>
      </c>
      <c r="E1075" t="s">
        <v>6046</v>
      </c>
      <c r="L1075" t="s">
        <v>80</v>
      </c>
      <c r="M1075" t="s">
        <v>73</v>
      </c>
      <c r="R1075" t="s">
        <v>6047</v>
      </c>
      <c r="W1075" t="s">
        <v>6046</v>
      </c>
      <c r="X1075" t="s">
        <v>2693</v>
      </c>
      <c r="Y1075" t="s">
        <v>91</v>
      </c>
      <c r="Z1075" t="s">
        <v>74</v>
      </c>
      <c r="AA1075" t="str">
        <f>"10065-4870"</f>
        <v>10065-4870</v>
      </c>
      <c r="AB1075" t="s">
        <v>75</v>
      </c>
      <c r="AC1075" t="s">
        <v>76</v>
      </c>
      <c r="AD1075" t="s">
        <v>73</v>
      </c>
      <c r="AE1075" t="s">
        <v>77</v>
      </c>
      <c r="AF1075" t="s">
        <v>2242</v>
      </c>
      <c r="AG1075" t="s">
        <v>78</v>
      </c>
    </row>
    <row r="1076" spans="1:33" hidden="1" x14ac:dyDescent="0.25">
      <c r="A1076" t="str">
        <f>"1932265394"</f>
        <v>1932265394</v>
      </c>
      <c r="B1076" t="str">
        <f>"03101580"</f>
        <v>03101580</v>
      </c>
      <c r="C1076" t="s">
        <v>3282</v>
      </c>
      <c r="D1076" t="s">
        <v>6048</v>
      </c>
      <c r="E1076" t="s">
        <v>6049</v>
      </c>
      <c r="L1076" t="s">
        <v>36</v>
      </c>
      <c r="M1076" t="s">
        <v>73</v>
      </c>
      <c r="R1076" t="s">
        <v>3282</v>
      </c>
      <c r="W1076" t="s">
        <v>6049</v>
      </c>
      <c r="X1076" t="s">
        <v>6050</v>
      </c>
      <c r="Y1076" t="s">
        <v>91</v>
      </c>
      <c r="Z1076" t="s">
        <v>74</v>
      </c>
      <c r="AA1076" t="str">
        <f>"10032-3729"</f>
        <v>10032-3729</v>
      </c>
      <c r="AB1076" t="s">
        <v>114</v>
      </c>
      <c r="AC1076" t="s">
        <v>76</v>
      </c>
      <c r="AD1076" t="s">
        <v>73</v>
      </c>
      <c r="AE1076" t="s">
        <v>77</v>
      </c>
      <c r="AG1076" t="s">
        <v>78</v>
      </c>
    </row>
    <row r="1077" spans="1:33" hidden="1" x14ac:dyDescent="0.25">
      <c r="A1077" t="str">
        <f>"1760444822"</f>
        <v>1760444822</v>
      </c>
      <c r="C1077" t="s">
        <v>3282</v>
      </c>
      <c r="K1077" t="s">
        <v>36</v>
      </c>
      <c r="L1077" t="s">
        <v>96</v>
      </c>
      <c r="M1077" t="s">
        <v>73</v>
      </c>
      <c r="R1077" t="s">
        <v>3674</v>
      </c>
      <c r="S1077" t="s">
        <v>6051</v>
      </c>
      <c r="T1077" t="s">
        <v>91</v>
      </c>
      <c r="U1077" t="s">
        <v>74</v>
      </c>
      <c r="V1077" t="str">
        <f>"100321559"</f>
        <v>100321559</v>
      </c>
      <c r="AC1077" t="s">
        <v>76</v>
      </c>
      <c r="AD1077" t="s">
        <v>73</v>
      </c>
      <c r="AE1077" t="s">
        <v>97</v>
      </c>
      <c r="AG1077" t="s">
        <v>78</v>
      </c>
    </row>
    <row r="1078" spans="1:33" hidden="1" x14ac:dyDescent="0.25">
      <c r="A1078" t="str">
        <f>"1588802870"</f>
        <v>1588802870</v>
      </c>
      <c r="B1078" t="str">
        <f>"03379893"</f>
        <v>03379893</v>
      </c>
      <c r="C1078" t="s">
        <v>6052</v>
      </c>
      <c r="D1078" t="s">
        <v>6053</v>
      </c>
      <c r="E1078" t="s">
        <v>6054</v>
      </c>
      <c r="G1078" t="s">
        <v>2224</v>
      </c>
      <c r="H1078" t="s">
        <v>2225</v>
      </c>
      <c r="J1078" t="s">
        <v>2226</v>
      </c>
      <c r="L1078" t="s">
        <v>80</v>
      </c>
      <c r="M1078" t="s">
        <v>73</v>
      </c>
      <c r="R1078" t="s">
        <v>6055</v>
      </c>
      <c r="W1078" t="s">
        <v>6054</v>
      </c>
      <c r="X1078" t="s">
        <v>1777</v>
      </c>
      <c r="Y1078" t="s">
        <v>91</v>
      </c>
      <c r="Z1078" t="s">
        <v>74</v>
      </c>
      <c r="AA1078" t="str">
        <f>"10032-3729"</f>
        <v>10032-3729</v>
      </c>
      <c r="AB1078" t="s">
        <v>75</v>
      </c>
      <c r="AC1078" t="s">
        <v>76</v>
      </c>
      <c r="AD1078" t="s">
        <v>73</v>
      </c>
      <c r="AE1078" t="s">
        <v>77</v>
      </c>
      <c r="AF1078" t="s">
        <v>2234</v>
      </c>
      <c r="AG1078" t="s">
        <v>78</v>
      </c>
    </row>
    <row r="1079" spans="1:33" hidden="1" x14ac:dyDescent="0.25">
      <c r="A1079" t="str">
        <f>"1588820815"</f>
        <v>1588820815</v>
      </c>
      <c r="B1079" t="str">
        <f>"03156970"</f>
        <v>03156970</v>
      </c>
      <c r="C1079" t="s">
        <v>6056</v>
      </c>
      <c r="D1079" t="s">
        <v>6057</v>
      </c>
      <c r="E1079" t="s">
        <v>6058</v>
      </c>
      <c r="G1079" t="s">
        <v>2224</v>
      </c>
      <c r="H1079" t="s">
        <v>2225</v>
      </c>
      <c r="J1079" t="s">
        <v>2226</v>
      </c>
      <c r="L1079" t="s">
        <v>80</v>
      </c>
      <c r="M1079" t="s">
        <v>73</v>
      </c>
      <c r="R1079" t="s">
        <v>6059</v>
      </c>
      <c r="W1079" t="s">
        <v>6058</v>
      </c>
      <c r="X1079" t="s">
        <v>1239</v>
      </c>
      <c r="Y1079" t="s">
        <v>91</v>
      </c>
      <c r="Z1079" t="s">
        <v>74</v>
      </c>
      <c r="AA1079" t="str">
        <f>"10032-3735"</f>
        <v>10032-3735</v>
      </c>
      <c r="AB1079" t="s">
        <v>75</v>
      </c>
      <c r="AC1079" t="s">
        <v>76</v>
      </c>
      <c r="AD1079" t="s">
        <v>73</v>
      </c>
      <c r="AE1079" t="s">
        <v>77</v>
      </c>
      <c r="AF1079" t="s">
        <v>2228</v>
      </c>
      <c r="AG1079" t="s">
        <v>78</v>
      </c>
    </row>
    <row r="1080" spans="1:33" hidden="1" x14ac:dyDescent="0.25">
      <c r="A1080" t="str">
        <f>"1144245978"</f>
        <v>1144245978</v>
      </c>
      <c r="B1080" t="str">
        <f>"01115122"</f>
        <v>01115122</v>
      </c>
      <c r="C1080" t="s">
        <v>6060</v>
      </c>
      <c r="D1080" t="s">
        <v>1858</v>
      </c>
      <c r="E1080" t="s">
        <v>1859</v>
      </c>
      <c r="G1080" t="s">
        <v>2235</v>
      </c>
      <c r="H1080" t="s">
        <v>2236</v>
      </c>
      <c r="J1080" t="s">
        <v>2237</v>
      </c>
      <c r="L1080" t="s">
        <v>36</v>
      </c>
      <c r="M1080" t="s">
        <v>82</v>
      </c>
      <c r="R1080" t="s">
        <v>1564</v>
      </c>
      <c r="W1080" t="s">
        <v>1859</v>
      </c>
      <c r="X1080" t="s">
        <v>1860</v>
      </c>
      <c r="Y1080" t="s">
        <v>91</v>
      </c>
      <c r="Z1080" t="s">
        <v>74</v>
      </c>
      <c r="AA1080" t="str">
        <f>"10040-3403"</f>
        <v>10040-3403</v>
      </c>
      <c r="AB1080" t="s">
        <v>102</v>
      </c>
      <c r="AC1080" t="s">
        <v>76</v>
      </c>
      <c r="AD1080" t="s">
        <v>73</v>
      </c>
      <c r="AE1080" t="s">
        <v>77</v>
      </c>
      <c r="AG1080" t="s">
        <v>78</v>
      </c>
    </row>
    <row r="1081" spans="1:33" hidden="1" x14ac:dyDescent="0.25">
      <c r="A1081" t="str">
        <f>"1710123930"</f>
        <v>1710123930</v>
      </c>
      <c r="B1081" t="str">
        <f>"03122089"</f>
        <v>03122089</v>
      </c>
      <c r="C1081" t="s">
        <v>6061</v>
      </c>
      <c r="D1081" t="s">
        <v>6062</v>
      </c>
      <c r="E1081" t="s">
        <v>6063</v>
      </c>
      <c r="G1081" t="s">
        <v>2224</v>
      </c>
      <c r="H1081" t="s">
        <v>2225</v>
      </c>
      <c r="J1081" t="s">
        <v>2226</v>
      </c>
      <c r="L1081" t="s">
        <v>80</v>
      </c>
      <c r="M1081" t="s">
        <v>73</v>
      </c>
      <c r="R1081" t="s">
        <v>6064</v>
      </c>
      <c r="W1081" t="s">
        <v>6065</v>
      </c>
      <c r="X1081" t="s">
        <v>2013</v>
      </c>
      <c r="Y1081" t="s">
        <v>91</v>
      </c>
      <c r="Z1081" t="s">
        <v>74</v>
      </c>
      <c r="AA1081" t="str">
        <f>"10003-3804"</f>
        <v>10003-3804</v>
      </c>
      <c r="AB1081" t="s">
        <v>75</v>
      </c>
      <c r="AC1081" t="s">
        <v>76</v>
      </c>
      <c r="AD1081" t="s">
        <v>73</v>
      </c>
      <c r="AE1081" t="s">
        <v>77</v>
      </c>
      <c r="AF1081" t="s">
        <v>2242</v>
      </c>
      <c r="AG1081" t="s">
        <v>78</v>
      </c>
    </row>
    <row r="1082" spans="1:33" hidden="1" x14ac:dyDescent="0.25">
      <c r="A1082" t="str">
        <f>"1710148762"</f>
        <v>1710148762</v>
      </c>
      <c r="B1082" t="str">
        <f>"03239118"</f>
        <v>03239118</v>
      </c>
      <c r="C1082" t="s">
        <v>6066</v>
      </c>
      <c r="D1082" t="s">
        <v>1683</v>
      </c>
      <c r="E1082" t="s">
        <v>1684</v>
      </c>
      <c r="G1082" t="s">
        <v>2224</v>
      </c>
      <c r="H1082" t="s">
        <v>2225</v>
      </c>
      <c r="J1082" t="s">
        <v>2226</v>
      </c>
      <c r="L1082" t="s">
        <v>72</v>
      </c>
      <c r="M1082" t="s">
        <v>82</v>
      </c>
      <c r="R1082" t="s">
        <v>1685</v>
      </c>
      <c r="W1082" t="s">
        <v>1684</v>
      </c>
      <c r="X1082" t="s">
        <v>1379</v>
      </c>
      <c r="Y1082" t="s">
        <v>91</v>
      </c>
      <c r="Z1082" t="s">
        <v>74</v>
      </c>
      <c r="AA1082" t="str">
        <f>"10032-3720"</f>
        <v>10032-3720</v>
      </c>
      <c r="AB1082" t="s">
        <v>75</v>
      </c>
      <c r="AC1082" t="s">
        <v>76</v>
      </c>
      <c r="AD1082" t="s">
        <v>73</v>
      </c>
      <c r="AE1082" t="s">
        <v>77</v>
      </c>
      <c r="AF1082" t="s">
        <v>2228</v>
      </c>
      <c r="AG1082" t="s">
        <v>78</v>
      </c>
    </row>
    <row r="1083" spans="1:33" hidden="1" x14ac:dyDescent="0.25">
      <c r="A1083" t="str">
        <f>"1497939656"</f>
        <v>1497939656</v>
      </c>
      <c r="B1083" t="str">
        <f>"03384347"</f>
        <v>03384347</v>
      </c>
      <c r="C1083" t="s">
        <v>6067</v>
      </c>
      <c r="D1083" t="s">
        <v>6068</v>
      </c>
      <c r="E1083" t="s">
        <v>6069</v>
      </c>
      <c r="G1083" t="s">
        <v>2224</v>
      </c>
      <c r="H1083" t="s">
        <v>2225</v>
      </c>
      <c r="J1083" t="s">
        <v>2226</v>
      </c>
      <c r="L1083" t="s">
        <v>72</v>
      </c>
      <c r="M1083" t="s">
        <v>73</v>
      </c>
      <c r="R1083" t="s">
        <v>6070</v>
      </c>
      <c r="W1083" t="s">
        <v>6070</v>
      </c>
      <c r="X1083" t="s">
        <v>167</v>
      </c>
      <c r="Y1083" t="s">
        <v>91</v>
      </c>
      <c r="Z1083" t="s">
        <v>74</v>
      </c>
      <c r="AA1083" t="str">
        <f>"10032-3720"</f>
        <v>10032-3720</v>
      </c>
      <c r="AB1083" t="s">
        <v>75</v>
      </c>
      <c r="AC1083" t="s">
        <v>76</v>
      </c>
      <c r="AD1083" t="s">
        <v>73</v>
      </c>
      <c r="AE1083" t="s">
        <v>77</v>
      </c>
      <c r="AF1083" t="s">
        <v>2228</v>
      </c>
      <c r="AG1083" t="s">
        <v>78</v>
      </c>
    </row>
    <row r="1084" spans="1:33" hidden="1" x14ac:dyDescent="0.25">
      <c r="A1084" t="str">
        <f>"1669485686"</f>
        <v>1669485686</v>
      </c>
      <c r="B1084" t="str">
        <f>"01217954"</f>
        <v>01217954</v>
      </c>
      <c r="C1084" t="s">
        <v>6071</v>
      </c>
      <c r="D1084" t="s">
        <v>6072</v>
      </c>
      <c r="E1084" t="s">
        <v>6073</v>
      </c>
      <c r="G1084" t="s">
        <v>2224</v>
      </c>
      <c r="H1084" t="s">
        <v>2225</v>
      </c>
      <c r="J1084" t="s">
        <v>2226</v>
      </c>
      <c r="L1084" t="s">
        <v>72</v>
      </c>
      <c r="M1084" t="s">
        <v>73</v>
      </c>
      <c r="R1084" t="s">
        <v>6074</v>
      </c>
      <c r="W1084" t="s">
        <v>6073</v>
      </c>
      <c r="X1084" t="s">
        <v>1731</v>
      </c>
      <c r="Y1084" t="s">
        <v>287</v>
      </c>
      <c r="Z1084" t="s">
        <v>74</v>
      </c>
      <c r="AA1084" t="str">
        <f>"10591-5523"</f>
        <v>10591-5523</v>
      </c>
      <c r="AB1084" t="s">
        <v>75</v>
      </c>
      <c r="AC1084" t="s">
        <v>76</v>
      </c>
      <c r="AD1084" t="s">
        <v>73</v>
      </c>
      <c r="AE1084" t="s">
        <v>77</v>
      </c>
      <c r="AF1084" t="s">
        <v>2254</v>
      </c>
      <c r="AG1084" t="s">
        <v>78</v>
      </c>
    </row>
    <row r="1085" spans="1:33" hidden="1" x14ac:dyDescent="0.25">
      <c r="A1085" t="str">
        <f>"1679700082"</f>
        <v>1679700082</v>
      </c>
      <c r="B1085" t="str">
        <f>"03203367"</f>
        <v>03203367</v>
      </c>
      <c r="C1085" t="s">
        <v>6075</v>
      </c>
      <c r="D1085" t="s">
        <v>6076</v>
      </c>
      <c r="E1085" t="s">
        <v>6077</v>
      </c>
      <c r="G1085" t="s">
        <v>2224</v>
      </c>
      <c r="H1085" t="s">
        <v>2225</v>
      </c>
      <c r="J1085" t="s">
        <v>2226</v>
      </c>
      <c r="L1085" t="s">
        <v>72</v>
      </c>
      <c r="M1085" t="s">
        <v>73</v>
      </c>
      <c r="R1085" t="s">
        <v>6078</v>
      </c>
      <c r="W1085" t="s">
        <v>6077</v>
      </c>
      <c r="X1085" t="s">
        <v>2925</v>
      </c>
      <c r="Y1085" t="s">
        <v>91</v>
      </c>
      <c r="Z1085" t="s">
        <v>74</v>
      </c>
      <c r="AA1085" t="str">
        <f>"10032-3720"</f>
        <v>10032-3720</v>
      </c>
      <c r="AB1085" t="s">
        <v>113</v>
      </c>
      <c r="AC1085" t="s">
        <v>76</v>
      </c>
      <c r="AD1085" t="s">
        <v>73</v>
      </c>
      <c r="AE1085" t="s">
        <v>77</v>
      </c>
      <c r="AF1085" t="s">
        <v>2228</v>
      </c>
      <c r="AG1085" t="s">
        <v>78</v>
      </c>
    </row>
    <row r="1086" spans="1:33" hidden="1" x14ac:dyDescent="0.25">
      <c r="A1086" t="str">
        <f>"1114071859"</f>
        <v>1114071859</v>
      </c>
      <c r="B1086" t="str">
        <f>"02558592"</f>
        <v>02558592</v>
      </c>
      <c r="C1086" t="s">
        <v>6079</v>
      </c>
      <c r="D1086" t="s">
        <v>6080</v>
      </c>
      <c r="E1086" t="s">
        <v>6081</v>
      </c>
      <c r="G1086" t="s">
        <v>2224</v>
      </c>
      <c r="H1086" t="s">
        <v>2225</v>
      </c>
      <c r="J1086" t="s">
        <v>2226</v>
      </c>
      <c r="L1086" t="s">
        <v>81</v>
      </c>
      <c r="M1086" t="s">
        <v>82</v>
      </c>
      <c r="R1086" t="s">
        <v>6082</v>
      </c>
      <c r="W1086" t="s">
        <v>6081</v>
      </c>
      <c r="X1086" t="s">
        <v>1679</v>
      </c>
      <c r="Y1086" t="s">
        <v>91</v>
      </c>
      <c r="Z1086" t="s">
        <v>74</v>
      </c>
      <c r="AA1086" t="str">
        <f>"10032-3720"</f>
        <v>10032-3720</v>
      </c>
      <c r="AB1086" t="s">
        <v>75</v>
      </c>
      <c r="AC1086" t="s">
        <v>76</v>
      </c>
      <c r="AD1086" t="s">
        <v>73</v>
      </c>
      <c r="AE1086" t="s">
        <v>77</v>
      </c>
      <c r="AF1086" t="s">
        <v>2228</v>
      </c>
      <c r="AG1086" t="s">
        <v>78</v>
      </c>
    </row>
    <row r="1087" spans="1:33" hidden="1" x14ac:dyDescent="0.25">
      <c r="A1087" t="str">
        <f>"1376512533"</f>
        <v>1376512533</v>
      </c>
      <c r="B1087" t="str">
        <f>"02199493"</f>
        <v>02199493</v>
      </c>
      <c r="C1087" t="s">
        <v>6083</v>
      </c>
      <c r="D1087" t="s">
        <v>6084</v>
      </c>
      <c r="E1087" t="s">
        <v>6085</v>
      </c>
      <c r="G1087" t="s">
        <v>2224</v>
      </c>
      <c r="H1087" t="s">
        <v>2225</v>
      </c>
      <c r="J1087" t="s">
        <v>2226</v>
      </c>
      <c r="L1087" t="s">
        <v>80</v>
      </c>
      <c r="M1087" t="s">
        <v>73</v>
      </c>
      <c r="R1087" t="s">
        <v>6086</v>
      </c>
      <c r="W1087" t="s">
        <v>6087</v>
      </c>
      <c r="X1087" t="s">
        <v>220</v>
      </c>
      <c r="Y1087" t="s">
        <v>91</v>
      </c>
      <c r="Z1087" t="s">
        <v>74</v>
      </c>
      <c r="AA1087" t="str">
        <f>"10029-6500"</f>
        <v>10029-6500</v>
      </c>
      <c r="AB1087" t="s">
        <v>75</v>
      </c>
      <c r="AC1087" t="s">
        <v>76</v>
      </c>
      <c r="AD1087" t="s">
        <v>73</v>
      </c>
      <c r="AE1087" t="s">
        <v>77</v>
      </c>
      <c r="AF1087" t="s">
        <v>2242</v>
      </c>
      <c r="AG1087" t="s">
        <v>78</v>
      </c>
    </row>
    <row r="1088" spans="1:33" hidden="1" x14ac:dyDescent="0.25">
      <c r="A1088" t="str">
        <f>"1194832477"</f>
        <v>1194832477</v>
      </c>
      <c r="B1088" t="str">
        <f>"00243178"</f>
        <v>00243178</v>
      </c>
      <c r="C1088" t="s">
        <v>6088</v>
      </c>
      <c r="D1088" t="s">
        <v>3459</v>
      </c>
      <c r="E1088" t="s">
        <v>3460</v>
      </c>
      <c r="G1088" t="s">
        <v>2224</v>
      </c>
      <c r="H1088" t="s">
        <v>2225</v>
      </c>
      <c r="J1088" t="s">
        <v>2226</v>
      </c>
      <c r="L1088" t="s">
        <v>444</v>
      </c>
      <c r="M1088" t="s">
        <v>82</v>
      </c>
      <c r="R1088" t="s">
        <v>3461</v>
      </c>
      <c r="W1088" t="s">
        <v>6089</v>
      </c>
      <c r="X1088" t="s">
        <v>167</v>
      </c>
      <c r="Y1088" t="s">
        <v>91</v>
      </c>
      <c r="Z1088" t="s">
        <v>74</v>
      </c>
      <c r="AA1088" t="str">
        <f>"10032-3720"</f>
        <v>10032-3720</v>
      </c>
      <c r="AB1088" t="s">
        <v>87</v>
      </c>
      <c r="AC1088" t="s">
        <v>140</v>
      </c>
      <c r="AD1088" t="s">
        <v>73</v>
      </c>
      <c r="AE1088" t="s">
        <v>77</v>
      </c>
      <c r="AF1088" t="s">
        <v>2228</v>
      </c>
      <c r="AG1088" t="s">
        <v>78</v>
      </c>
    </row>
    <row r="1089" spans="1:33" hidden="1" x14ac:dyDescent="0.25">
      <c r="A1089" t="str">
        <f>"1710149984"</f>
        <v>1710149984</v>
      </c>
      <c r="B1089" t="str">
        <f>"03001521"</f>
        <v>03001521</v>
      </c>
      <c r="C1089" t="s">
        <v>1830</v>
      </c>
      <c r="D1089" t="s">
        <v>404</v>
      </c>
      <c r="E1089" t="s">
        <v>405</v>
      </c>
      <c r="G1089" t="s">
        <v>5513</v>
      </c>
      <c r="H1089" t="s">
        <v>338</v>
      </c>
      <c r="J1089" t="s">
        <v>339</v>
      </c>
      <c r="L1089" t="s">
        <v>36</v>
      </c>
      <c r="M1089" t="s">
        <v>82</v>
      </c>
      <c r="R1089" t="s">
        <v>406</v>
      </c>
      <c r="W1089" t="s">
        <v>407</v>
      </c>
      <c r="X1089" t="s">
        <v>408</v>
      </c>
      <c r="Y1089" t="s">
        <v>84</v>
      </c>
      <c r="Z1089" t="s">
        <v>74</v>
      </c>
      <c r="AA1089" t="str">
        <f>"11220-4731"</f>
        <v>11220-4731</v>
      </c>
      <c r="AB1089" t="s">
        <v>102</v>
      </c>
      <c r="AC1089" t="s">
        <v>76</v>
      </c>
      <c r="AD1089" t="s">
        <v>73</v>
      </c>
      <c r="AE1089" t="s">
        <v>77</v>
      </c>
      <c r="AG1089" t="s">
        <v>78</v>
      </c>
    </row>
    <row r="1090" spans="1:33" hidden="1" x14ac:dyDescent="0.25">
      <c r="A1090" t="str">
        <f>"1194739243"</f>
        <v>1194739243</v>
      </c>
      <c r="B1090" t="str">
        <f>"01588334"</f>
        <v>01588334</v>
      </c>
      <c r="C1090" t="s">
        <v>6090</v>
      </c>
      <c r="D1090" t="s">
        <v>6091</v>
      </c>
      <c r="E1090" t="s">
        <v>6092</v>
      </c>
      <c r="G1090" t="s">
        <v>2224</v>
      </c>
      <c r="H1090" t="s">
        <v>2225</v>
      </c>
      <c r="J1090" t="s">
        <v>2226</v>
      </c>
      <c r="L1090" t="s">
        <v>81</v>
      </c>
      <c r="M1090" t="s">
        <v>73</v>
      </c>
      <c r="R1090" t="s">
        <v>1957</v>
      </c>
      <c r="W1090" t="s">
        <v>6092</v>
      </c>
      <c r="X1090" t="s">
        <v>1371</v>
      </c>
      <c r="Y1090" t="s">
        <v>568</v>
      </c>
      <c r="Z1090" t="s">
        <v>74</v>
      </c>
      <c r="AA1090" t="str">
        <f>"10583-5063"</f>
        <v>10583-5063</v>
      </c>
      <c r="AB1090" t="s">
        <v>75</v>
      </c>
      <c r="AC1090" t="s">
        <v>76</v>
      </c>
      <c r="AD1090" t="s">
        <v>73</v>
      </c>
      <c r="AE1090" t="s">
        <v>77</v>
      </c>
      <c r="AF1090" t="s">
        <v>2228</v>
      </c>
      <c r="AG1090" t="s">
        <v>78</v>
      </c>
    </row>
    <row r="1091" spans="1:33" hidden="1" x14ac:dyDescent="0.25">
      <c r="A1091" t="str">
        <f>"1811148604"</f>
        <v>1811148604</v>
      </c>
      <c r="B1091" t="str">
        <f>"03339008"</f>
        <v>03339008</v>
      </c>
      <c r="C1091" t="s">
        <v>6093</v>
      </c>
      <c r="D1091" t="s">
        <v>6094</v>
      </c>
      <c r="E1091" t="s">
        <v>6095</v>
      </c>
      <c r="G1091" t="s">
        <v>2224</v>
      </c>
      <c r="H1091" t="s">
        <v>6096</v>
      </c>
      <c r="J1091" t="s">
        <v>2226</v>
      </c>
      <c r="L1091" t="s">
        <v>80</v>
      </c>
      <c r="M1091" t="s">
        <v>73</v>
      </c>
      <c r="R1091" t="s">
        <v>6097</v>
      </c>
      <c r="W1091" t="s">
        <v>6095</v>
      </c>
      <c r="X1091" t="s">
        <v>167</v>
      </c>
      <c r="Y1091" t="s">
        <v>91</v>
      </c>
      <c r="Z1091" t="s">
        <v>74</v>
      </c>
      <c r="AA1091" t="str">
        <f>"10032-3720"</f>
        <v>10032-3720</v>
      </c>
      <c r="AB1091" t="s">
        <v>75</v>
      </c>
      <c r="AC1091" t="s">
        <v>76</v>
      </c>
      <c r="AD1091" t="s">
        <v>73</v>
      </c>
      <c r="AE1091" t="s">
        <v>77</v>
      </c>
      <c r="AF1091" t="s">
        <v>2228</v>
      </c>
      <c r="AG1091" t="s">
        <v>78</v>
      </c>
    </row>
    <row r="1092" spans="1:33" hidden="1" x14ac:dyDescent="0.25">
      <c r="A1092" t="str">
        <f>"1316957293"</f>
        <v>1316957293</v>
      </c>
      <c r="B1092" t="str">
        <f>"02655567"</f>
        <v>02655567</v>
      </c>
      <c r="C1092" t="s">
        <v>6098</v>
      </c>
      <c r="D1092" t="s">
        <v>6099</v>
      </c>
      <c r="E1092" t="s">
        <v>6100</v>
      </c>
      <c r="L1092" t="s">
        <v>80</v>
      </c>
      <c r="M1092" t="s">
        <v>73</v>
      </c>
      <c r="R1092" t="s">
        <v>6101</v>
      </c>
      <c r="W1092" t="s">
        <v>6102</v>
      </c>
      <c r="X1092" t="s">
        <v>170</v>
      </c>
      <c r="Y1092" t="s">
        <v>91</v>
      </c>
      <c r="Z1092" t="s">
        <v>74</v>
      </c>
      <c r="AA1092" t="str">
        <f>"10065-4870"</f>
        <v>10065-4870</v>
      </c>
      <c r="AB1092" t="s">
        <v>75</v>
      </c>
      <c r="AC1092" t="s">
        <v>76</v>
      </c>
      <c r="AD1092" t="s">
        <v>73</v>
      </c>
      <c r="AE1092" t="s">
        <v>77</v>
      </c>
      <c r="AF1092" t="s">
        <v>2242</v>
      </c>
      <c r="AG1092" t="s">
        <v>78</v>
      </c>
    </row>
    <row r="1093" spans="1:33" hidden="1" x14ac:dyDescent="0.25">
      <c r="A1093" t="str">
        <f>"1073821914"</f>
        <v>1073821914</v>
      </c>
      <c r="B1093" t="str">
        <f>"03923324"</f>
        <v>03923324</v>
      </c>
      <c r="C1093" t="s">
        <v>6103</v>
      </c>
      <c r="D1093" t="s">
        <v>6104</v>
      </c>
      <c r="E1093" t="s">
        <v>6105</v>
      </c>
      <c r="L1093" t="s">
        <v>80</v>
      </c>
      <c r="M1093" t="s">
        <v>73</v>
      </c>
      <c r="R1093" t="s">
        <v>6105</v>
      </c>
      <c r="W1093" t="s">
        <v>6106</v>
      </c>
      <c r="X1093" t="s">
        <v>170</v>
      </c>
      <c r="Y1093" t="s">
        <v>91</v>
      </c>
      <c r="Z1093" t="s">
        <v>74</v>
      </c>
      <c r="AA1093" t="str">
        <f>"10065-4870"</f>
        <v>10065-4870</v>
      </c>
      <c r="AB1093" t="s">
        <v>75</v>
      </c>
      <c r="AC1093" t="s">
        <v>76</v>
      </c>
      <c r="AD1093" t="s">
        <v>73</v>
      </c>
      <c r="AE1093" t="s">
        <v>77</v>
      </c>
      <c r="AF1093" t="s">
        <v>2242</v>
      </c>
      <c r="AG1093" t="s">
        <v>78</v>
      </c>
    </row>
    <row r="1094" spans="1:33" hidden="1" x14ac:dyDescent="0.25">
      <c r="A1094" t="str">
        <f>"1932279825"</f>
        <v>1932279825</v>
      </c>
      <c r="B1094" t="str">
        <f>"00545611"</f>
        <v>00545611</v>
      </c>
      <c r="C1094" t="s">
        <v>6107</v>
      </c>
      <c r="D1094" t="s">
        <v>6108</v>
      </c>
      <c r="E1094" t="s">
        <v>6109</v>
      </c>
      <c r="G1094" t="s">
        <v>2224</v>
      </c>
      <c r="H1094" t="s">
        <v>2225</v>
      </c>
      <c r="J1094" t="s">
        <v>2226</v>
      </c>
      <c r="L1094" t="s">
        <v>80</v>
      </c>
      <c r="M1094" t="s">
        <v>73</v>
      </c>
      <c r="R1094" t="s">
        <v>6110</v>
      </c>
      <c r="W1094" t="s">
        <v>6109</v>
      </c>
      <c r="Y1094" t="s">
        <v>91</v>
      </c>
      <c r="Z1094" t="s">
        <v>74</v>
      </c>
      <c r="AA1094" t="str">
        <f>"10032-3720"</f>
        <v>10032-3720</v>
      </c>
      <c r="AB1094" t="s">
        <v>75</v>
      </c>
      <c r="AC1094" t="s">
        <v>76</v>
      </c>
      <c r="AD1094" t="s">
        <v>73</v>
      </c>
      <c r="AE1094" t="s">
        <v>77</v>
      </c>
      <c r="AF1094" t="s">
        <v>2228</v>
      </c>
      <c r="AG1094" t="s">
        <v>78</v>
      </c>
    </row>
    <row r="1095" spans="1:33" hidden="1" x14ac:dyDescent="0.25">
      <c r="A1095" t="str">
        <f>"1487899118"</f>
        <v>1487899118</v>
      </c>
      <c r="B1095" t="str">
        <f>"03167700"</f>
        <v>03167700</v>
      </c>
      <c r="C1095" t="s">
        <v>6111</v>
      </c>
      <c r="D1095" t="s">
        <v>6112</v>
      </c>
      <c r="E1095" t="s">
        <v>6113</v>
      </c>
      <c r="L1095" t="s">
        <v>72</v>
      </c>
      <c r="M1095" t="s">
        <v>73</v>
      </c>
      <c r="R1095" t="s">
        <v>6114</v>
      </c>
      <c r="W1095" t="s">
        <v>6113</v>
      </c>
      <c r="X1095" t="s">
        <v>740</v>
      </c>
      <c r="Y1095" t="s">
        <v>118</v>
      </c>
      <c r="Z1095" t="s">
        <v>74</v>
      </c>
      <c r="AA1095" t="str">
        <f>"10469-5411"</f>
        <v>10469-5411</v>
      </c>
      <c r="AB1095" t="s">
        <v>75</v>
      </c>
      <c r="AC1095" t="s">
        <v>76</v>
      </c>
      <c r="AD1095" t="s">
        <v>73</v>
      </c>
      <c r="AE1095" t="s">
        <v>77</v>
      </c>
      <c r="AF1095" t="s">
        <v>2242</v>
      </c>
      <c r="AG1095" t="s">
        <v>78</v>
      </c>
    </row>
    <row r="1096" spans="1:33" hidden="1" x14ac:dyDescent="0.25">
      <c r="A1096" t="str">
        <f>"1104050228"</f>
        <v>1104050228</v>
      </c>
      <c r="B1096" t="str">
        <f>"03379875"</f>
        <v>03379875</v>
      </c>
      <c r="C1096" t="s">
        <v>6115</v>
      </c>
      <c r="D1096" t="s">
        <v>6116</v>
      </c>
      <c r="E1096" t="s">
        <v>6117</v>
      </c>
      <c r="L1096" t="s">
        <v>81</v>
      </c>
      <c r="M1096" t="s">
        <v>73</v>
      </c>
      <c r="R1096" t="s">
        <v>6118</v>
      </c>
      <c r="W1096" t="s">
        <v>6117</v>
      </c>
      <c r="X1096" t="s">
        <v>6119</v>
      </c>
      <c r="Y1096" t="s">
        <v>91</v>
      </c>
      <c r="Z1096" t="s">
        <v>74</v>
      </c>
      <c r="AA1096" t="str">
        <f>"10038-2612"</f>
        <v>10038-2612</v>
      </c>
      <c r="AB1096" t="s">
        <v>75</v>
      </c>
      <c r="AC1096" t="s">
        <v>76</v>
      </c>
      <c r="AD1096" t="s">
        <v>73</v>
      </c>
      <c r="AE1096" t="s">
        <v>77</v>
      </c>
      <c r="AF1096" t="s">
        <v>2242</v>
      </c>
      <c r="AG1096" t="s">
        <v>78</v>
      </c>
    </row>
    <row r="1097" spans="1:33" hidden="1" x14ac:dyDescent="0.25">
      <c r="A1097" t="str">
        <f>"1790739217"</f>
        <v>1790739217</v>
      </c>
      <c r="B1097" t="str">
        <f>"03188112"</f>
        <v>03188112</v>
      </c>
      <c r="C1097" t="s">
        <v>3674</v>
      </c>
      <c r="D1097" t="s">
        <v>6120</v>
      </c>
      <c r="E1097" t="s">
        <v>3280</v>
      </c>
      <c r="L1097" t="s">
        <v>36</v>
      </c>
      <c r="M1097" t="s">
        <v>73</v>
      </c>
      <c r="R1097" t="s">
        <v>3674</v>
      </c>
      <c r="W1097" t="s">
        <v>3280</v>
      </c>
      <c r="X1097" t="s">
        <v>1748</v>
      </c>
      <c r="Y1097" t="s">
        <v>91</v>
      </c>
      <c r="Z1097" t="s">
        <v>74</v>
      </c>
      <c r="AA1097" t="str">
        <f>"10032-3720"</f>
        <v>10032-3720</v>
      </c>
      <c r="AB1097" t="s">
        <v>114</v>
      </c>
      <c r="AC1097" t="s">
        <v>76</v>
      </c>
      <c r="AD1097" t="s">
        <v>73</v>
      </c>
      <c r="AE1097" t="s">
        <v>77</v>
      </c>
      <c r="AG1097" t="s">
        <v>78</v>
      </c>
    </row>
    <row r="1098" spans="1:33" hidden="1" x14ac:dyDescent="0.25">
      <c r="A1098" t="str">
        <f>"1578875290"</f>
        <v>1578875290</v>
      </c>
      <c r="B1098" t="str">
        <f>"03461378"</f>
        <v>03461378</v>
      </c>
      <c r="C1098" t="s">
        <v>6121</v>
      </c>
      <c r="D1098" t="s">
        <v>6122</v>
      </c>
      <c r="E1098" t="s">
        <v>6123</v>
      </c>
      <c r="G1098" t="s">
        <v>2224</v>
      </c>
      <c r="H1098" t="s">
        <v>2225</v>
      </c>
      <c r="J1098" t="s">
        <v>2226</v>
      </c>
      <c r="L1098" t="s">
        <v>72</v>
      </c>
      <c r="M1098" t="s">
        <v>73</v>
      </c>
      <c r="R1098" t="s">
        <v>6124</v>
      </c>
      <c r="W1098" t="s">
        <v>6123</v>
      </c>
      <c r="X1098" t="s">
        <v>6125</v>
      </c>
      <c r="Y1098" t="s">
        <v>91</v>
      </c>
      <c r="Z1098" t="s">
        <v>74</v>
      </c>
      <c r="AA1098" t="str">
        <f>"10032-0000"</f>
        <v>10032-0000</v>
      </c>
      <c r="AB1098" t="s">
        <v>75</v>
      </c>
      <c r="AC1098" t="s">
        <v>76</v>
      </c>
      <c r="AD1098" t="s">
        <v>73</v>
      </c>
      <c r="AE1098" t="s">
        <v>77</v>
      </c>
      <c r="AF1098" t="s">
        <v>2254</v>
      </c>
      <c r="AG1098" t="s">
        <v>78</v>
      </c>
    </row>
    <row r="1099" spans="1:33" hidden="1" x14ac:dyDescent="0.25">
      <c r="A1099" t="str">
        <f>"1043494800"</f>
        <v>1043494800</v>
      </c>
      <c r="B1099" t="str">
        <f>"03375362"</f>
        <v>03375362</v>
      </c>
      <c r="C1099" t="s">
        <v>6126</v>
      </c>
      <c r="D1099" t="s">
        <v>6127</v>
      </c>
      <c r="E1099" t="s">
        <v>6128</v>
      </c>
      <c r="G1099" t="s">
        <v>2224</v>
      </c>
      <c r="H1099" t="s">
        <v>2225</v>
      </c>
      <c r="J1099" t="s">
        <v>2226</v>
      </c>
      <c r="L1099" t="s">
        <v>80</v>
      </c>
      <c r="M1099" t="s">
        <v>73</v>
      </c>
      <c r="R1099" t="s">
        <v>6129</v>
      </c>
      <c r="W1099" t="s">
        <v>6128</v>
      </c>
      <c r="X1099" t="s">
        <v>167</v>
      </c>
      <c r="Y1099" t="s">
        <v>91</v>
      </c>
      <c r="Z1099" t="s">
        <v>74</v>
      </c>
      <c r="AA1099" t="str">
        <f>"10032-3720"</f>
        <v>10032-3720</v>
      </c>
      <c r="AB1099" t="s">
        <v>75</v>
      </c>
      <c r="AC1099" t="s">
        <v>76</v>
      </c>
      <c r="AD1099" t="s">
        <v>73</v>
      </c>
      <c r="AE1099" t="s">
        <v>77</v>
      </c>
      <c r="AF1099" t="s">
        <v>2228</v>
      </c>
      <c r="AG1099" t="s">
        <v>78</v>
      </c>
    </row>
    <row r="1100" spans="1:33" hidden="1" x14ac:dyDescent="0.25">
      <c r="A1100" t="str">
        <f>"1033107529"</f>
        <v>1033107529</v>
      </c>
      <c r="B1100" t="str">
        <f>"02404451"</f>
        <v>02404451</v>
      </c>
      <c r="C1100" t="s">
        <v>6130</v>
      </c>
      <c r="D1100" t="s">
        <v>6131</v>
      </c>
      <c r="E1100" t="s">
        <v>6132</v>
      </c>
      <c r="G1100" t="s">
        <v>282</v>
      </c>
      <c r="H1100" t="s">
        <v>248</v>
      </c>
      <c r="I1100">
        <v>2604</v>
      </c>
      <c r="J1100" t="s">
        <v>283</v>
      </c>
      <c r="L1100" t="s">
        <v>81</v>
      </c>
      <c r="M1100" t="s">
        <v>82</v>
      </c>
      <c r="R1100" t="s">
        <v>6132</v>
      </c>
      <c r="W1100" t="s">
        <v>6133</v>
      </c>
      <c r="X1100" t="s">
        <v>6134</v>
      </c>
      <c r="Y1100" t="s">
        <v>91</v>
      </c>
      <c r="Z1100" t="s">
        <v>74</v>
      </c>
      <c r="AA1100" t="str">
        <f>"10001-5701"</f>
        <v>10001-5701</v>
      </c>
      <c r="AB1100" t="s">
        <v>75</v>
      </c>
      <c r="AC1100" t="s">
        <v>76</v>
      </c>
      <c r="AD1100" t="s">
        <v>73</v>
      </c>
      <c r="AE1100" t="s">
        <v>77</v>
      </c>
      <c r="AF1100" t="s">
        <v>2319</v>
      </c>
      <c r="AG1100" t="s">
        <v>78</v>
      </c>
    </row>
    <row r="1101" spans="1:33" hidden="1" x14ac:dyDescent="0.25">
      <c r="A1101" t="str">
        <f>"1619917341"</f>
        <v>1619917341</v>
      </c>
      <c r="B1101" t="str">
        <f>"01372912"</f>
        <v>01372912</v>
      </c>
      <c r="C1101" t="s">
        <v>3746</v>
      </c>
      <c r="D1101" t="s">
        <v>6135</v>
      </c>
      <c r="E1101" t="s">
        <v>6136</v>
      </c>
      <c r="L1101" t="s">
        <v>36</v>
      </c>
      <c r="M1101" t="s">
        <v>73</v>
      </c>
      <c r="R1101" t="s">
        <v>3498</v>
      </c>
      <c r="W1101" t="s">
        <v>3498</v>
      </c>
      <c r="X1101" t="s">
        <v>170</v>
      </c>
      <c r="Y1101" t="s">
        <v>91</v>
      </c>
      <c r="Z1101" t="s">
        <v>74</v>
      </c>
      <c r="AA1101" t="str">
        <f>"10065-4870"</f>
        <v>10065-4870</v>
      </c>
      <c r="AB1101" t="s">
        <v>114</v>
      </c>
      <c r="AC1101" t="s">
        <v>76</v>
      </c>
      <c r="AD1101" t="s">
        <v>73</v>
      </c>
      <c r="AE1101" t="s">
        <v>77</v>
      </c>
      <c r="AG1101" t="s">
        <v>78</v>
      </c>
    </row>
    <row r="1102" spans="1:33" hidden="1" x14ac:dyDescent="0.25">
      <c r="A1102" t="str">
        <f>"1821086737"</f>
        <v>1821086737</v>
      </c>
      <c r="B1102" t="str">
        <f>"01579060"</f>
        <v>01579060</v>
      </c>
      <c r="C1102" t="s">
        <v>6137</v>
      </c>
      <c r="D1102" t="s">
        <v>1359</v>
      </c>
      <c r="E1102" t="s">
        <v>1360</v>
      </c>
      <c r="G1102" t="s">
        <v>2224</v>
      </c>
      <c r="H1102" t="s">
        <v>2225</v>
      </c>
      <c r="J1102" t="s">
        <v>2226</v>
      </c>
      <c r="L1102" t="s">
        <v>80</v>
      </c>
      <c r="M1102" t="s">
        <v>82</v>
      </c>
      <c r="R1102" t="s">
        <v>1361</v>
      </c>
      <c r="W1102" t="s">
        <v>1360</v>
      </c>
      <c r="X1102" t="s">
        <v>1362</v>
      </c>
      <c r="Y1102" t="s">
        <v>515</v>
      </c>
      <c r="Z1102" t="s">
        <v>74</v>
      </c>
      <c r="AA1102" t="str">
        <f>"11572"</f>
        <v>11572</v>
      </c>
      <c r="AB1102" t="s">
        <v>75</v>
      </c>
      <c r="AC1102" t="s">
        <v>76</v>
      </c>
      <c r="AD1102" t="s">
        <v>73</v>
      </c>
      <c r="AE1102" t="s">
        <v>77</v>
      </c>
      <c r="AF1102" t="s">
        <v>2228</v>
      </c>
      <c r="AG1102" t="s">
        <v>78</v>
      </c>
    </row>
    <row r="1103" spans="1:33" hidden="1" x14ac:dyDescent="0.25">
      <c r="A1103" t="str">
        <f>"1528004157"</f>
        <v>1528004157</v>
      </c>
      <c r="C1103" t="s">
        <v>6138</v>
      </c>
      <c r="G1103" t="s">
        <v>2224</v>
      </c>
      <c r="H1103" t="s">
        <v>2312</v>
      </c>
      <c r="J1103" t="s">
        <v>2226</v>
      </c>
      <c r="K1103" t="s">
        <v>171</v>
      </c>
      <c r="L1103" t="s">
        <v>72</v>
      </c>
      <c r="M1103" t="s">
        <v>73</v>
      </c>
      <c r="R1103" t="s">
        <v>6139</v>
      </c>
      <c r="S1103" t="s">
        <v>6140</v>
      </c>
      <c r="T1103" t="s">
        <v>91</v>
      </c>
      <c r="U1103" t="s">
        <v>74</v>
      </c>
      <c r="V1103" t="str">
        <f>"100382612"</f>
        <v>100382612</v>
      </c>
      <c r="AC1103" t="s">
        <v>76</v>
      </c>
      <c r="AD1103" t="s">
        <v>73</v>
      </c>
      <c r="AE1103" t="s">
        <v>97</v>
      </c>
      <c r="AF1103" t="s">
        <v>2242</v>
      </c>
      <c r="AG1103" t="s">
        <v>78</v>
      </c>
    </row>
    <row r="1104" spans="1:33" hidden="1" x14ac:dyDescent="0.25">
      <c r="A1104" t="str">
        <f>"1184031544"</f>
        <v>1184031544</v>
      </c>
      <c r="B1104" t="str">
        <f>"04001745"</f>
        <v>04001745</v>
      </c>
      <c r="C1104" t="s">
        <v>6141</v>
      </c>
      <c r="D1104" t="s">
        <v>6142</v>
      </c>
      <c r="E1104" t="s">
        <v>6143</v>
      </c>
      <c r="G1104" t="s">
        <v>2224</v>
      </c>
      <c r="H1104" t="s">
        <v>2312</v>
      </c>
      <c r="J1104" t="s">
        <v>2226</v>
      </c>
      <c r="L1104" t="s">
        <v>72</v>
      </c>
      <c r="M1104" t="s">
        <v>73</v>
      </c>
      <c r="R1104" t="s">
        <v>6144</v>
      </c>
      <c r="W1104" t="s">
        <v>6143</v>
      </c>
      <c r="X1104" t="s">
        <v>167</v>
      </c>
      <c r="Y1104" t="s">
        <v>91</v>
      </c>
      <c r="Z1104" t="s">
        <v>74</v>
      </c>
      <c r="AA1104" t="str">
        <f>"10032-3720"</f>
        <v>10032-3720</v>
      </c>
      <c r="AB1104" t="s">
        <v>75</v>
      </c>
      <c r="AC1104" t="s">
        <v>76</v>
      </c>
      <c r="AD1104" t="s">
        <v>73</v>
      </c>
      <c r="AE1104" t="s">
        <v>77</v>
      </c>
      <c r="AF1104" t="s">
        <v>2228</v>
      </c>
      <c r="AG1104" t="s">
        <v>78</v>
      </c>
    </row>
    <row r="1105" spans="1:33" hidden="1" x14ac:dyDescent="0.25">
      <c r="A1105" t="str">
        <f>"1104909761"</f>
        <v>1104909761</v>
      </c>
      <c r="B1105" t="str">
        <f>"01422513"</f>
        <v>01422513</v>
      </c>
      <c r="C1105" t="s">
        <v>6145</v>
      </c>
      <c r="D1105" t="s">
        <v>6146</v>
      </c>
      <c r="E1105" t="s">
        <v>6147</v>
      </c>
      <c r="L1105" t="s">
        <v>72</v>
      </c>
      <c r="M1105" t="s">
        <v>73</v>
      </c>
      <c r="R1105" t="s">
        <v>6148</v>
      </c>
      <c r="W1105" t="s">
        <v>6149</v>
      </c>
      <c r="Y1105" t="s">
        <v>317</v>
      </c>
      <c r="Z1105" t="s">
        <v>74</v>
      </c>
      <c r="AA1105" t="str">
        <f>"10960-1998"</f>
        <v>10960-1998</v>
      </c>
      <c r="AB1105" t="s">
        <v>75</v>
      </c>
      <c r="AC1105" t="s">
        <v>76</v>
      </c>
      <c r="AD1105" t="s">
        <v>73</v>
      </c>
      <c r="AE1105" t="s">
        <v>77</v>
      </c>
      <c r="AF1105" t="s">
        <v>2228</v>
      </c>
      <c r="AG1105" t="s">
        <v>78</v>
      </c>
    </row>
    <row r="1106" spans="1:33" hidden="1" x14ac:dyDescent="0.25">
      <c r="A1106" t="str">
        <f>"1770758880"</f>
        <v>1770758880</v>
      </c>
      <c r="B1106" t="str">
        <f>"03069752"</f>
        <v>03069752</v>
      </c>
      <c r="C1106" t="s">
        <v>6150</v>
      </c>
      <c r="D1106" t="s">
        <v>6151</v>
      </c>
      <c r="E1106" t="s">
        <v>6152</v>
      </c>
      <c r="L1106" t="s">
        <v>80</v>
      </c>
      <c r="M1106" t="s">
        <v>73</v>
      </c>
      <c r="R1106" t="s">
        <v>6153</v>
      </c>
      <c r="W1106" t="s">
        <v>6154</v>
      </c>
      <c r="X1106" t="s">
        <v>272</v>
      </c>
      <c r="Y1106" t="s">
        <v>91</v>
      </c>
      <c r="Z1106" t="s">
        <v>74</v>
      </c>
      <c r="AA1106" t="str">
        <f>"10038-2612"</f>
        <v>10038-2612</v>
      </c>
      <c r="AB1106" t="s">
        <v>75</v>
      </c>
      <c r="AC1106" t="s">
        <v>76</v>
      </c>
      <c r="AD1106" t="s">
        <v>73</v>
      </c>
      <c r="AE1106" t="s">
        <v>77</v>
      </c>
      <c r="AF1106" t="s">
        <v>2242</v>
      </c>
      <c r="AG1106" t="s">
        <v>78</v>
      </c>
    </row>
    <row r="1107" spans="1:33" hidden="1" x14ac:dyDescent="0.25">
      <c r="A1107" t="str">
        <f>"1538269444"</f>
        <v>1538269444</v>
      </c>
      <c r="B1107" t="str">
        <f>"04034442"</f>
        <v>04034442</v>
      </c>
      <c r="C1107" t="s">
        <v>3674</v>
      </c>
      <c r="D1107" t="s">
        <v>6155</v>
      </c>
      <c r="E1107" t="s">
        <v>3280</v>
      </c>
      <c r="L1107" t="s">
        <v>36</v>
      </c>
      <c r="M1107" t="s">
        <v>73</v>
      </c>
      <c r="R1107" t="s">
        <v>3674</v>
      </c>
      <c r="W1107" t="s">
        <v>3280</v>
      </c>
      <c r="X1107" t="s">
        <v>354</v>
      </c>
      <c r="Y1107" t="s">
        <v>91</v>
      </c>
      <c r="Z1107" t="s">
        <v>74</v>
      </c>
      <c r="AA1107" t="str">
        <f>"10032-3725"</f>
        <v>10032-3725</v>
      </c>
      <c r="AB1107" t="s">
        <v>114</v>
      </c>
      <c r="AC1107" t="s">
        <v>76</v>
      </c>
      <c r="AD1107" t="s">
        <v>73</v>
      </c>
      <c r="AE1107" t="s">
        <v>77</v>
      </c>
      <c r="AG1107" t="s">
        <v>78</v>
      </c>
    </row>
    <row r="1108" spans="1:33" hidden="1" x14ac:dyDescent="0.25">
      <c r="A1108" t="str">
        <f>"1326207275"</f>
        <v>1326207275</v>
      </c>
      <c r="C1108" t="s">
        <v>6156</v>
      </c>
      <c r="G1108" t="s">
        <v>2224</v>
      </c>
      <c r="H1108" t="s">
        <v>2312</v>
      </c>
      <c r="J1108" t="s">
        <v>2226</v>
      </c>
      <c r="K1108" t="s">
        <v>171</v>
      </c>
      <c r="L1108" t="s">
        <v>96</v>
      </c>
      <c r="M1108" t="s">
        <v>73</v>
      </c>
      <c r="R1108" t="s">
        <v>6157</v>
      </c>
      <c r="S1108" t="s">
        <v>6158</v>
      </c>
      <c r="T1108" t="s">
        <v>2110</v>
      </c>
      <c r="U1108" t="s">
        <v>1162</v>
      </c>
      <c r="V1108" t="str">
        <f>"852595452"</f>
        <v>852595452</v>
      </c>
      <c r="AC1108" t="s">
        <v>76</v>
      </c>
      <c r="AD1108" t="s">
        <v>73</v>
      </c>
      <c r="AE1108" t="s">
        <v>97</v>
      </c>
      <c r="AF1108" t="s">
        <v>2228</v>
      </c>
      <c r="AG1108" t="s">
        <v>78</v>
      </c>
    </row>
    <row r="1109" spans="1:33" hidden="1" x14ac:dyDescent="0.25">
      <c r="A1109" t="str">
        <f>"1932203346"</f>
        <v>1932203346</v>
      </c>
      <c r="B1109" t="str">
        <f>"02862802"</f>
        <v>02862802</v>
      </c>
      <c r="C1109" t="s">
        <v>6159</v>
      </c>
      <c r="D1109" t="s">
        <v>6160</v>
      </c>
      <c r="E1109" t="s">
        <v>6161</v>
      </c>
      <c r="L1109" t="s">
        <v>80</v>
      </c>
      <c r="M1109" t="s">
        <v>73</v>
      </c>
      <c r="R1109" t="s">
        <v>3498</v>
      </c>
      <c r="W1109" t="s">
        <v>6161</v>
      </c>
      <c r="X1109" t="s">
        <v>170</v>
      </c>
      <c r="Y1109" t="s">
        <v>91</v>
      </c>
      <c r="Z1109" t="s">
        <v>74</v>
      </c>
      <c r="AA1109" t="str">
        <f>"10065-4870"</f>
        <v>10065-4870</v>
      </c>
      <c r="AB1109" t="s">
        <v>75</v>
      </c>
      <c r="AC1109" t="s">
        <v>76</v>
      </c>
      <c r="AD1109" t="s">
        <v>73</v>
      </c>
      <c r="AE1109" t="s">
        <v>77</v>
      </c>
      <c r="AG1109" t="s">
        <v>78</v>
      </c>
    </row>
    <row r="1110" spans="1:33" hidden="1" x14ac:dyDescent="0.25">
      <c r="A1110" t="str">
        <f>"1821125006"</f>
        <v>1821125006</v>
      </c>
      <c r="B1110" t="str">
        <f>"02761484"</f>
        <v>02761484</v>
      </c>
      <c r="C1110" t="s">
        <v>6162</v>
      </c>
      <c r="D1110" t="s">
        <v>6163</v>
      </c>
      <c r="E1110" t="s">
        <v>6164</v>
      </c>
      <c r="L1110" t="s">
        <v>80</v>
      </c>
      <c r="M1110" t="s">
        <v>73</v>
      </c>
      <c r="R1110" t="s">
        <v>6164</v>
      </c>
      <c r="W1110" t="s">
        <v>6164</v>
      </c>
      <c r="X1110" t="s">
        <v>170</v>
      </c>
      <c r="Y1110" t="s">
        <v>91</v>
      </c>
      <c r="Z1110" t="s">
        <v>74</v>
      </c>
      <c r="AA1110" t="str">
        <f>"10065-4870"</f>
        <v>10065-4870</v>
      </c>
      <c r="AB1110" t="s">
        <v>75</v>
      </c>
      <c r="AC1110" t="s">
        <v>76</v>
      </c>
      <c r="AD1110" t="s">
        <v>73</v>
      </c>
      <c r="AE1110" t="s">
        <v>77</v>
      </c>
      <c r="AF1110" t="s">
        <v>2228</v>
      </c>
      <c r="AG1110" t="s">
        <v>78</v>
      </c>
    </row>
    <row r="1111" spans="1:33" hidden="1" x14ac:dyDescent="0.25">
      <c r="A1111" t="str">
        <f>"1598804858"</f>
        <v>1598804858</v>
      </c>
      <c r="B1111" t="str">
        <f>"01970598"</f>
        <v>01970598</v>
      </c>
      <c r="C1111" t="s">
        <v>6165</v>
      </c>
      <c r="D1111" t="s">
        <v>6166</v>
      </c>
      <c r="E1111" t="s">
        <v>6167</v>
      </c>
      <c r="L1111" t="s">
        <v>80</v>
      </c>
      <c r="M1111" t="s">
        <v>73</v>
      </c>
      <c r="R1111" t="s">
        <v>6168</v>
      </c>
      <c r="W1111" t="s">
        <v>6167</v>
      </c>
      <c r="X1111" t="s">
        <v>6167</v>
      </c>
      <c r="Y1111" t="s">
        <v>91</v>
      </c>
      <c r="Z1111" t="s">
        <v>74</v>
      </c>
      <c r="AA1111" t="str">
        <f>"10032-3720"</f>
        <v>10032-3720</v>
      </c>
      <c r="AB1111" t="s">
        <v>75</v>
      </c>
      <c r="AC1111" t="s">
        <v>76</v>
      </c>
      <c r="AD1111" t="s">
        <v>73</v>
      </c>
      <c r="AE1111" t="s">
        <v>77</v>
      </c>
      <c r="AF1111" t="s">
        <v>2228</v>
      </c>
      <c r="AG1111" t="s">
        <v>78</v>
      </c>
    </row>
    <row r="1112" spans="1:33" hidden="1" x14ac:dyDescent="0.25">
      <c r="A1112" t="str">
        <f>"1952438863"</f>
        <v>1952438863</v>
      </c>
      <c r="B1112" t="str">
        <f>"02862935"</f>
        <v>02862935</v>
      </c>
      <c r="C1112" t="s">
        <v>6169</v>
      </c>
      <c r="D1112" t="s">
        <v>6170</v>
      </c>
      <c r="E1112" t="s">
        <v>6171</v>
      </c>
      <c r="L1112" t="s">
        <v>80</v>
      </c>
      <c r="M1112" t="s">
        <v>73</v>
      </c>
      <c r="R1112" t="s">
        <v>6171</v>
      </c>
      <c r="W1112" t="s">
        <v>6171</v>
      </c>
      <c r="X1112" t="s">
        <v>354</v>
      </c>
      <c r="Y1112" t="s">
        <v>91</v>
      </c>
      <c r="Z1112" t="s">
        <v>74</v>
      </c>
      <c r="AA1112" t="str">
        <f>"10032-3725"</f>
        <v>10032-3725</v>
      </c>
      <c r="AB1112" t="s">
        <v>75</v>
      </c>
      <c r="AC1112" t="s">
        <v>76</v>
      </c>
      <c r="AD1112" t="s">
        <v>73</v>
      </c>
      <c r="AE1112" t="s">
        <v>77</v>
      </c>
      <c r="AF1112" t="s">
        <v>2228</v>
      </c>
      <c r="AG1112" t="s">
        <v>78</v>
      </c>
    </row>
    <row r="1113" spans="1:33" hidden="1" x14ac:dyDescent="0.25">
      <c r="A1113" t="str">
        <f>"1346409216"</f>
        <v>1346409216</v>
      </c>
      <c r="C1113" t="s">
        <v>6172</v>
      </c>
      <c r="G1113" t="s">
        <v>2224</v>
      </c>
      <c r="H1113" t="s">
        <v>2312</v>
      </c>
      <c r="J1113" t="s">
        <v>2226</v>
      </c>
      <c r="K1113" t="s">
        <v>171</v>
      </c>
      <c r="L1113" t="s">
        <v>72</v>
      </c>
      <c r="M1113" t="s">
        <v>73</v>
      </c>
      <c r="R1113" t="s">
        <v>6173</v>
      </c>
      <c r="S1113" t="s">
        <v>2770</v>
      </c>
      <c r="T1113" t="s">
        <v>91</v>
      </c>
      <c r="U1113" t="s">
        <v>74</v>
      </c>
      <c r="V1113" t="str">
        <f>"100323720"</f>
        <v>100323720</v>
      </c>
      <c r="AC1113" t="s">
        <v>76</v>
      </c>
      <c r="AD1113" t="s">
        <v>73</v>
      </c>
      <c r="AE1113" t="s">
        <v>97</v>
      </c>
      <c r="AF1113" t="s">
        <v>2228</v>
      </c>
      <c r="AG1113" t="s">
        <v>78</v>
      </c>
    </row>
    <row r="1114" spans="1:33" hidden="1" x14ac:dyDescent="0.25">
      <c r="A1114" t="str">
        <f>"1851428841"</f>
        <v>1851428841</v>
      </c>
      <c r="B1114" t="str">
        <f>"02862820"</f>
        <v>02862820</v>
      </c>
      <c r="C1114" t="s">
        <v>6174</v>
      </c>
      <c r="D1114" t="s">
        <v>6175</v>
      </c>
      <c r="E1114" t="s">
        <v>6176</v>
      </c>
      <c r="L1114" t="s">
        <v>80</v>
      </c>
      <c r="M1114" t="s">
        <v>73</v>
      </c>
      <c r="R1114" t="s">
        <v>6177</v>
      </c>
      <c r="W1114" t="s">
        <v>6176</v>
      </c>
      <c r="X1114" t="s">
        <v>3477</v>
      </c>
      <c r="Y1114" t="s">
        <v>91</v>
      </c>
      <c r="Z1114" t="s">
        <v>74</v>
      </c>
      <c r="AA1114" t="str">
        <f>"10032-3725"</f>
        <v>10032-3725</v>
      </c>
      <c r="AB1114" t="s">
        <v>75</v>
      </c>
      <c r="AC1114" t="s">
        <v>76</v>
      </c>
      <c r="AD1114" t="s">
        <v>73</v>
      </c>
      <c r="AE1114" t="s">
        <v>77</v>
      </c>
      <c r="AF1114" t="s">
        <v>2228</v>
      </c>
      <c r="AG1114" t="s">
        <v>78</v>
      </c>
    </row>
    <row r="1115" spans="1:33" hidden="1" x14ac:dyDescent="0.25">
      <c r="A1115" t="str">
        <f>"1164624201"</f>
        <v>1164624201</v>
      </c>
      <c r="B1115" t="str">
        <f>"03339571"</f>
        <v>03339571</v>
      </c>
      <c r="C1115" t="s">
        <v>6178</v>
      </c>
      <c r="D1115" t="s">
        <v>6179</v>
      </c>
      <c r="E1115" t="s">
        <v>6180</v>
      </c>
      <c r="L1115" t="s">
        <v>80</v>
      </c>
      <c r="M1115" t="s">
        <v>73</v>
      </c>
      <c r="R1115" t="s">
        <v>6181</v>
      </c>
      <c r="W1115" t="s">
        <v>6180</v>
      </c>
      <c r="X1115" t="s">
        <v>170</v>
      </c>
      <c r="Y1115" t="s">
        <v>91</v>
      </c>
      <c r="Z1115" t="s">
        <v>74</v>
      </c>
      <c r="AA1115" t="str">
        <f>"10065-4870"</f>
        <v>10065-4870</v>
      </c>
      <c r="AB1115" t="s">
        <v>75</v>
      </c>
      <c r="AC1115" t="s">
        <v>76</v>
      </c>
      <c r="AD1115" t="s">
        <v>73</v>
      </c>
      <c r="AE1115" t="s">
        <v>77</v>
      </c>
      <c r="AF1115" t="s">
        <v>2242</v>
      </c>
      <c r="AG1115" t="s">
        <v>78</v>
      </c>
    </row>
    <row r="1116" spans="1:33" hidden="1" x14ac:dyDescent="0.25">
      <c r="A1116" t="str">
        <f>"1659400364"</f>
        <v>1659400364</v>
      </c>
      <c r="B1116" t="str">
        <f>"02904034"</f>
        <v>02904034</v>
      </c>
      <c r="C1116" t="s">
        <v>6182</v>
      </c>
      <c r="D1116" t="s">
        <v>6183</v>
      </c>
      <c r="E1116" t="s">
        <v>6184</v>
      </c>
      <c r="L1116" t="s">
        <v>80</v>
      </c>
      <c r="M1116" t="s">
        <v>73</v>
      </c>
      <c r="R1116" t="s">
        <v>6185</v>
      </c>
      <c r="W1116" t="s">
        <v>6184</v>
      </c>
      <c r="X1116" t="s">
        <v>170</v>
      </c>
      <c r="Y1116" t="s">
        <v>91</v>
      </c>
      <c r="Z1116" t="s">
        <v>74</v>
      </c>
      <c r="AA1116" t="str">
        <f>"10065-4870"</f>
        <v>10065-4870</v>
      </c>
      <c r="AB1116" t="s">
        <v>75</v>
      </c>
      <c r="AC1116" t="s">
        <v>76</v>
      </c>
      <c r="AD1116" t="s">
        <v>73</v>
      </c>
      <c r="AE1116" t="s">
        <v>77</v>
      </c>
      <c r="AF1116" t="s">
        <v>2242</v>
      </c>
      <c r="AG1116" t="s">
        <v>78</v>
      </c>
    </row>
    <row r="1117" spans="1:33" hidden="1" x14ac:dyDescent="0.25">
      <c r="A1117" t="str">
        <f>"1558440123"</f>
        <v>1558440123</v>
      </c>
      <c r="B1117" t="str">
        <f>"02444879"</f>
        <v>02444879</v>
      </c>
      <c r="C1117" t="s">
        <v>6186</v>
      </c>
      <c r="D1117" t="s">
        <v>6187</v>
      </c>
      <c r="E1117" t="s">
        <v>4598</v>
      </c>
      <c r="L1117" t="s">
        <v>96</v>
      </c>
      <c r="M1117" t="s">
        <v>73</v>
      </c>
      <c r="R1117" t="s">
        <v>6186</v>
      </c>
      <c r="W1117" t="s">
        <v>4598</v>
      </c>
      <c r="X1117" t="s">
        <v>354</v>
      </c>
      <c r="Y1117" t="s">
        <v>91</v>
      </c>
      <c r="Z1117" t="s">
        <v>74</v>
      </c>
      <c r="AA1117" t="str">
        <f>"10032-3725"</f>
        <v>10032-3725</v>
      </c>
      <c r="AB1117" t="s">
        <v>114</v>
      </c>
      <c r="AC1117" t="s">
        <v>76</v>
      </c>
      <c r="AD1117" t="s">
        <v>73</v>
      </c>
      <c r="AE1117" t="s">
        <v>77</v>
      </c>
      <c r="AG1117" t="s">
        <v>78</v>
      </c>
    </row>
    <row r="1118" spans="1:33" hidden="1" x14ac:dyDescent="0.25">
      <c r="A1118" t="str">
        <f>"1073607800"</f>
        <v>1073607800</v>
      </c>
      <c r="B1118" t="str">
        <f>"03057352"</f>
        <v>03057352</v>
      </c>
      <c r="C1118" t="s">
        <v>6188</v>
      </c>
      <c r="D1118" t="s">
        <v>6189</v>
      </c>
      <c r="E1118" t="s">
        <v>6190</v>
      </c>
      <c r="L1118" t="s">
        <v>96</v>
      </c>
      <c r="M1118" t="s">
        <v>73</v>
      </c>
      <c r="R1118" t="s">
        <v>6191</v>
      </c>
      <c r="W1118" t="s">
        <v>6190</v>
      </c>
      <c r="X1118" t="s">
        <v>6192</v>
      </c>
      <c r="Y1118" t="s">
        <v>91</v>
      </c>
      <c r="Z1118" t="s">
        <v>74</v>
      </c>
      <c r="AA1118" t="str">
        <f>"10065-4870"</f>
        <v>10065-4870</v>
      </c>
      <c r="AB1118" t="s">
        <v>75</v>
      </c>
      <c r="AC1118" t="s">
        <v>76</v>
      </c>
      <c r="AD1118" t="s">
        <v>73</v>
      </c>
      <c r="AE1118" t="s">
        <v>77</v>
      </c>
      <c r="AF1118" t="s">
        <v>2242</v>
      </c>
      <c r="AG1118" t="s">
        <v>78</v>
      </c>
    </row>
    <row r="1119" spans="1:33" hidden="1" x14ac:dyDescent="0.25">
      <c r="A1119" t="str">
        <f>"1336109487"</f>
        <v>1336109487</v>
      </c>
      <c r="B1119" t="str">
        <f>"01475290"</f>
        <v>01475290</v>
      </c>
      <c r="C1119" t="s">
        <v>6193</v>
      </c>
      <c r="D1119" t="s">
        <v>6194</v>
      </c>
      <c r="E1119" t="s">
        <v>6195</v>
      </c>
      <c r="G1119" t="s">
        <v>2224</v>
      </c>
      <c r="H1119" t="s">
        <v>2225</v>
      </c>
      <c r="J1119" t="s">
        <v>2226</v>
      </c>
      <c r="L1119" t="s">
        <v>100</v>
      </c>
      <c r="M1119" t="s">
        <v>73</v>
      </c>
      <c r="R1119" t="s">
        <v>6196</v>
      </c>
      <c r="W1119" t="s">
        <v>6195</v>
      </c>
      <c r="X1119" t="s">
        <v>6197</v>
      </c>
      <c r="Y1119" t="s">
        <v>84</v>
      </c>
      <c r="Z1119" t="s">
        <v>74</v>
      </c>
      <c r="AA1119" t="str">
        <f>"11215-1405"</f>
        <v>11215-1405</v>
      </c>
      <c r="AB1119" t="s">
        <v>113</v>
      </c>
      <c r="AC1119" t="s">
        <v>76</v>
      </c>
      <c r="AD1119" t="s">
        <v>73</v>
      </c>
      <c r="AE1119" t="s">
        <v>77</v>
      </c>
      <c r="AF1119" t="s">
        <v>2228</v>
      </c>
      <c r="AG1119" t="s">
        <v>78</v>
      </c>
    </row>
    <row r="1120" spans="1:33" hidden="1" x14ac:dyDescent="0.25">
      <c r="A1120" t="str">
        <f>"1801059068"</f>
        <v>1801059068</v>
      </c>
      <c r="B1120" t="str">
        <f>"03041178"</f>
        <v>03041178</v>
      </c>
      <c r="C1120" t="s">
        <v>6198</v>
      </c>
      <c r="D1120" t="s">
        <v>6199</v>
      </c>
      <c r="E1120" t="s">
        <v>6200</v>
      </c>
      <c r="G1120" t="s">
        <v>2224</v>
      </c>
      <c r="H1120" t="s">
        <v>2225</v>
      </c>
      <c r="J1120" t="s">
        <v>2226</v>
      </c>
      <c r="L1120" t="s">
        <v>72</v>
      </c>
      <c r="M1120" t="s">
        <v>73</v>
      </c>
      <c r="R1120" t="s">
        <v>6201</v>
      </c>
      <c r="W1120" t="s">
        <v>6202</v>
      </c>
      <c r="X1120" t="s">
        <v>167</v>
      </c>
      <c r="Y1120" t="s">
        <v>91</v>
      </c>
      <c r="Z1120" t="s">
        <v>74</v>
      </c>
      <c r="AA1120" t="str">
        <f>"10032-3720"</f>
        <v>10032-3720</v>
      </c>
      <c r="AB1120" t="s">
        <v>75</v>
      </c>
      <c r="AC1120" t="s">
        <v>76</v>
      </c>
      <c r="AD1120" t="s">
        <v>73</v>
      </c>
      <c r="AE1120" t="s">
        <v>77</v>
      </c>
      <c r="AF1120" t="s">
        <v>2234</v>
      </c>
      <c r="AG1120" t="s">
        <v>78</v>
      </c>
    </row>
    <row r="1121" spans="1:33" hidden="1" x14ac:dyDescent="0.25">
      <c r="A1121" t="str">
        <f>"1548277619"</f>
        <v>1548277619</v>
      </c>
      <c r="B1121" t="str">
        <f>"01702905"</f>
        <v>01702905</v>
      </c>
      <c r="C1121" t="s">
        <v>6203</v>
      </c>
      <c r="D1121" t="s">
        <v>6204</v>
      </c>
      <c r="E1121" t="s">
        <v>6205</v>
      </c>
      <c r="G1121" t="s">
        <v>2224</v>
      </c>
      <c r="H1121" t="s">
        <v>2225</v>
      </c>
      <c r="J1121" t="s">
        <v>2226</v>
      </c>
      <c r="L1121" t="s">
        <v>80</v>
      </c>
      <c r="M1121" t="s">
        <v>73</v>
      </c>
      <c r="R1121" t="s">
        <v>6206</v>
      </c>
      <c r="W1121" t="s">
        <v>6205</v>
      </c>
      <c r="Y1121" t="s">
        <v>91</v>
      </c>
      <c r="Z1121" t="s">
        <v>74</v>
      </c>
      <c r="AA1121" t="str">
        <f>"10029-6500"</f>
        <v>10029-6500</v>
      </c>
      <c r="AB1121" t="s">
        <v>75</v>
      </c>
      <c r="AC1121" t="s">
        <v>76</v>
      </c>
      <c r="AD1121" t="s">
        <v>73</v>
      </c>
      <c r="AE1121" t="s">
        <v>77</v>
      </c>
      <c r="AF1121" t="s">
        <v>2228</v>
      </c>
      <c r="AG1121" t="s">
        <v>78</v>
      </c>
    </row>
    <row r="1122" spans="1:33" hidden="1" x14ac:dyDescent="0.25">
      <c r="A1122" t="str">
        <f>"1245291319"</f>
        <v>1245291319</v>
      </c>
      <c r="B1122" t="str">
        <f>"01544729"</f>
        <v>01544729</v>
      </c>
      <c r="C1122" t="s">
        <v>6207</v>
      </c>
      <c r="D1122" t="s">
        <v>581</v>
      </c>
      <c r="E1122" t="s">
        <v>582</v>
      </c>
      <c r="G1122" t="s">
        <v>2224</v>
      </c>
      <c r="H1122" t="s">
        <v>2225</v>
      </c>
      <c r="J1122" t="s">
        <v>2226</v>
      </c>
      <c r="L1122" t="s">
        <v>80</v>
      </c>
      <c r="M1122" t="s">
        <v>82</v>
      </c>
      <c r="R1122" t="s">
        <v>583</v>
      </c>
      <c r="W1122" t="s">
        <v>582</v>
      </c>
      <c r="X1122" t="s">
        <v>512</v>
      </c>
      <c r="Y1122" t="s">
        <v>513</v>
      </c>
      <c r="Z1122" t="s">
        <v>74</v>
      </c>
      <c r="AA1122" t="str">
        <f>"13326-1394"</f>
        <v>13326-1394</v>
      </c>
      <c r="AB1122" t="s">
        <v>75</v>
      </c>
      <c r="AC1122" t="s">
        <v>76</v>
      </c>
      <c r="AD1122" t="s">
        <v>73</v>
      </c>
      <c r="AE1122" t="s">
        <v>77</v>
      </c>
      <c r="AF1122" t="s">
        <v>2254</v>
      </c>
      <c r="AG1122" t="s">
        <v>78</v>
      </c>
    </row>
    <row r="1123" spans="1:33" hidden="1" x14ac:dyDescent="0.25">
      <c r="A1123" t="str">
        <f>"1881707388"</f>
        <v>1881707388</v>
      </c>
      <c r="B1123" t="str">
        <f>"02791362"</f>
        <v>02791362</v>
      </c>
      <c r="C1123" t="s">
        <v>6208</v>
      </c>
      <c r="D1123" t="s">
        <v>6209</v>
      </c>
      <c r="E1123" t="s">
        <v>6210</v>
      </c>
      <c r="G1123" t="s">
        <v>2224</v>
      </c>
      <c r="H1123" t="s">
        <v>2225</v>
      </c>
      <c r="J1123" t="s">
        <v>2226</v>
      </c>
      <c r="L1123" t="s">
        <v>81</v>
      </c>
      <c r="M1123" t="s">
        <v>82</v>
      </c>
      <c r="R1123" t="s">
        <v>6210</v>
      </c>
      <c r="W1123" t="s">
        <v>6211</v>
      </c>
      <c r="X1123" t="s">
        <v>193</v>
      </c>
      <c r="Y1123" t="s">
        <v>118</v>
      </c>
      <c r="Z1123" t="s">
        <v>74</v>
      </c>
      <c r="AA1123" t="str">
        <f>"10467-2401"</f>
        <v>10467-2401</v>
      </c>
      <c r="AB1123" t="s">
        <v>75</v>
      </c>
      <c r="AC1123" t="s">
        <v>76</v>
      </c>
      <c r="AD1123" t="s">
        <v>73</v>
      </c>
      <c r="AE1123" t="s">
        <v>77</v>
      </c>
      <c r="AF1123" t="s">
        <v>2398</v>
      </c>
      <c r="AG1123" t="s">
        <v>78</v>
      </c>
    </row>
    <row r="1124" spans="1:33" hidden="1" x14ac:dyDescent="0.25">
      <c r="A1124" t="str">
        <f>"1356428437"</f>
        <v>1356428437</v>
      </c>
      <c r="B1124" t="str">
        <f>"01634913"</f>
        <v>01634913</v>
      </c>
      <c r="C1124" t="s">
        <v>6212</v>
      </c>
      <c r="D1124" t="s">
        <v>6213</v>
      </c>
      <c r="E1124" t="s">
        <v>6214</v>
      </c>
      <c r="G1124" t="s">
        <v>2224</v>
      </c>
      <c r="H1124" t="s">
        <v>2225</v>
      </c>
      <c r="J1124" t="s">
        <v>2226</v>
      </c>
      <c r="L1124" t="s">
        <v>80</v>
      </c>
      <c r="M1124" t="s">
        <v>73</v>
      </c>
      <c r="R1124" t="s">
        <v>6215</v>
      </c>
      <c r="W1124" t="s">
        <v>6214</v>
      </c>
      <c r="X1124" t="s">
        <v>559</v>
      </c>
      <c r="Y1124" t="s">
        <v>91</v>
      </c>
      <c r="Z1124" t="s">
        <v>74</v>
      </c>
      <c r="AA1124" t="str">
        <f>"10032-3720"</f>
        <v>10032-3720</v>
      </c>
      <c r="AB1124" t="s">
        <v>75</v>
      </c>
      <c r="AC1124" t="s">
        <v>76</v>
      </c>
      <c r="AD1124" t="s">
        <v>73</v>
      </c>
      <c r="AE1124" t="s">
        <v>77</v>
      </c>
      <c r="AF1124" t="s">
        <v>2254</v>
      </c>
      <c r="AG1124" t="s">
        <v>78</v>
      </c>
    </row>
    <row r="1125" spans="1:33" hidden="1" x14ac:dyDescent="0.25">
      <c r="A1125" t="str">
        <f>"1598852675"</f>
        <v>1598852675</v>
      </c>
      <c r="B1125" t="str">
        <f>"02131813"</f>
        <v>02131813</v>
      </c>
      <c r="C1125" t="s">
        <v>6216</v>
      </c>
      <c r="D1125" t="s">
        <v>6217</v>
      </c>
      <c r="E1125" t="s">
        <v>6218</v>
      </c>
      <c r="G1125" t="s">
        <v>2224</v>
      </c>
      <c r="H1125" t="s">
        <v>2225</v>
      </c>
      <c r="J1125" t="s">
        <v>2226</v>
      </c>
      <c r="L1125" t="s">
        <v>80</v>
      </c>
      <c r="M1125" t="s">
        <v>73</v>
      </c>
      <c r="R1125" t="s">
        <v>6219</v>
      </c>
      <c r="W1125" t="s">
        <v>6218</v>
      </c>
      <c r="X1125" t="s">
        <v>1583</v>
      </c>
      <c r="Y1125" t="s">
        <v>91</v>
      </c>
      <c r="Z1125" t="s">
        <v>74</v>
      </c>
      <c r="AA1125" t="str">
        <f>"10021-9800"</f>
        <v>10021-9800</v>
      </c>
      <c r="AB1125" t="s">
        <v>75</v>
      </c>
      <c r="AC1125" t="s">
        <v>76</v>
      </c>
      <c r="AD1125" t="s">
        <v>73</v>
      </c>
      <c r="AE1125" t="s">
        <v>77</v>
      </c>
      <c r="AF1125" t="s">
        <v>2242</v>
      </c>
      <c r="AG1125" t="s">
        <v>78</v>
      </c>
    </row>
    <row r="1126" spans="1:33" hidden="1" x14ac:dyDescent="0.25">
      <c r="A1126" t="str">
        <f>"1073524369"</f>
        <v>1073524369</v>
      </c>
      <c r="B1126" t="str">
        <f>"02441918"</f>
        <v>02441918</v>
      </c>
      <c r="C1126" t="s">
        <v>3674</v>
      </c>
      <c r="D1126" t="s">
        <v>6220</v>
      </c>
      <c r="E1126" t="s">
        <v>3280</v>
      </c>
      <c r="L1126" t="s">
        <v>36</v>
      </c>
      <c r="M1126" t="s">
        <v>73</v>
      </c>
      <c r="R1126" t="s">
        <v>3674</v>
      </c>
      <c r="W1126" t="s">
        <v>3280</v>
      </c>
      <c r="X1126" t="s">
        <v>1379</v>
      </c>
      <c r="Y1126" t="s">
        <v>91</v>
      </c>
      <c r="Z1126" t="s">
        <v>74</v>
      </c>
      <c r="AA1126" t="str">
        <f>"10032-3720"</f>
        <v>10032-3720</v>
      </c>
      <c r="AB1126" t="s">
        <v>114</v>
      </c>
      <c r="AC1126" t="s">
        <v>76</v>
      </c>
      <c r="AD1126" t="s">
        <v>73</v>
      </c>
      <c r="AE1126" t="s">
        <v>77</v>
      </c>
      <c r="AG1126" t="s">
        <v>78</v>
      </c>
    </row>
    <row r="1127" spans="1:33" hidden="1" x14ac:dyDescent="0.25">
      <c r="A1127" t="str">
        <f>"1336365196"</f>
        <v>1336365196</v>
      </c>
      <c r="B1127" t="str">
        <f>"03022286"</f>
        <v>03022286</v>
      </c>
      <c r="C1127" t="s">
        <v>6221</v>
      </c>
      <c r="D1127" t="s">
        <v>6222</v>
      </c>
      <c r="E1127" t="s">
        <v>6223</v>
      </c>
      <c r="G1127" t="s">
        <v>2224</v>
      </c>
      <c r="H1127" t="s">
        <v>2225</v>
      </c>
      <c r="J1127" t="s">
        <v>2226</v>
      </c>
      <c r="L1127" t="s">
        <v>72</v>
      </c>
      <c r="M1127" t="s">
        <v>73</v>
      </c>
      <c r="R1127" t="s">
        <v>6224</v>
      </c>
      <c r="W1127" t="s">
        <v>6223</v>
      </c>
      <c r="X1127" t="s">
        <v>170</v>
      </c>
      <c r="Y1127" t="s">
        <v>91</v>
      </c>
      <c r="Z1127" t="s">
        <v>74</v>
      </c>
      <c r="AA1127" t="str">
        <f>"10065-4870"</f>
        <v>10065-4870</v>
      </c>
      <c r="AB1127" t="s">
        <v>75</v>
      </c>
      <c r="AC1127" t="s">
        <v>76</v>
      </c>
      <c r="AD1127" t="s">
        <v>73</v>
      </c>
      <c r="AE1127" t="s">
        <v>77</v>
      </c>
      <c r="AF1127" t="s">
        <v>2242</v>
      </c>
      <c r="AG1127" t="s">
        <v>78</v>
      </c>
    </row>
    <row r="1128" spans="1:33" hidden="1" x14ac:dyDescent="0.25">
      <c r="A1128" t="str">
        <f>"1033145255"</f>
        <v>1033145255</v>
      </c>
      <c r="B1128" t="str">
        <f>"02953666"</f>
        <v>02953666</v>
      </c>
      <c r="C1128" t="s">
        <v>6225</v>
      </c>
      <c r="D1128" t="s">
        <v>6226</v>
      </c>
      <c r="E1128" t="s">
        <v>6227</v>
      </c>
      <c r="G1128" t="s">
        <v>2224</v>
      </c>
      <c r="H1128" t="s">
        <v>2225</v>
      </c>
      <c r="J1128" t="s">
        <v>2226</v>
      </c>
      <c r="L1128" t="s">
        <v>72</v>
      </c>
      <c r="M1128" t="s">
        <v>73</v>
      </c>
      <c r="R1128" t="s">
        <v>6227</v>
      </c>
      <c r="W1128" t="s">
        <v>6227</v>
      </c>
      <c r="X1128" t="s">
        <v>6228</v>
      </c>
      <c r="Y1128" t="s">
        <v>166</v>
      </c>
      <c r="Z1128" t="s">
        <v>74</v>
      </c>
      <c r="AA1128" t="str">
        <f>"11542-2515"</f>
        <v>11542-2515</v>
      </c>
      <c r="AB1128" t="s">
        <v>75</v>
      </c>
      <c r="AC1128" t="s">
        <v>76</v>
      </c>
      <c r="AD1128" t="s">
        <v>73</v>
      </c>
      <c r="AE1128" t="s">
        <v>77</v>
      </c>
      <c r="AF1128" t="s">
        <v>2228</v>
      </c>
      <c r="AG1128" t="s">
        <v>78</v>
      </c>
    </row>
    <row r="1129" spans="1:33" hidden="1" x14ac:dyDescent="0.25">
      <c r="A1129" t="str">
        <f>"1306853205"</f>
        <v>1306853205</v>
      </c>
      <c r="B1129" t="str">
        <f>"00606491"</f>
        <v>00606491</v>
      </c>
      <c r="C1129" t="s">
        <v>6229</v>
      </c>
      <c r="D1129" t="s">
        <v>6230</v>
      </c>
      <c r="E1129" t="s">
        <v>6231</v>
      </c>
      <c r="G1129" t="s">
        <v>2224</v>
      </c>
      <c r="H1129" t="s">
        <v>2225</v>
      </c>
      <c r="J1129" t="s">
        <v>2226</v>
      </c>
      <c r="L1129" t="s">
        <v>88</v>
      </c>
      <c r="M1129" t="s">
        <v>73</v>
      </c>
      <c r="R1129" t="s">
        <v>6232</v>
      </c>
      <c r="W1129" t="s">
        <v>6231</v>
      </c>
      <c r="X1129" t="s">
        <v>1698</v>
      </c>
      <c r="Y1129" t="s">
        <v>91</v>
      </c>
      <c r="Z1129" t="s">
        <v>74</v>
      </c>
      <c r="AA1129" t="str">
        <f>"10032-3725"</f>
        <v>10032-3725</v>
      </c>
      <c r="AB1129" t="s">
        <v>75</v>
      </c>
      <c r="AC1129" t="s">
        <v>76</v>
      </c>
      <c r="AD1129" t="s">
        <v>73</v>
      </c>
      <c r="AE1129" t="s">
        <v>77</v>
      </c>
      <c r="AF1129" t="s">
        <v>2254</v>
      </c>
      <c r="AG1129" t="s">
        <v>78</v>
      </c>
    </row>
    <row r="1130" spans="1:33" hidden="1" x14ac:dyDescent="0.25">
      <c r="A1130" t="str">
        <f>"1053671826"</f>
        <v>1053671826</v>
      </c>
      <c r="B1130" t="str">
        <f>"03484571"</f>
        <v>03484571</v>
      </c>
      <c r="C1130" t="s">
        <v>6233</v>
      </c>
      <c r="D1130" t="s">
        <v>6234</v>
      </c>
      <c r="E1130" t="s">
        <v>6235</v>
      </c>
      <c r="G1130" t="s">
        <v>2224</v>
      </c>
      <c r="H1130" t="s">
        <v>6236</v>
      </c>
      <c r="J1130" t="s">
        <v>2226</v>
      </c>
      <c r="L1130" t="s">
        <v>72</v>
      </c>
      <c r="M1130" t="s">
        <v>73</v>
      </c>
      <c r="R1130" t="s">
        <v>6237</v>
      </c>
      <c r="W1130" t="s">
        <v>6238</v>
      </c>
      <c r="X1130" t="s">
        <v>170</v>
      </c>
      <c r="Y1130" t="s">
        <v>91</v>
      </c>
      <c r="Z1130" t="s">
        <v>74</v>
      </c>
      <c r="AA1130" t="str">
        <f>"10065-4870"</f>
        <v>10065-4870</v>
      </c>
      <c r="AB1130" t="s">
        <v>75</v>
      </c>
      <c r="AC1130" t="s">
        <v>76</v>
      </c>
      <c r="AD1130" t="s">
        <v>73</v>
      </c>
      <c r="AE1130" t="s">
        <v>77</v>
      </c>
      <c r="AF1130" t="s">
        <v>2242</v>
      </c>
      <c r="AG1130" t="s">
        <v>78</v>
      </c>
    </row>
    <row r="1131" spans="1:33" hidden="1" x14ac:dyDescent="0.25">
      <c r="A1131" t="str">
        <f>"1154421485"</f>
        <v>1154421485</v>
      </c>
      <c r="B1131" t="str">
        <f>"02329555"</f>
        <v>02329555</v>
      </c>
      <c r="C1131" t="s">
        <v>6239</v>
      </c>
      <c r="D1131" t="s">
        <v>6240</v>
      </c>
      <c r="E1131" t="s">
        <v>6241</v>
      </c>
      <c r="G1131" t="s">
        <v>2224</v>
      </c>
      <c r="H1131" t="s">
        <v>2225</v>
      </c>
      <c r="J1131" t="s">
        <v>2226</v>
      </c>
      <c r="L1131" t="s">
        <v>72</v>
      </c>
      <c r="M1131" t="s">
        <v>73</v>
      </c>
      <c r="R1131" t="s">
        <v>6242</v>
      </c>
      <c r="W1131" t="s">
        <v>6243</v>
      </c>
      <c r="X1131" t="s">
        <v>183</v>
      </c>
      <c r="Y1131" t="s">
        <v>91</v>
      </c>
      <c r="Z1131" t="s">
        <v>74</v>
      </c>
      <c r="AA1131" t="str">
        <f>"10032-3729"</f>
        <v>10032-3729</v>
      </c>
      <c r="AB1131" t="s">
        <v>75</v>
      </c>
      <c r="AC1131" t="s">
        <v>76</v>
      </c>
      <c r="AD1131" t="s">
        <v>73</v>
      </c>
      <c r="AE1131" t="s">
        <v>77</v>
      </c>
      <c r="AF1131" t="s">
        <v>2228</v>
      </c>
      <c r="AG1131" t="s">
        <v>78</v>
      </c>
    </row>
    <row r="1132" spans="1:33" hidden="1" x14ac:dyDescent="0.25">
      <c r="A1132" t="str">
        <f>"1528259298"</f>
        <v>1528259298</v>
      </c>
      <c r="B1132" t="str">
        <f>"03226804"</f>
        <v>03226804</v>
      </c>
      <c r="C1132" t="s">
        <v>6244</v>
      </c>
      <c r="D1132" t="s">
        <v>6245</v>
      </c>
      <c r="E1132" t="s">
        <v>6246</v>
      </c>
      <c r="L1132" t="s">
        <v>80</v>
      </c>
      <c r="M1132" t="s">
        <v>73</v>
      </c>
      <c r="R1132" t="s">
        <v>6247</v>
      </c>
      <c r="W1132" t="s">
        <v>6248</v>
      </c>
      <c r="X1132" t="s">
        <v>170</v>
      </c>
      <c r="Y1132" t="s">
        <v>91</v>
      </c>
      <c r="Z1132" t="s">
        <v>74</v>
      </c>
      <c r="AA1132" t="str">
        <f>"10065-4870"</f>
        <v>10065-4870</v>
      </c>
      <c r="AB1132" t="s">
        <v>75</v>
      </c>
      <c r="AC1132" t="s">
        <v>76</v>
      </c>
      <c r="AD1132" t="s">
        <v>73</v>
      </c>
      <c r="AE1132" t="s">
        <v>77</v>
      </c>
      <c r="AF1132" t="s">
        <v>2242</v>
      </c>
      <c r="AG1132" t="s">
        <v>78</v>
      </c>
    </row>
    <row r="1133" spans="1:33" hidden="1" x14ac:dyDescent="0.25">
      <c r="A1133" t="str">
        <f>"1255366647"</f>
        <v>1255366647</v>
      </c>
      <c r="B1133" t="str">
        <f>"01369951"</f>
        <v>01369951</v>
      </c>
      <c r="C1133" t="s">
        <v>6249</v>
      </c>
      <c r="D1133" t="s">
        <v>6250</v>
      </c>
      <c r="E1133" t="s">
        <v>6251</v>
      </c>
      <c r="G1133" t="s">
        <v>2224</v>
      </c>
      <c r="H1133" t="s">
        <v>2225</v>
      </c>
      <c r="J1133" t="s">
        <v>2226</v>
      </c>
      <c r="L1133" t="s">
        <v>72</v>
      </c>
      <c r="M1133" t="s">
        <v>73</v>
      </c>
      <c r="R1133" t="s">
        <v>6252</v>
      </c>
      <c r="W1133" t="s">
        <v>6251</v>
      </c>
      <c r="X1133" t="s">
        <v>6253</v>
      </c>
      <c r="Y1133" t="s">
        <v>91</v>
      </c>
      <c r="Z1133" t="s">
        <v>74</v>
      </c>
      <c r="AA1133" t="str">
        <f>"10032-3720"</f>
        <v>10032-3720</v>
      </c>
      <c r="AB1133" t="s">
        <v>75</v>
      </c>
      <c r="AC1133" t="s">
        <v>76</v>
      </c>
      <c r="AD1133" t="s">
        <v>73</v>
      </c>
      <c r="AE1133" t="s">
        <v>77</v>
      </c>
      <c r="AF1133" t="s">
        <v>2254</v>
      </c>
      <c r="AG1133" t="s">
        <v>78</v>
      </c>
    </row>
    <row r="1134" spans="1:33" hidden="1" x14ac:dyDescent="0.25">
      <c r="A1134" t="str">
        <f>"1699738369"</f>
        <v>1699738369</v>
      </c>
      <c r="B1134" t="str">
        <f>"01920492"</f>
        <v>01920492</v>
      </c>
      <c r="C1134" t="s">
        <v>6254</v>
      </c>
      <c r="D1134" t="s">
        <v>6255</v>
      </c>
      <c r="E1134" t="s">
        <v>6256</v>
      </c>
      <c r="G1134" t="s">
        <v>2224</v>
      </c>
      <c r="H1134" t="s">
        <v>2225</v>
      </c>
      <c r="J1134" t="s">
        <v>2226</v>
      </c>
      <c r="L1134" t="s">
        <v>88</v>
      </c>
      <c r="M1134" t="s">
        <v>73</v>
      </c>
      <c r="R1134" t="s">
        <v>6257</v>
      </c>
      <c r="W1134" t="s">
        <v>6256</v>
      </c>
      <c r="X1134" t="s">
        <v>1916</v>
      </c>
      <c r="Y1134" t="s">
        <v>91</v>
      </c>
      <c r="Z1134" t="s">
        <v>74</v>
      </c>
      <c r="AA1134" t="str">
        <f>"10038-2612"</f>
        <v>10038-2612</v>
      </c>
      <c r="AB1134" t="s">
        <v>75</v>
      </c>
      <c r="AC1134" t="s">
        <v>76</v>
      </c>
      <c r="AD1134" t="s">
        <v>73</v>
      </c>
      <c r="AE1134" t="s">
        <v>77</v>
      </c>
      <c r="AF1134" t="s">
        <v>2242</v>
      </c>
      <c r="AG1134" t="s">
        <v>78</v>
      </c>
    </row>
    <row r="1135" spans="1:33" hidden="1" x14ac:dyDescent="0.25">
      <c r="A1135" t="str">
        <f>"1013989599"</f>
        <v>1013989599</v>
      </c>
      <c r="B1135" t="str">
        <f>"02744934"</f>
        <v>02744934</v>
      </c>
      <c r="C1135" t="s">
        <v>6258</v>
      </c>
      <c r="D1135" t="s">
        <v>6259</v>
      </c>
      <c r="E1135" t="s">
        <v>6260</v>
      </c>
      <c r="G1135" t="s">
        <v>2224</v>
      </c>
      <c r="H1135" t="s">
        <v>2225</v>
      </c>
      <c r="J1135" t="s">
        <v>2226</v>
      </c>
      <c r="L1135" t="s">
        <v>72</v>
      </c>
      <c r="M1135" t="s">
        <v>73</v>
      </c>
      <c r="R1135" t="s">
        <v>6261</v>
      </c>
      <c r="W1135" t="s">
        <v>6260</v>
      </c>
      <c r="X1135" t="s">
        <v>6262</v>
      </c>
      <c r="Y1135" t="s">
        <v>526</v>
      </c>
      <c r="Z1135" t="s">
        <v>74</v>
      </c>
      <c r="AA1135" t="str">
        <f>"11787-2925"</f>
        <v>11787-2925</v>
      </c>
      <c r="AB1135" t="s">
        <v>75</v>
      </c>
      <c r="AC1135" t="s">
        <v>76</v>
      </c>
      <c r="AD1135" t="s">
        <v>73</v>
      </c>
      <c r="AE1135" t="s">
        <v>77</v>
      </c>
      <c r="AF1135" t="s">
        <v>2228</v>
      </c>
      <c r="AG1135" t="s">
        <v>78</v>
      </c>
    </row>
    <row r="1136" spans="1:33" hidden="1" x14ac:dyDescent="0.25">
      <c r="A1136" t="str">
        <f>"1194954990"</f>
        <v>1194954990</v>
      </c>
      <c r="B1136" t="str">
        <f>"03128127"</f>
        <v>03128127</v>
      </c>
      <c r="C1136" t="s">
        <v>6263</v>
      </c>
      <c r="D1136" t="s">
        <v>6264</v>
      </c>
      <c r="E1136" t="s">
        <v>6265</v>
      </c>
      <c r="G1136" t="s">
        <v>2224</v>
      </c>
      <c r="H1136" t="s">
        <v>2225</v>
      </c>
      <c r="J1136" t="s">
        <v>2226</v>
      </c>
      <c r="L1136" t="s">
        <v>72</v>
      </c>
      <c r="M1136" t="s">
        <v>73</v>
      </c>
      <c r="R1136" t="s">
        <v>6265</v>
      </c>
      <c r="W1136" t="s">
        <v>6266</v>
      </c>
      <c r="X1136" t="s">
        <v>167</v>
      </c>
      <c r="Y1136" t="s">
        <v>91</v>
      </c>
      <c r="Z1136" t="s">
        <v>74</v>
      </c>
      <c r="AA1136" t="str">
        <f>"10032-3720"</f>
        <v>10032-3720</v>
      </c>
      <c r="AB1136" t="s">
        <v>122</v>
      </c>
      <c r="AC1136" t="s">
        <v>76</v>
      </c>
      <c r="AD1136" t="s">
        <v>73</v>
      </c>
      <c r="AE1136" t="s">
        <v>77</v>
      </c>
      <c r="AF1136" t="s">
        <v>2228</v>
      </c>
      <c r="AG1136" t="s">
        <v>78</v>
      </c>
    </row>
    <row r="1137" spans="1:33" hidden="1" x14ac:dyDescent="0.25">
      <c r="A1137" t="str">
        <f>"1194978254"</f>
        <v>1194978254</v>
      </c>
      <c r="B1137" t="str">
        <f>"03569019"</f>
        <v>03569019</v>
      </c>
      <c r="C1137" t="s">
        <v>6267</v>
      </c>
      <c r="D1137" t="s">
        <v>6268</v>
      </c>
      <c r="E1137" t="s">
        <v>6269</v>
      </c>
      <c r="G1137" t="s">
        <v>2224</v>
      </c>
      <c r="H1137" t="s">
        <v>2225</v>
      </c>
      <c r="J1137" t="s">
        <v>2226</v>
      </c>
      <c r="L1137" t="s">
        <v>72</v>
      </c>
      <c r="M1137" t="s">
        <v>73</v>
      </c>
      <c r="R1137" t="s">
        <v>6269</v>
      </c>
      <c r="W1137" t="s">
        <v>6269</v>
      </c>
      <c r="X1137" t="s">
        <v>183</v>
      </c>
      <c r="Y1137" t="s">
        <v>91</v>
      </c>
      <c r="Z1137" t="s">
        <v>74</v>
      </c>
      <c r="AA1137" t="str">
        <f>"10032-3729"</f>
        <v>10032-3729</v>
      </c>
      <c r="AB1137" t="s">
        <v>75</v>
      </c>
      <c r="AC1137" t="s">
        <v>76</v>
      </c>
      <c r="AD1137" t="s">
        <v>73</v>
      </c>
      <c r="AE1137" t="s">
        <v>77</v>
      </c>
      <c r="AF1137" t="s">
        <v>2228</v>
      </c>
      <c r="AG1137" t="s">
        <v>78</v>
      </c>
    </row>
    <row r="1138" spans="1:33" hidden="1" x14ac:dyDescent="0.25">
      <c r="A1138" t="str">
        <f>"1790702884"</f>
        <v>1790702884</v>
      </c>
      <c r="C1138" t="s">
        <v>6270</v>
      </c>
      <c r="K1138" t="s">
        <v>36</v>
      </c>
      <c r="L1138" t="s">
        <v>96</v>
      </c>
      <c r="M1138" t="s">
        <v>73</v>
      </c>
      <c r="R1138" t="s">
        <v>6270</v>
      </c>
      <c r="S1138" t="s">
        <v>6271</v>
      </c>
      <c r="T1138" t="s">
        <v>91</v>
      </c>
      <c r="U1138" t="s">
        <v>74</v>
      </c>
      <c r="V1138" t="str">
        <f>"100323729"</f>
        <v>100323729</v>
      </c>
      <c r="AC1138" t="s">
        <v>76</v>
      </c>
      <c r="AD1138" t="s">
        <v>73</v>
      </c>
      <c r="AE1138" t="s">
        <v>97</v>
      </c>
      <c r="AG1138" t="s">
        <v>78</v>
      </c>
    </row>
    <row r="1139" spans="1:33" hidden="1" x14ac:dyDescent="0.25">
      <c r="A1139" t="str">
        <f>"1467682856"</f>
        <v>1467682856</v>
      </c>
      <c r="B1139" t="str">
        <f>"03589113"</f>
        <v>03589113</v>
      </c>
      <c r="C1139" t="s">
        <v>6272</v>
      </c>
      <c r="D1139" t="s">
        <v>6273</v>
      </c>
      <c r="E1139" t="s">
        <v>6274</v>
      </c>
      <c r="G1139" t="s">
        <v>2224</v>
      </c>
      <c r="H1139" t="s">
        <v>2225</v>
      </c>
      <c r="J1139" t="s">
        <v>2226</v>
      </c>
      <c r="L1139" t="s">
        <v>72</v>
      </c>
      <c r="M1139" t="s">
        <v>73</v>
      </c>
      <c r="R1139" t="s">
        <v>6275</v>
      </c>
      <c r="W1139" t="s">
        <v>6274</v>
      </c>
      <c r="X1139" t="s">
        <v>170</v>
      </c>
      <c r="Y1139" t="s">
        <v>91</v>
      </c>
      <c r="Z1139" t="s">
        <v>74</v>
      </c>
      <c r="AA1139" t="str">
        <f>"10065-4870"</f>
        <v>10065-4870</v>
      </c>
      <c r="AB1139" t="s">
        <v>75</v>
      </c>
      <c r="AC1139" t="s">
        <v>76</v>
      </c>
      <c r="AD1139" t="s">
        <v>73</v>
      </c>
      <c r="AE1139" t="s">
        <v>77</v>
      </c>
      <c r="AF1139" t="s">
        <v>2242</v>
      </c>
      <c r="AG1139" t="s">
        <v>78</v>
      </c>
    </row>
    <row r="1140" spans="1:33" hidden="1" x14ac:dyDescent="0.25">
      <c r="A1140" t="str">
        <f>"1467683532"</f>
        <v>1467683532</v>
      </c>
      <c r="B1140" t="str">
        <f>"03203674"</f>
        <v>03203674</v>
      </c>
      <c r="C1140" t="s">
        <v>6276</v>
      </c>
      <c r="D1140" t="s">
        <v>6277</v>
      </c>
      <c r="E1140" t="s">
        <v>6278</v>
      </c>
      <c r="G1140" t="s">
        <v>2224</v>
      </c>
      <c r="H1140" t="s">
        <v>2225</v>
      </c>
      <c r="J1140" t="s">
        <v>2226</v>
      </c>
      <c r="L1140" t="s">
        <v>72</v>
      </c>
      <c r="M1140" t="s">
        <v>73</v>
      </c>
      <c r="R1140" t="s">
        <v>6279</v>
      </c>
      <c r="W1140" t="s">
        <v>6280</v>
      </c>
      <c r="X1140" t="s">
        <v>1784</v>
      </c>
      <c r="Y1140" t="s">
        <v>91</v>
      </c>
      <c r="Z1140" t="s">
        <v>74</v>
      </c>
      <c r="AA1140" t="str">
        <f>"10032-3724"</f>
        <v>10032-3724</v>
      </c>
      <c r="AB1140" t="s">
        <v>113</v>
      </c>
      <c r="AC1140" t="s">
        <v>76</v>
      </c>
      <c r="AD1140" t="s">
        <v>73</v>
      </c>
      <c r="AE1140" t="s">
        <v>77</v>
      </c>
      <c r="AF1140" t="s">
        <v>2228</v>
      </c>
      <c r="AG1140" t="s">
        <v>78</v>
      </c>
    </row>
    <row r="1141" spans="1:33" hidden="1" x14ac:dyDescent="0.25">
      <c r="A1141" t="str">
        <f>"1417961707"</f>
        <v>1417961707</v>
      </c>
      <c r="B1141" t="str">
        <f>"03250479"</f>
        <v>03250479</v>
      </c>
      <c r="C1141" t="s">
        <v>6281</v>
      </c>
      <c r="D1141" t="s">
        <v>6282</v>
      </c>
      <c r="E1141" t="s">
        <v>6283</v>
      </c>
      <c r="G1141" t="s">
        <v>2224</v>
      </c>
      <c r="H1141" t="s">
        <v>2225</v>
      </c>
      <c r="J1141" t="s">
        <v>2226</v>
      </c>
      <c r="L1141" t="s">
        <v>80</v>
      </c>
      <c r="M1141" t="s">
        <v>73</v>
      </c>
      <c r="R1141" t="s">
        <v>6284</v>
      </c>
      <c r="W1141" t="s">
        <v>6283</v>
      </c>
      <c r="X1141" t="s">
        <v>223</v>
      </c>
      <c r="Y1141" t="s">
        <v>118</v>
      </c>
      <c r="Z1141" t="s">
        <v>74</v>
      </c>
      <c r="AA1141" t="str">
        <f>"10451-5504"</f>
        <v>10451-5504</v>
      </c>
      <c r="AB1141" t="s">
        <v>75</v>
      </c>
      <c r="AC1141" t="s">
        <v>76</v>
      </c>
      <c r="AD1141" t="s">
        <v>73</v>
      </c>
      <c r="AE1141" t="s">
        <v>77</v>
      </c>
      <c r="AF1141" t="s">
        <v>2228</v>
      </c>
      <c r="AG1141" t="s">
        <v>78</v>
      </c>
    </row>
    <row r="1142" spans="1:33" hidden="1" x14ac:dyDescent="0.25">
      <c r="A1142" t="str">
        <f>"1528194602"</f>
        <v>1528194602</v>
      </c>
      <c r="B1142" t="str">
        <f>"00785786"</f>
        <v>00785786</v>
      </c>
      <c r="C1142" t="s">
        <v>6285</v>
      </c>
      <c r="D1142" t="s">
        <v>6286</v>
      </c>
      <c r="E1142" t="s">
        <v>6287</v>
      </c>
      <c r="G1142" t="s">
        <v>2224</v>
      </c>
      <c r="H1142" t="s">
        <v>2225</v>
      </c>
      <c r="J1142" t="s">
        <v>2226</v>
      </c>
      <c r="L1142" t="s">
        <v>88</v>
      </c>
      <c r="M1142" t="s">
        <v>82</v>
      </c>
      <c r="R1142" t="s">
        <v>6288</v>
      </c>
      <c r="W1142" t="s">
        <v>6287</v>
      </c>
      <c r="X1142" t="s">
        <v>167</v>
      </c>
      <c r="Y1142" t="s">
        <v>91</v>
      </c>
      <c r="Z1142" t="s">
        <v>74</v>
      </c>
      <c r="AA1142" t="str">
        <f>"10032-3720"</f>
        <v>10032-3720</v>
      </c>
      <c r="AB1142" t="s">
        <v>75</v>
      </c>
      <c r="AC1142" t="s">
        <v>76</v>
      </c>
      <c r="AD1142" t="s">
        <v>73</v>
      </c>
      <c r="AE1142" t="s">
        <v>77</v>
      </c>
      <c r="AF1142" t="s">
        <v>2228</v>
      </c>
      <c r="AG1142" t="s">
        <v>78</v>
      </c>
    </row>
    <row r="1143" spans="1:33" hidden="1" x14ac:dyDescent="0.25">
      <c r="A1143" t="str">
        <f>"1801017108"</f>
        <v>1801017108</v>
      </c>
      <c r="B1143" t="str">
        <f>"03518527"</f>
        <v>03518527</v>
      </c>
      <c r="C1143" t="s">
        <v>6289</v>
      </c>
      <c r="D1143" t="s">
        <v>6290</v>
      </c>
      <c r="E1143" t="s">
        <v>6291</v>
      </c>
      <c r="G1143" t="s">
        <v>2224</v>
      </c>
      <c r="H1143" t="s">
        <v>2225</v>
      </c>
      <c r="J1143" t="s">
        <v>2226</v>
      </c>
      <c r="L1143" t="s">
        <v>88</v>
      </c>
      <c r="M1143" t="s">
        <v>73</v>
      </c>
      <c r="R1143" t="s">
        <v>6292</v>
      </c>
      <c r="W1143" t="s">
        <v>6291</v>
      </c>
      <c r="X1143" t="s">
        <v>6293</v>
      </c>
      <c r="Y1143" t="s">
        <v>91</v>
      </c>
      <c r="Z1143" t="s">
        <v>74</v>
      </c>
      <c r="AA1143" t="str">
        <f>"10034-0000"</f>
        <v>10034-0000</v>
      </c>
      <c r="AB1143" t="s">
        <v>75</v>
      </c>
      <c r="AC1143" t="s">
        <v>76</v>
      </c>
      <c r="AD1143" t="s">
        <v>73</v>
      </c>
      <c r="AE1143" t="s">
        <v>77</v>
      </c>
      <c r="AF1143" t="s">
        <v>2228</v>
      </c>
      <c r="AG1143" t="s">
        <v>78</v>
      </c>
    </row>
    <row r="1144" spans="1:33" hidden="1" x14ac:dyDescent="0.25">
      <c r="A1144" t="str">
        <f>"1801999164"</f>
        <v>1801999164</v>
      </c>
      <c r="B1144" t="str">
        <f>"01919593"</f>
        <v>01919593</v>
      </c>
      <c r="C1144" t="s">
        <v>6294</v>
      </c>
      <c r="D1144" t="s">
        <v>6295</v>
      </c>
      <c r="E1144" t="s">
        <v>6296</v>
      </c>
      <c r="G1144" t="s">
        <v>2224</v>
      </c>
      <c r="H1144" t="s">
        <v>2225</v>
      </c>
      <c r="J1144" t="s">
        <v>2226</v>
      </c>
      <c r="L1144" t="s">
        <v>81</v>
      </c>
      <c r="M1144" t="s">
        <v>82</v>
      </c>
      <c r="R1144" t="s">
        <v>6297</v>
      </c>
      <c r="W1144" t="s">
        <v>6296</v>
      </c>
      <c r="X1144" t="s">
        <v>1679</v>
      </c>
      <c r="Y1144" t="s">
        <v>91</v>
      </c>
      <c r="Z1144" t="s">
        <v>74</v>
      </c>
      <c r="AA1144" t="str">
        <f>"10032-3720"</f>
        <v>10032-3720</v>
      </c>
      <c r="AB1144" t="s">
        <v>75</v>
      </c>
      <c r="AC1144" t="s">
        <v>76</v>
      </c>
      <c r="AD1144" t="s">
        <v>73</v>
      </c>
      <c r="AE1144" t="s">
        <v>77</v>
      </c>
      <c r="AF1144" t="s">
        <v>2228</v>
      </c>
      <c r="AG1144" t="s">
        <v>78</v>
      </c>
    </row>
    <row r="1145" spans="1:33" hidden="1" x14ac:dyDescent="0.25">
      <c r="A1145" t="str">
        <f>"1326143710"</f>
        <v>1326143710</v>
      </c>
      <c r="B1145" t="str">
        <f>"02729160"</f>
        <v>02729160</v>
      </c>
      <c r="C1145" t="s">
        <v>6298</v>
      </c>
      <c r="D1145" t="s">
        <v>6299</v>
      </c>
      <c r="E1145" t="s">
        <v>6300</v>
      </c>
      <c r="G1145" t="s">
        <v>2224</v>
      </c>
      <c r="H1145" t="s">
        <v>2225</v>
      </c>
      <c r="J1145" t="s">
        <v>2226</v>
      </c>
      <c r="L1145" t="s">
        <v>72</v>
      </c>
      <c r="M1145" t="s">
        <v>73</v>
      </c>
      <c r="R1145" t="s">
        <v>6301</v>
      </c>
      <c r="W1145" t="s">
        <v>6300</v>
      </c>
      <c r="X1145" t="s">
        <v>167</v>
      </c>
      <c r="Y1145" t="s">
        <v>91</v>
      </c>
      <c r="Z1145" t="s">
        <v>74</v>
      </c>
      <c r="AA1145" t="str">
        <f>"10032-3720"</f>
        <v>10032-3720</v>
      </c>
      <c r="AB1145" t="s">
        <v>104</v>
      </c>
      <c r="AC1145" t="s">
        <v>76</v>
      </c>
      <c r="AD1145" t="s">
        <v>73</v>
      </c>
      <c r="AE1145" t="s">
        <v>77</v>
      </c>
      <c r="AF1145" t="s">
        <v>2234</v>
      </c>
      <c r="AG1145" t="s">
        <v>78</v>
      </c>
    </row>
    <row r="1146" spans="1:33" hidden="1" x14ac:dyDescent="0.25">
      <c r="A1146" t="str">
        <f>"1205902210"</f>
        <v>1205902210</v>
      </c>
      <c r="B1146" t="str">
        <f>"00148196"</f>
        <v>00148196</v>
      </c>
      <c r="C1146" t="s">
        <v>6302</v>
      </c>
      <c r="D1146" t="s">
        <v>1599</v>
      </c>
      <c r="E1146" t="s">
        <v>1600</v>
      </c>
      <c r="G1146" t="s">
        <v>2260</v>
      </c>
      <c r="H1146" t="s">
        <v>6303</v>
      </c>
      <c r="J1146" t="s">
        <v>1512</v>
      </c>
      <c r="L1146" t="s">
        <v>80</v>
      </c>
      <c r="M1146" t="s">
        <v>73</v>
      </c>
      <c r="R1146" t="s">
        <v>1601</v>
      </c>
      <c r="W1146" t="s">
        <v>1602</v>
      </c>
      <c r="X1146" t="s">
        <v>1603</v>
      </c>
      <c r="Y1146" t="s">
        <v>91</v>
      </c>
      <c r="Z1146" t="s">
        <v>74</v>
      </c>
      <c r="AA1146" t="str">
        <f>"10001-5189"</f>
        <v>10001-5189</v>
      </c>
      <c r="AB1146" t="s">
        <v>75</v>
      </c>
      <c r="AC1146" t="s">
        <v>76</v>
      </c>
      <c r="AD1146" t="s">
        <v>73</v>
      </c>
      <c r="AE1146" t="s">
        <v>77</v>
      </c>
      <c r="AG1146" t="s">
        <v>78</v>
      </c>
    </row>
    <row r="1147" spans="1:33" hidden="1" x14ac:dyDescent="0.25">
      <c r="A1147" t="str">
        <f>"1003863168"</f>
        <v>1003863168</v>
      </c>
      <c r="C1147" t="s">
        <v>6304</v>
      </c>
      <c r="K1147" t="s">
        <v>36</v>
      </c>
      <c r="L1147" t="s">
        <v>96</v>
      </c>
      <c r="M1147" t="s">
        <v>73</v>
      </c>
      <c r="R1147" t="s">
        <v>6304</v>
      </c>
      <c r="S1147" t="s">
        <v>6305</v>
      </c>
      <c r="T1147" t="s">
        <v>91</v>
      </c>
      <c r="U1147" t="s">
        <v>74</v>
      </c>
      <c r="V1147" t="str">
        <f>"100323720"</f>
        <v>100323720</v>
      </c>
      <c r="AC1147" t="s">
        <v>76</v>
      </c>
      <c r="AD1147" t="s">
        <v>73</v>
      </c>
      <c r="AE1147" t="s">
        <v>97</v>
      </c>
      <c r="AG1147" t="s">
        <v>78</v>
      </c>
    </row>
    <row r="1148" spans="1:33" hidden="1" x14ac:dyDescent="0.25">
      <c r="A1148" t="str">
        <f>"1467560854"</f>
        <v>1467560854</v>
      </c>
      <c r="B1148" t="str">
        <f>"02186203"</f>
        <v>02186203</v>
      </c>
      <c r="C1148" t="s">
        <v>6306</v>
      </c>
      <c r="D1148" t="s">
        <v>6307</v>
      </c>
      <c r="E1148" t="s">
        <v>4598</v>
      </c>
      <c r="L1148" t="s">
        <v>36</v>
      </c>
      <c r="M1148" t="s">
        <v>73</v>
      </c>
      <c r="R1148" t="s">
        <v>3674</v>
      </c>
      <c r="W1148" t="s">
        <v>4598</v>
      </c>
      <c r="X1148" t="s">
        <v>167</v>
      </c>
      <c r="Y1148" t="s">
        <v>91</v>
      </c>
      <c r="Z1148" t="s">
        <v>74</v>
      </c>
      <c r="AA1148" t="str">
        <f>"10032-3720"</f>
        <v>10032-3720</v>
      </c>
      <c r="AB1148" t="s">
        <v>114</v>
      </c>
      <c r="AC1148" t="s">
        <v>76</v>
      </c>
      <c r="AD1148" t="s">
        <v>73</v>
      </c>
      <c r="AE1148" t="s">
        <v>77</v>
      </c>
      <c r="AG1148" t="s">
        <v>78</v>
      </c>
    </row>
    <row r="1149" spans="1:33" hidden="1" x14ac:dyDescent="0.25">
      <c r="A1149" t="str">
        <f>"1811199508"</f>
        <v>1811199508</v>
      </c>
      <c r="B1149" t="str">
        <f>"02726676"</f>
        <v>02726676</v>
      </c>
      <c r="C1149" t="s">
        <v>6308</v>
      </c>
      <c r="D1149" t="s">
        <v>6309</v>
      </c>
      <c r="E1149" t="s">
        <v>6310</v>
      </c>
      <c r="G1149" t="s">
        <v>2224</v>
      </c>
      <c r="H1149" t="s">
        <v>2225</v>
      </c>
      <c r="J1149" t="s">
        <v>2226</v>
      </c>
      <c r="L1149" t="s">
        <v>81</v>
      </c>
      <c r="M1149" t="s">
        <v>82</v>
      </c>
      <c r="R1149" t="s">
        <v>6311</v>
      </c>
      <c r="W1149" t="s">
        <v>6310</v>
      </c>
      <c r="X1149" t="s">
        <v>410</v>
      </c>
      <c r="Y1149" t="s">
        <v>91</v>
      </c>
      <c r="Z1149" t="s">
        <v>74</v>
      </c>
      <c r="AA1149" t="str">
        <f>"10032-1559"</f>
        <v>10032-1559</v>
      </c>
      <c r="AB1149" t="s">
        <v>75</v>
      </c>
      <c r="AC1149" t="s">
        <v>76</v>
      </c>
      <c r="AD1149" t="s">
        <v>73</v>
      </c>
      <c r="AE1149" t="s">
        <v>77</v>
      </c>
      <c r="AF1149" t="s">
        <v>2254</v>
      </c>
      <c r="AG1149" t="s">
        <v>78</v>
      </c>
    </row>
    <row r="1150" spans="1:33" hidden="1" x14ac:dyDescent="0.25">
      <c r="A1150" t="str">
        <f>"1821158064"</f>
        <v>1821158064</v>
      </c>
      <c r="B1150" t="str">
        <f>"01551940"</f>
        <v>01551940</v>
      </c>
      <c r="C1150" t="s">
        <v>6312</v>
      </c>
      <c r="D1150" t="s">
        <v>6313</v>
      </c>
      <c r="E1150" t="s">
        <v>6314</v>
      </c>
      <c r="G1150" t="s">
        <v>2224</v>
      </c>
      <c r="H1150" t="s">
        <v>2225</v>
      </c>
      <c r="J1150" t="s">
        <v>2226</v>
      </c>
      <c r="L1150" t="s">
        <v>81</v>
      </c>
      <c r="M1150" t="s">
        <v>82</v>
      </c>
      <c r="R1150" t="s">
        <v>6315</v>
      </c>
      <c r="W1150" t="s">
        <v>6314</v>
      </c>
      <c r="X1150" t="s">
        <v>6316</v>
      </c>
      <c r="Y1150" t="s">
        <v>91</v>
      </c>
      <c r="Z1150" t="s">
        <v>74</v>
      </c>
      <c r="AA1150" t="str">
        <f>"10032-3720"</f>
        <v>10032-3720</v>
      </c>
      <c r="AB1150" t="s">
        <v>75</v>
      </c>
      <c r="AC1150" t="s">
        <v>76</v>
      </c>
      <c r="AD1150" t="s">
        <v>73</v>
      </c>
      <c r="AE1150" t="s">
        <v>77</v>
      </c>
      <c r="AF1150" t="s">
        <v>2254</v>
      </c>
      <c r="AG1150" t="s">
        <v>78</v>
      </c>
    </row>
    <row r="1151" spans="1:33" hidden="1" x14ac:dyDescent="0.25">
      <c r="A1151" t="str">
        <f>"1023386653"</f>
        <v>1023386653</v>
      </c>
      <c r="B1151" t="str">
        <f>"03735595"</f>
        <v>03735595</v>
      </c>
      <c r="C1151" t="s">
        <v>6317</v>
      </c>
      <c r="D1151" t="s">
        <v>6318</v>
      </c>
      <c r="E1151" t="s">
        <v>6319</v>
      </c>
      <c r="G1151" t="s">
        <v>2224</v>
      </c>
      <c r="H1151" t="s">
        <v>2225</v>
      </c>
      <c r="J1151" t="s">
        <v>2226</v>
      </c>
      <c r="L1151" t="s">
        <v>72</v>
      </c>
      <c r="M1151" t="s">
        <v>73</v>
      </c>
      <c r="R1151" t="s">
        <v>6319</v>
      </c>
      <c r="W1151" t="s">
        <v>6319</v>
      </c>
      <c r="X1151" t="s">
        <v>6320</v>
      </c>
      <c r="Y1151" t="s">
        <v>91</v>
      </c>
      <c r="Z1151" t="s">
        <v>74</v>
      </c>
      <c r="AA1151" t="str">
        <f>"10032"</f>
        <v>10032</v>
      </c>
      <c r="AB1151" t="s">
        <v>113</v>
      </c>
      <c r="AC1151" t="s">
        <v>76</v>
      </c>
      <c r="AD1151" t="s">
        <v>73</v>
      </c>
      <c r="AE1151" t="s">
        <v>77</v>
      </c>
      <c r="AF1151" t="s">
        <v>2228</v>
      </c>
      <c r="AG1151" t="s">
        <v>78</v>
      </c>
    </row>
    <row r="1152" spans="1:33" hidden="1" x14ac:dyDescent="0.25">
      <c r="A1152" t="str">
        <f>"1285857532"</f>
        <v>1285857532</v>
      </c>
      <c r="C1152" t="s">
        <v>6321</v>
      </c>
      <c r="G1152" t="s">
        <v>2224</v>
      </c>
      <c r="H1152" t="s">
        <v>2225</v>
      </c>
      <c r="J1152" t="s">
        <v>2226</v>
      </c>
      <c r="K1152" t="s">
        <v>171</v>
      </c>
      <c r="L1152" t="s">
        <v>72</v>
      </c>
      <c r="M1152" t="s">
        <v>73</v>
      </c>
      <c r="R1152" t="s">
        <v>6322</v>
      </c>
      <c r="S1152" t="s">
        <v>6323</v>
      </c>
      <c r="T1152" t="s">
        <v>91</v>
      </c>
      <c r="U1152" t="s">
        <v>74</v>
      </c>
      <c r="V1152" t="str">
        <f>"100256269"</f>
        <v>100256269</v>
      </c>
      <c r="AC1152" t="s">
        <v>76</v>
      </c>
      <c r="AD1152" t="s">
        <v>73</v>
      </c>
      <c r="AE1152" t="s">
        <v>97</v>
      </c>
      <c r="AF1152" t="s">
        <v>2234</v>
      </c>
      <c r="AG1152" t="s">
        <v>78</v>
      </c>
    </row>
    <row r="1153" spans="1:33" hidden="1" x14ac:dyDescent="0.25">
      <c r="C1153" t="s">
        <v>473</v>
      </c>
      <c r="G1153" t="s">
        <v>918</v>
      </c>
      <c r="H1153" t="s">
        <v>474</v>
      </c>
      <c r="J1153" t="s">
        <v>6324</v>
      </c>
      <c r="K1153" t="s">
        <v>343</v>
      </c>
      <c r="L1153" t="s">
        <v>94</v>
      </c>
      <c r="M1153" t="s">
        <v>73</v>
      </c>
      <c r="N1153" t="s">
        <v>6325</v>
      </c>
      <c r="O1153" t="s">
        <v>1818</v>
      </c>
      <c r="P1153" t="s">
        <v>74</v>
      </c>
      <c r="Q1153" t="str">
        <f>"11101"</f>
        <v>11101</v>
      </c>
      <c r="AC1153" t="s">
        <v>76</v>
      </c>
      <c r="AD1153" t="s">
        <v>73</v>
      </c>
      <c r="AE1153" t="s">
        <v>95</v>
      </c>
      <c r="AG1153" t="s">
        <v>78</v>
      </c>
    </row>
    <row r="1154" spans="1:33" hidden="1" x14ac:dyDescent="0.25">
      <c r="A1154" t="str">
        <f>"1417968488"</f>
        <v>1417968488</v>
      </c>
      <c r="B1154" t="str">
        <f>"03000039"</f>
        <v>03000039</v>
      </c>
      <c r="C1154" t="s">
        <v>6326</v>
      </c>
      <c r="D1154" t="s">
        <v>358</v>
      </c>
      <c r="E1154" t="s">
        <v>357</v>
      </c>
      <c r="G1154" t="s">
        <v>1305</v>
      </c>
      <c r="H1154" t="s">
        <v>359</v>
      </c>
      <c r="J1154" t="s">
        <v>6327</v>
      </c>
      <c r="L1154" t="s">
        <v>360</v>
      </c>
      <c r="M1154" t="s">
        <v>82</v>
      </c>
      <c r="R1154" t="s">
        <v>396</v>
      </c>
      <c r="W1154" t="s">
        <v>357</v>
      </c>
      <c r="X1154" t="s">
        <v>361</v>
      </c>
      <c r="Y1154" t="s">
        <v>118</v>
      </c>
      <c r="Z1154" t="s">
        <v>74</v>
      </c>
      <c r="AA1154" t="str">
        <f>"10461-2300"</f>
        <v>10461-2300</v>
      </c>
      <c r="AB1154" t="s">
        <v>90</v>
      </c>
      <c r="AC1154" t="s">
        <v>76</v>
      </c>
      <c r="AD1154" t="s">
        <v>73</v>
      </c>
      <c r="AE1154" t="s">
        <v>77</v>
      </c>
      <c r="AG1154" t="s">
        <v>78</v>
      </c>
    </row>
    <row r="1155" spans="1:33" hidden="1" x14ac:dyDescent="0.25">
      <c r="A1155" t="str">
        <f>"1699867408"</f>
        <v>1699867408</v>
      </c>
      <c r="B1155" t="str">
        <f>"01836828"</f>
        <v>01836828</v>
      </c>
      <c r="C1155" t="s">
        <v>6328</v>
      </c>
      <c r="D1155" t="s">
        <v>1954</v>
      </c>
      <c r="E1155" t="s">
        <v>1955</v>
      </c>
      <c r="G1155" t="s">
        <v>2224</v>
      </c>
      <c r="H1155" t="s">
        <v>2225</v>
      </c>
      <c r="J1155" t="s">
        <v>2226</v>
      </c>
      <c r="L1155" t="s">
        <v>80</v>
      </c>
      <c r="M1155" t="s">
        <v>73</v>
      </c>
      <c r="R1155" t="s">
        <v>1956</v>
      </c>
      <c r="W1155" t="s">
        <v>1955</v>
      </c>
      <c r="X1155" t="s">
        <v>1955</v>
      </c>
      <c r="Y1155" t="s">
        <v>1924</v>
      </c>
      <c r="Z1155" t="s">
        <v>74</v>
      </c>
      <c r="AA1155" t="str">
        <f>"11596-2335"</f>
        <v>11596-2335</v>
      </c>
      <c r="AB1155" t="s">
        <v>75</v>
      </c>
      <c r="AC1155" t="s">
        <v>76</v>
      </c>
      <c r="AD1155" t="s">
        <v>73</v>
      </c>
      <c r="AE1155" t="s">
        <v>77</v>
      </c>
      <c r="AF1155" t="s">
        <v>2228</v>
      </c>
      <c r="AG1155" t="s">
        <v>78</v>
      </c>
    </row>
    <row r="1156" spans="1:33" hidden="1" x14ac:dyDescent="0.25">
      <c r="A1156" t="str">
        <f>"1932323672"</f>
        <v>1932323672</v>
      </c>
      <c r="B1156" t="str">
        <f>"02878022"</f>
        <v>02878022</v>
      </c>
      <c r="C1156" t="s">
        <v>6329</v>
      </c>
      <c r="D1156" t="s">
        <v>6330</v>
      </c>
      <c r="E1156" t="s">
        <v>6331</v>
      </c>
      <c r="L1156" t="s">
        <v>80</v>
      </c>
      <c r="M1156" t="s">
        <v>73</v>
      </c>
      <c r="R1156" t="s">
        <v>6332</v>
      </c>
      <c r="W1156" t="s">
        <v>6333</v>
      </c>
      <c r="X1156" t="s">
        <v>170</v>
      </c>
      <c r="Y1156" t="s">
        <v>91</v>
      </c>
      <c r="Z1156" t="s">
        <v>74</v>
      </c>
      <c r="AA1156" t="str">
        <f>"10065-4870"</f>
        <v>10065-4870</v>
      </c>
      <c r="AB1156" t="s">
        <v>75</v>
      </c>
      <c r="AC1156" t="s">
        <v>76</v>
      </c>
      <c r="AD1156" t="s">
        <v>73</v>
      </c>
      <c r="AE1156" t="s">
        <v>77</v>
      </c>
      <c r="AF1156" t="s">
        <v>2242</v>
      </c>
      <c r="AG1156" t="s">
        <v>78</v>
      </c>
    </row>
    <row r="1157" spans="1:33" hidden="1" x14ac:dyDescent="0.25">
      <c r="A1157" t="str">
        <f>"1912163601"</f>
        <v>1912163601</v>
      </c>
      <c r="B1157" t="str">
        <f>"03330509"</f>
        <v>03330509</v>
      </c>
      <c r="C1157" t="s">
        <v>6334</v>
      </c>
      <c r="D1157" t="s">
        <v>6335</v>
      </c>
      <c r="E1157" t="s">
        <v>6336</v>
      </c>
      <c r="G1157" t="s">
        <v>2224</v>
      </c>
      <c r="H1157" t="s">
        <v>2225</v>
      </c>
      <c r="J1157" t="s">
        <v>2226</v>
      </c>
      <c r="L1157" t="s">
        <v>80</v>
      </c>
      <c r="M1157" t="s">
        <v>82</v>
      </c>
      <c r="R1157" t="s">
        <v>6337</v>
      </c>
      <c r="W1157" t="s">
        <v>6336</v>
      </c>
      <c r="X1157" t="s">
        <v>3407</v>
      </c>
      <c r="Y1157" t="s">
        <v>91</v>
      </c>
      <c r="Z1157" t="s">
        <v>74</v>
      </c>
      <c r="AA1157" t="str">
        <f>"10032-3720"</f>
        <v>10032-3720</v>
      </c>
      <c r="AB1157" t="s">
        <v>75</v>
      </c>
      <c r="AC1157" t="s">
        <v>76</v>
      </c>
      <c r="AD1157" t="s">
        <v>73</v>
      </c>
      <c r="AE1157" t="s">
        <v>77</v>
      </c>
      <c r="AF1157" t="s">
        <v>2254</v>
      </c>
      <c r="AG1157" t="s">
        <v>78</v>
      </c>
    </row>
    <row r="1158" spans="1:33" hidden="1" x14ac:dyDescent="0.25">
      <c r="A1158" t="str">
        <f>"1144236324"</f>
        <v>1144236324</v>
      </c>
      <c r="B1158" t="str">
        <f>"00591539"</f>
        <v>00591539</v>
      </c>
      <c r="C1158" t="s">
        <v>6338</v>
      </c>
      <c r="D1158" t="s">
        <v>6339</v>
      </c>
      <c r="E1158" t="s">
        <v>6340</v>
      </c>
      <c r="G1158" t="s">
        <v>2224</v>
      </c>
      <c r="H1158" t="s">
        <v>2225</v>
      </c>
      <c r="J1158" t="s">
        <v>2226</v>
      </c>
      <c r="L1158" t="s">
        <v>72</v>
      </c>
      <c r="M1158" t="s">
        <v>73</v>
      </c>
      <c r="R1158" t="s">
        <v>6341</v>
      </c>
      <c r="W1158" t="s">
        <v>6340</v>
      </c>
      <c r="X1158" t="s">
        <v>6342</v>
      </c>
      <c r="Y1158" t="s">
        <v>138</v>
      </c>
      <c r="Z1158" t="s">
        <v>74</v>
      </c>
      <c r="AA1158" t="str">
        <f>"10312-5104"</f>
        <v>10312-5104</v>
      </c>
      <c r="AB1158" t="s">
        <v>75</v>
      </c>
      <c r="AC1158" t="s">
        <v>76</v>
      </c>
      <c r="AD1158" t="s">
        <v>73</v>
      </c>
      <c r="AE1158" t="s">
        <v>77</v>
      </c>
      <c r="AF1158" t="s">
        <v>2228</v>
      </c>
      <c r="AG1158" t="s">
        <v>78</v>
      </c>
    </row>
    <row r="1159" spans="1:33" hidden="1" x14ac:dyDescent="0.25">
      <c r="A1159" t="str">
        <f>"1144242678"</f>
        <v>1144242678</v>
      </c>
      <c r="B1159" t="str">
        <f>"00606175"</f>
        <v>00606175</v>
      </c>
      <c r="C1159" t="s">
        <v>6343</v>
      </c>
      <c r="D1159" t="s">
        <v>6344</v>
      </c>
      <c r="E1159" t="s">
        <v>6345</v>
      </c>
      <c r="G1159" t="s">
        <v>2224</v>
      </c>
      <c r="H1159" t="s">
        <v>2225</v>
      </c>
      <c r="J1159" t="s">
        <v>2226</v>
      </c>
      <c r="L1159" t="s">
        <v>80</v>
      </c>
      <c r="M1159" t="s">
        <v>73</v>
      </c>
      <c r="R1159" t="s">
        <v>6346</v>
      </c>
      <c r="W1159" t="s">
        <v>6347</v>
      </c>
      <c r="X1159" t="s">
        <v>906</v>
      </c>
      <c r="Y1159" t="s">
        <v>91</v>
      </c>
      <c r="Z1159" t="s">
        <v>74</v>
      </c>
      <c r="AA1159" t="str">
        <f>"10025"</f>
        <v>10025</v>
      </c>
      <c r="AB1159" t="s">
        <v>75</v>
      </c>
      <c r="AC1159" t="s">
        <v>76</v>
      </c>
      <c r="AD1159" t="s">
        <v>73</v>
      </c>
      <c r="AE1159" t="s">
        <v>77</v>
      </c>
      <c r="AF1159" t="s">
        <v>2398</v>
      </c>
      <c r="AG1159" t="s">
        <v>78</v>
      </c>
    </row>
    <row r="1160" spans="1:33" hidden="1" x14ac:dyDescent="0.25">
      <c r="A1160" t="str">
        <f>"1619136637"</f>
        <v>1619136637</v>
      </c>
      <c r="B1160" t="str">
        <f>"03015116"</f>
        <v>03015116</v>
      </c>
      <c r="C1160" t="s">
        <v>6348</v>
      </c>
      <c r="D1160" t="s">
        <v>6349</v>
      </c>
      <c r="E1160" t="s">
        <v>6350</v>
      </c>
      <c r="G1160" t="s">
        <v>2224</v>
      </c>
      <c r="H1160" t="s">
        <v>2225</v>
      </c>
      <c r="J1160" t="s">
        <v>2226</v>
      </c>
      <c r="L1160" t="s">
        <v>80</v>
      </c>
      <c r="M1160" t="s">
        <v>73</v>
      </c>
      <c r="R1160" t="s">
        <v>6351</v>
      </c>
      <c r="W1160" t="s">
        <v>6352</v>
      </c>
      <c r="X1160" t="s">
        <v>170</v>
      </c>
      <c r="Y1160" t="s">
        <v>91</v>
      </c>
      <c r="Z1160" t="s">
        <v>74</v>
      </c>
      <c r="AA1160" t="str">
        <f>"10065-4870"</f>
        <v>10065-4870</v>
      </c>
      <c r="AB1160" t="s">
        <v>75</v>
      </c>
      <c r="AC1160" t="s">
        <v>76</v>
      </c>
      <c r="AD1160" t="s">
        <v>73</v>
      </c>
      <c r="AE1160" t="s">
        <v>77</v>
      </c>
      <c r="AF1160" t="s">
        <v>2242</v>
      </c>
      <c r="AG1160" t="s">
        <v>78</v>
      </c>
    </row>
    <row r="1161" spans="1:33" hidden="1" x14ac:dyDescent="0.25">
      <c r="A1161" t="str">
        <f>"1922337567"</f>
        <v>1922337567</v>
      </c>
      <c r="C1161" t="s">
        <v>6353</v>
      </c>
      <c r="G1161" t="s">
        <v>2224</v>
      </c>
      <c r="H1161" t="s">
        <v>2312</v>
      </c>
      <c r="J1161" t="s">
        <v>2226</v>
      </c>
      <c r="K1161" t="s">
        <v>171</v>
      </c>
      <c r="L1161" t="s">
        <v>96</v>
      </c>
      <c r="M1161" t="s">
        <v>73</v>
      </c>
      <c r="R1161" t="s">
        <v>6354</v>
      </c>
      <c r="S1161" t="s">
        <v>167</v>
      </c>
      <c r="T1161" t="s">
        <v>91</v>
      </c>
      <c r="U1161" t="s">
        <v>74</v>
      </c>
      <c r="V1161" t="str">
        <f>"100323720"</f>
        <v>100323720</v>
      </c>
      <c r="AC1161" t="s">
        <v>76</v>
      </c>
      <c r="AD1161" t="s">
        <v>73</v>
      </c>
      <c r="AE1161" t="s">
        <v>97</v>
      </c>
      <c r="AF1161" t="s">
        <v>2228</v>
      </c>
      <c r="AG1161" t="s">
        <v>78</v>
      </c>
    </row>
    <row r="1162" spans="1:33" hidden="1" x14ac:dyDescent="0.25">
      <c r="A1162" t="str">
        <f>"1487790291"</f>
        <v>1487790291</v>
      </c>
      <c r="C1162" t="s">
        <v>6355</v>
      </c>
      <c r="G1162" t="s">
        <v>2224</v>
      </c>
      <c r="H1162" t="s">
        <v>2312</v>
      </c>
      <c r="J1162" t="s">
        <v>2226</v>
      </c>
      <c r="K1162" t="s">
        <v>171</v>
      </c>
      <c r="L1162" t="s">
        <v>96</v>
      </c>
      <c r="M1162" t="s">
        <v>73</v>
      </c>
      <c r="R1162" t="s">
        <v>6356</v>
      </c>
      <c r="S1162" t="s">
        <v>167</v>
      </c>
      <c r="T1162" t="s">
        <v>91</v>
      </c>
      <c r="U1162" t="s">
        <v>74</v>
      </c>
      <c r="V1162" t="str">
        <f>"100323720"</f>
        <v>100323720</v>
      </c>
      <c r="AC1162" t="s">
        <v>76</v>
      </c>
      <c r="AD1162" t="s">
        <v>73</v>
      </c>
      <c r="AE1162" t="s">
        <v>97</v>
      </c>
      <c r="AF1162" t="s">
        <v>2234</v>
      </c>
      <c r="AG1162" t="s">
        <v>78</v>
      </c>
    </row>
    <row r="1163" spans="1:33" hidden="1" x14ac:dyDescent="0.25">
      <c r="A1163" t="str">
        <f>"1265406896"</f>
        <v>1265406896</v>
      </c>
      <c r="C1163" t="s">
        <v>6357</v>
      </c>
      <c r="G1163" t="s">
        <v>2224</v>
      </c>
      <c r="H1163" t="s">
        <v>2312</v>
      </c>
      <c r="J1163" t="s">
        <v>2226</v>
      </c>
      <c r="K1163" t="s">
        <v>171</v>
      </c>
      <c r="L1163" t="s">
        <v>72</v>
      </c>
      <c r="M1163" t="s">
        <v>73</v>
      </c>
      <c r="R1163" t="s">
        <v>6358</v>
      </c>
      <c r="S1163" t="s">
        <v>167</v>
      </c>
      <c r="T1163" t="s">
        <v>91</v>
      </c>
      <c r="U1163" t="s">
        <v>74</v>
      </c>
      <c r="V1163" t="str">
        <f>"100323720"</f>
        <v>100323720</v>
      </c>
      <c r="AC1163" t="s">
        <v>76</v>
      </c>
      <c r="AD1163" t="s">
        <v>73</v>
      </c>
      <c r="AE1163" t="s">
        <v>97</v>
      </c>
      <c r="AF1163" t="s">
        <v>2242</v>
      </c>
      <c r="AG1163" t="s">
        <v>78</v>
      </c>
    </row>
    <row r="1164" spans="1:33" hidden="1" x14ac:dyDescent="0.25">
      <c r="A1164" t="str">
        <f>"1558606228"</f>
        <v>1558606228</v>
      </c>
      <c r="C1164" t="s">
        <v>6359</v>
      </c>
      <c r="G1164" t="s">
        <v>2224</v>
      </c>
      <c r="H1164" t="s">
        <v>2312</v>
      </c>
      <c r="J1164" t="s">
        <v>2226</v>
      </c>
      <c r="K1164" t="s">
        <v>171</v>
      </c>
      <c r="L1164" t="s">
        <v>72</v>
      </c>
      <c r="M1164" t="s">
        <v>73</v>
      </c>
      <c r="R1164" t="s">
        <v>6360</v>
      </c>
      <c r="S1164" t="s">
        <v>167</v>
      </c>
      <c r="T1164" t="s">
        <v>91</v>
      </c>
      <c r="U1164" t="s">
        <v>74</v>
      </c>
      <c r="V1164" t="str">
        <f>"100323720"</f>
        <v>100323720</v>
      </c>
      <c r="AC1164" t="s">
        <v>76</v>
      </c>
      <c r="AD1164" t="s">
        <v>73</v>
      </c>
      <c r="AE1164" t="s">
        <v>97</v>
      </c>
      <c r="AF1164" t="s">
        <v>2228</v>
      </c>
      <c r="AG1164" t="s">
        <v>78</v>
      </c>
    </row>
    <row r="1165" spans="1:33" hidden="1" x14ac:dyDescent="0.25">
      <c r="A1165" t="str">
        <f>"1891827465"</f>
        <v>1891827465</v>
      </c>
      <c r="B1165" t="str">
        <f>"03603358"</f>
        <v>03603358</v>
      </c>
      <c r="C1165" t="s">
        <v>6361</v>
      </c>
      <c r="D1165" t="s">
        <v>6362</v>
      </c>
      <c r="E1165" t="s">
        <v>6363</v>
      </c>
      <c r="G1165" t="s">
        <v>2224</v>
      </c>
      <c r="H1165" t="s">
        <v>2225</v>
      </c>
      <c r="J1165" t="s">
        <v>2226</v>
      </c>
      <c r="L1165" t="s">
        <v>72</v>
      </c>
      <c r="M1165" t="s">
        <v>73</v>
      </c>
      <c r="R1165" t="s">
        <v>6364</v>
      </c>
      <c r="W1165" t="s">
        <v>6363</v>
      </c>
      <c r="X1165" t="s">
        <v>6365</v>
      </c>
      <c r="Y1165" t="s">
        <v>91</v>
      </c>
      <c r="Z1165" t="s">
        <v>74</v>
      </c>
      <c r="AA1165" t="str">
        <f>"10032-3726"</f>
        <v>10032-3726</v>
      </c>
      <c r="AB1165" t="s">
        <v>75</v>
      </c>
      <c r="AC1165" t="s">
        <v>76</v>
      </c>
      <c r="AD1165" t="s">
        <v>73</v>
      </c>
      <c r="AE1165" t="s">
        <v>77</v>
      </c>
      <c r="AF1165" t="s">
        <v>2228</v>
      </c>
      <c r="AG1165" t="s">
        <v>78</v>
      </c>
    </row>
    <row r="1166" spans="1:33" hidden="1" x14ac:dyDescent="0.25">
      <c r="A1166" t="str">
        <f>"1386759066"</f>
        <v>1386759066</v>
      </c>
      <c r="B1166" t="str">
        <f>"03449016"</f>
        <v>03449016</v>
      </c>
      <c r="C1166" t="s">
        <v>6366</v>
      </c>
      <c r="D1166" t="s">
        <v>6367</v>
      </c>
      <c r="E1166" t="s">
        <v>6368</v>
      </c>
      <c r="G1166" t="s">
        <v>2224</v>
      </c>
      <c r="H1166" t="s">
        <v>2225</v>
      </c>
      <c r="J1166" t="s">
        <v>2226</v>
      </c>
      <c r="L1166" t="s">
        <v>80</v>
      </c>
      <c r="M1166" t="s">
        <v>73</v>
      </c>
      <c r="R1166" t="s">
        <v>6369</v>
      </c>
      <c r="W1166" t="s">
        <v>6368</v>
      </c>
      <c r="X1166" t="s">
        <v>170</v>
      </c>
      <c r="Y1166" t="s">
        <v>91</v>
      </c>
      <c r="Z1166" t="s">
        <v>74</v>
      </c>
      <c r="AA1166" t="str">
        <f>"10065-4870"</f>
        <v>10065-4870</v>
      </c>
      <c r="AB1166" t="s">
        <v>75</v>
      </c>
      <c r="AC1166" t="s">
        <v>76</v>
      </c>
      <c r="AD1166" t="s">
        <v>73</v>
      </c>
      <c r="AE1166" t="s">
        <v>77</v>
      </c>
      <c r="AF1166" t="s">
        <v>2242</v>
      </c>
      <c r="AG1166" t="s">
        <v>78</v>
      </c>
    </row>
    <row r="1167" spans="1:33" hidden="1" x14ac:dyDescent="0.25">
      <c r="A1167" t="str">
        <f>"1538189642"</f>
        <v>1538189642</v>
      </c>
      <c r="B1167" t="str">
        <f>"02865194"</f>
        <v>02865194</v>
      </c>
      <c r="C1167" t="s">
        <v>6370</v>
      </c>
      <c r="D1167" t="s">
        <v>6371</v>
      </c>
      <c r="E1167" t="s">
        <v>6372</v>
      </c>
      <c r="G1167" t="s">
        <v>2224</v>
      </c>
      <c r="H1167" t="s">
        <v>2225</v>
      </c>
      <c r="J1167" t="s">
        <v>2226</v>
      </c>
      <c r="L1167" t="s">
        <v>72</v>
      </c>
      <c r="M1167" t="s">
        <v>73</v>
      </c>
      <c r="R1167" t="s">
        <v>6373</v>
      </c>
      <c r="W1167" t="s">
        <v>6372</v>
      </c>
      <c r="X1167" t="s">
        <v>1338</v>
      </c>
      <c r="Y1167" t="s">
        <v>1339</v>
      </c>
      <c r="Z1167" t="s">
        <v>74</v>
      </c>
      <c r="AA1167" t="str">
        <f>"10954-1601"</f>
        <v>10954-1601</v>
      </c>
      <c r="AB1167" t="s">
        <v>75</v>
      </c>
      <c r="AC1167" t="s">
        <v>76</v>
      </c>
      <c r="AD1167" t="s">
        <v>73</v>
      </c>
      <c r="AE1167" t="s">
        <v>77</v>
      </c>
      <c r="AF1167" t="s">
        <v>2228</v>
      </c>
      <c r="AG1167" t="s">
        <v>78</v>
      </c>
    </row>
    <row r="1168" spans="1:33" hidden="1" x14ac:dyDescent="0.25">
      <c r="A1168" t="str">
        <f>"1821089319"</f>
        <v>1821089319</v>
      </c>
      <c r="B1168" t="str">
        <f>"01100545"</f>
        <v>01100545</v>
      </c>
      <c r="C1168" t="s">
        <v>6374</v>
      </c>
      <c r="D1168" t="s">
        <v>6375</v>
      </c>
      <c r="E1168" t="s">
        <v>6376</v>
      </c>
      <c r="G1168" t="s">
        <v>2224</v>
      </c>
      <c r="H1168" t="s">
        <v>2225</v>
      </c>
      <c r="J1168" t="s">
        <v>2226</v>
      </c>
      <c r="L1168" t="s">
        <v>80</v>
      </c>
      <c r="M1168" t="s">
        <v>73</v>
      </c>
      <c r="R1168" t="s">
        <v>6377</v>
      </c>
      <c r="W1168" t="s">
        <v>6376</v>
      </c>
      <c r="Y1168" t="s">
        <v>91</v>
      </c>
      <c r="Z1168" t="s">
        <v>74</v>
      </c>
      <c r="AA1168" t="str">
        <f>"10003-3804"</f>
        <v>10003-3804</v>
      </c>
      <c r="AB1168" t="s">
        <v>75</v>
      </c>
      <c r="AC1168" t="s">
        <v>76</v>
      </c>
      <c r="AD1168" t="s">
        <v>73</v>
      </c>
      <c r="AE1168" t="s">
        <v>77</v>
      </c>
      <c r="AF1168" t="s">
        <v>2398</v>
      </c>
      <c r="AG1168" t="s">
        <v>78</v>
      </c>
    </row>
    <row r="1169" spans="1:33" hidden="1" x14ac:dyDescent="0.25">
      <c r="A1169" t="str">
        <f>"1104076363"</f>
        <v>1104076363</v>
      </c>
      <c r="C1169" t="s">
        <v>6378</v>
      </c>
      <c r="G1169" t="s">
        <v>2224</v>
      </c>
      <c r="H1169" t="s">
        <v>2225</v>
      </c>
      <c r="J1169" t="s">
        <v>2226</v>
      </c>
      <c r="K1169" t="s">
        <v>171</v>
      </c>
      <c r="L1169" t="s">
        <v>72</v>
      </c>
      <c r="M1169" t="s">
        <v>73</v>
      </c>
      <c r="R1169" t="s">
        <v>6379</v>
      </c>
      <c r="S1169" t="s">
        <v>6380</v>
      </c>
      <c r="T1169" t="s">
        <v>91</v>
      </c>
      <c r="U1169" t="s">
        <v>74</v>
      </c>
      <c r="V1169" t="str">
        <f>"10032"</f>
        <v>10032</v>
      </c>
      <c r="AC1169" t="s">
        <v>76</v>
      </c>
      <c r="AD1169" t="s">
        <v>73</v>
      </c>
      <c r="AE1169" t="s">
        <v>97</v>
      </c>
      <c r="AF1169" t="s">
        <v>2234</v>
      </c>
      <c r="AG1169" t="s">
        <v>78</v>
      </c>
    </row>
    <row r="1170" spans="1:33" hidden="1" x14ac:dyDescent="0.25">
      <c r="A1170" t="str">
        <f>"1104120625"</f>
        <v>1104120625</v>
      </c>
      <c r="B1170" t="str">
        <f>"03918518"</f>
        <v>03918518</v>
      </c>
      <c r="C1170" t="s">
        <v>6381</v>
      </c>
      <c r="D1170" t="s">
        <v>6382</v>
      </c>
      <c r="E1170" t="s">
        <v>6383</v>
      </c>
      <c r="G1170" t="s">
        <v>2224</v>
      </c>
      <c r="H1170" t="s">
        <v>2225</v>
      </c>
      <c r="J1170" t="s">
        <v>2226</v>
      </c>
      <c r="L1170" t="s">
        <v>80</v>
      </c>
      <c r="M1170" t="s">
        <v>73</v>
      </c>
      <c r="R1170" t="s">
        <v>6384</v>
      </c>
      <c r="W1170" t="s">
        <v>6385</v>
      </c>
      <c r="X1170" t="s">
        <v>6386</v>
      </c>
      <c r="Y1170" t="s">
        <v>91</v>
      </c>
      <c r="Z1170" t="s">
        <v>74</v>
      </c>
      <c r="AA1170" t="str">
        <f>"10065-4870"</f>
        <v>10065-4870</v>
      </c>
      <c r="AB1170" t="s">
        <v>75</v>
      </c>
      <c r="AC1170" t="s">
        <v>76</v>
      </c>
      <c r="AD1170" t="s">
        <v>73</v>
      </c>
      <c r="AE1170" t="s">
        <v>77</v>
      </c>
      <c r="AF1170" t="s">
        <v>2242</v>
      </c>
      <c r="AG1170" t="s">
        <v>78</v>
      </c>
    </row>
    <row r="1171" spans="1:33" hidden="1" x14ac:dyDescent="0.25">
      <c r="A1171" t="str">
        <f>"1043533102"</f>
        <v>1043533102</v>
      </c>
      <c r="B1171" t="str">
        <f>"03420284"</f>
        <v>03420284</v>
      </c>
      <c r="C1171" t="s">
        <v>6387</v>
      </c>
      <c r="D1171" t="s">
        <v>6388</v>
      </c>
      <c r="E1171" t="s">
        <v>6389</v>
      </c>
      <c r="G1171" t="s">
        <v>2224</v>
      </c>
      <c r="H1171" t="s">
        <v>2225</v>
      </c>
      <c r="J1171" t="s">
        <v>2226</v>
      </c>
      <c r="L1171" t="s">
        <v>80</v>
      </c>
      <c r="M1171" t="s">
        <v>73</v>
      </c>
      <c r="R1171" t="s">
        <v>6390</v>
      </c>
      <c r="W1171" t="s">
        <v>6391</v>
      </c>
      <c r="X1171" t="s">
        <v>2077</v>
      </c>
      <c r="Y1171" t="s">
        <v>91</v>
      </c>
      <c r="Z1171" t="s">
        <v>74</v>
      </c>
      <c r="AA1171" t="str">
        <f>"10065-8722"</f>
        <v>10065-8722</v>
      </c>
      <c r="AB1171" t="s">
        <v>75</v>
      </c>
      <c r="AC1171" t="s">
        <v>76</v>
      </c>
      <c r="AD1171" t="s">
        <v>73</v>
      </c>
      <c r="AE1171" t="s">
        <v>77</v>
      </c>
      <c r="AF1171" t="s">
        <v>2398</v>
      </c>
      <c r="AG1171" t="s">
        <v>78</v>
      </c>
    </row>
    <row r="1172" spans="1:33" hidden="1" x14ac:dyDescent="0.25">
      <c r="A1172" t="str">
        <f>"1811017619"</f>
        <v>1811017619</v>
      </c>
      <c r="B1172" t="str">
        <f>"03522992"</f>
        <v>03522992</v>
      </c>
      <c r="C1172" t="s">
        <v>6392</v>
      </c>
      <c r="D1172" t="s">
        <v>6393</v>
      </c>
      <c r="E1172" t="s">
        <v>6394</v>
      </c>
      <c r="G1172" t="s">
        <v>2224</v>
      </c>
      <c r="H1172" t="s">
        <v>6395</v>
      </c>
      <c r="J1172" t="s">
        <v>2226</v>
      </c>
      <c r="L1172" t="s">
        <v>72</v>
      </c>
      <c r="M1172" t="s">
        <v>73</v>
      </c>
      <c r="R1172" t="s">
        <v>6396</v>
      </c>
      <c r="W1172" t="s">
        <v>6394</v>
      </c>
      <c r="X1172" t="s">
        <v>1582</v>
      </c>
      <c r="Y1172" t="s">
        <v>91</v>
      </c>
      <c r="Z1172" t="s">
        <v>74</v>
      </c>
      <c r="AA1172" t="str">
        <f>"10022-1096"</f>
        <v>10022-1096</v>
      </c>
      <c r="AB1172" t="s">
        <v>75</v>
      </c>
      <c r="AC1172" t="s">
        <v>76</v>
      </c>
      <c r="AD1172" t="s">
        <v>73</v>
      </c>
      <c r="AE1172" t="s">
        <v>77</v>
      </c>
      <c r="AF1172" t="s">
        <v>2228</v>
      </c>
      <c r="AG1172" t="s">
        <v>78</v>
      </c>
    </row>
    <row r="1173" spans="1:33" hidden="1" x14ac:dyDescent="0.25">
      <c r="A1173" t="str">
        <f>"1588815302"</f>
        <v>1588815302</v>
      </c>
      <c r="B1173" t="str">
        <f>"01303786"</f>
        <v>01303786</v>
      </c>
      <c r="C1173" t="s">
        <v>6397</v>
      </c>
      <c r="D1173" t="s">
        <v>920</v>
      </c>
      <c r="E1173" t="s">
        <v>921</v>
      </c>
      <c r="G1173" t="s">
        <v>6398</v>
      </c>
      <c r="H1173" t="s">
        <v>922</v>
      </c>
      <c r="I1173">
        <v>214</v>
      </c>
      <c r="J1173" t="s">
        <v>923</v>
      </c>
      <c r="L1173" t="s">
        <v>10</v>
      </c>
      <c r="M1173" t="s">
        <v>82</v>
      </c>
      <c r="R1173" t="s">
        <v>924</v>
      </c>
      <c r="W1173" t="s">
        <v>921</v>
      </c>
      <c r="X1173" t="s">
        <v>925</v>
      </c>
      <c r="Y1173" t="s">
        <v>91</v>
      </c>
      <c r="Z1173" t="s">
        <v>74</v>
      </c>
      <c r="AA1173" t="str">
        <f>"10018-4307"</f>
        <v>10018-4307</v>
      </c>
      <c r="AB1173" t="s">
        <v>92</v>
      </c>
      <c r="AC1173" t="s">
        <v>76</v>
      </c>
      <c r="AD1173" t="s">
        <v>73</v>
      </c>
      <c r="AE1173" t="s">
        <v>77</v>
      </c>
      <c r="AG1173" t="s">
        <v>78</v>
      </c>
    </row>
    <row r="1174" spans="1:33" hidden="1" x14ac:dyDescent="0.25">
      <c r="C1174" t="s">
        <v>6399</v>
      </c>
      <c r="G1174" t="s">
        <v>730</v>
      </c>
      <c r="H1174" t="s">
        <v>731</v>
      </c>
      <c r="I1174">
        <v>208</v>
      </c>
      <c r="J1174" t="s">
        <v>732</v>
      </c>
      <c r="K1174" t="s">
        <v>93</v>
      </c>
      <c r="L1174" t="s">
        <v>94</v>
      </c>
      <c r="M1174" t="s">
        <v>73</v>
      </c>
      <c r="AC1174" t="s">
        <v>76</v>
      </c>
      <c r="AD1174" t="s">
        <v>73</v>
      </c>
      <c r="AE1174" t="s">
        <v>95</v>
      </c>
      <c r="AG1174" t="s">
        <v>78</v>
      </c>
    </row>
    <row r="1175" spans="1:33" hidden="1" x14ac:dyDescent="0.25">
      <c r="A1175" t="str">
        <f>"1568554384"</f>
        <v>1568554384</v>
      </c>
      <c r="C1175" t="s">
        <v>6400</v>
      </c>
      <c r="G1175" t="s">
        <v>2224</v>
      </c>
      <c r="H1175" t="s">
        <v>2225</v>
      </c>
      <c r="J1175" t="s">
        <v>2226</v>
      </c>
      <c r="K1175" t="s">
        <v>171</v>
      </c>
      <c r="L1175" t="s">
        <v>96</v>
      </c>
      <c r="M1175" t="s">
        <v>73</v>
      </c>
      <c r="R1175" t="s">
        <v>1949</v>
      </c>
      <c r="S1175" t="s">
        <v>1944</v>
      </c>
      <c r="T1175" t="s">
        <v>1924</v>
      </c>
      <c r="U1175" t="s">
        <v>74</v>
      </c>
      <c r="V1175" t="str">
        <f>"115962335"</f>
        <v>115962335</v>
      </c>
      <c r="AC1175" t="s">
        <v>76</v>
      </c>
      <c r="AD1175" t="s">
        <v>73</v>
      </c>
      <c r="AE1175" t="s">
        <v>97</v>
      </c>
      <c r="AF1175" t="s">
        <v>2254</v>
      </c>
      <c r="AG1175" t="s">
        <v>78</v>
      </c>
    </row>
    <row r="1176" spans="1:33" hidden="1" x14ac:dyDescent="0.25">
      <c r="A1176" t="str">
        <f>"1548235625"</f>
        <v>1548235625</v>
      </c>
      <c r="B1176" t="str">
        <f>"01591657"</f>
        <v>01591657</v>
      </c>
      <c r="C1176" t="s">
        <v>6401</v>
      </c>
      <c r="D1176" t="s">
        <v>6402</v>
      </c>
      <c r="E1176" t="s">
        <v>6403</v>
      </c>
      <c r="G1176" t="s">
        <v>2224</v>
      </c>
      <c r="H1176" t="s">
        <v>2225</v>
      </c>
      <c r="J1176" t="s">
        <v>2226</v>
      </c>
      <c r="L1176" t="s">
        <v>80</v>
      </c>
      <c r="M1176" t="s">
        <v>73</v>
      </c>
      <c r="R1176" t="s">
        <v>6404</v>
      </c>
      <c r="W1176" t="s">
        <v>6403</v>
      </c>
      <c r="X1176" t="s">
        <v>170</v>
      </c>
      <c r="Y1176" t="s">
        <v>91</v>
      </c>
      <c r="Z1176" t="s">
        <v>74</v>
      </c>
      <c r="AA1176" t="str">
        <f>"10065-4870"</f>
        <v>10065-4870</v>
      </c>
      <c r="AB1176" t="s">
        <v>75</v>
      </c>
      <c r="AC1176" t="s">
        <v>76</v>
      </c>
      <c r="AD1176" t="s">
        <v>73</v>
      </c>
      <c r="AE1176" t="s">
        <v>77</v>
      </c>
      <c r="AF1176" t="s">
        <v>2242</v>
      </c>
      <c r="AG1176" t="s">
        <v>78</v>
      </c>
    </row>
    <row r="1177" spans="1:33" hidden="1" x14ac:dyDescent="0.25">
      <c r="A1177" t="str">
        <f>"1164463444"</f>
        <v>1164463444</v>
      </c>
      <c r="B1177" t="str">
        <f>"01858873"</f>
        <v>01858873</v>
      </c>
      <c r="C1177" t="s">
        <v>6405</v>
      </c>
      <c r="D1177" t="s">
        <v>6406</v>
      </c>
      <c r="E1177" t="s">
        <v>6407</v>
      </c>
      <c r="G1177" t="s">
        <v>2224</v>
      </c>
      <c r="H1177" t="s">
        <v>2225</v>
      </c>
      <c r="J1177" t="s">
        <v>2226</v>
      </c>
      <c r="L1177" t="s">
        <v>72</v>
      </c>
      <c r="M1177" t="s">
        <v>82</v>
      </c>
      <c r="R1177" t="s">
        <v>6408</v>
      </c>
      <c r="W1177" t="s">
        <v>6407</v>
      </c>
      <c r="X1177" t="s">
        <v>6409</v>
      </c>
      <c r="Y1177" t="s">
        <v>91</v>
      </c>
      <c r="Z1177" t="s">
        <v>74</v>
      </c>
      <c r="AA1177" t="str">
        <f>"10032-3720"</f>
        <v>10032-3720</v>
      </c>
      <c r="AB1177" t="s">
        <v>75</v>
      </c>
      <c r="AC1177" t="s">
        <v>76</v>
      </c>
      <c r="AD1177" t="s">
        <v>73</v>
      </c>
      <c r="AE1177" t="s">
        <v>77</v>
      </c>
      <c r="AF1177" t="s">
        <v>2228</v>
      </c>
      <c r="AG1177" t="s">
        <v>78</v>
      </c>
    </row>
    <row r="1178" spans="1:33" hidden="1" x14ac:dyDescent="0.25">
      <c r="A1178" t="str">
        <f>"1164506721"</f>
        <v>1164506721</v>
      </c>
      <c r="B1178" t="str">
        <f>"02940352"</f>
        <v>02940352</v>
      </c>
      <c r="C1178" t="s">
        <v>6410</v>
      </c>
      <c r="D1178" t="s">
        <v>6411</v>
      </c>
      <c r="E1178" t="s">
        <v>6412</v>
      </c>
      <c r="G1178" t="s">
        <v>2224</v>
      </c>
      <c r="H1178" t="s">
        <v>2225</v>
      </c>
      <c r="J1178" t="s">
        <v>2226</v>
      </c>
      <c r="L1178" t="s">
        <v>72</v>
      </c>
      <c r="M1178" t="s">
        <v>73</v>
      </c>
      <c r="R1178" t="s">
        <v>6413</v>
      </c>
      <c r="W1178" t="s">
        <v>6414</v>
      </c>
      <c r="X1178" t="s">
        <v>2182</v>
      </c>
      <c r="Y1178" t="s">
        <v>1339</v>
      </c>
      <c r="Z1178" t="s">
        <v>74</v>
      </c>
      <c r="AA1178" t="str">
        <f>"10954-1601"</f>
        <v>10954-1601</v>
      </c>
      <c r="AB1178" t="s">
        <v>75</v>
      </c>
      <c r="AC1178" t="s">
        <v>76</v>
      </c>
      <c r="AD1178" t="s">
        <v>73</v>
      </c>
      <c r="AE1178" t="s">
        <v>77</v>
      </c>
      <c r="AF1178" t="s">
        <v>2254</v>
      </c>
      <c r="AG1178" t="s">
        <v>78</v>
      </c>
    </row>
    <row r="1179" spans="1:33" hidden="1" x14ac:dyDescent="0.25">
      <c r="A1179" t="str">
        <f>"1164529673"</f>
        <v>1164529673</v>
      </c>
      <c r="B1179" t="str">
        <f>"03557504"</f>
        <v>03557504</v>
      </c>
      <c r="C1179" t="s">
        <v>6415</v>
      </c>
      <c r="D1179" t="s">
        <v>6416</v>
      </c>
      <c r="E1179" t="s">
        <v>6417</v>
      </c>
      <c r="G1179" t="s">
        <v>2224</v>
      </c>
      <c r="H1179" t="s">
        <v>2225</v>
      </c>
      <c r="J1179" t="s">
        <v>2226</v>
      </c>
      <c r="L1179" t="s">
        <v>72</v>
      </c>
      <c r="M1179" t="s">
        <v>73</v>
      </c>
      <c r="R1179" t="s">
        <v>6418</v>
      </c>
      <c r="W1179" t="s">
        <v>6417</v>
      </c>
      <c r="X1179" t="s">
        <v>1695</v>
      </c>
      <c r="Y1179" t="s">
        <v>91</v>
      </c>
      <c r="Z1179" t="s">
        <v>74</v>
      </c>
      <c r="AA1179" t="str">
        <f>"10032"</f>
        <v>10032</v>
      </c>
      <c r="AB1179" t="s">
        <v>75</v>
      </c>
      <c r="AC1179" t="s">
        <v>76</v>
      </c>
      <c r="AD1179" t="s">
        <v>73</v>
      </c>
      <c r="AE1179" t="s">
        <v>77</v>
      </c>
      <c r="AF1179" t="s">
        <v>2228</v>
      </c>
      <c r="AG1179" t="s">
        <v>78</v>
      </c>
    </row>
    <row r="1180" spans="1:33" hidden="1" x14ac:dyDescent="0.25">
      <c r="A1180" t="str">
        <f>"1164621249"</f>
        <v>1164621249</v>
      </c>
      <c r="B1180" t="str">
        <f>"03134269"</f>
        <v>03134269</v>
      </c>
      <c r="C1180" t="s">
        <v>6419</v>
      </c>
      <c r="D1180" t="s">
        <v>6420</v>
      </c>
      <c r="E1180" t="s">
        <v>6421</v>
      </c>
      <c r="G1180" t="s">
        <v>2224</v>
      </c>
      <c r="H1180" t="s">
        <v>2225</v>
      </c>
      <c r="J1180" t="s">
        <v>2226</v>
      </c>
      <c r="L1180" t="s">
        <v>81</v>
      </c>
      <c r="M1180" t="s">
        <v>73</v>
      </c>
      <c r="R1180" t="s">
        <v>6422</v>
      </c>
      <c r="W1180" t="s">
        <v>6423</v>
      </c>
      <c r="X1180" t="s">
        <v>905</v>
      </c>
      <c r="Y1180" t="s">
        <v>91</v>
      </c>
      <c r="Z1180" t="s">
        <v>74</v>
      </c>
      <c r="AA1180" t="str">
        <f>"10003-3851"</f>
        <v>10003-3851</v>
      </c>
      <c r="AB1180" t="s">
        <v>75</v>
      </c>
      <c r="AC1180" t="s">
        <v>76</v>
      </c>
      <c r="AD1180" t="s">
        <v>73</v>
      </c>
      <c r="AE1180" t="s">
        <v>77</v>
      </c>
      <c r="AF1180" t="s">
        <v>2254</v>
      </c>
      <c r="AG1180" t="s">
        <v>78</v>
      </c>
    </row>
    <row r="1181" spans="1:33" hidden="1" x14ac:dyDescent="0.25">
      <c r="A1181" t="str">
        <f>"1881704716"</f>
        <v>1881704716</v>
      </c>
      <c r="B1181" t="str">
        <f>"02023710"</f>
        <v>02023710</v>
      </c>
      <c r="C1181" t="s">
        <v>6424</v>
      </c>
      <c r="D1181" t="s">
        <v>6425</v>
      </c>
      <c r="E1181" t="s">
        <v>6426</v>
      </c>
      <c r="G1181" t="s">
        <v>2224</v>
      </c>
      <c r="H1181" t="s">
        <v>2225</v>
      </c>
      <c r="J1181" t="s">
        <v>2226</v>
      </c>
      <c r="L1181" t="s">
        <v>80</v>
      </c>
      <c r="M1181" t="s">
        <v>73</v>
      </c>
      <c r="R1181" t="s">
        <v>6427</v>
      </c>
      <c r="W1181" t="s">
        <v>6426</v>
      </c>
      <c r="X1181" t="s">
        <v>919</v>
      </c>
      <c r="Y1181" t="s">
        <v>91</v>
      </c>
      <c r="Z1181" t="s">
        <v>74</v>
      </c>
      <c r="AA1181" t="str">
        <f>"10087-0001"</f>
        <v>10087-0001</v>
      </c>
      <c r="AB1181" t="s">
        <v>75</v>
      </c>
      <c r="AC1181" t="s">
        <v>76</v>
      </c>
      <c r="AD1181" t="s">
        <v>73</v>
      </c>
      <c r="AE1181" t="s">
        <v>77</v>
      </c>
      <c r="AF1181" t="s">
        <v>2398</v>
      </c>
      <c r="AG1181" t="s">
        <v>78</v>
      </c>
    </row>
    <row r="1182" spans="1:33" hidden="1" x14ac:dyDescent="0.25">
      <c r="A1182" t="str">
        <f>"1558488098"</f>
        <v>1558488098</v>
      </c>
      <c r="B1182" t="str">
        <f>"02896431"</f>
        <v>02896431</v>
      </c>
      <c r="C1182" t="s">
        <v>6428</v>
      </c>
      <c r="D1182" t="s">
        <v>6429</v>
      </c>
      <c r="E1182" t="s">
        <v>6430</v>
      </c>
      <c r="G1182" t="s">
        <v>2224</v>
      </c>
      <c r="H1182" t="s">
        <v>2225</v>
      </c>
      <c r="J1182" t="s">
        <v>2226</v>
      </c>
      <c r="L1182" t="s">
        <v>72</v>
      </c>
      <c r="M1182" t="s">
        <v>73</v>
      </c>
      <c r="R1182" t="s">
        <v>6431</v>
      </c>
      <c r="W1182" t="s">
        <v>6430</v>
      </c>
      <c r="X1182" t="s">
        <v>179</v>
      </c>
      <c r="Y1182" t="s">
        <v>118</v>
      </c>
      <c r="Z1182" t="s">
        <v>74</v>
      </c>
      <c r="AA1182" t="str">
        <f>"10467-2403"</f>
        <v>10467-2403</v>
      </c>
      <c r="AB1182" t="s">
        <v>75</v>
      </c>
      <c r="AC1182" t="s">
        <v>76</v>
      </c>
      <c r="AD1182" t="s">
        <v>73</v>
      </c>
      <c r="AE1182" t="s">
        <v>77</v>
      </c>
      <c r="AF1182" t="s">
        <v>2242</v>
      </c>
      <c r="AG1182" t="s">
        <v>78</v>
      </c>
    </row>
    <row r="1183" spans="1:33" hidden="1" x14ac:dyDescent="0.25">
      <c r="A1183" t="str">
        <f>"1194771683"</f>
        <v>1194771683</v>
      </c>
      <c r="B1183" t="str">
        <f>"03052691"</f>
        <v>03052691</v>
      </c>
      <c r="C1183" t="s">
        <v>6432</v>
      </c>
      <c r="D1183" t="s">
        <v>6433</v>
      </c>
      <c r="E1183" t="s">
        <v>6434</v>
      </c>
      <c r="G1183" t="s">
        <v>2224</v>
      </c>
      <c r="H1183" t="s">
        <v>2225</v>
      </c>
      <c r="J1183" t="s">
        <v>2226</v>
      </c>
      <c r="L1183" t="s">
        <v>72</v>
      </c>
      <c r="M1183" t="s">
        <v>73</v>
      </c>
      <c r="R1183" t="s">
        <v>6435</v>
      </c>
      <c r="W1183" t="s">
        <v>6436</v>
      </c>
      <c r="X1183" t="s">
        <v>1981</v>
      </c>
      <c r="Y1183" t="s">
        <v>91</v>
      </c>
      <c r="Z1183" t="s">
        <v>74</v>
      </c>
      <c r="AA1183" t="str">
        <f>"10032-1559"</f>
        <v>10032-1559</v>
      </c>
      <c r="AB1183" t="s">
        <v>75</v>
      </c>
      <c r="AC1183" t="s">
        <v>76</v>
      </c>
      <c r="AD1183" t="s">
        <v>73</v>
      </c>
      <c r="AE1183" t="s">
        <v>77</v>
      </c>
      <c r="AF1183" t="s">
        <v>2228</v>
      </c>
      <c r="AG1183" t="s">
        <v>78</v>
      </c>
    </row>
    <row r="1184" spans="1:33" hidden="1" x14ac:dyDescent="0.25">
      <c r="A1184" t="str">
        <f>"1023327269"</f>
        <v>1023327269</v>
      </c>
      <c r="B1184" t="str">
        <f>"03694626"</f>
        <v>03694626</v>
      </c>
      <c r="C1184" t="s">
        <v>6437</v>
      </c>
      <c r="D1184" t="s">
        <v>6438</v>
      </c>
      <c r="E1184" t="s">
        <v>6439</v>
      </c>
      <c r="G1184" t="s">
        <v>2224</v>
      </c>
      <c r="H1184" t="s">
        <v>2225</v>
      </c>
      <c r="J1184" t="s">
        <v>2226</v>
      </c>
      <c r="L1184" t="s">
        <v>72</v>
      </c>
      <c r="M1184" t="s">
        <v>73</v>
      </c>
      <c r="R1184" t="s">
        <v>6440</v>
      </c>
      <c r="W1184" t="s">
        <v>6441</v>
      </c>
      <c r="X1184" t="s">
        <v>2925</v>
      </c>
      <c r="Y1184" t="s">
        <v>91</v>
      </c>
      <c r="Z1184" t="s">
        <v>74</v>
      </c>
      <c r="AA1184" t="str">
        <f>"10032-3720"</f>
        <v>10032-3720</v>
      </c>
      <c r="AB1184" t="s">
        <v>113</v>
      </c>
      <c r="AC1184" t="s">
        <v>76</v>
      </c>
      <c r="AD1184" t="s">
        <v>73</v>
      </c>
      <c r="AE1184" t="s">
        <v>77</v>
      </c>
      <c r="AF1184" t="s">
        <v>2254</v>
      </c>
      <c r="AG1184" t="s">
        <v>78</v>
      </c>
    </row>
    <row r="1185" spans="1:33" hidden="1" x14ac:dyDescent="0.25">
      <c r="A1185" t="str">
        <f>"1154343036"</f>
        <v>1154343036</v>
      </c>
      <c r="B1185" t="str">
        <f>"02784696"</f>
        <v>02784696</v>
      </c>
      <c r="C1185" t="s">
        <v>6442</v>
      </c>
      <c r="D1185" t="s">
        <v>6443</v>
      </c>
      <c r="E1185" t="s">
        <v>6444</v>
      </c>
      <c r="G1185" t="s">
        <v>2224</v>
      </c>
      <c r="H1185" t="s">
        <v>2225</v>
      </c>
      <c r="J1185" t="s">
        <v>2226</v>
      </c>
      <c r="L1185" t="s">
        <v>80</v>
      </c>
      <c r="M1185" t="s">
        <v>73</v>
      </c>
      <c r="R1185" t="s">
        <v>6445</v>
      </c>
      <c r="W1185" t="s">
        <v>6446</v>
      </c>
      <c r="X1185" t="s">
        <v>487</v>
      </c>
      <c r="Y1185" t="s">
        <v>1079</v>
      </c>
      <c r="Z1185" t="s">
        <v>74</v>
      </c>
      <c r="AA1185" t="str">
        <f>"10021"</f>
        <v>10021</v>
      </c>
      <c r="AB1185" t="s">
        <v>75</v>
      </c>
      <c r="AC1185" t="s">
        <v>76</v>
      </c>
      <c r="AD1185" t="s">
        <v>73</v>
      </c>
      <c r="AE1185" t="s">
        <v>77</v>
      </c>
      <c r="AF1185" t="s">
        <v>2242</v>
      </c>
      <c r="AG1185" t="s">
        <v>78</v>
      </c>
    </row>
    <row r="1186" spans="1:33" hidden="1" x14ac:dyDescent="0.25">
      <c r="A1186" t="str">
        <f>"1154347888"</f>
        <v>1154347888</v>
      </c>
      <c r="B1186" t="str">
        <f>"01981837"</f>
        <v>01981837</v>
      </c>
      <c r="C1186" t="s">
        <v>6447</v>
      </c>
      <c r="D1186" t="s">
        <v>6448</v>
      </c>
      <c r="E1186" t="s">
        <v>6449</v>
      </c>
      <c r="G1186" t="s">
        <v>2224</v>
      </c>
      <c r="H1186" t="s">
        <v>2225</v>
      </c>
      <c r="J1186" t="s">
        <v>2226</v>
      </c>
      <c r="L1186" t="s">
        <v>80</v>
      </c>
      <c r="M1186" t="s">
        <v>73</v>
      </c>
      <c r="R1186" t="s">
        <v>6450</v>
      </c>
      <c r="W1186" t="s">
        <v>6449</v>
      </c>
      <c r="X1186" t="s">
        <v>183</v>
      </c>
      <c r="Y1186" t="s">
        <v>91</v>
      </c>
      <c r="Z1186" t="s">
        <v>74</v>
      </c>
      <c r="AA1186" t="str">
        <f>"10032-3729"</f>
        <v>10032-3729</v>
      </c>
      <c r="AB1186" t="s">
        <v>75</v>
      </c>
      <c r="AC1186" t="s">
        <v>76</v>
      </c>
      <c r="AD1186" t="s">
        <v>73</v>
      </c>
      <c r="AE1186" t="s">
        <v>77</v>
      </c>
      <c r="AF1186" t="s">
        <v>2228</v>
      </c>
      <c r="AG1186" t="s">
        <v>78</v>
      </c>
    </row>
    <row r="1187" spans="1:33" hidden="1" x14ac:dyDescent="0.25">
      <c r="A1187" t="str">
        <f>"1154358356"</f>
        <v>1154358356</v>
      </c>
      <c r="B1187" t="str">
        <f>"01015801"</f>
        <v>01015801</v>
      </c>
      <c r="C1187" t="s">
        <v>6451</v>
      </c>
      <c r="D1187" t="s">
        <v>6452</v>
      </c>
      <c r="E1187" t="s">
        <v>6453</v>
      </c>
      <c r="G1187" t="s">
        <v>2224</v>
      </c>
      <c r="H1187" t="s">
        <v>2225</v>
      </c>
      <c r="J1187" t="s">
        <v>2226</v>
      </c>
      <c r="L1187" t="s">
        <v>72</v>
      </c>
      <c r="M1187" t="s">
        <v>73</v>
      </c>
      <c r="R1187" t="s">
        <v>6454</v>
      </c>
      <c r="W1187" t="s">
        <v>6453</v>
      </c>
      <c r="Y1187" t="s">
        <v>91</v>
      </c>
      <c r="Z1187" t="s">
        <v>74</v>
      </c>
      <c r="AA1187" t="str">
        <f>"10032-3720"</f>
        <v>10032-3720</v>
      </c>
      <c r="AB1187" t="s">
        <v>75</v>
      </c>
      <c r="AC1187" t="s">
        <v>76</v>
      </c>
      <c r="AD1187" t="s">
        <v>73</v>
      </c>
      <c r="AE1187" t="s">
        <v>77</v>
      </c>
      <c r="AF1187" t="s">
        <v>2228</v>
      </c>
      <c r="AG1187" t="s">
        <v>78</v>
      </c>
    </row>
    <row r="1188" spans="1:33" hidden="1" x14ac:dyDescent="0.25">
      <c r="A1188" t="str">
        <f>"1154392504"</f>
        <v>1154392504</v>
      </c>
      <c r="B1188" t="str">
        <f>"01143131"</f>
        <v>01143131</v>
      </c>
      <c r="C1188" t="s">
        <v>6455</v>
      </c>
      <c r="D1188" t="s">
        <v>6456</v>
      </c>
      <c r="E1188" t="s">
        <v>6457</v>
      </c>
      <c r="G1188" t="s">
        <v>2224</v>
      </c>
      <c r="H1188" t="s">
        <v>2225</v>
      </c>
      <c r="J1188" t="s">
        <v>2226</v>
      </c>
      <c r="L1188" t="s">
        <v>72</v>
      </c>
      <c r="M1188" t="s">
        <v>73</v>
      </c>
      <c r="R1188" t="s">
        <v>6458</v>
      </c>
      <c r="W1188" t="s">
        <v>6457</v>
      </c>
      <c r="X1188" t="s">
        <v>6459</v>
      </c>
      <c r="Y1188" t="s">
        <v>91</v>
      </c>
      <c r="Z1188" t="s">
        <v>74</v>
      </c>
      <c r="AA1188" t="str">
        <f>"10065-4870"</f>
        <v>10065-4870</v>
      </c>
      <c r="AB1188" t="s">
        <v>75</v>
      </c>
      <c r="AC1188" t="s">
        <v>76</v>
      </c>
      <c r="AD1188" t="s">
        <v>73</v>
      </c>
      <c r="AE1188" t="s">
        <v>77</v>
      </c>
      <c r="AF1188" t="s">
        <v>2242</v>
      </c>
      <c r="AG1188" t="s">
        <v>78</v>
      </c>
    </row>
    <row r="1189" spans="1:33" hidden="1" x14ac:dyDescent="0.25">
      <c r="A1189" t="str">
        <f>"1558438788"</f>
        <v>1558438788</v>
      </c>
      <c r="B1189" t="str">
        <f>"02381235"</f>
        <v>02381235</v>
      </c>
      <c r="C1189" t="s">
        <v>6460</v>
      </c>
      <c r="D1189" t="s">
        <v>6461</v>
      </c>
      <c r="E1189" t="s">
        <v>6462</v>
      </c>
      <c r="G1189" t="s">
        <v>2224</v>
      </c>
      <c r="H1189" t="s">
        <v>2225</v>
      </c>
      <c r="J1189" t="s">
        <v>2226</v>
      </c>
      <c r="L1189" t="s">
        <v>72</v>
      </c>
      <c r="M1189" t="s">
        <v>82</v>
      </c>
      <c r="R1189" t="s">
        <v>6463</v>
      </c>
      <c r="W1189" t="s">
        <v>6464</v>
      </c>
      <c r="X1189" t="s">
        <v>167</v>
      </c>
      <c r="Y1189" t="s">
        <v>91</v>
      </c>
      <c r="Z1189" t="s">
        <v>74</v>
      </c>
      <c r="AA1189" t="str">
        <f>"10032-3720"</f>
        <v>10032-3720</v>
      </c>
      <c r="AB1189" t="s">
        <v>75</v>
      </c>
      <c r="AC1189" t="s">
        <v>76</v>
      </c>
      <c r="AD1189" t="s">
        <v>73</v>
      </c>
      <c r="AE1189" t="s">
        <v>77</v>
      </c>
      <c r="AF1189" t="s">
        <v>2228</v>
      </c>
      <c r="AG1189" t="s">
        <v>78</v>
      </c>
    </row>
    <row r="1190" spans="1:33" hidden="1" x14ac:dyDescent="0.25">
      <c r="A1190" t="str">
        <f>"1801837240"</f>
        <v>1801837240</v>
      </c>
      <c r="B1190" t="str">
        <f>"01220539"</f>
        <v>01220539</v>
      </c>
      <c r="C1190" t="s">
        <v>6465</v>
      </c>
      <c r="D1190" t="s">
        <v>6466</v>
      </c>
      <c r="E1190" t="s">
        <v>6467</v>
      </c>
      <c r="G1190" t="s">
        <v>2224</v>
      </c>
      <c r="H1190" t="s">
        <v>2225</v>
      </c>
      <c r="J1190" t="s">
        <v>2226</v>
      </c>
      <c r="L1190" t="s">
        <v>72</v>
      </c>
      <c r="M1190" t="s">
        <v>73</v>
      </c>
      <c r="R1190" t="s">
        <v>6468</v>
      </c>
      <c r="W1190" t="s">
        <v>6467</v>
      </c>
      <c r="X1190" t="s">
        <v>6469</v>
      </c>
      <c r="Y1190" t="s">
        <v>356</v>
      </c>
      <c r="Z1190" t="s">
        <v>74</v>
      </c>
      <c r="AA1190" t="str">
        <f>"10970-3516"</f>
        <v>10970-3516</v>
      </c>
      <c r="AB1190" t="s">
        <v>75</v>
      </c>
      <c r="AC1190" t="s">
        <v>76</v>
      </c>
      <c r="AD1190" t="s">
        <v>73</v>
      </c>
      <c r="AE1190" t="s">
        <v>77</v>
      </c>
      <c r="AF1190" t="s">
        <v>2254</v>
      </c>
      <c r="AG1190" t="s">
        <v>78</v>
      </c>
    </row>
    <row r="1191" spans="1:33" hidden="1" x14ac:dyDescent="0.25">
      <c r="A1191" t="str">
        <f>"1447518550"</f>
        <v>1447518550</v>
      </c>
      <c r="B1191" t="str">
        <f>"01391840"</f>
        <v>01391840</v>
      </c>
      <c r="C1191" t="s">
        <v>3282</v>
      </c>
      <c r="D1191" t="s">
        <v>6470</v>
      </c>
      <c r="E1191" t="s">
        <v>5429</v>
      </c>
      <c r="L1191" t="s">
        <v>36</v>
      </c>
      <c r="M1191" t="s">
        <v>73</v>
      </c>
      <c r="R1191" t="s">
        <v>3282</v>
      </c>
      <c r="W1191" t="s">
        <v>3280</v>
      </c>
      <c r="X1191" t="s">
        <v>410</v>
      </c>
      <c r="Y1191" t="s">
        <v>91</v>
      </c>
      <c r="Z1191" t="s">
        <v>74</v>
      </c>
      <c r="AA1191" t="str">
        <f>"10032-1559"</f>
        <v>10032-1559</v>
      </c>
      <c r="AB1191" t="s">
        <v>114</v>
      </c>
      <c r="AC1191" t="s">
        <v>76</v>
      </c>
      <c r="AD1191" t="s">
        <v>73</v>
      </c>
      <c r="AE1191" t="s">
        <v>77</v>
      </c>
      <c r="AG1191" t="s">
        <v>78</v>
      </c>
    </row>
    <row r="1192" spans="1:33" hidden="1" x14ac:dyDescent="0.25">
      <c r="A1192" t="str">
        <f>"1225295702"</f>
        <v>1225295702</v>
      </c>
      <c r="B1192" t="str">
        <f>"03124316"</f>
        <v>03124316</v>
      </c>
      <c r="C1192" t="s">
        <v>6471</v>
      </c>
      <c r="D1192" t="s">
        <v>6472</v>
      </c>
      <c r="E1192" t="s">
        <v>6473</v>
      </c>
      <c r="L1192" t="s">
        <v>72</v>
      </c>
      <c r="M1192" t="s">
        <v>73</v>
      </c>
      <c r="R1192" t="s">
        <v>6474</v>
      </c>
      <c r="W1192" t="s">
        <v>6473</v>
      </c>
      <c r="X1192" t="s">
        <v>170</v>
      </c>
      <c r="Y1192" t="s">
        <v>91</v>
      </c>
      <c r="Z1192" t="s">
        <v>74</v>
      </c>
      <c r="AA1192" t="str">
        <f>"10065-4870"</f>
        <v>10065-4870</v>
      </c>
      <c r="AB1192" t="s">
        <v>75</v>
      </c>
      <c r="AC1192" t="s">
        <v>76</v>
      </c>
      <c r="AD1192" t="s">
        <v>73</v>
      </c>
      <c r="AE1192" t="s">
        <v>77</v>
      </c>
      <c r="AF1192" t="s">
        <v>2242</v>
      </c>
      <c r="AG1192" t="s">
        <v>78</v>
      </c>
    </row>
    <row r="1193" spans="1:33" hidden="1" x14ac:dyDescent="0.25">
      <c r="A1193" t="str">
        <f>"1083032502"</f>
        <v>1083032502</v>
      </c>
      <c r="C1193" t="s">
        <v>6475</v>
      </c>
      <c r="G1193" t="s">
        <v>2224</v>
      </c>
      <c r="H1193" t="s">
        <v>2312</v>
      </c>
      <c r="J1193" t="s">
        <v>2226</v>
      </c>
      <c r="K1193" t="s">
        <v>171</v>
      </c>
      <c r="L1193" t="s">
        <v>96</v>
      </c>
      <c r="M1193" t="s">
        <v>73</v>
      </c>
      <c r="R1193" t="s">
        <v>6476</v>
      </c>
      <c r="S1193" t="s">
        <v>3925</v>
      </c>
      <c r="T1193" t="s">
        <v>91</v>
      </c>
      <c r="U1193" t="s">
        <v>74</v>
      </c>
      <c r="V1193" t="str">
        <f>"100323720"</f>
        <v>100323720</v>
      </c>
      <c r="AC1193" t="s">
        <v>76</v>
      </c>
      <c r="AD1193" t="s">
        <v>73</v>
      </c>
      <c r="AE1193" t="s">
        <v>97</v>
      </c>
      <c r="AF1193" t="s">
        <v>2228</v>
      </c>
      <c r="AG1193" t="s">
        <v>78</v>
      </c>
    </row>
    <row r="1194" spans="1:33" hidden="1" x14ac:dyDescent="0.25">
      <c r="A1194" t="str">
        <f>"1831480839"</f>
        <v>1831480839</v>
      </c>
      <c r="C1194" t="s">
        <v>6477</v>
      </c>
      <c r="G1194" t="s">
        <v>2224</v>
      </c>
      <c r="H1194" t="s">
        <v>2312</v>
      </c>
      <c r="J1194" t="s">
        <v>2226</v>
      </c>
      <c r="K1194" t="s">
        <v>171</v>
      </c>
      <c r="L1194" t="s">
        <v>96</v>
      </c>
      <c r="M1194" t="s">
        <v>73</v>
      </c>
      <c r="R1194" t="s">
        <v>6478</v>
      </c>
      <c r="S1194" t="s">
        <v>6479</v>
      </c>
      <c r="T1194" t="s">
        <v>91</v>
      </c>
      <c r="U1194" t="s">
        <v>74</v>
      </c>
      <c r="V1194" t="str">
        <f>"100323720"</f>
        <v>100323720</v>
      </c>
      <c r="AC1194" t="s">
        <v>76</v>
      </c>
      <c r="AD1194" t="s">
        <v>73</v>
      </c>
      <c r="AE1194" t="s">
        <v>97</v>
      </c>
      <c r="AF1194" t="s">
        <v>2228</v>
      </c>
      <c r="AG1194" t="s">
        <v>78</v>
      </c>
    </row>
    <row r="1195" spans="1:33" hidden="1" x14ac:dyDescent="0.25">
      <c r="A1195" t="str">
        <f>"1871936153"</f>
        <v>1871936153</v>
      </c>
      <c r="C1195" t="s">
        <v>6480</v>
      </c>
      <c r="G1195" t="s">
        <v>2224</v>
      </c>
      <c r="H1195" t="s">
        <v>2312</v>
      </c>
      <c r="J1195" t="s">
        <v>2226</v>
      </c>
      <c r="K1195" t="s">
        <v>171</v>
      </c>
      <c r="L1195" t="s">
        <v>96</v>
      </c>
      <c r="M1195" t="s">
        <v>73</v>
      </c>
      <c r="R1195" t="s">
        <v>6481</v>
      </c>
      <c r="S1195" t="s">
        <v>6482</v>
      </c>
      <c r="T1195" t="s">
        <v>517</v>
      </c>
      <c r="U1195" t="s">
        <v>511</v>
      </c>
      <c r="V1195" t="str">
        <f>"972011601"</f>
        <v>972011601</v>
      </c>
      <c r="AC1195" t="s">
        <v>76</v>
      </c>
      <c r="AD1195" t="s">
        <v>73</v>
      </c>
      <c r="AE1195" t="s">
        <v>97</v>
      </c>
      <c r="AF1195" t="s">
        <v>2228</v>
      </c>
      <c r="AG1195" t="s">
        <v>78</v>
      </c>
    </row>
    <row r="1196" spans="1:33" hidden="1" x14ac:dyDescent="0.25">
      <c r="A1196" t="str">
        <f>"1639597065"</f>
        <v>1639597065</v>
      </c>
      <c r="C1196" t="s">
        <v>6483</v>
      </c>
      <c r="G1196" t="s">
        <v>2224</v>
      </c>
      <c r="H1196" t="s">
        <v>2312</v>
      </c>
      <c r="J1196" t="s">
        <v>2226</v>
      </c>
      <c r="K1196" t="s">
        <v>171</v>
      </c>
      <c r="L1196" t="s">
        <v>96</v>
      </c>
      <c r="M1196" t="s">
        <v>73</v>
      </c>
      <c r="R1196" t="s">
        <v>6484</v>
      </c>
      <c r="S1196" t="s">
        <v>2442</v>
      </c>
      <c r="T1196" t="s">
        <v>91</v>
      </c>
      <c r="U1196" t="s">
        <v>74</v>
      </c>
      <c r="V1196" t="str">
        <f>"100323720"</f>
        <v>100323720</v>
      </c>
      <c r="AC1196" t="s">
        <v>76</v>
      </c>
      <c r="AD1196" t="s">
        <v>73</v>
      </c>
      <c r="AE1196" t="s">
        <v>97</v>
      </c>
      <c r="AF1196" t="s">
        <v>2228</v>
      </c>
      <c r="AG1196" t="s">
        <v>78</v>
      </c>
    </row>
    <row r="1197" spans="1:33" hidden="1" x14ac:dyDescent="0.25">
      <c r="A1197" t="str">
        <f>"1558637710"</f>
        <v>1558637710</v>
      </c>
      <c r="C1197" t="s">
        <v>6485</v>
      </c>
      <c r="G1197" t="s">
        <v>2224</v>
      </c>
      <c r="H1197" t="s">
        <v>2312</v>
      </c>
      <c r="J1197" t="s">
        <v>2226</v>
      </c>
      <c r="K1197" t="s">
        <v>171</v>
      </c>
      <c r="L1197" t="s">
        <v>96</v>
      </c>
      <c r="M1197" t="s">
        <v>73</v>
      </c>
      <c r="R1197" t="s">
        <v>6486</v>
      </c>
      <c r="S1197" t="s">
        <v>6487</v>
      </c>
      <c r="T1197" t="s">
        <v>91</v>
      </c>
      <c r="U1197" t="s">
        <v>74</v>
      </c>
      <c r="V1197" t="str">
        <f>"100323720"</f>
        <v>100323720</v>
      </c>
      <c r="AC1197" t="s">
        <v>76</v>
      </c>
      <c r="AD1197" t="s">
        <v>73</v>
      </c>
      <c r="AE1197" t="s">
        <v>97</v>
      </c>
      <c r="AF1197" t="s">
        <v>2228</v>
      </c>
      <c r="AG1197" t="s">
        <v>78</v>
      </c>
    </row>
    <row r="1198" spans="1:33" hidden="1" x14ac:dyDescent="0.25">
      <c r="A1198" t="str">
        <f>"1831456045"</f>
        <v>1831456045</v>
      </c>
      <c r="C1198" t="s">
        <v>6488</v>
      </c>
      <c r="G1198" t="s">
        <v>2224</v>
      </c>
      <c r="H1198" t="s">
        <v>2312</v>
      </c>
      <c r="J1198" t="s">
        <v>2226</v>
      </c>
      <c r="K1198" t="s">
        <v>171</v>
      </c>
      <c r="L1198" t="s">
        <v>96</v>
      </c>
      <c r="M1198" t="s">
        <v>73</v>
      </c>
      <c r="R1198" t="s">
        <v>6489</v>
      </c>
      <c r="S1198" t="s">
        <v>167</v>
      </c>
      <c r="T1198" t="s">
        <v>91</v>
      </c>
      <c r="U1198" t="s">
        <v>74</v>
      </c>
      <c r="V1198" t="str">
        <f>"100323720"</f>
        <v>100323720</v>
      </c>
      <c r="AC1198" t="s">
        <v>76</v>
      </c>
      <c r="AD1198" t="s">
        <v>73</v>
      </c>
      <c r="AE1198" t="s">
        <v>97</v>
      </c>
      <c r="AF1198" t="s">
        <v>2228</v>
      </c>
      <c r="AG1198" t="s">
        <v>78</v>
      </c>
    </row>
    <row r="1199" spans="1:33" hidden="1" x14ac:dyDescent="0.25">
      <c r="A1199" t="str">
        <f>"1073802666"</f>
        <v>1073802666</v>
      </c>
      <c r="B1199" t="str">
        <f>"04474246"</f>
        <v>04474246</v>
      </c>
      <c r="C1199" t="s">
        <v>6490</v>
      </c>
      <c r="D1199" t="s">
        <v>6491</v>
      </c>
      <c r="E1199" t="s">
        <v>6492</v>
      </c>
      <c r="G1199" t="s">
        <v>2224</v>
      </c>
      <c r="H1199" t="s">
        <v>2312</v>
      </c>
      <c r="J1199" t="s">
        <v>2226</v>
      </c>
      <c r="L1199" t="s">
        <v>96</v>
      </c>
      <c r="M1199" t="s">
        <v>73</v>
      </c>
      <c r="R1199" t="s">
        <v>6493</v>
      </c>
      <c r="W1199" t="s">
        <v>6492</v>
      </c>
      <c r="AB1199" t="s">
        <v>75</v>
      </c>
      <c r="AC1199" t="s">
        <v>76</v>
      </c>
      <c r="AD1199" t="s">
        <v>73</v>
      </c>
      <c r="AE1199" t="s">
        <v>77</v>
      </c>
      <c r="AF1199" t="s">
        <v>2228</v>
      </c>
      <c r="AG1199" t="s">
        <v>78</v>
      </c>
    </row>
    <row r="1200" spans="1:33" hidden="1" x14ac:dyDescent="0.25">
      <c r="A1200" t="str">
        <f>"1033451554"</f>
        <v>1033451554</v>
      </c>
      <c r="C1200" t="s">
        <v>6494</v>
      </c>
      <c r="G1200" t="s">
        <v>2224</v>
      </c>
      <c r="H1200" t="s">
        <v>2312</v>
      </c>
      <c r="J1200" t="s">
        <v>2226</v>
      </c>
      <c r="K1200" t="s">
        <v>171</v>
      </c>
      <c r="L1200" t="s">
        <v>96</v>
      </c>
      <c r="M1200" t="s">
        <v>73</v>
      </c>
      <c r="R1200" t="s">
        <v>6495</v>
      </c>
      <c r="S1200" t="s">
        <v>6496</v>
      </c>
      <c r="T1200" t="s">
        <v>128</v>
      </c>
      <c r="U1200" t="s">
        <v>74</v>
      </c>
      <c r="V1200" t="str">
        <f>"132022432"</f>
        <v>132022432</v>
      </c>
      <c r="AC1200" t="s">
        <v>76</v>
      </c>
      <c r="AD1200" t="s">
        <v>73</v>
      </c>
      <c r="AE1200" t="s">
        <v>97</v>
      </c>
      <c r="AF1200" t="s">
        <v>2228</v>
      </c>
      <c r="AG1200" t="s">
        <v>78</v>
      </c>
    </row>
    <row r="1201" spans="1:33" hidden="1" x14ac:dyDescent="0.25">
      <c r="A1201" t="str">
        <f>"1376850065"</f>
        <v>1376850065</v>
      </c>
      <c r="B1201" t="str">
        <f>"03743280"</f>
        <v>03743280</v>
      </c>
      <c r="C1201" t="s">
        <v>6497</v>
      </c>
      <c r="D1201" t="s">
        <v>808</v>
      </c>
      <c r="E1201" t="s">
        <v>809</v>
      </c>
      <c r="G1201" t="s">
        <v>749</v>
      </c>
      <c r="H1201" t="s">
        <v>320</v>
      </c>
      <c r="J1201" t="s">
        <v>750</v>
      </c>
      <c r="L1201" t="s">
        <v>80</v>
      </c>
      <c r="M1201" t="s">
        <v>82</v>
      </c>
      <c r="R1201" t="s">
        <v>810</v>
      </c>
      <c r="W1201" t="s">
        <v>809</v>
      </c>
      <c r="X1201" t="s">
        <v>683</v>
      </c>
      <c r="Y1201" t="s">
        <v>118</v>
      </c>
      <c r="Z1201" t="s">
        <v>74</v>
      </c>
      <c r="AA1201" t="str">
        <f>"10459-3204"</f>
        <v>10459-3204</v>
      </c>
      <c r="AB1201" t="s">
        <v>75</v>
      </c>
      <c r="AC1201" t="s">
        <v>76</v>
      </c>
      <c r="AD1201" t="s">
        <v>73</v>
      </c>
      <c r="AE1201" t="s">
        <v>77</v>
      </c>
      <c r="AF1201" t="s">
        <v>2445</v>
      </c>
      <c r="AG1201" t="s">
        <v>78</v>
      </c>
    </row>
    <row r="1202" spans="1:33" hidden="1" x14ac:dyDescent="0.25">
      <c r="A1202" t="str">
        <f>"1487720017"</f>
        <v>1487720017</v>
      </c>
      <c r="B1202" t="str">
        <f>"02400195"</f>
        <v>02400195</v>
      </c>
      <c r="C1202" t="s">
        <v>6498</v>
      </c>
      <c r="D1202" t="s">
        <v>880</v>
      </c>
      <c r="E1202" t="s">
        <v>881</v>
      </c>
      <c r="G1202" t="s">
        <v>749</v>
      </c>
      <c r="H1202" t="s">
        <v>320</v>
      </c>
      <c r="J1202" t="s">
        <v>750</v>
      </c>
      <c r="L1202" t="s">
        <v>81</v>
      </c>
      <c r="M1202" t="s">
        <v>82</v>
      </c>
      <c r="R1202" t="s">
        <v>881</v>
      </c>
      <c r="W1202" t="s">
        <v>881</v>
      </c>
      <c r="X1202" t="s">
        <v>636</v>
      </c>
      <c r="Y1202" t="s">
        <v>91</v>
      </c>
      <c r="Z1202" t="s">
        <v>74</v>
      </c>
      <c r="AA1202" t="str">
        <f>"10026-3138"</f>
        <v>10026-3138</v>
      </c>
      <c r="AB1202" t="s">
        <v>75</v>
      </c>
      <c r="AC1202" t="s">
        <v>76</v>
      </c>
      <c r="AD1202" t="s">
        <v>73</v>
      </c>
      <c r="AE1202" t="s">
        <v>77</v>
      </c>
      <c r="AF1202" t="s">
        <v>2445</v>
      </c>
      <c r="AG1202" t="s">
        <v>78</v>
      </c>
    </row>
    <row r="1203" spans="1:33" hidden="1" x14ac:dyDescent="0.25">
      <c r="A1203" t="str">
        <f>"1992006514"</f>
        <v>1992006514</v>
      </c>
      <c r="B1203" t="str">
        <f>"03302036"</f>
        <v>03302036</v>
      </c>
      <c r="C1203" t="s">
        <v>2188</v>
      </c>
      <c r="D1203" t="s">
        <v>1058</v>
      </c>
      <c r="E1203" t="s">
        <v>1059</v>
      </c>
      <c r="G1203" t="s">
        <v>749</v>
      </c>
      <c r="H1203" t="s">
        <v>320</v>
      </c>
      <c r="J1203" t="s">
        <v>750</v>
      </c>
      <c r="L1203" t="s">
        <v>81</v>
      </c>
      <c r="M1203" t="s">
        <v>82</v>
      </c>
      <c r="R1203" t="s">
        <v>1059</v>
      </c>
      <c r="W1203" t="s">
        <v>1059</v>
      </c>
      <c r="X1203" t="s">
        <v>462</v>
      </c>
      <c r="Y1203" t="s">
        <v>118</v>
      </c>
      <c r="Z1203" t="s">
        <v>74</v>
      </c>
      <c r="AA1203" t="str">
        <f>"10459-2417"</f>
        <v>10459-2417</v>
      </c>
      <c r="AB1203" t="s">
        <v>75</v>
      </c>
      <c r="AC1203" t="s">
        <v>76</v>
      </c>
      <c r="AD1203" t="s">
        <v>73</v>
      </c>
      <c r="AE1203" t="s">
        <v>77</v>
      </c>
      <c r="AF1203" t="s">
        <v>2445</v>
      </c>
      <c r="AG1203" t="s">
        <v>78</v>
      </c>
    </row>
    <row r="1204" spans="1:33" hidden="1" x14ac:dyDescent="0.25">
      <c r="A1204" t="str">
        <f>"1952622987"</f>
        <v>1952622987</v>
      </c>
      <c r="B1204" t="str">
        <f>"03650828"</f>
        <v>03650828</v>
      </c>
      <c r="C1204" t="s">
        <v>6499</v>
      </c>
      <c r="D1204" t="s">
        <v>1068</v>
      </c>
      <c r="E1204" t="s">
        <v>1069</v>
      </c>
      <c r="G1204" t="s">
        <v>749</v>
      </c>
      <c r="H1204" t="s">
        <v>320</v>
      </c>
      <c r="J1204" t="s">
        <v>750</v>
      </c>
      <c r="L1204" t="s">
        <v>81</v>
      </c>
      <c r="M1204" t="s">
        <v>82</v>
      </c>
      <c r="R1204" t="s">
        <v>1070</v>
      </c>
      <c r="W1204" t="s">
        <v>1069</v>
      </c>
      <c r="X1204" t="s">
        <v>636</v>
      </c>
      <c r="Y1204" t="s">
        <v>91</v>
      </c>
      <c r="Z1204" t="s">
        <v>74</v>
      </c>
      <c r="AA1204" t="str">
        <f>"10026-3138"</f>
        <v>10026-3138</v>
      </c>
      <c r="AB1204" t="s">
        <v>75</v>
      </c>
      <c r="AC1204" t="s">
        <v>76</v>
      </c>
      <c r="AD1204" t="s">
        <v>73</v>
      </c>
      <c r="AE1204" t="s">
        <v>77</v>
      </c>
      <c r="AF1204" t="s">
        <v>2445</v>
      </c>
      <c r="AG1204" t="s">
        <v>78</v>
      </c>
    </row>
    <row r="1205" spans="1:33" hidden="1" x14ac:dyDescent="0.25">
      <c r="A1205" t="str">
        <f>"1306085436"</f>
        <v>1306085436</v>
      </c>
      <c r="B1205" t="str">
        <f>"03107742"</f>
        <v>03107742</v>
      </c>
      <c r="C1205" t="s">
        <v>6500</v>
      </c>
      <c r="D1205" t="s">
        <v>1071</v>
      </c>
      <c r="E1205" t="s">
        <v>1072</v>
      </c>
      <c r="G1205" t="s">
        <v>749</v>
      </c>
      <c r="H1205" t="s">
        <v>320</v>
      </c>
      <c r="J1205" t="s">
        <v>750</v>
      </c>
      <c r="L1205" t="s">
        <v>81</v>
      </c>
      <c r="M1205" t="s">
        <v>73</v>
      </c>
      <c r="R1205" t="s">
        <v>1073</v>
      </c>
      <c r="W1205" t="s">
        <v>1074</v>
      </c>
      <c r="X1205" t="s">
        <v>1075</v>
      </c>
      <c r="Y1205" t="s">
        <v>91</v>
      </c>
      <c r="Z1205" t="s">
        <v>74</v>
      </c>
      <c r="AA1205" t="str">
        <f>"10003-4140"</f>
        <v>10003-4140</v>
      </c>
      <c r="AB1205" t="s">
        <v>75</v>
      </c>
      <c r="AC1205" t="s">
        <v>76</v>
      </c>
      <c r="AD1205" t="s">
        <v>73</v>
      </c>
      <c r="AE1205" t="s">
        <v>77</v>
      </c>
      <c r="AF1205" t="s">
        <v>2445</v>
      </c>
      <c r="AG1205" t="s">
        <v>78</v>
      </c>
    </row>
    <row r="1206" spans="1:33" hidden="1" x14ac:dyDescent="0.25">
      <c r="A1206" t="str">
        <f>"1295026714"</f>
        <v>1295026714</v>
      </c>
      <c r="B1206" t="str">
        <f>"03364665"</f>
        <v>03364665</v>
      </c>
      <c r="C1206" t="s">
        <v>6501</v>
      </c>
      <c r="D1206" t="s">
        <v>318</v>
      </c>
      <c r="E1206" t="s">
        <v>319</v>
      </c>
      <c r="G1206" t="s">
        <v>749</v>
      </c>
      <c r="H1206" t="s">
        <v>320</v>
      </c>
      <c r="J1206" t="s">
        <v>750</v>
      </c>
      <c r="L1206" t="s">
        <v>80</v>
      </c>
      <c r="M1206" t="s">
        <v>82</v>
      </c>
      <c r="R1206" t="s">
        <v>321</v>
      </c>
      <c r="W1206" t="s">
        <v>319</v>
      </c>
      <c r="X1206" t="s">
        <v>276</v>
      </c>
      <c r="Y1206" t="s">
        <v>240</v>
      </c>
      <c r="Z1206" t="s">
        <v>74</v>
      </c>
      <c r="AA1206" t="str">
        <f>"11423-2511"</f>
        <v>11423-2511</v>
      </c>
      <c r="AB1206" t="s">
        <v>107</v>
      </c>
      <c r="AC1206" t="s">
        <v>76</v>
      </c>
      <c r="AD1206" t="s">
        <v>73</v>
      </c>
      <c r="AE1206" t="s">
        <v>77</v>
      </c>
      <c r="AF1206" t="s">
        <v>2445</v>
      </c>
      <c r="AG1206" t="s">
        <v>78</v>
      </c>
    </row>
    <row r="1207" spans="1:33" hidden="1" x14ac:dyDescent="0.25">
      <c r="A1207" t="str">
        <f>"1649598731"</f>
        <v>1649598731</v>
      </c>
      <c r="B1207" t="str">
        <f>"03648120"</f>
        <v>03648120</v>
      </c>
      <c r="C1207" t="s">
        <v>6502</v>
      </c>
      <c r="D1207" t="s">
        <v>779</v>
      </c>
      <c r="E1207" t="s">
        <v>780</v>
      </c>
      <c r="G1207" t="s">
        <v>749</v>
      </c>
      <c r="H1207" t="s">
        <v>320</v>
      </c>
      <c r="J1207" t="s">
        <v>750</v>
      </c>
      <c r="L1207" t="s">
        <v>81</v>
      </c>
      <c r="M1207" t="s">
        <v>82</v>
      </c>
      <c r="R1207" t="s">
        <v>780</v>
      </c>
      <c r="W1207" t="s">
        <v>780</v>
      </c>
      <c r="X1207" t="s">
        <v>683</v>
      </c>
      <c r="Y1207" t="s">
        <v>118</v>
      </c>
      <c r="Z1207" t="s">
        <v>74</v>
      </c>
      <c r="AA1207" t="str">
        <f>"10459-3204"</f>
        <v>10459-3204</v>
      </c>
      <c r="AB1207" t="s">
        <v>75</v>
      </c>
      <c r="AC1207" t="s">
        <v>76</v>
      </c>
      <c r="AD1207" t="s">
        <v>73</v>
      </c>
      <c r="AE1207" t="s">
        <v>77</v>
      </c>
      <c r="AF1207" t="s">
        <v>2445</v>
      </c>
      <c r="AG1207" t="s">
        <v>78</v>
      </c>
    </row>
    <row r="1208" spans="1:33" hidden="1" x14ac:dyDescent="0.25">
      <c r="A1208" t="str">
        <f>"1861824773"</f>
        <v>1861824773</v>
      </c>
      <c r="B1208" t="str">
        <f>"03818926"</f>
        <v>03818926</v>
      </c>
      <c r="C1208" t="s">
        <v>6503</v>
      </c>
      <c r="D1208" t="s">
        <v>912</v>
      </c>
      <c r="E1208" t="s">
        <v>913</v>
      </c>
      <c r="G1208" t="s">
        <v>749</v>
      </c>
      <c r="H1208" t="s">
        <v>320</v>
      </c>
      <c r="J1208" t="s">
        <v>750</v>
      </c>
      <c r="L1208" t="s">
        <v>81</v>
      </c>
      <c r="M1208" t="s">
        <v>73</v>
      </c>
      <c r="R1208" t="s">
        <v>914</v>
      </c>
      <c r="W1208" t="s">
        <v>913</v>
      </c>
      <c r="X1208" t="s">
        <v>789</v>
      </c>
      <c r="Y1208" t="s">
        <v>84</v>
      </c>
      <c r="Z1208" t="s">
        <v>74</v>
      </c>
      <c r="AA1208" t="str">
        <f>"11225-5417"</f>
        <v>11225-5417</v>
      </c>
      <c r="AB1208" t="s">
        <v>75</v>
      </c>
      <c r="AC1208" t="s">
        <v>76</v>
      </c>
      <c r="AD1208" t="s">
        <v>73</v>
      </c>
      <c r="AE1208" t="s">
        <v>77</v>
      </c>
      <c r="AF1208" t="s">
        <v>2445</v>
      </c>
      <c r="AG1208" t="s">
        <v>78</v>
      </c>
    </row>
    <row r="1209" spans="1:33" hidden="1" x14ac:dyDescent="0.25">
      <c r="A1209" t="str">
        <f>"1033290242"</f>
        <v>1033290242</v>
      </c>
      <c r="B1209" t="str">
        <f>"02080844"</f>
        <v>02080844</v>
      </c>
      <c r="C1209" t="s">
        <v>1264</v>
      </c>
      <c r="D1209" t="s">
        <v>1119</v>
      </c>
      <c r="E1209" t="s">
        <v>1120</v>
      </c>
      <c r="G1209" t="s">
        <v>749</v>
      </c>
      <c r="H1209" t="s">
        <v>320</v>
      </c>
      <c r="J1209" t="s">
        <v>750</v>
      </c>
      <c r="L1209" t="s">
        <v>81</v>
      </c>
      <c r="M1209" t="s">
        <v>82</v>
      </c>
      <c r="R1209" t="s">
        <v>1121</v>
      </c>
      <c r="W1209" t="s">
        <v>1120</v>
      </c>
      <c r="X1209" t="s">
        <v>485</v>
      </c>
      <c r="Y1209" t="s">
        <v>118</v>
      </c>
      <c r="Z1209" t="s">
        <v>74</v>
      </c>
      <c r="AA1209" t="str">
        <f>"10461-2700"</f>
        <v>10461-2700</v>
      </c>
      <c r="AB1209" t="s">
        <v>75</v>
      </c>
      <c r="AC1209" t="s">
        <v>76</v>
      </c>
      <c r="AD1209" t="s">
        <v>73</v>
      </c>
      <c r="AE1209" t="s">
        <v>77</v>
      </c>
      <c r="AF1209" t="s">
        <v>2445</v>
      </c>
      <c r="AG1209" t="s">
        <v>78</v>
      </c>
    </row>
    <row r="1210" spans="1:33" hidden="1" x14ac:dyDescent="0.25">
      <c r="A1210" t="str">
        <f>"1134387079"</f>
        <v>1134387079</v>
      </c>
      <c r="B1210" t="str">
        <f>"03258986"</f>
        <v>03258986</v>
      </c>
      <c r="C1210" t="s">
        <v>6504</v>
      </c>
      <c r="D1210" t="s">
        <v>662</v>
      </c>
      <c r="E1210" t="s">
        <v>663</v>
      </c>
      <c r="G1210" t="s">
        <v>749</v>
      </c>
      <c r="H1210" t="s">
        <v>320</v>
      </c>
      <c r="J1210" t="s">
        <v>750</v>
      </c>
      <c r="L1210" t="s">
        <v>81</v>
      </c>
      <c r="M1210" t="s">
        <v>82</v>
      </c>
      <c r="R1210" t="s">
        <v>664</v>
      </c>
      <c r="W1210" t="s">
        <v>663</v>
      </c>
      <c r="X1210" t="s">
        <v>665</v>
      </c>
      <c r="Y1210" t="s">
        <v>91</v>
      </c>
      <c r="Z1210" t="s">
        <v>74</v>
      </c>
      <c r="AA1210" t="str">
        <f>"10003-3105"</f>
        <v>10003-3105</v>
      </c>
      <c r="AB1210" t="s">
        <v>75</v>
      </c>
      <c r="AC1210" t="s">
        <v>76</v>
      </c>
      <c r="AD1210" t="s">
        <v>73</v>
      </c>
      <c r="AE1210" t="s">
        <v>77</v>
      </c>
      <c r="AF1210" t="s">
        <v>2445</v>
      </c>
      <c r="AG1210" t="s">
        <v>78</v>
      </c>
    </row>
    <row r="1211" spans="1:33" hidden="1" x14ac:dyDescent="0.25">
      <c r="A1211" t="str">
        <f>"1275873804"</f>
        <v>1275873804</v>
      </c>
      <c r="B1211" t="str">
        <f>"03551700"</f>
        <v>03551700</v>
      </c>
      <c r="C1211" t="s">
        <v>6505</v>
      </c>
      <c r="D1211" t="s">
        <v>1115</v>
      </c>
      <c r="E1211" t="s">
        <v>1116</v>
      </c>
      <c r="G1211" t="s">
        <v>749</v>
      </c>
      <c r="H1211" t="s">
        <v>320</v>
      </c>
      <c r="J1211" t="s">
        <v>750</v>
      </c>
      <c r="L1211" t="s">
        <v>81</v>
      </c>
      <c r="M1211" t="s">
        <v>82</v>
      </c>
      <c r="R1211" t="s">
        <v>1117</v>
      </c>
      <c r="W1211" t="s">
        <v>1116</v>
      </c>
      <c r="X1211" t="s">
        <v>1118</v>
      </c>
      <c r="Y1211" t="s">
        <v>162</v>
      </c>
      <c r="Z1211" t="s">
        <v>74</v>
      </c>
      <c r="AA1211" t="str">
        <f>"11106-4705"</f>
        <v>11106-4705</v>
      </c>
      <c r="AB1211" t="s">
        <v>75</v>
      </c>
      <c r="AC1211" t="s">
        <v>76</v>
      </c>
      <c r="AD1211" t="s">
        <v>73</v>
      </c>
      <c r="AE1211" t="s">
        <v>77</v>
      </c>
      <c r="AF1211" t="s">
        <v>2445</v>
      </c>
      <c r="AG1211" t="s">
        <v>78</v>
      </c>
    </row>
    <row r="1212" spans="1:33" hidden="1" x14ac:dyDescent="0.25">
      <c r="A1212" t="str">
        <f>"1083700611"</f>
        <v>1083700611</v>
      </c>
      <c r="B1212" t="str">
        <f>"01780010"</f>
        <v>01780010</v>
      </c>
      <c r="C1212" t="s">
        <v>6506</v>
      </c>
      <c r="D1212" t="s">
        <v>1107</v>
      </c>
      <c r="E1212" t="s">
        <v>1108</v>
      </c>
      <c r="G1212" t="s">
        <v>749</v>
      </c>
      <c r="H1212" t="s">
        <v>320</v>
      </c>
      <c r="J1212" t="s">
        <v>750</v>
      </c>
      <c r="L1212" t="s">
        <v>80</v>
      </c>
      <c r="M1212" t="s">
        <v>82</v>
      </c>
      <c r="R1212" t="s">
        <v>1109</v>
      </c>
      <c r="W1212" t="s">
        <v>1108</v>
      </c>
      <c r="X1212" t="s">
        <v>1110</v>
      </c>
      <c r="Y1212" t="s">
        <v>91</v>
      </c>
      <c r="Z1212" t="s">
        <v>74</v>
      </c>
      <c r="AA1212" t="str">
        <f>"10010-1600"</f>
        <v>10010-1600</v>
      </c>
      <c r="AB1212" t="s">
        <v>107</v>
      </c>
      <c r="AC1212" t="s">
        <v>76</v>
      </c>
      <c r="AD1212" t="s">
        <v>73</v>
      </c>
      <c r="AE1212" t="s">
        <v>77</v>
      </c>
      <c r="AF1212" t="s">
        <v>2445</v>
      </c>
      <c r="AG1212" t="s">
        <v>78</v>
      </c>
    </row>
    <row r="1213" spans="1:33" hidden="1" x14ac:dyDescent="0.25">
      <c r="A1213" t="str">
        <f>"1528155694"</f>
        <v>1528155694</v>
      </c>
      <c r="B1213" t="str">
        <f>"01665916"</f>
        <v>01665916</v>
      </c>
      <c r="C1213" t="s">
        <v>6507</v>
      </c>
      <c r="D1213" t="s">
        <v>641</v>
      </c>
      <c r="E1213" t="s">
        <v>642</v>
      </c>
      <c r="G1213" t="s">
        <v>749</v>
      </c>
      <c r="H1213" t="s">
        <v>320</v>
      </c>
      <c r="J1213" t="s">
        <v>750</v>
      </c>
      <c r="L1213" t="s">
        <v>81</v>
      </c>
      <c r="M1213" t="s">
        <v>73</v>
      </c>
      <c r="R1213" t="s">
        <v>643</v>
      </c>
      <c r="W1213" t="s">
        <v>642</v>
      </c>
      <c r="X1213" t="s">
        <v>644</v>
      </c>
      <c r="Y1213" t="s">
        <v>91</v>
      </c>
      <c r="Z1213" t="s">
        <v>74</v>
      </c>
      <c r="AA1213" t="str">
        <f>"10021-4872"</f>
        <v>10021-4872</v>
      </c>
      <c r="AB1213" t="s">
        <v>75</v>
      </c>
      <c r="AC1213" t="s">
        <v>76</v>
      </c>
      <c r="AD1213" t="s">
        <v>73</v>
      </c>
      <c r="AE1213" t="s">
        <v>77</v>
      </c>
      <c r="AF1213" t="s">
        <v>2445</v>
      </c>
      <c r="AG1213" t="s">
        <v>78</v>
      </c>
    </row>
    <row r="1214" spans="1:33" hidden="1" x14ac:dyDescent="0.25">
      <c r="A1214" t="str">
        <f>"1528231016"</f>
        <v>1528231016</v>
      </c>
      <c r="B1214" t="str">
        <f>"03417856"</f>
        <v>03417856</v>
      </c>
      <c r="C1214" t="s">
        <v>6508</v>
      </c>
      <c r="D1214" t="s">
        <v>846</v>
      </c>
      <c r="E1214" t="s">
        <v>847</v>
      </c>
      <c r="G1214" t="s">
        <v>749</v>
      </c>
      <c r="H1214" t="s">
        <v>320</v>
      </c>
      <c r="J1214" t="s">
        <v>750</v>
      </c>
      <c r="L1214" t="s">
        <v>81</v>
      </c>
      <c r="M1214" t="s">
        <v>82</v>
      </c>
      <c r="R1214" t="s">
        <v>848</v>
      </c>
      <c r="W1214" t="s">
        <v>847</v>
      </c>
      <c r="X1214" t="s">
        <v>849</v>
      </c>
      <c r="Y1214" t="s">
        <v>84</v>
      </c>
      <c r="Z1214" t="s">
        <v>74</v>
      </c>
      <c r="AA1214" t="str">
        <f>"11201-4300"</f>
        <v>11201-4300</v>
      </c>
      <c r="AB1214" t="s">
        <v>75</v>
      </c>
      <c r="AC1214" t="s">
        <v>76</v>
      </c>
      <c r="AD1214" t="s">
        <v>73</v>
      </c>
      <c r="AE1214" t="s">
        <v>77</v>
      </c>
      <c r="AF1214" t="s">
        <v>2445</v>
      </c>
      <c r="AG1214" t="s">
        <v>78</v>
      </c>
    </row>
    <row r="1215" spans="1:33" hidden="1" x14ac:dyDescent="0.25">
      <c r="A1215" t="str">
        <f>"1992898639"</f>
        <v>1992898639</v>
      </c>
      <c r="B1215" t="str">
        <f>"02235110"</f>
        <v>02235110</v>
      </c>
      <c r="C1215" t="s">
        <v>6509</v>
      </c>
      <c r="D1215" t="s">
        <v>790</v>
      </c>
      <c r="E1215" t="s">
        <v>791</v>
      </c>
      <c r="G1215" t="s">
        <v>749</v>
      </c>
      <c r="H1215" t="s">
        <v>320</v>
      </c>
      <c r="J1215" t="s">
        <v>750</v>
      </c>
      <c r="L1215" t="s">
        <v>80</v>
      </c>
      <c r="M1215" t="s">
        <v>82</v>
      </c>
      <c r="R1215" t="s">
        <v>792</v>
      </c>
      <c r="W1215" t="s">
        <v>791</v>
      </c>
      <c r="X1215" t="s">
        <v>654</v>
      </c>
      <c r="Y1215" t="s">
        <v>162</v>
      </c>
      <c r="Z1215" t="s">
        <v>74</v>
      </c>
      <c r="AA1215" t="str">
        <f>"11106-4705"</f>
        <v>11106-4705</v>
      </c>
      <c r="AB1215" t="s">
        <v>107</v>
      </c>
      <c r="AC1215" t="s">
        <v>76</v>
      </c>
      <c r="AD1215" t="s">
        <v>73</v>
      </c>
      <c r="AE1215" t="s">
        <v>77</v>
      </c>
      <c r="AF1215" t="s">
        <v>2445</v>
      </c>
      <c r="AG1215" t="s">
        <v>78</v>
      </c>
    </row>
    <row r="1216" spans="1:33" hidden="1" x14ac:dyDescent="0.25">
      <c r="A1216" t="str">
        <f>"1518235134"</f>
        <v>1518235134</v>
      </c>
      <c r="B1216" t="str">
        <f>"03426762"</f>
        <v>03426762</v>
      </c>
      <c r="C1216" t="s">
        <v>6510</v>
      </c>
      <c r="D1216" t="s">
        <v>323</v>
      </c>
      <c r="E1216" t="s">
        <v>324</v>
      </c>
      <c r="G1216" t="s">
        <v>749</v>
      </c>
      <c r="H1216" t="s">
        <v>320</v>
      </c>
      <c r="J1216" t="s">
        <v>750</v>
      </c>
      <c r="L1216" t="s">
        <v>80</v>
      </c>
      <c r="M1216" t="s">
        <v>82</v>
      </c>
      <c r="R1216" t="s">
        <v>322</v>
      </c>
      <c r="W1216" t="s">
        <v>325</v>
      </c>
      <c r="X1216" t="s">
        <v>210</v>
      </c>
      <c r="Y1216" t="s">
        <v>208</v>
      </c>
      <c r="Z1216" t="s">
        <v>74</v>
      </c>
      <c r="AA1216" t="str">
        <f>"11418-2618"</f>
        <v>11418-2618</v>
      </c>
      <c r="AB1216" t="s">
        <v>107</v>
      </c>
      <c r="AC1216" t="s">
        <v>76</v>
      </c>
      <c r="AD1216" t="s">
        <v>73</v>
      </c>
      <c r="AE1216" t="s">
        <v>77</v>
      </c>
      <c r="AF1216" t="s">
        <v>2445</v>
      </c>
      <c r="AG1216" t="s">
        <v>78</v>
      </c>
    </row>
    <row r="1217" spans="1:33" hidden="1" x14ac:dyDescent="0.25">
      <c r="A1217" t="str">
        <f>"1740204833"</f>
        <v>1740204833</v>
      </c>
      <c r="B1217" t="str">
        <f>"00977573"</f>
        <v>00977573</v>
      </c>
      <c r="C1217" t="s">
        <v>6511</v>
      </c>
      <c r="D1217" t="s">
        <v>804</v>
      </c>
      <c r="E1217" t="s">
        <v>805</v>
      </c>
      <c r="G1217" t="s">
        <v>749</v>
      </c>
      <c r="H1217" t="s">
        <v>320</v>
      </c>
      <c r="J1217" t="s">
        <v>750</v>
      </c>
      <c r="L1217" t="s">
        <v>81</v>
      </c>
      <c r="M1217" t="s">
        <v>82</v>
      </c>
      <c r="R1217" t="s">
        <v>806</v>
      </c>
      <c r="W1217" t="s">
        <v>805</v>
      </c>
      <c r="X1217" t="s">
        <v>807</v>
      </c>
      <c r="Y1217" t="s">
        <v>91</v>
      </c>
      <c r="Z1217" t="s">
        <v>74</v>
      </c>
      <c r="AA1217" t="str">
        <f>"10011-6609"</f>
        <v>10011-6609</v>
      </c>
      <c r="AB1217" t="s">
        <v>75</v>
      </c>
      <c r="AC1217" t="s">
        <v>76</v>
      </c>
      <c r="AD1217" t="s">
        <v>73</v>
      </c>
      <c r="AE1217" t="s">
        <v>77</v>
      </c>
      <c r="AF1217" t="s">
        <v>2445</v>
      </c>
      <c r="AG1217" t="s">
        <v>78</v>
      </c>
    </row>
    <row r="1218" spans="1:33" hidden="1" x14ac:dyDescent="0.25">
      <c r="A1218" t="str">
        <f>"1255541322"</f>
        <v>1255541322</v>
      </c>
      <c r="B1218" t="str">
        <f>"00600871"</f>
        <v>00600871</v>
      </c>
      <c r="C1218" t="s">
        <v>6512</v>
      </c>
      <c r="D1218" t="s">
        <v>637</v>
      </c>
      <c r="E1218" t="s">
        <v>638</v>
      </c>
      <c r="G1218" t="s">
        <v>749</v>
      </c>
      <c r="H1218" t="s">
        <v>320</v>
      </c>
      <c r="J1218" t="s">
        <v>750</v>
      </c>
      <c r="L1218" t="s">
        <v>100</v>
      </c>
      <c r="M1218" t="s">
        <v>82</v>
      </c>
      <c r="R1218" t="s">
        <v>639</v>
      </c>
      <c r="W1218" t="s">
        <v>638</v>
      </c>
      <c r="X1218" t="s">
        <v>640</v>
      </c>
      <c r="Y1218" t="s">
        <v>91</v>
      </c>
      <c r="Z1218" t="s">
        <v>74</v>
      </c>
      <c r="AA1218" t="str">
        <f>"10003-2674"</f>
        <v>10003-2674</v>
      </c>
      <c r="AB1218" t="s">
        <v>75</v>
      </c>
      <c r="AC1218" t="s">
        <v>76</v>
      </c>
      <c r="AD1218" t="s">
        <v>73</v>
      </c>
      <c r="AE1218" t="s">
        <v>77</v>
      </c>
      <c r="AF1218" t="s">
        <v>2445</v>
      </c>
      <c r="AG1218" t="s">
        <v>78</v>
      </c>
    </row>
    <row r="1219" spans="1:33" hidden="1" x14ac:dyDescent="0.25">
      <c r="C1219" t="s">
        <v>6513</v>
      </c>
      <c r="K1219" t="s">
        <v>587</v>
      </c>
      <c r="L1219" t="s">
        <v>94</v>
      </c>
      <c r="M1219" t="s">
        <v>73</v>
      </c>
      <c r="P1219" t="s">
        <v>74</v>
      </c>
      <c r="AC1219" t="s">
        <v>76</v>
      </c>
      <c r="AD1219" t="s">
        <v>73</v>
      </c>
      <c r="AE1219" t="s">
        <v>95</v>
      </c>
      <c r="AG1219" t="s">
        <v>78</v>
      </c>
    </row>
    <row r="1220" spans="1:33" hidden="1" x14ac:dyDescent="0.25">
      <c r="C1220" t="s">
        <v>6514</v>
      </c>
      <c r="K1220" t="s">
        <v>587</v>
      </c>
      <c r="L1220" t="s">
        <v>94</v>
      </c>
      <c r="M1220" t="s">
        <v>73</v>
      </c>
      <c r="P1220" t="s">
        <v>74</v>
      </c>
      <c r="AC1220" t="s">
        <v>76</v>
      </c>
      <c r="AD1220" t="s">
        <v>73</v>
      </c>
      <c r="AE1220" t="s">
        <v>95</v>
      </c>
      <c r="AG1220" t="s">
        <v>78</v>
      </c>
    </row>
    <row r="1221" spans="1:33" hidden="1" x14ac:dyDescent="0.25">
      <c r="C1221" t="s">
        <v>6515</v>
      </c>
      <c r="K1221" t="s">
        <v>587</v>
      </c>
      <c r="L1221" t="s">
        <v>94</v>
      </c>
      <c r="M1221" t="s">
        <v>73</v>
      </c>
      <c r="P1221" t="s">
        <v>74</v>
      </c>
      <c r="AC1221" t="s">
        <v>76</v>
      </c>
      <c r="AD1221" t="s">
        <v>73</v>
      </c>
      <c r="AE1221" t="s">
        <v>95</v>
      </c>
      <c r="AG1221" t="s">
        <v>78</v>
      </c>
    </row>
    <row r="1222" spans="1:33" hidden="1" x14ac:dyDescent="0.25">
      <c r="A1222" t="str">
        <f>"1952644429"</f>
        <v>1952644429</v>
      </c>
      <c r="C1222" t="s">
        <v>6516</v>
      </c>
      <c r="G1222" t="s">
        <v>2224</v>
      </c>
      <c r="H1222" t="s">
        <v>2312</v>
      </c>
      <c r="J1222" t="s">
        <v>2226</v>
      </c>
      <c r="K1222" t="s">
        <v>171</v>
      </c>
      <c r="L1222" t="s">
        <v>96</v>
      </c>
      <c r="M1222" t="s">
        <v>73</v>
      </c>
      <c r="R1222" t="s">
        <v>6517</v>
      </c>
      <c r="S1222" t="s">
        <v>170</v>
      </c>
      <c r="T1222" t="s">
        <v>91</v>
      </c>
      <c r="U1222" t="s">
        <v>74</v>
      </c>
      <c r="V1222" t="str">
        <f>"100654870"</f>
        <v>100654870</v>
      </c>
      <c r="AC1222" t="s">
        <v>76</v>
      </c>
      <c r="AD1222" t="s">
        <v>73</v>
      </c>
      <c r="AE1222" t="s">
        <v>97</v>
      </c>
      <c r="AF1222" t="s">
        <v>2242</v>
      </c>
      <c r="AG1222" t="s">
        <v>78</v>
      </c>
    </row>
    <row r="1223" spans="1:33" hidden="1" x14ac:dyDescent="0.25">
      <c r="A1223" t="str">
        <f>"1245314061"</f>
        <v>1245314061</v>
      </c>
      <c r="B1223" t="str">
        <f>"02748456"</f>
        <v>02748456</v>
      </c>
      <c r="C1223" t="s">
        <v>6518</v>
      </c>
      <c r="D1223" t="s">
        <v>6519</v>
      </c>
      <c r="E1223" t="s">
        <v>6520</v>
      </c>
      <c r="G1223" t="s">
        <v>2224</v>
      </c>
      <c r="H1223" t="s">
        <v>2225</v>
      </c>
      <c r="J1223" t="s">
        <v>2226</v>
      </c>
      <c r="L1223" t="s">
        <v>80</v>
      </c>
      <c r="M1223" t="s">
        <v>73</v>
      </c>
      <c r="R1223" t="s">
        <v>6521</v>
      </c>
      <c r="W1223" t="s">
        <v>6520</v>
      </c>
      <c r="X1223" t="s">
        <v>170</v>
      </c>
      <c r="Y1223" t="s">
        <v>91</v>
      </c>
      <c r="Z1223" t="s">
        <v>74</v>
      </c>
      <c r="AA1223" t="str">
        <f>"10065-4870"</f>
        <v>10065-4870</v>
      </c>
      <c r="AB1223" t="s">
        <v>75</v>
      </c>
      <c r="AC1223" t="s">
        <v>76</v>
      </c>
      <c r="AD1223" t="s">
        <v>73</v>
      </c>
      <c r="AE1223" t="s">
        <v>77</v>
      </c>
      <c r="AF1223" t="s">
        <v>2242</v>
      </c>
      <c r="AG1223" t="s">
        <v>78</v>
      </c>
    </row>
    <row r="1224" spans="1:33" hidden="1" x14ac:dyDescent="0.25">
      <c r="A1224" t="str">
        <f>"1548397870"</f>
        <v>1548397870</v>
      </c>
      <c r="B1224" t="str">
        <f>"01811265"</f>
        <v>01811265</v>
      </c>
      <c r="C1224" t="s">
        <v>6522</v>
      </c>
      <c r="D1224" t="s">
        <v>6523</v>
      </c>
      <c r="E1224" t="s">
        <v>6524</v>
      </c>
      <c r="L1224" t="s">
        <v>80</v>
      </c>
      <c r="M1224" t="s">
        <v>73</v>
      </c>
      <c r="R1224" t="s">
        <v>6524</v>
      </c>
      <c r="W1224" t="s">
        <v>6524</v>
      </c>
      <c r="X1224" t="s">
        <v>6524</v>
      </c>
      <c r="Y1224" t="s">
        <v>91</v>
      </c>
      <c r="Z1224" t="s">
        <v>74</v>
      </c>
      <c r="AA1224" t="str">
        <f>"10032-3720"</f>
        <v>10032-3720</v>
      </c>
      <c r="AB1224" t="s">
        <v>75</v>
      </c>
      <c r="AC1224" t="s">
        <v>76</v>
      </c>
      <c r="AD1224" t="s">
        <v>73</v>
      </c>
      <c r="AE1224" t="s">
        <v>77</v>
      </c>
      <c r="AF1224" t="s">
        <v>2228</v>
      </c>
      <c r="AG1224" t="s">
        <v>78</v>
      </c>
    </row>
    <row r="1225" spans="1:33" hidden="1" x14ac:dyDescent="0.25">
      <c r="A1225" t="str">
        <f>"1043403827"</f>
        <v>1043403827</v>
      </c>
      <c r="B1225" t="str">
        <f>"03117879"</f>
        <v>03117879</v>
      </c>
      <c r="C1225" t="s">
        <v>6525</v>
      </c>
      <c r="D1225" t="s">
        <v>6526</v>
      </c>
      <c r="E1225" t="s">
        <v>6527</v>
      </c>
      <c r="L1225" t="s">
        <v>80</v>
      </c>
      <c r="M1225" t="s">
        <v>73</v>
      </c>
      <c r="R1225" t="s">
        <v>6527</v>
      </c>
      <c r="W1225" t="s">
        <v>6527</v>
      </c>
      <c r="X1225" t="s">
        <v>1695</v>
      </c>
      <c r="Y1225" t="s">
        <v>91</v>
      </c>
      <c r="Z1225" t="s">
        <v>74</v>
      </c>
      <c r="AA1225" t="str">
        <f>"10032"</f>
        <v>10032</v>
      </c>
      <c r="AB1225" t="s">
        <v>75</v>
      </c>
      <c r="AC1225" t="s">
        <v>76</v>
      </c>
      <c r="AD1225" t="s">
        <v>73</v>
      </c>
      <c r="AE1225" t="s">
        <v>77</v>
      </c>
      <c r="AG1225" t="s">
        <v>78</v>
      </c>
    </row>
    <row r="1226" spans="1:33" hidden="1" x14ac:dyDescent="0.25">
      <c r="A1226" t="str">
        <f>"1346426772"</f>
        <v>1346426772</v>
      </c>
      <c r="C1226" t="s">
        <v>6528</v>
      </c>
      <c r="G1226" t="s">
        <v>2224</v>
      </c>
      <c r="H1226" t="s">
        <v>2312</v>
      </c>
      <c r="J1226" t="s">
        <v>2226</v>
      </c>
      <c r="K1226" t="s">
        <v>171</v>
      </c>
      <c r="L1226" t="s">
        <v>96</v>
      </c>
      <c r="M1226" t="s">
        <v>73</v>
      </c>
      <c r="R1226" t="s">
        <v>6529</v>
      </c>
      <c r="S1226" t="s">
        <v>6530</v>
      </c>
      <c r="T1226" t="s">
        <v>91</v>
      </c>
      <c r="U1226" t="s">
        <v>74</v>
      </c>
      <c r="V1226" t="str">
        <f>"100654870"</f>
        <v>100654870</v>
      </c>
      <c r="AC1226" t="s">
        <v>76</v>
      </c>
      <c r="AD1226" t="s">
        <v>73</v>
      </c>
      <c r="AE1226" t="s">
        <v>97</v>
      </c>
      <c r="AF1226" t="s">
        <v>2242</v>
      </c>
      <c r="AG1226" t="s">
        <v>78</v>
      </c>
    </row>
    <row r="1227" spans="1:33" hidden="1" x14ac:dyDescent="0.25">
      <c r="A1227" t="str">
        <f>"1083701163"</f>
        <v>1083701163</v>
      </c>
      <c r="B1227" t="str">
        <f>"02110901"</f>
        <v>02110901</v>
      </c>
      <c r="C1227" t="s">
        <v>6531</v>
      </c>
      <c r="D1227" t="s">
        <v>6532</v>
      </c>
      <c r="E1227" t="s">
        <v>6533</v>
      </c>
      <c r="L1227" t="s">
        <v>80</v>
      </c>
      <c r="M1227" t="s">
        <v>73</v>
      </c>
      <c r="R1227" t="s">
        <v>6534</v>
      </c>
      <c r="W1227" t="s">
        <v>6533</v>
      </c>
      <c r="X1227" t="s">
        <v>170</v>
      </c>
      <c r="Y1227" t="s">
        <v>91</v>
      </c>
      <c r="Z1227" t="s">
        <v>74</v>
      </c>
      <c r="AA1227" t="str">
        <f>"10065-4870"</f>
        <v>10065-4870</v>
      </c>
      <c r="AB1227" t="s">
        <v>75</v>
      </c>
      <c r="AC1227" t="s">
        <v>76</v>
      </c>
      <c r="AD1227" t="s">
        <v>73</v>
      </c>
      <c r="AE1227" t="s">
        <v>77</v>
      </c>
      <c r="AF1227" t="s">
        <v>2242</v>
      </c>
      <c r="AG1227" t="s">
        <v>78</v>
      </c>
    </row>
    <row r="1228" spans="1:33" hidden="1" x14ac:dyDescent="0.25">
      <c r="A1228" t="str">
        <f>"1265433189"</f>
        <v>1265433189</v>
      </c>
      <c r="C1228" t="s">
        <v>6535</v>
      </c>
      <c r="G1228" t="s">
        <v>2224</v>
      </c>
      <c r="H1228" t="s">
        <v>2312</v>
      </c>
      <c r="J1228" t="s">
        <v>2226</v>
      </c>
      <c r="K1228" t="s">
        <v>171</v>
      </c>
      <c r="L1228" t="s">
        <v>72</v>
      </c>
      <c r="M1228" t="s">
        <v>73</v>
      </c>
      <c r="R1228" t="s">
        <v>6536</v>
      </c>
      <c r="S1228" t="s">
        <v>6537</v>
      </c>
      <c r="T1228" t="s">
        <v>352</v>
      </c>
      <c r="U1228" t="s">
        <v>74</v>
      </c>
      <c r="V1228" t="str">
        <f>"105493417"</f>
        <v>105493417</v>
      </c>
      <c r="AC1228" t="s">
        <v>76</v>
      </c>
      <c r="AD1228" t="s">
        <v>73</v>
      </c>
      <c r="AE1228" t="s">
        <v>97</v>
      </c>
      <c r="AF1228" t="s">
        <v>2242</v>
      </c>
      <c r="AG1228" t="s">
        <v>78</v>
      </c>
    </row>
    <row r="1229" spans="1:33" hidden="1" x14ac:dyDescent="0.25">
      <c r="A1229" t="str">
        <f>"1356553010"</f>
        <v>1356553010</v>
      </c>
      <c r="B1229" t="str">
        <f>"02741862"</f>
        <v>02741862</v>
      </c>
      <c r="C1229" t="s">
        <v>6538</v>
      </c>
      <c r="D1229" t="s">
        <v>6539</v>
      </c>
      <c r="E1229" t="s">
        <v>6540</v>
      </c>
      <c r="G1229" t="s">
        <v>2224</v>
      </c>
      <c r="H1229" t="s">
        <v>2225</v>
      </c>
      <c r="J1229" t="s">
        <v>2226</v>
      </c>
      <c r="L1229" t="s">
        <v>88</v>
      </c>
      <c r="M1229" t="s">
        <v>73</v>
      </c>
      <c r="R1229" t="s">
        <v>6541</v>
      </c>
      <c r="W1229" t="s">
        <v>6540</v>
      </c>
      <c r="X1229" t="s">
        <v>167</v>
      </c>
      <c r="Y1229" t="s">
        <v>91</v>
      </c>
      <c r="Z1229" t="s">
        <v>74</v>
      </c>
      <c r="AA1229" t="str">
        <f>"10032-3720"</f>
        <v>10032-3720</v>
      </c>
      <c r="AB1229" t="s">
        <v>75</v>
      </c>
      <c r="AC1229" t="s">
        <v>76</v>
      </c>
      <c r="AD1229" t="s">
        <v>73</v>
      </c>
      <c r="AE1229" t="s">
        <v>77</v>
      </c>
      <c r="AF1229" t="s">
        <v>2254</v>
      </c>
      <c r="AG1229" t="s">
        <v>78</v>
      </c>
    </row>
    <row r="1230" spans="1:33" hidden="1" x14ac:dyDescent="0.25">
      <c r="A1230" t="str">
        <f>"1407986144"</f>
        <v>1407986144</v>
      </c>
      <c r="B1230" t="str">
        <f>"03021863"</f>
        <v>03021863</v>
      </c>
      <c r="C1230" t="s">
        <v>6542</v>
      </c>
      <c r="D1230" t="s">
        <v>6543</v>
      </c>
      <c r="E1230" t="s">
        <v>6544</v>
      </c>
      <c r="G1230" t="s">
        <v>2224</v>
      </c>
      <c r="H1230" t="s">
        <v>2225</v>
      </c>
      <c r="J1230" t="s">
        <v>2226</v>
      </c>
      <c r="L1230" t="s">
        <v>80</v>
      </c>
      <c r="M1230" t="s">
        <v>73</v>
      </c>
      <c r="R1230" t="s">
        <v>1365</v>
      </c>
      <c r="W1230" t="s">
        <v>6545</v>
      </c>
      <c r="X1230" t="s">
        <v>6546</v>
      </c>
      <c r="Y1230" t="s">
        <v>91</v>
      </c>
      <c r="Z1230" t="s">
        <v>74</v>
      </c>
      <c r="AA1230" t="str">
        <f>"10021-4872"</f>
        <v>10021-4872</v>
      </c>
      <c r="AB1230" t="s">
        <v>75</v>
      </c>
      <c r="AC1230" t="s">
        <v>76</v>
      </c>
      <c r="AD1230" t="s">
        <v>73</v>
      </c>
      <c r="AE1230" t="s">
        <v>77</v>
      </c>
      <c r="AF1230" t="s">
        <v>2398</v>
      </c>
      <c r="AG1230" t="s">
        <v>78</v>
      </c>
    </row>
    <row r="1231" spans="1:33" hidden="1" x14ac:dyDescent="0.25">
      <c r="A1231" t="str">
        <f>"1902933807"</f>
        <v>1902933807</v>
      </c>
      <c r="B1231" t="str">
        <f>"02862917"</f>
        <v>02862917</v>
      </c>
      <c r="C1231" t="s">
        <v>6547</v>
      </c>
      <c r="D1231" t="s">
        <v>6548</v>
      </c>
      <c r="E1231" t="s">
        <v>6549</v>
      </c>
      <c r="L1231" t="s">
        <v>80</v>
      </c>
      <c r="M1231" t="s">
        <v>73</v>
      </c>
      <c r="R1231" t="s">
        <v>6549</v>
      </c>
      <c r="W1231" t="s">
        <v>6549</v>
      </c>
      <c r="X1231" t="s">
        <v>3477</v>
      </c>
      <c r="Y1231" t="s">
        <v>91</v>
      </c>
      <c r="Z1231" t="s">
        <v>74</v>
      </c>
      <c r="AA1231" t="str">
        <f>"10032-3725"</f>
        <v>10032-3725</v>
      </c>
      <c r="AB1231" t="s">
        <v>75</v>
      </c>
      <c r="AC1231" t="s">
        <v>76</v>
      </c>
      <c r="AD1231" t="s">
        <v>73</v>
      </c>
      <c r="AE1231" t="s">
        <v>77</v>
      </c>
      <c r="AF1231" t="s">
        <v>2228</v>
      </c>
      <c r="AG1231" t="s">
        <v>78</v>
      </c>
    </row>
    <row r="1232" spans="1:33" hidden="1" x14ac:dyDescent="0.25">
      <c r="A1232" t="str">
        <f>"1285933457"</f>
        <v>1285933457</v>
      </c>
      <c r="C1232" t="s">
        <v>6550</v>
      </c>
      <c r="G1232" t="s">
        <v>2224</v>
      </c>
      <c r="H1232" t="s">
        <v>2312</v>
      </c>
      <c r="J1232" t="s">
        <v>2226</v>
      </c>
      <c r="K1232" t="s">
        <v>171</v>
      </c>
      <c r="L1232" t="s">
        <v>96</v>
      </c>
      <c r="M1232" t="s">
        <v>73</v>
      </c>
      <c r="R1232" t="s">
        <v>6551</v>
      </c>
      <c r="S1232" t="s">
        <v>124</v>
      </c>
      <c r="T1232" t="s">
        <v>125</v>
      </c>
      <c r="U1232" t="s">
        <v>74</v>
      </c>
      <c r="V1232" t="str">
        <f>"113555045"</f>
        <v>113555045</v>
      </c>
      <c r="AC1232" t="s">
        <v>76</v>
      </c>
      <c r="AD1232" t="s">
        <v>73</v>
      </c>
      <c r="AE1232" t="s">
        <v>97</v>
      </c>
      <c r="AF1232" t="s">
        <v>2242</v>
      </c>
      <c r="AG1232" t="s">
        <v>78</v>
      </c>
    </row>
    <row r="1233" spans="1:33" hidden="1" x14ac:dyDescent="0.25">
      <c r="A1233" t="str">
        <f>"1497807770"</f>
        <v>1497807770</v>
      </c>
      <c r="B1233" t="str">
        <f>"02143066"</f>
        <v>02143066</v>
      </c>
      <c r="C1233" t="s">
        <v>6552</v>
      </c>
      <c r="D1233" t="s">
        <v>6553</v>
      </c>
      <c r="E1233" t="s">
        <v>6554</v>
      </c>
      <c r="G1233" t="s">
        <v>2224</v>
      </c>
      <c r="H1233" t="s">
        <v>2225</v>
      </c>
      <c r="J1233" t="s">
        <v>2226</v>
      </c>
      <c r="L1233" t="s">
        <v>72</v>
      </c>
      <c r="M1233" t="s">
        <v>73</v>
      </c>
      <c r="R1233" t="s">
        <v>6555</v>
      </c>
      <c r="W1233" t="s">
        <v>6554</v>
      </c>
      <c r="X1233" t="s">
        <v>6556</v>
      </c>
      <c r="Y1233" t="s">
        <v>91</v>
      </c>
      <c r="Z1233" t="s">
        <v>74</v>
      </c>
      <c r="AA1233" t="str">
        <f>"10029-6500"</f>
        <v>10029-6500</v>
      </c>
      <c r="AB1233" t="s">
        <v>79</v>
      </c>
      <c r="AC1233" t="s">
        <v>76</v>
      </c>
      <c r="AD1233" t="s">
        <v>73</v>
      </c>
      <c r="AE1233" t="s">
        <v>77</v>
      </c>
      <c r="AF1233" t="s">
        <v>2398</v>
      </c>
      <c r="AG1233" t="s">
        <v>78</v>
      </c>
    </row>
    <row r="1234" spans="1:33" hidden="1" x14ac:dyDescent="0.25">
      <c r="A1234" t="str">
        <f>"1538588330"</f>
        <v>1538588330</v>
      </c>
      <c r="C1234" t="s">
        <v>6557</v>
      </c>
      <c r="G1234" t="s">
        <v>2224</v>
      </c>
      <c r="H1234" t="s">
        <v>2225</v>
      </c>
      <c r="J1234" t="s">
        <v>2226</v>
      </c>
      <c r="K1234" t="s">
        <v>171</v>
      </c>
      <c r="L1234" t="s">
        <v>96</v>
      </c>
      <c r="M1234" t="s">
        <v>73</v>
      </c>
      <c r="R1234" t="s">
        <v>6558</v>
      </c>
      <c r="S1234" t="s">
        <v>6559</v>
      </c>
      <c r="T1234" t="s">
        <v>84</v>
      </c>
      <c r="U1234" t="s">
        <v>74</v>
      </c>
      <c r="V1234" t="str">
        <f>"112014747"</f>
        <v>112014747</v>
      </c>
      <c r="AC1234" t="s">
        <v>76</v>
      </c>
      <c r="AD1234" t="s">
        <v>73</v>
      </c>
      <c r="AE1234" t="s">
        <v>97</v>
      </c>
      <c r="AF1234" t="s">
        <v>2234</v>
      </c>
      <c r="AG1234" t="s">
        <v>78</v>
      </c>
    </row>
    <row r="1235" spans="1:33" hidden="1" x14ac:dyDescent="0.25">
      <c r="A1235" t="str">
        <f>"1063531432"</f>
        <v>1063531432</v>
      </c>
      <c r="B1235" t="str">
        <f>"02959855"</f>
        <v>02959855</v>
      </c>
      <c r="C1235" t="s">
        <v>6560</v>
      </c>
      <c r="D1235" t="s">
        <v>6561</v>
      </c>
      <c r="E1235" t="s">
        <v>6562</v>
      </c>
      <c r="G1235" t="s">
        <v>2224</v>
      </c>
      <c r="H1235" t="s">
        <v>2225</v>
      </c>
      <c r="J1235" t="s">
        <v>2226</v>
      </c>
      <c r="L1235" t="s">
        <v>72</v>
      </c>
      <c r="M1235" t="s">
        <v>82</v>
      </c>
      <c r="R1235" t="s">
        <v>6563</v>
      </c>
      <c r="W1235" t="s">
        <v>6564</v>
      </c>
      <c r="X1235" t="s">
        <v>170</v>
      </c>
      <c r="Y1235" t="s">
        <v>91</v>
      </c>
      <c r="Z1235" t="s">
        <v>74</v>
      </c>
      <c r="AA1235" t="str">
        <f>"10065-4870"</f>
        <v>10065-4870</v>
      </c>
      <c r="AB1235" t="s">
        <v>75</v>
      </c>
      <c r="AC1235" t="s">
        <v>76</v>
      </c>
      <c r="AD1235" t="s">
        <v>73</v>
      </c>
      <c r="AE1235" t="s">
        <v>77</v>
      </c>
      <c r="AF1235" t="s">
        <v>2242</v>
      </c>
      <c r="AG1235" t="s">
        <v>78</v>
      </c>
    </row>
    <row r="1236" spans="1:33" hidden="1" x14ac:dyDescent="0.25">
      <c r="A1236" t="str">
        <f>"1275758765"</f>
        <v>1275758765</v>
      </c>
      <c r="B1236" t="str">
        <f>"02941913"</f>
        <v>02941913</v>
      </c>
      <c r="C1236" t="s">
        <v>6565</v>
      </c>
      <c r="D1236" t="s">
        <v>6566</v>
      </c>
      <c r="E1236" t="s">
        <v>6567</v>
      </c>
      <c r="G1236" t="s">
        <v>2224</v>
      </c>
      <c r="H1236" t="s">
        <v>2225</v>
      </c>
      <c r="J1236" t="s">
        <v>2226</v>
      </c>
      <c r="L1236" t="s">
        <v>72</v>
      </c>
      <c r="M1236" t="s">
        <v>73</v>
      </c>
      <c r="R1236" t="s">
        <v>6568</v>
      </c>
      <c r="W1236" t="s">
        <v>6569</v>
      </c>
      <c r="X1236" t="s">
        <v>496</v>
      </c>
      <c r="Y1236" t="s">
        <v>91</v>
      </c>
      <c r="Z1236" t="s">
        <v>74</v>
      </c>
      <c r="AA1236" t="str">
        <f>"10032-3726"</f>
        <v>10032-3726</v>
      </c>
      <c r="AB1236" t="s">
        <v>75</v>
      </c>
      <c r="AC1236" t="s">
        <v>76</v>
      </c>
      <c r="AD1236" t="s">
        <v>73</v>
      </c>
      <c r="AE1236" t="s">
        <v>77</v>
      </c>
      <c r="AF1236" t="s">
        <v>2228</v>
      </c>
      <c r="AG1236" t="s">
        <v>78</v>
      </c>
    </row>
    <row r="1237" spans="1:33" hidden="1" x14ac:dyDescent="0.25">
      <c r="A1237" t="str">
        <f>"1629311741"</f>
        <v>1629311741</v>
      </c>
      <c r="C1237" t="s">
        <v>6570</v>
      </c>
      <c r="G1237" t="s">
        <v>2224</v>
      </c>
      <c r="H1237" t="s">
        <v>2312</v>
      </c>
      <c r="J1237" t="s">
        <v>2226</v>
      </c>
      <c r="K1237" t="s">
        <v>171</v>
      </c>
      <c r="L1237" t="s">
        <v>96</v>
      </c>
      <c r="M1237" t="s">
        <v>73</v>
      </c>
      <c r="R1237" t="s">
        <v>6571</v>
      </c>
      <c r="S1237" t="s">
        <v>6572</v>
      </c>
      <c r="T1237" t="s">
        <v>91</v>
      </c>
      <c r="U1237" t="s">
        <v>74</v>
      </c>
      <c r="V1237" t="str">
        <f>"100122202"</f>
        <v>100122202</v>
      </c>
      <c r="AC1237" t="s">
        <v>76</v>
      </c>
      <c r="AD1237" t="s">
        <v>73</v>
      </c>
      <c r="AE1237" t="s">
        <v>97</v>
      </c>
      <c r="AF1237" t="s">
        <v>2228</v>
      </c>
      <c r="AG1237" t="s">
        <v>78</v>
      </c>
    </row>
    <row r="1238" spans="1:33" hidden="1" x14ac:dyDescent="0.25">
      <c r="A1238" t="str">
        <f>"1376529420"</f>
        <v>1376529420</v>
      </c>
      <c r="B1238" t="str">
        <f>"01694655"</f>
        <v>01694655</v>
      </c>
      <c r="C1238" t="s">
        <v>6573</v>
      </c>
      <c r="D1238" t="s">
        <v>6574</v>
      </c>
      <c r="E1238" t="s">
        <v>6575</v>
      </c>
      <c r="G1238" t="s">
        <v>2224</v>
      </c>
      <c r="H1238" t="s">
        <v>2225</v>
      </c>
      <c r="J1238" t="s">
        <v>2226</v>
      </c>
      <c r="L1238" t="s">
        <v>81</v>
      </c>
      <c r="M1238" t="s">
        <v>82</v>
      </c>
      <c r="R1238" t="s">
        <v>6576</v>
      </c>
      <c r="W1238" t="s">
        <v>6575</v>
      </c>
      <c r="X1238" t="s">
        <v>537</v>
      </c>
      <c r="Y1238" t="s">
        <v>91</v>
      </c>
      <c r="Z1238" t="s">
        <v>74</v>
      </c>
      <c r="AA1238" t="str">
        <f>"10032-3720"</f>
        <v>10032-3720</v>
      </c>
      <c r="AB1238" t="s">
        <v>75</v>
      </c>
      <c r="AC1238" t="s">
        <v>76</v>
      </c>
      <c r="AD1238" t="s">
        <v>73</v>
      </c>
      <c r="AE1238" t="s">
        <v>77</v>
      </c>
      <c r="AF1238" t="s">
        <v>2228</v>
      </c>
      <c r="AG1238" t="s">
        <v>78</v>
      </c>
    </row>
    <row r="1239" spans="1:33" hidden="1" x14ac:dyDescent="0.25">
      <c r="C1239" t="s">
        <v>1870</v>
      </c>
      <c r="G1239" t="s">
        <v>6577</v>
      </c>
      <c r="J1239" t="s">
        <v>6578</v>
      </c>
      <c r="K1239" t="s">
        <v>2148</v>
      </c>
      <c r="L1239" t="s">
        <v>94</v>
      </c>
      <c r="M1239" t="s">
        <v>73</v>
      </c>
      <c r="AC1239" t="s">
        <v>76</v>
      </c>
      <c r="AD1239" t="s">
        <v>73</v>
      </c>
      <c r="AE1239" t="s">
        <v>95</v>
      </c>
      <c r="AG1239" t="s">
        <v>78</v>
      </c>
    </row>
    <row r="1240" spans="1:33" hidden="1" x14ac:dyDescent="0.25">
      <c r="A1240" t="str">
        <f>"1740433978"</f>
        <v>1740433978</v>
      </c>
      <c r="B1240" t="str">
        <f>"03477965"</f>
        <v>03477965</v>
      </c>
      <c r="C1240" t="s">
        <v>2166</v>
      </c>
      <c r="D1240" t="s">
        <v>6579</v>
      </c>
      <c r="E1240" t="s">
        <v>2167</v>
      </c>
      <c r="G1240" t="s">
        <v>2224</v>
      </c>
      <c r="H1240" t="s">
        <v>6580</v>
      </c>
      <c r="J1240" t="s">
        <v>2226</v>
      </c>
      <c r="L1240" t="s">
        <v>80</v>
      </c>
      <c r="M1240" t="s">
        <v>73</v>
      </c>
      <c r="R1240" t="s">
        <v>2167</v>
      </c>
      <c r="W1240" t="s">
        <v>6581</v>
      </c>
      <c r="X1240" t="s">
        <v>167</v>
      </c>
      <c r="Y1240" t="s">
        <v>91</v>
      </c>
      <c r="Z1240" t="s">
        <v>74</v>
      </c>
      <c r="AA1240" t="str">
        <f>"10032-3720"</f>
        <v>10032-3720</v>
      </c>
      <c r="AB1240" t="s">
        <v>75</v>
      </c>
      <c r="AC1240" t="s">
        <v>76</v>
      </c>
      <c r="AD1240" t="s">
        <v>73</v>
      </c>
      <c r="AE1240" t="s">
        <v>77</v>
      </c>
      <c r="AF1240" t="s">
        <v>2228</v>
      </c>
      <c r="AG1240" t="s">
        <v>78</v>
      </c>
    </row>
    <row r="1241" spans="1:33" hidden="1" x14ac:dyDescent="0.25">
      <c r="A1241" t="str">
        <f>"1891901070"</f>
        <v>1891901070</v>
      </c>
      <c r="B1241" t="str">
        <f>"03235729"</f>
        <v>03235729</v>
      </c>
      <c r="C1241" t="s">
        <v>6582</v>
      </c>
      <c r="D1241" t="s">
        <v>6583</v>
      </c>
      <c r="E1241" t="s">
        <v>6584</v>
      </c>
      <c r="G1241" t="s">
        <v>2224</v>
      </c>
      <c r="H1241" t="s">
        <v>6585</v>
      </c>
      <c r="J1241" t="s">
        <v>2226</v>
      </c>
      <c r="L1241" t="s">
        <v>80</v>
      </c>
      <c r="M1241" t="s">
        <v>73</v>
      </c>
      <c r="R1241" t="s">
        <v>6586</v>
      </c>
      <c r="W1241" t="s">
        <v>6587</v>
      </c>
      <c r="X1241" t="s">
        <v>167</v>
      </c>
      <c r="Y1241" t="s">
        <v>91</v>
      </c>
      <c r="Z1241" t="s">
        <v>74</v>
      </c>
      <c r="AA1241" t="str">
        <f>"10032-3720"</f>
        <v>10032-3720</v>
      </c>
      <c r="AB1241" t="s">
        <v>75</v>
      </c>
      <c r="AC1241" t="s">
        <v>76</v>
      </c>
      <c r="AD1241" t="s">
        <v>73</v>
      </c>
      <c r="AE1241" t="s">
        <v>77</v>
      </c>
      <c r="AF1241" t="s">
        <v>2228</v>
      </c>
      <c r="AG1241" t="s">
        <v>78</v>
      </c>
    </row>
    <row r="1242" spans="1:33" hidden="1" x14ac:dyDescent="0.25">
      <c r="A1242" t="str">
        <f>"1780677427"</f>
        <v>1780677427</v>
      </c>
      <c r="B1242" t="str">
        <f>"02459254"</f>
        <v>02459254</v>
      </c>
      <c r="C1242" t="s">
        <v>6588</v>
      </c>
      <c r="D1242" t="s">
        <v>6589</v>
      </c>
      <c r="E1242" t="s">
        <v>6590</v>
      </c>
      <c r="L1242" t="s">
        <v>72</v>
      </c>
      <c r="M1242" t="s">
        <v>73</v>
      </c>
      <c r="R1242" t="s">
        <v>6591</v>
      </c>
      <c r="W1242" t="s">
        <v>6590</v>
      </c>
      <c r="X1242" t="s">
        <v>1679</v>
      </c>
      <c r="Y1242" t="s">
        <v>91</v>
      </c>
      <c r="Z1242" t="s">
        <v>74</v>
      </c>
      <c r="AA1242" t="str">
        <f>"10032-3720"</f>
        <v>10032-3720</v>
      </c>
      <c r="AB1242" t="s">
        <v>75</v>
      </c>
      <c r="AC1242" t="s">
        <v>76</v>
      </c>
      <c r="AD1242" t="s">
        <v>73</v>
      </c>
      <c r="AE1242" t="s">
        <v>77</v>
      </c>
      <c r="AF1242" t="s">
        <v>2228</v>
      </c>
      <c r="AG1242" t="s">
        <v>78</v>
      </c>
    </row>
    <row r="1243" spans="1:33" hidden="1" x14ac:dyDescent="0.25">
      <c r="A1243" t="str">
        <f>"1053423921"</f>
        <v>1053423921</v>
      </c>
      <c r="B1243" t="str">
        <f>"03468811"</f>
        <v>03468811</v>
      </c>
      <c r="C1243" t="s">
        <v>6592</v>
      </c>
      <c r="D1243" t="s">
        <v>6593</v>
      </c>
      <c r="E1243" t="s">
        <v>6594</v>
      </c>
      <c r="L1243" t="s">
        <v>88</v>
      </c>
      <c r="M1243" t="s">
        <v>73</v>
      </c>
      <c r="R1243" t="s">
        <v>6595</v>
      </c>
      <c r="W1243" t="s">
        <v>6594</v>
      </c>
      <c r="X1243" t="s">
        <v>167</v>
      </c>
      <c r="Y1243" t="s">
        <v>91</v>
      </c>
      <c r="Z1243" t="s">
        <v>74</v>
      </c>
      <c r="AA1243" t="str">
        <f>"10032-3720"</f>
        <v>10032-3720</v>
      </c>
      <c r="AB1243" t="s">
        <v>75</v>
      </c>
      <c r="AC1243" t="s">
        <v>76</v>
      </c>
      <c r="AD1243" t="s">
        <v>73</v>
      </c>
      <c r="AE1243" t="s">
        <v>77</v>
      </c>
      <c r="AF1243" t="s">
        <v>2228</v>
      </c>
      <c r="AG1243" t="s">
        <v>78</v>
      </c>
    </row>
    <row r="1244" spans="1:33" hidden="1" x14ac:dyDescent="0.25">
      <c r="A1244" t="str">
        <f>"1821273392"</f>
        <v>1821273392</v>
      </c>
      <c r="B1244" t="str">
        <f>"02991615"</f>
        <v>02991615</v>
      </c>
      <c r="C1244" t="s">
        <v>6596</v>
      </c>
      <c r="D1244" t="s">
        <v>6597</v>
      </c>
      <c r="E1244" t="s">
        <v>6598</v>
      </c>
      <c r="L1244" t="s">
        <v>72</v>
      </c>
      <c r="M1244" t="s">
        <v>73</v>
      </c>
      <c r="R1244" t="s">
        <v>6599</v>
      </c>
      <c r="W1244" t="s">
        <v>6598</v>
      </c>
      <c r="X1244" t="s">
        <v>167</v>
      </c>
      <c r="Y1244" t="s">
        <v>91</v>
      </c>
      <c r="Z1244" t="s">
        <v>74</v>
      </c>
      <c r="AA1244" t="str">
        <f>"10032-3720"</f>
        <v>10032-3720</v>
      </c>
      <c r="AB1244" t="s">
        <v>75</v>
      </c>
      <c r="AC1244" t="s">
        <v>76</v>
      </c>
      <c r="AD1244" t="s">
        <v>73</v>
      </c>
      <c r="AE1244" t="s">
        <v>77</v>
      </c>
      <c r="AG1244" t="s">
        <v>78</v>
      </c>
    </row>
    <row r="1245" spans="1:33" hidden="1" x14ac:dyDescent="0.25">
      <c r="A1245" t="str">
        <f>"1841379559"</f>
        <v>1841379559</v>
      </c>
      <c r="B1245" t="str">
        <f>"02366732"</f>
        <v>02366732</v>
      </c>
      <c r="C1245" t="s">
        <v>6600</v>
      </c>
      <c r="D1245" t="s">
        <v>6601</v>
      </c>
      <c r="E1245" t="s">
        <v>6602</v>
      </c>
      <c r="L1245" t="s">
        <v>81</v>
      </c>
      <c r="M1245" t="s">
        <v>73</v>
      </c>
      <c r="R1245" t="s">
        <v>6603</v>
      </c>
      <c r="W1245" t="s">
        <v>6602</v>
      </c>
      <c r="X1245" t="s">
        <v>1524</v>
      </c>
      <c r="Y1245" t="s">
        <v>91</v>
      </c>
      <c r="Z1245" t="s">
        <v>74</v>
      </c>
      <c r="AA1245" t="str">
        <f>"10023-5204"</f>
        <v>10023-5204</v>
      </c>
      <c r="AB1245" t="s">
        <v>75</v>
      </c>
      <c r="AC1245" t="s">
        <v>76</v>
      </c>
      <c r="AD1245" t="s">
        <v>73</v>
      </c>
      <c r="AE1245" t="s">
        <v>77</v>
      </c>
      <c r="AF1245" t="s">
        <v>2228</v>
      </c>
      <c r="AG1245" t="s">
        <v>78</v>
      </c>
    </row>
    <row r="1246" spans="1:33" hidden="1" x14ac:dyDescent="0.25">
      <c r="A1246" t="str">
        <f>"1801154018"</f>
        <v>1801154018</v>
      </c>
      <c r="B1246" t="str">
        <f>"03479169"</f>
        <v>03479169</v>
      </c>
      <c r="C1246" t="s">
        <v>6604</v>
      </c>
      <c r="D1246" t="s">
        <v>6605</v>
      </c>
      <c r="E1246" t="s">
        <v>6606</v>
      </c>
      <c r="L1246" t="s">
        <v>80</v>
      </c>
      <c r="M1246" t="s">
        <v>73</v>
      </c>
      <c r="R1246" t="s">
        <v>6607</v>
      </c>
      <c r="W1246" t="s">
        <v>6606</v>
      </c>
      <c r="X1246" t="s">
        <v>1167</v>
      </c>
      <c r="Y1246" t="s">
        <v>91</v>
      </c>
      <c r="Z1246" t="s">
        <v>74</v>
      </c>
      <c r="AA1246" t="str">
        <f>"10065-4870"</f>
        <v>10065-4870</v>
      </c>
      <c r="AB1246" t="s">
        <v>75</v>
      </c>
      <c r="AC1246" t="s">
        <v>76</v>
      </c>
      <c r="AD1246" t="s">
        <v>73</v>
      </c>
      <c r="AE1246" t="s">
        <v>77</v>
      </c>
      <c r="AF1246" t="s">
        <v>2242</v>
      </c>
      <c r="AG1246" t="s">
        <v>78</v>
      </c>
    </row>
    <row r="1247" spans="1:33" hidden="1" x14ac:dyDescent="0.25">
      <c r="A1247" t="str">
        <f>"1669615183"</f>
        <v>1669615183</v>
      </c>
      <c r="B1247" t="str">
        <f>"04269292"</f>
        <v>04269292</v>
      </c>
      <c r="C1247" t="s">
        <v>6608</v>
      </c>
      <c r="D1247" t="s">
        <v>6609</v>
      </c>
      <c r="E1247" t="s">
        <v>1988</v>
      </c>
      <c r="G1247" t="s">
        <v>2224</v>
      </c>
      <c r="H1247" t="s">
        <v>2312</v>
      </c>
      <c r="J1247" t="s">
        <v>2226</v>
      </c>
      <c r="L1247" t="s">
        <v>80</v>
      </c>
      <c r="M1247" t="s">
        <v>73</v>
      </c>
      <c r="R1247" t="s">
        <v>6610</v>
      </c>
      <c r="W1247" t="s">
        <v>1988</v>
      </c>
      <c r="X1247" t="s">
        <v>1743</v>
      </c>
      <c r="Y1247" t="s">
        <v>91</v>
      </c>
      <c r="Z1247" t="s">
        <v>74</v>
      </c>
      <c r="AA1247" t="str">
        <f>"10021-4099"</f>
        <v>10021-4099</v>
      </c>
      <c r="AB1247" t="s">
        <v>75</v>
      </c>
      <c r="AC1247" t="s">
        <v>76</v>
      </c>
      <c r="AD1247" t="s">
        <v>73</v>
      </c>
      <c r="AE1247" t="s">
        <v>77</v>
      </c>
      <c r="AF1247" t="s">
        <v>2242</v>
      </c>
      <c r="AG1247" t="s">
        <v>78</v>
      </c>
    </row>
    <row r="1248" spans="1:33" hidden="1" x14ac:dyDescent="0.25">
      <c r="A1248" t="str">
        <f>"1205970142"</f>
        <v>1205970142</v>
      </c>
      <c r="B1248" t="str">
        <f>"00877918"</f>
        <v>00877918</v>
      </c>
      <c r="C1248" t="s">
        <v>6611</v>
      </c>
      <c r="D1248" t="s">
        <v>6612</v>
      </c>
      <c r="E1248" t="s">
        <v>6613</v>
      </c>
      <c r="G1248" t="s">
        <v>2224</v>
      </c>
      <c r="H1248" t="s">
        <v>2225</v>
      </c>
      <c r="J1248" t="s">
        <v>2226</v>
      </c>
      <c r="L1248" t="s">
        <v>72</v>
      </c>
      <c r="M1248" t="s">
        <v>73</v>
      </c>
      <c r="R1248" t="s">
        <v>6614</v>
      </c>
      <c r="W1248" t="s">
        <v>6613</v>
      </c>
      <c r="X1248" t="s">
        <v>1392</v>
      </c>
      <c r="Y1248" t="s">
        <v>118</v>
      </c>
      <c r="Z1248" t="s">
        <v>74</v>
      </c>
      <c r="AA1248" t="str">
        <f>"10461-2008"</f>
        <v>10461-2008</v>
      </c>
      <c r="AB1248" t="s">
        <v>75</v>
      </c>
      <c r="AC1248" t="s">
        <v>76</v>
      </c>
      <c r="AD1248" t="s">
        <v>73</v>
      </c>
      <c r="AE1248" t="s">
        <v>77</v>
      </c>
      <c r="AF1248" t="s">
        <v>2254</v>
      </c>
      <c r="AG1248" t="s">
        <v>78</v>
      </c>
    </row>
    <row r="1249" spans="1:33" hidden="1" x14ac:dyDescent="0.25">
      <c r="A1249" t="str">
        <f>"1154346021"</f>
        <v>1154346021</v>
      </c>
      <c r="B1249" t="str">
        <f>"02559635"</f>
        <v>02559635</v>
      </c>
      <c r="C1249" t="s">
        <v>6615</v>
      </c>
      <c r="D1249" t="s">
        <v>6616</v>
      </c>
      <c r="E1249" t="s">
        <v>6617</v>
      </c>
      <c r="L1249" t="s">
        <v>36</v>
      </c>
      <c r="M1249" t="s">
        <v>73</v>
      </c>
      <c r="R1249" t="s">
        <v>6615</v>
      </c>
      <c r="W1249" t="s">
        <v>3672</v>
      </c>
      <c r="X1249" t="s">
        <v>167</v>
      </c>
      <c r="Y1249" t="s">
        <v>91</v>
      </c>
      <c r="Z1249" t="s">
        <v>74</v>
      </c>
      <c r="AA1249" t="str">
        <f>"10032-3720"</f>
        <v>10032-3720</v>
      </c>
      <c r="AB1249" t="s">
        <v>123</v>
      </c>
      <c r="AC1249" t="s">
        <v>76</v>
      </c>
      <c r="AD1249" t="s">
        <v>73</v>
      </c>
      <c r="AE1249" t="s">
        <v>77</v>
      </c>
      <c r="AG1249" t="s">
        <v>78</v>
      </c>
    </row>
    <row r="1250" spans="1:33" hidden="1" x14ac:dyDescent="0.25">
      <c r="A1250" t="str">
        <f>"1497893077"</f>
        <v>1497893077</v>
      </c>
      <c r="B1250" t="str">
        <f>"01176663"</f>
        <v>01176663</v>
      </c>
      <c r="C1250" t="s">
        <v>6618</v>
      </c>
      <c r="D1250" t="s">
        <v>6619</v>
      </c>
      <c r="E1250" t="s">
        <v>6620</v>
      </c>
      <c r="G1250" t="s">
        <v>2224</v>
      </c>
      <c r="H1250" t="s">
        <v>2225</v>
      </c>
      <c r="J1250" t="s">
        <v>2226</v>
      </c>
      <c r="L1250" t="s">
        <v>81</v>
      </c>
      <c r="M1250" t="s">
        <v>73</v>
      </c>
      <c r="R1250" t="s">
        <v>6621</v>
      </c>
      <c r="W1250" t="s">
        <v>6620</v>
      </c>
      <c r="X1250" t="s">
        <v>1467</v>
      </c>
      <c r="Y1250" t="s">
        <v>91</v>
      </c>
      <c r="Z1250" t="s">
        <v>74</v>
      </c>
      <c r="AA1250" t="str">
        <f>"10019"</f>
        <v>10019</v>
      </c>
      <c r="AB1250" t="s">
        <v>75</v>
      </c>
      <c r="AC1250" t="s">
        <v>76</v>
      </c>
      <c r="AD1250" t="s">
        <v>73</v>
      </c>
      <c r="AE1250" t="s">
        <v>77</v>
      </c>
      <c r="AF1250" t="s">
        <v>2254</v>
      </c>
      <c r="AG1250" t="s">
        <v>78</v>
      </c>
    </row>
    <row r="1251" spans="1:33" hidden="1" x14ac:dyDescent="0.25">
      <c r="A1251" t="str">
        <f>"1700048527"</f>
        <v>1700048527</v>
      </c>
      <c r="B1251" t="str">
        <f>"03545966"</f>
        <v>03545966</v>
      </c>
      <c r="C1251" t="s">
        <v>6622</v>
      </c>
      <c r="D1251" t="s">
        <v>6623</v>
      </c>
      <c r="E1251" t="s">
        <v>6624</v>
      </c>
      <c r="G1251" t="s">
        <v>2224</v>
      </c>
      <c r="H1251" t="s">
        <v>2225</v>
      </c>
      <c r="J1251" t="s">
        <v>2226</v>
      </c>
      <c r="L1251" t="s">
        <v>100</v>
      </c>
      <c r="M1251" t="s">
        <v>73</v>
      </c>
      <c r="R1251" t="s">
        <v>6624</v>
      </c>
      <c r="W1251" t="s">
        <v>6624</v>
      </c>
      <c r="X1251" t="s">
        <v>170</v>
      </c>
      <c r="Y1251" t="s">
        <v>91</v>
      </c>
      <c r="Z1251" t="s">
        <v>74</v>
      </c>
      <c r="AA1251" t="str">
        <f>"10065-4870"</f>
        <v>10065-4870</v>
      </c>
      <c r="AB1251" t="s">
        <v>75</v>
      </c>
      <c r="AC1251" t="s">
        <v>76</v>
      </c>
      <c r="AD1251" t="s">
        <v>73</v>
      </c>
      <c r="AE1251" t="s">
        <v>77</v>
      </c>
      <c r="AF1251" t="s">
        <v>2254</v>
      </c>
      <c r="AG1251" t="s">
        <v>78</v>
      </c>
    </row>
    <row r="1252" spans="1:33" hidden="1" x14ac:dyDescent="0.25">
      <c r="A1252" t="str">
        <f>"1477676161"</f>
        <v>1477676161</v>
      </c>
      <c r="B1252" t="str">
        <f>"02088746"</f>
        <v>02088746</v>
      </c>
      <c r="C1252" t="s">
        <v>6625</v>
      </c>
      <c r="D1252" t="s">
        <v>6626</v>
      </c>
      <c r="E1252" t="s">
        <v>6627</v>
      </c>
      <c r="G1252" t="s">
        <v>2224</v>
      </c>
      <c r="H1252" t="s">
        <v>2225</v>
      </c>
      <c r="J1252" t="s">
        <v>2226</v>
      </c>
      <c r="L1252" t="s">
        <v>72</v>
      </c>
      <c r="M1252" t="s">
        <v>73</v>
      </c>
      <c r="R1252" t="s">
        <v>6628</v>
      </c>
      <c r="W1252" t="s">
        <v>6627</v>
      </c>
      <c r="X1252" t="s">
        <v>496</v>
      </c>
      <c r="Y1252" t="s">
        <v>91</v>
      </c>
      <c r="Z1252" t="s">
        <v>74</v>
      </c>
      <c r="AA1252" t="str">
        <f>"10032-3726"</f>
        <v>10032-3726</v>
      </c>
      <c r="AB1252" t="s">
        <v>75</v>
      </c>
      <c r="AC1252" t="s">
        <v>76</v>
      </c>
      <c r="AD1252" t="s">
        <v>73</v>
      </c>
      <c r="AE1252" t="s">
        <v>77</v>
      </c>
      <c r="AF1252" t="s">
        <v>2228</v>
      </c>
      <c r="AG1252" t="s">
        <v>78</v>
      </c>
    </row>
    <row r="1253" spans="1:33" hidden="1" x14ac:dyDescent="0.25">
      <c r="A1253" t="str">
        <f>"1215079017"</f>
        <v>1215079017</v>
      </c>
      <c r="B1253" t="str">
        <f>"02885261"</f>
        <v>02885261</v>
      </c>
      <c r="C1253" t="s">
        <v>6629</v>
      </c>
      <c r="D1253" t="s">
        <v>6630</v>
      </c>
      <c r="E1253" t="s">
        <v>6631</v>
      </c>
      <c r="G1253" t="s">
        <v>2224</v>
      </c>
      <c r="H1253" t="s">
        <v>2225</v>
      </c>
      <c r="J1253" t="s">
        <v>2226</v>
      </c>
      <c r="L1253" t="s">
        <v>80</v>
      </c>
      <c r="M1253" t="s">
        <v>73</v>
      </c>
      <c r="R1253" t="s">
        <v>6632</v>
      </c>
      <c r="W1253" t="s">
        <v>6631</v>
      </c>
      <c r="X1253" t="s">
        <v>1500</v>
      </c>
      <c r="Y1253" t="s">
        <v>527</v>
      </c>
      <c r="Z1253" t="s">
        <v>74</v>
      </c>
      <c r="AA1253" t="str">
        <f>"10941-7001"</f>
        <v>10941-7001</v>
      </c>
      <c r="AB1253" t="s">
        <v>122</v>
      </c>
      <c r="AC1253" t="s">
        <v>76</v>
      </c>
      <c r="AD1253" t="s">
        <v>73</v>
      </c>
      <c r="AE1253" t="s">
        <v>77</v>
      </c>
      <c r="AF1253" t="s">
        <v>2254</v>
      </c>
      <c r="AG1253" t="s">
        <v>78</v>
      </c>
    </row>
    <row r="1254" spans="1:33" hidden="1" x14ac:dyDescent="0.25">
      <c r="A1254" t="str">
        <f>"1073848479"</f>
        <v>1073848479</v>
      </c>
      <c r="B1254" t="str">
        <f>"03923379"</f>
        <v>03923379</v>
      </c>
      <c r="C1254" t="s">
        <v>6633</v>
      </c>
      <c r="D1254" t="s">
        <v>6634</v>
      </c>
      <c r="E1254" t="s">
        <v>6635</v>
      </c>
      <c r="G1254" t="s">
        <v>2224</v>
      </c>
      <c r="H1254" t="s">
        <v>2225</v>
      </c>
      <c r="J1254" t="s">
        <v>2226</v>
      </c>
      <c r="L1254" t="s">
        <v>72</v>
      </c>
      <c r="M1254" t="s">
        <v>73</v>
      </c>
      <c r="R1254" t="s">
        <v>6635</v>
      </c>
      <c r="W1254" t="s">
        <v>6636</v>
      </c>
      <c r="X1254" t="s">
        <v>628</v>
      </c>
      <c r="Y1254" t="s">
        <v>91</v>
      </c>
      <c r="Z1254" t="s">
        <v>74</v>
      </c>
      <c r="AA1254" t="str">
        <f>"10021-4872"</f>
        <v>10021-4872</v>
      </c>
      <c r="AB1254" t="s">
        <v>75</v>
      </c>
      <c r="AC1254" t="s">
        <v>76</v>
      </c>
      <c r="AD1254" t="s">
        <v>73</v>
      </c>
      <c r="AE1254" t="s">
        <v>77</v>
      </c>
      <c r="AF1254" t="s">
        <v>2242</v>
      </c>
      <c r="AG1254" t="s">
        <v>78</v>
      </c>
    </row>
    <row r="1255" spans="1:33" hidden="1" x14ac:dyDescent="0.25">
      <c r="A1255" t="str">
        <f>"1114050846"</f>
        <v>1114050846</v>
      </c>
      <c r="B1255" t="str">
        <f>"02706536"</f>
        <v>02706536</v>
      </c>
      <c r="C1255" t="s">
        <v>6637</v>
      </c>
      <c r="D1255" t="s">
        <v>6638</v>
      </c>
      <c r="E1255" t="s">
        <v>6639</v>
      </c>
      <c r="G1255" t="s">
        <v>2224</v>
      </c>
      <c r="H1255" t="s">
        <v>2225</v>
      </c>
      <c r="J1255" t="s">
        <v>2226</v>
      </c>
      <c r="L1255" t="s">
        <v>72</v>
      </c>
      <c r="M1255" t="s">
        <v>73</v>
      </c>
      <c r="R1255" t="s">
        <v>6640</v>
      </c>
      <c r="W1255" t="s">
        <v>6639</v>
      </c>
      <c r="X1255" t="s">
        <v>5788</v>
      </c>
      <c r="Y1255" t="s">
        <v>91</v>
      </c>
      <c r="Z1255" t="s">
        <v>74</v>
      </c>
      <c r="AA1255" t="str">
        <f>"10032-1559"</f>
        <v>10032-1559</v>
      </c>
      <c r="AB1255" t="s">
        <v>75</v>
      </c>
      <c r="AC1255" t="s">
        <v>76</v>
      </c>
      <c r="AD1255" t="s">
        <v>73</v>
      </c>
      <c r="AE1255" t="s">
        <v>77</v>
      </c>
      <c r="AF1255" t="s">
        <v>2234</v>
      </c>
      <c r="AG1255" t="s">
        <v>78</v>
      </c>
    </row>
    <row r="1256" spans="1:33" hidden="1" x14ac:dyDescent="0.25">
      <c r="A1256" t="str">
        <f>"1053371906"</f>
        <v>1053371906</v>
      </c>
      <c r="B1256" t="str">
        <f>"03406159"</f>
        <v>03406159</v>
      </c>
      <c r="C1256" t="s">
        <v>6641</v>
      </c>
      <c r="D1256" t="s">
        <v>6642</v>
      </c>
      <c r="E1256" t="s">
        <v>6643</v>
      </c>
      <c r="G1256" t="s">
        <v>2224</v>
      </c>
      <c r="H1256" t="s">
        <v>6644</v>
      </c>
      <c r="J1256" t="s">
        <v>2226</v>
      </c>
      <c r="L1256" t="s">
        <v>80</v>
      </c>
      <c r="M1256" t="s">
        <v>82</v>
      </c>
      <c r="R1256" t="s">
        <v>6645</v>
      </c>
      <c r="W1256" t="s">
        <v>6643</v>
      </c>
      <c r="X1256" t="s">
        <v>410</v>
      </c>
      <c r="Y1256" t="s">
        <v>91</v>
      </c>
      <c r="Z1256" t="s">
        <v>74</v>
      </c>
      <c r="AA1256" t="str">
        <f>"10032-1559"</f>
        <v>10032-1559</v>
      </c>
      <c r="AB1256" t="s">
        <v>75</v>
      </c>
      <c r="AC1256" t="s">
        <v>76</v>
      </c>
      <c r="AD1256" t="s">
        <v>73</v>
      </c>
      <c r="AE1256" t="s">
        <v>77</v>
      </c>
      <c r="AF1256" t="s">
        <v>2228</v>
      </c>
      <c r="AG1256" t="s">
        <v>78</v>
      </c>
    </row>
    <row r="1257" spans="1:33" hidden="1" x14ac:dyDescent="0.25">
      <c r="A1257" t="str">
        <f>"1255587432"</f>
        <v>1255587432</v>
      </c>
      <c r="B1257" t="str">
        <f>"03224673"</f>
        <v>03224673</v>
      </c>
      <c r="C1257" t="s">
        <v>6646</v>
      </c>
      <c r="D1257" t="s">
        <v>6647</v>
      </c>
      <c r="E1257" t="s">
        <v>6648</v>
      </c>
      <c r="G1257" t="s">
        <v>2224</v>
      </c>
      <c r="H1257" t="s">
        <v>2225</v>
      </c>
      <c r="J1257" t="s">
        <v>2226</v>
      </c>
      <c r="L1257" t="s">
        <v>80</v>
      </c>
      <c r="M1257" t="s">
        <v>73</v>
      </c>
      <c r="R1257" t="s">
        <v>6649</v>
      </c>
      <c r="W1257" t="s">
        <v>6650</v>
      </c>
      <c r="X1257" t="s">
        <v>1207</v>
      </c>
      <c r="Y1257" t="s">
        <v>518</v>
      </c>
      <c r="Z1257" t="s">
        <v>519</v>
      </c>
      <c r="AA1257" t="str">
        <f>"19104-4306"</f>
        <v>19104-4306</v>
      </c>
      <c r="AB1257" t="s">
        <v>75</v>
      </c>
      <c r="AC1257" t="s">
        <v>76</v>
      </c>
      <c r="AD1257" t="s">
        <v>73</v>
      </c>
      <c r="AE1257" t="s">
        <v>77</v>
      </c>
      <c r="AF1257" t="s">
        <v>2228</v>
      </c>
      <c r="AG1257" t="s">
        <v>78</v>
      </c>
    </row>
    <row r="1258" spans="1:33" hidden="1" x14ac:dyDescent="0.25">
      <c r="A1258" t="str">
        <f>"1689898983"</f>
        <v>1689898983</v>
      </c>
      <c r="B1258" t="str">
        <f>"01513097"</f>
        <v>01513097</v>
      </c>
      <c r="C1258" t="s">
        <v>6651</v>
      </c>
      <c r="D1258" t="s">
        <v>6652</v>
      </c>
      <c r="E1258" t="s">
        <v>6653</v>
      </c>
      <c r="G1258" t="s">
        <v>2224</v>
      </c>
      <c r="H1258" t="s">
        <v>2225</v>
      </c>
      <c r="J1258" t="s">
        <v>2226</v>
      </c>
      <c r="L1258" t="s">
        <v>72</v>
      </c>
      <c r="M1258" t="s">
        <v>73</v>
      </c>
      <c r="R1258" t="s">
        <v>6654</v>
      </c>
      <c r="W1258" t="s">
        <v>6653</v>
      </c>
      <c r="X1258" t="s">
        <v>6655</v>
      </c>
      <c r="Y1258" t="s">
        <v>91</v>
      </c>
      <c r="Z1258" t="s">
        <v>74</v>
      </c>
      <c r="AA1258" t="str">
        <f>"10011-7762"</f>
        <v>10011-7762</v>
      </c>
      <c r="AB1258" t="s">
        <v>75</v>
      </c>
      <c r="AC1258" t="s">
        <v>76</v>
      </c>
      <c r="AD1258" t="s">
        <v>73</v>
      </c>
      <c r="AE1258" t="s">
        <v>77</v>
      </c>
      <c r="AF1258" t="s">
        <v>2254</v>
      </c>
      <c r="AG1258" t="s">
        <v>78</v>
      </c>
    </row>
    <row r="1259" spans="1:33" hidden="1" x14ac:dyDescent="0.25">
      <c r="A1259" t="str">
        <f>"1699703918"</f>
        <v>1699703918</v>
      </c>
      <c r="B1259" t="str">
        <f>"03233790"</f>
        <v>03233790</v>
      </c>
      <c r="C1259" t="s">
        <v>6656</v>
      </c>
      <c r="D1259" t="s">
        <v>6657</v>
      </c>
      <c r="E1259" t="s">
        <v>6658</v>
      </c>
      <c r="G1259" t="s">
        <v>2224</v>
      </c>
      <c r="H1259" t="s">
        <v>2225</v>
      </c>
      <c r="J1259" t="s">
        <v>2226</v>
      </c>
      <c r="L1259" t="s">
        <v>72</v>
      </c>
      <c r="M1259" t="s">
        <v>73</v>
      </c>
      <c r="R1259" t="s">
        <v>6659</v>
      </c>
      <c r="W1259" t="s">
        <v>6658</v>
      </c>
      <c r="X1259" t="s">
        <v>183</v>
      </c>
      <c r="Y1259" t="s">
        <v>91</v>
      </c>
      <c r="Z1259" t="s">
        <v>74</v>
      </c>
      <c r="AA1259" t="str">
        <f>"10032-3729"</f>
        <v>10032-3729</v>
      </c>
      <c r="AB1259" t="s">
        <v>75</v>
      </c>
      <c r="AC1259" t="s">
        <v>76</v>
      </c>
      <c r="AD1259" t="s">
        <v>73</v>
      </c>
      <c r="AE1259" t="s">
        <v>77</v>
      </c>
      <c r="AF1259" t="s">
        <v>2228</v>
      </c>
      <c r="AG1259" t="s">
        <v>78</v>
      </c>
    </row>
    <row r="1260" spans="1:33" hidden="1" x14ac:dyDescent="0.25">
      <c r="A1260" t="str">
        <f>"1295787190"</f>
        <v>1295787190</v>
      </c>
      <c r="B1260" t="str">
        <f>"00890937"</f>
        <v>00890937</v>
      </c>
      <c r="C1260" t="s">
        <v>6660</v>
      </c>
      <c r="D1260" t="s">
        <v>6661</v>
      </c>
      <c r="E1260" t="s">
        <v>6662</v>
      </c>
      <c r="G1260" t="s">
        <v>2224</v>
      </c>
      <c r="H1260" t="s">
        <v>2225</v>
      </c>
      <c r="J1260" t="s">
        <v>2226</v>
      </c>
      <c r="L1260" t="s">
        <v>72</v>
      </c>
      <c r="M1260" t="s">
        <v>73</v>
      </c>
      <c r="R1260" t="s">
        <v>6663</v>
      </c>
      <c r="W1260" t="s">
        <v>6662</v>
      </c>
      <c r="X1260" t="s">
        <v>6664</v>
      </c>
      <c r="Y1260" t="s">
        <v>181</v>
      </c>
      <c r="Z1260" t="s">
        <v>74</v>
      </c>
      <c r="AA1260" t="str">
        <f>"10601-5112"</f>
        <v>10601-5112</v>
      </c>
      <c r="AB1260" t="s">
        <v>75</v>
      </c>
      <c r="AC1260" t="s">
        <v>76</v>
      </c>
      <c r="AD1260" t="s">
        <v>73</v>
      </c>
      <c r="AE1260" t="s">
        <v>77</v>
      </c>
      <c r="AF1260" t="s">
        <v>2228</v>
      </c>
      <c r="AG1260" t="s">
        <v>78</v>
      </c>
    </row>
    <row r="1261" spans="1:33" hidden="1" x14ac:dyDescent="0.25">
      <c r="A1261" t="str">
        <f>"1871656637"</f>
        <v>1871656637</v>
      </c>
      <c r="B1261" t="str">
        <f>"01505191"</f>
        <v>01505191</v>
      </c>
      <c r="C1261" t="s">
        <v>6665</v>
      </c>
      <c r="D1261" t="s">
        <v>6666</v>
      </c>
      <c r="E1261" t="s">
        <v>6667</v>
      </c>
      <c r="L1261" t="s">
        <v>80</v>
      </c>
      <c r="M1261" t="s">
        <v>73</v>
      </c>
      <c r="R1261" t="s">
        <v>6668</v>
      </c>
      <c r="W1261" t="s">
        <v>6669</v>
      </c>
      <c r="X1261" t="s">
        <v>4833</v>
      </c>
      <c r="Y1261" t="s">
        <v>1317</v>
      </c>
      <c r="Z1261" t="s">
        <v>74</v>
      </c>
      <c r="AA1261" t="str">
        <f>"10573-2820"</f>
        <v>10573-2820</v>
      </c>
      <c r="AB1261" t="s">
        <v>75</v>
      </c>
      <c r="AC1261" t="s">
        <v>76</v>
      </c>
      <c r="AD1261" t="s">
        <v>73</v>
      </c>
      <c r="AE1261" t="s">
        <v>77</v>
      </c>
      <c r="AF1261" t="s">
        <v>2242</v>
      </c>
      <c r="AG1261" t="s">
        <v>78</v>
      </c>
    </row>
    <row r="1262" spans="1:33" hidden="1" x14ac:dyDescent="0.25">
      <c r="A1262" t="str">
        <f>"1184697526"</f>
        <v>1184697526</v>
      </c>
      <c r="B1262" t="str">
        <f>"02791615"</f>
        <v>02791615</v>
      </c>
      <c r="C1262" t="s">
        <v>6670</v>
      </c>
      <c r="D1262" t="s">
        <v>6671</v>
      </c>
      <c r="E1262" t="s">
        <v>6672</v>
      </c>
      <c r="L1262" t="s">
        <v>80</v>
      </c>
      <c r="M1262" t="s">
        <v>73</v>
      </c>
      <c r="R1262" t="s">
        <v>6672</v>
      </c>
      <c r="W1262" t="s">
        <v>6673</v>
      </c>
      <c r="X1262" t="s">
        <v>4560</v>
      </c>
      <c r="Y1262" t="s">
        <v>91</v>
      </c>
      <c r="Z1262" t="s">
        <v>74</v>
      </c>
      <c r="AA1262" t="str">
        <f>"10065-4885"</f>
        <v>10065-4885</v>
      </c>
      <c r="AB1262" t="s">
        <v>75</v>
      </c>
      <c r="AC1262" t="s">
        <v>76</v>
      </c>
      <c r="AD1262" t="s">
        <v>73</v>
      </c>
      <c r="AE1262" t="s">
        <v>77</v>
      </c>
      <c r="AF1262" t="s">
        <v>2242</v>
      </c>
      <c r="AG1262" t="s">
        <v>78</v>
      </c>
    </row>
    <row r="1263" spans="1:33" hidden="1" x14ac:dyDescent="0.25">
      <c r="A1263" t="str">
        <f>"1437218690"</f>
        <v>1437218690</v>
      </c>
      <c r="B1263" t="str">
        <f>"02168656"</f>
        <v>02168656</v>
      </c>
      <c r="C1263" t="s">
        <v>6674</v>
      </c>
      <c r="D1263" t="s">
        <v>6675</v>
      </c>
      <c r="E1263" t="s">
        <v>6676</v>
      </c>
      <c r="G1263" t="s">
        <v>2224</v>
      </c>
      <c r="H1263" t="s">
        <v>2225</v>
      </c>
      <c r="J1263" t="s">
        <v>2226</v>
      </c>
      <c r="L1263" t="s">
        <v>72</v>
      </c>
      <c r="M1263" t="s">
        <v>73</v>
      </c>
      <c r="R1263" t="s">
        <v>6677</v>
      </c>
      <c r="W1263" t="s">
        <v>6676</v>
      </c>
      <c r="X1263" t="s">
        <v>1651</v>
      </c>
      <c r="Y1263" t="s">
        <v>91</v>
      </c>
      <c r="Z1263" t="s">
        <v>74</v>
      </c>
      <c r="AA1263" t="str">
        <f>"10032-3720"</f>
        <v>10032-3720</v>
      </c>
      <c r="AB1263" t="s">
        <v>75</v>
      </c>
      <c r="AC1263" t="s">
        <v>76</v>
      </c>
      <c r="AD1263" t="s">
        <v>73</v>
      </c>
      <c r="AE1263" t="s">
        <v>77</v>
      </c>
      <c r="AF1263" t="s">
        <v>2254</v>
      </c>
      <c r="AG1263" t="s">
        <v>78</v>
      </c>
    </row>
    <row r="1264" spans="1:33" hidden="1" x14ac:dyDescent="0.25">
      <c r="A1264" t="str">
        <f>"1437246501"</f>
        <v>1437246501</v>
      </c>
      <c r="B1264" t="str">
        <f>"01590050"</f>
        <v>01590050</v>
      </c>
      <c r="C1264" t="s">
        <v>6678</v>
      </c>
      <c r="D1264" t="s">
        <v>6679</v>
      </c>
      <c r="E1264" t="s">
        <v>6680</v>
      </c>
      <c r="G1264" t="s">
        <v>2224</v>
      </c>
      <c r="H1264" t="s">
        <v>2225</v>
      </c>
      <c r="J1264" t="s">
        <v>2226</v>
      </c>
      <c r="L1264" t="s">
        <v>80</v>
      </c>
      <c r="M1264" t="s">
        <v>82</v>
      </c>
      <c r="R1264" t="s">
        <v>6681</v>
      </c>
      <c r="W1264" t="s">
        <v>6680</v>
      </c>
      <c r="X1264" t="s">
        <v>170</v>
      </c>
      <c r="Y1264" t="s">
        <v>91</v>
      </c>
      <c r="Z1264" t="s">
        <v>74</v>
      </c>
      <c r="AA1264" t="str">
        <f>"10065-4870"</f>
        <v>10065-4870</v>
      </c>
      <c r="AB1264" t="s">
        <v>75</v>
      </c>
      <c r="AC1264" t="s">
        <v>76</v>
      </c>
      <c r="AD1264" t="s">
        <v>73</v>
      </c>
      <c r="AE1264" t="s">
        <v>77</v>
      </c>
      <c r="AF1264" t="s">
        <v>2242</v>
      </c>
      <c r="AG1264" t="s">
        <v>78</v>
      </c>
    </row>
    <row r="1265" spans="1:33" hidden="1" x14ac:dyDescent="0.25">
      <c r="A1265" t="str">
        <f>"1487846762"</f>
        <v>1487846762</v>
      </c>
      <c r="B1265" t="str">
        <f>"03343226"</f>
        <v>03343226</v>
      </c>
      <c r="C1265" t="s">
        <v>6682</v>
      </c>
      <c r="D1265" t="s">
        <v>6683</v>
      </c>
      <c r="E1265" t="s">
        <v>6684</v>
      </c>
      <c r="G1265" t="s">
        <v>2224</v>
      </c>
      <c r="H1265" t="s">
        <v>2225</v>
      </c>
      <c r="J1265" t="s">
        <v>2226</v>
      </c>
      <c r="L1265" t="s">
        <v>80</v>
      </c>
      <c r="M1265" t="s">
        <v>73</v>
      </c>
      <c r="R1265" t="s">
        <v>6685</v>
      </c>
      <c r="W1265" t="s">
        <v>6684</v>
      </c>
      <c r="X1265" t="s">
        <v>167</v>
      </c>
      <c r="Y1265" t="s">
        <v>91</v>
      </c>
      <c r="Z1265" t="s">
        <v>74</v>
      </c>
      <c r="AA1265" t="str">
        <f>"10032-3720"</f>
        <v>10032-3720</v>
      </c>
      <c r="AB1265" t="s">
        <v>75</v>
      </c>
      <c r="AC1265" t="s">
        <v>76</v>
      </c>
      <c r="AD1265" t="s">
        <v>73</v>
      </c>
      <c r="AE1265" t="s">
        <v>77</v>
      </c>
      <c r="AF1265" t="s">
        <v>2254</v>
      </c>
      <c r="AG1265" t="s">
        <v>78</v>
      </c>
    </row>
    <row r="1266" spans="1:33" hidden="1" x14ac:dyDescent="0.25">
      <c r="A1266" t="str">
        <f>"1487884946"</f>
        <v>1487884946</v>
      </c>
      <c r="B1266" t="str">
        <f>"03586514"</f>
        <v>03586514</v>
      </c>
      <c r="C1266" t="s">
        <v>6686</v>
      </c>
      <c r="D1266" t="s">
        <v>6687</v>
      </c>
      <c r="E1266" t="s">
        <v>6688</v>
      </c>
      <c r="G1266" t="s">
        <v>2224</v>
      </c>
      <c r="H1266" t="s">
        <v>2225</v>
      </c>
      <c r="J1266" t="s">
        <v>2226</v>
      </c>
      <c r="L1266" t="s">
        <v>80</v>
      </c>
      <c r="M1266" t="s">
        <v>73</v>
      </c>
      <c r="R1266" t="s">
        <v>6689</v>
      </c>
      <c r="W1266" t="s">
        <v>6690</v>
      </c>
      <c r="X1266" t="s">
        <v>167</v>
      </c>
      <c r="Y1266" t="s">
        <v>91</v>
      </c>
      <c r="Z1266" t="s">
        <v>74</v>
      </c>
      <c r="AA1266" t="str">
        <f>"10032-3720"</f>
        <v>10032-3720</v>
      </c>
      <c r="AB1266" t="s">
        <v>75</v>
      </c>
      <c r="AC1266" t="s">
        <v>76</v>
      </c>
      <c r="AD1266" t="s">
        <v>73</v>
      </c>
      <c r="AE1266" t="s">
        <v>77</v>
      </c>
      <c r="AF1266" t="s">
        <v>2234</v>
      </c>
      <c r="AG1266" t="s">
        <v>78</v>
      </c>
    </row>
    <row r="1267" spans="1:33" hidden="1" x14ac:dyDescent="0.25">
      <c r="A1267" t="str">
        <f>"1881774610"</f>
        <v>1881774610</v>
      </c>
      <c r="B1267" t="str">
        <f>"02990669"</f>
        <v>02990669</v>
      </c>
      <c r="C1267" t="s">
        <v>6691</v>
      </c>
      <c r="D1267" t="s">
        <v>6692</v>
      </c>
      <c r="E1267" t="s">
        <v>6693</v>
      </c>
      <c r="G1267" t="s">
        <v>2224</v>
      </c>
      <c r="H1267" t="s">
        <v>2225</v>
      </c>
      <c r="J1267" t="s">
        <v>2226</v>
      </c>
      <c r="L1267" t="s">
        <v>88</v>
      </c>
      <c r="M1267" t="s">
        <v>82</v>
      </c>
      <c r="R1267" t="s">
        <v>6694</v>
      </c>
      <c r="W1267" t="s">
        <v>6693</v>
      </c>
      <c r="X1267" t="s">
        <v>2115</v>
      </c>
      <c r="Y1267" t="s">
        <v>91</v>
      </c>
      <c r="Z1267" t="s">
        <v>74</v>
      </c>
      <c r="AA1267" t="str">
        <f>"10032-7104"</f>
        <v>10032-7104</v>
      </c>
      <c r="AB1267" t="s">
        <v>75</v>
      </c>
      <c r="AC1267" t="s">
        <v>76</v>
      </c>
      <c r="AD1267" t="s">
        <v>73</v>
      </c>
      <c r="AE1267" t="s">
        <v>77</v>
      </c>
      <c r="AF1267" t="s">
        <v>2228</v>
      </c>
      <c r="AG1267" t="s">
        <v>78</v>
      </c>
    </row>
    <row r="1268" spans="1:33" hidden="1" x14ac:dyDescent="0.25">
      <c r="A1268" t="str">
        <f>"1881781987"</f>
        <v>1881781987</v>
      </c>
      <c r="B1268" t="str">
        <f>"01433921"</f>
        <v>01433921</v>
      </c>
      <c r="C1268" t="s">
        <v>6695</v>
      </c>
      <c r="D1268" t="s">
        <v>6696</v>
      </c>
      <c r="E1268" t="s">
        <v>6697</v>
      </c>
      <c r="G1268" t="s">
        <v>2224</v>
      </c>
      <c r="H1268" t="s">
        <v>2225</v>
      </c>
      <c r="J1268" t="s">
        <v>2226</v>
      </c>
      <c r="L1268" t="s">
        <v>81</v>
      </c>
      <c r="M1268" t="s">
        <v>73</v>
      </c>
      <c r="R1268" t="s">
        <v>6698</v>
      </c>
      <c r="W1268" t="s">
        <v>6697</v>
      </c>
      <c r="X1268" t="s">
        <v>6699</v>
      </c>
      <c r="Y1268" t="s">
        <v>91</v>
      </c>
      <c r="Z1268" t="s">
        <v>74</v>
      </c>
      <c r="AA1268" t="str">
        <f>"10021-4872"</f>
        <v>10021-4872</v>
      </c>
      <c r="AB1268" t="s">
        <v>75</v>
      </c>
      <c r="AC1268" t="s">
        <v>76</v>
      </c>
      <c r="AD1268" t="s">
        <v>73</v>
      </c>
      <c r="AE1268" t="s">
        <v>77</v>
      </c>
      <c r="AF1268" t="s">
        <v>2398</v>
      </c>
      <c r="AG1268" t="s">
        <v>78</v>
      </c>
    </row>
    <row r="1269" spans="1:33" hidden="1" x14ac:dyDescent="0.25">
      <c r="A1269" t="str">
        <f>"1891830709"</f>
        <v>1891830709</v>
      </c>
      <c r="B1269" t="str">
        <f>"01811063"</f>
        <v>01811063</v>
      </c>
      <c r="C1269" t="s">
        <v>6700</v>
      </c>
      <c r="D1269" t="s">
        <v>6701</v>
      </c>
      <c r="E1269" t="s">
        <v>6702</v>
      </c>
      <c r="G1269" t="s">
        <v>2224</v>
      </c>
      <c r="H1269" t="s">
        <v>2225</v>
      </c>
      <c r="J1269" t="s">
        <v>2226</v>
      </c>
      <c r="L1269" t="s">
        <v>81</v>
      </c>
      <c r="M1269" t="s">
        <v>82</v>
      </c>
      <c r="R1269" t="s">
        <v>6703</v>
      </c>
      <c r="W1269" t="s">
        <v>6702</v>
      </c>
      <c r="X1269" t="s">
        <v>762</v>
      </c>
      <c r="Y1269" t="s">
        <v>91</v>
      </c>
      <c r="Z1269" t="s">
        <v>74</v>
      </c>
      <c r="AA1269" t="str">
        <f>"10034-4915"</f>
        <v>10034-4915</v>
      </c>
      <c r="AB1269" t="s">
        <v>75</v>
      </c>
      <c r="AC1269" t="s">
        <v>76</v>
      </c>
      <c r="AD1269" t="s">
        <v>73</v>
      </c>
      <c r="AE1269" t="s">
        <v>77</v>
      </c>
      <c r="AF1269" t="s">
        <v>2254</v>
      </c>
      <c r="AG1269" t="s">
        <v>78</v>
      </c>
    </row>
    <row r="1270" spans="1:33" hidden="1" x14ac:dyDescent="0.25">
      <c r="A1270" t="str">
        <f>"1902939432"</f>
        <v>1902939432</v>
      </c>
      <c r="B1270" t="str">
        <f>"02212586"</f>
        <v>02212586</v>
      </c>
      <c r="C1270" t="s">
        <v>6704</v>
      </c>
      <c r="D1270" t="s">
        <v>946</v>
      </c>
      <c r="E1270" t="s">
        <v>947</v>
      </c>
      <c r="G1270" t="s">
        <v>2224</v>
      </c>
      <c r="H1270" t="s">
        <v>2225</v>
      </c>
      <c r="J1270" t="s">
        <v>2226</v>
      </c>
      <c r="L1270" t="s">
        <v>88</v>
      </c>
      <c r="M1270" t="s">
        <v>73</v>
      </c>
      <c r="R1270" t="s">
        <v>948</v>
      </c>
      <c r="W1270" t="s">
        <v>949</v>
      </c>
      <c r="X1270" t="s">
        <v>167</v>
      </c>
      <c r="Y1270" t="s">
        <v>91</v>
      </c>
      <c r="Z1270" t="s">
        <v>74</v>
      </c>
      <c r="AA1270" t="str">
        <f>"10032-3720"</f>
        <v>10032-3720</v>
      </c>
      <c r="AB1270" t="s">
        <v>75</v>
      </c>
      <c r="AC1270" t="s">
        <v>76</v>
      </c>
      <c r="AD1270" t="s">
        <v>73</v>
      </c>
      <c r="AE1270" t="s">
        <v>77</v>
      </c>
      <c r="AF1270" t="s">
        <v>2228</v>
      </c>
      <c r="AG1270" t="s">
        <v>78</v>
      </c>
    </row>
    <row r="1271" spans="1:33" hidden="1" x14ac:dyDescent="0.25">
      <c r="A1271" t="str">
        <f>"1679914220"</f>
        <v>1679914220</v>
      </c>
      <c r="C1271" t="s">
        <v>6705</v>
      </c>
      <c r="G1271" t="s">
        <v>2224</v>
      </c>
      <c r="H1271" t="s">
        <v>2312</v>
      </c>
      <c r="J1271" t="s">
        <v>2226</v>
      </c>
      <c r="K1271" t="s">
        <v>171</v>
      </c>
      <c r="L1271" t="s">
        <v>96</v>
      </c>
      <c r="M1271" t="s">
        <v>73</v>
      </c>
      <c r="R1271" t="s">
        <v>6706</v>
      </c>
      <c r="S1271" t="s">
        <v>1583</v>
      </c>
      <c r="T1271" t="s">
        <v>91</v>
      </c>
      <c r="U1271" t="s">
        <v>74</v>
      </c>
      <c r="V1271" t="str">
        <f>"100219800"</f>
        <v>100219800</v>
      </c>
      <c r="AC1271" t="s">
        <v>76</v>
      </c>
      <c r="AD1271" t="s">
        <v>73</v>
      </c>
      <c r="AE1271" t="s">
        <v>97</v>
      </c>
      <c r="AF1271" t="s">
        <v>2242</v>
      </c>
      <c r="AG1271" t="s">
        <v>78</v>
      </c>
    </row>
    <row r="1272" spans="1:33" hidden="1" x14ac:dyDescent="0.25">
      <c r="A1272" t="str">
        <f>"1245255538"</f>
        <v>1245255538</v>
      </c>
      <c r="B1272" t="str">
        <f>"00851345"</f>
        <v>00851345</v>
      </c>
      <c r="C1272" t="s">
        <v>6707</v>
      </c>
      <c r="D1272" t="s">
        <v>6708</v>
      </c>
      <c r="E1272" t="s">
        <v>6709</v>
      </c>
      <c r="L1272" t="s">
        <v>80</v>
      </c>
      <c r="M1272" t="s">
        <v>73</v>
      </c>
      <c r="R1272" t="s">
        <v>6710</v>
      </c>
      <c r="W1272" t="s">
        <v>6709</v>
      </c>
      <c r="X1272" t="s">
        <v>6711</v>
      </c>
      <c r="Y1272" t="s">
        <v>527</v>
      </c>
      <c r="Z1272" t="s">
        <v>74</v>
      </c>
      <c r="AA1272" t="str">
        <f>"10940-4199"</f>
        <v>10940-4199</v>
      </c>
      <c r="AB1272" t="s">
        <v>75</v>
      </c>
      <c r="AC1272" t="s">
        <v>76</v>
      </c>
      <c r="AD1272" t="s">
        <v>73</v>
      </c>
      <c r="AE1272" t="s">
        <v>77</v>
      </c>
      <c r="AF1272" t="s">
        <v>2242</v>
      </c>
      <c r="AG1272" t="s">
        <v>78</v>
      </c>
    </row>
    <row r="1273" spans="1:33" hidden="1" x14ac:dyDescent="0.25">
      <c r="A1273" t="str">
        <f>"1801810015"</f>
        <v>1801810015</v>
      </c>
      <c r="B1273" t="str">
        <f>"02003029"</f>
        <v>02003029</v>
      </c>
      <c r="C1273" t="s">
        <v>6712</v>
      </c>
      <c r="D1273" t="s">
        <v>6713</v>
      </c>
      <c r="E1273" t="s">
        <v>6714</v>
      </c>
      <c r="L1273" t="s">
        <v>96</v>
      </c>
      <c r="M1273" t="s">
        <v>73</v>
      </c>
      <c r="R1273" t="s">
        <v>6715</v>
      </c>
      <c r="W1273" t="s">
        <v>6714</v>
      </c>
      <c r="X1273" t="s">
        <v>170</v>
      </c>
      <c r="Y1273" t="s">
        <v>91</v>
      </c>
      <c r="Z1273" t="s">
        <v>74</v>
      </c>
      <c r="AA1273" t="str">
        <f>"10065-4870"</f>
        <v>10065-4870</v>
      </c>
      <c r="AB1273" t="s">
        <v>75</v>
      </c>
      <c r="AC1273" t="s">
        <v>76</v>
      </c>
      <c r="AD1273" t="s">
        <v>73</v>
      </c>
      <c r="AE1273" t="s">
        <v>77</v>
      </c>
      <c r="AF1273" t="s">
        <v>2242</v>
      </c>
      <c r="AG1273" t="s">
        <v>78</v>
      </c>
    </row>
    <row r="1274" spans="1:33" hidden="1" x14ac:dyDescent="0.25">
      <c r="A1274" t="str">
        <f>"1629006143"</f>
        <v>1629006143</v>
      </c>
      <c r="B1274" t="str">
        <f>"03394130"</f>
        <v>03394130</v>
      </c>
      <c r="C1274" t="s">
        <v>6716</v>
      </c>
      <c r="D1274" t="s">
        <v>6717</v>
      </c>
      <c r="E1274" t="s">
        <v>6718</v>
      </c>
      <c r="G1274" t="s">
        <v>2224</v>
      </c>
      <c r="H1274" t="s">
        <v>2225</v>
      </c>
      <c r="J1274" t="s">
        <v>2226</v>
      </c>
      <c r="L1274" t="s">
        <v>72</v>
      </c>
      <c r="M1274" t="s">
        <v>73</v>
      </c>
      <c r="R1274" t="s">
        <v>6719</v>
      </c>
      <c r="W1274" t="s">
        <v>6718</v>
      </c>
      <c r="X1274" t="s">
        <v>167</v>
      </c>
      <c r="Y1274" t="s">
        <v>91</v>
      </c>
      <c r="Z1274" t="s">
        <v>74</v>
      </c>
      <c r="AA1274" t="str">
        <f>"10032-3720"</f>
        <v>10032-3720</v>
      </c>
      <c r="AB1274" t="s">
        <v>75</v>
      </c>
      <c r="AC1274" t="s">
        <v>76</v>
      </c>
      <c r="AD1274" t="s">
        <v>73</v>
      </c>
      <c r="AE1274" t="s">
        <v>77</v>
      </c>
      <c r="AF1274" t="s">
        <v>2254</v>
      </c>
      <c r="AG1274" t="s">
        <v>78</v>
      </c>
    </row>
    <row r="1275" spans="1:33" hidden="1" x14ac:dyDescent="0.25">
      <c r="A1275" t="str">
        <f>"1588953327"</f>
        <v>1588953327</v>
      </c>
      <c r="B1275" t="str">
        <f>"03994745"</f>
        <v>03994745</v>
      </c>
      <c r="C1275" t="s">
        <v>6720</v>
      </c>
      <c r="D1275" t="s">
        <v>6721</v>
      </c>
      <c r="E1275" t="s">
        <v>6722</v>
      </c>
      <c r="G1275" t="s">
        <v>2224</v>
      </c>
      <c r="H1275" t="s">
        <v>2312</v>
      </c>
      <c r="J1275" t="s">
        <v>2226</v>
      </c>
      <c r="L1275" t="s">
        <v>72</v>
      </c>
      <c r="M1275" t="s">
        <v>73</v>
      </c>
      <c r="R1275" t="s">
        <v>6722</v>
      </c>
      <c r="W1275" t="s">
        <v>6722</v>
      </c>
      <c r="X1275" t="s">
        <v>272</v>
      </c>
      <c r="Y1275" t="s">
        <v>91</v>
      </c>
      <c r="Z1275" t="s">
        <v>74</v>
      </c>
      <c r="AA1275" t="str">
        <f>"10038-2612"</f>
        <v>10038-2612</v>
      </c>
      <c r="AB1275" t="s">
        <v>75</v>
      </c>
      <c r="AC1275" t="s">
        <v>76</v>
      </c>
      <c r="AD1275" t="s">
        <v>73</v>
      </c>
      <c r="AE1275" t="s">
        <v>77</v>
      </c>
      <c r="AF1275" t="s">
        <v>2242</v>
      </c>
      <c r="AG1275" t="s">
        <v>78</v>
      </c>
    </row>
    <row r="1276" spans="1:33" hidden="1" x14ac:dyDescent="0.25">
      <c r="A1276" t="str">
        <f>"1497970586"</f>
        <v>1497970586</v>
      </c>
      <c r="B1276" t="str">
        <f>"02888984"</f>
        <v>02888984</v>
      </c>
      <c r="C1276" t="s">
        <v>6723</v>
      </c>
      <c r="D1276" t="s">
        <v>6724</v>
      </c>
      <c r="E1276" t="s">
        <v>6725</v>
      </c>
      <c r="L1276" t="s">
        <v>72</v>
      </c>
      <c r="M1276" t="s">
        <v>73</v>
      </c>
      <c r="R1276" t="s">
        <v>6726</v>
      </c>
      <c r="W1276" t="s">
        <v>6725</v>
      </c>
      <c r="X1276" t="s">
        <v>152</v>
      </c>
      <c r="Y1276" t="s">
        <v>118</v>
      </c>
      <c r="Z1276" t="s">
        <v>74</v>
      </c>
      <c r="AA1276" t="str">
        <f>"10461-2301"</f>
        <v>10461-2301</v>
      </c>
      <c r="AB1276" t="s">
        <v>75</v>
      </c>
      <c r="AC1276" t="s">
        <v>76</v>
      </c>
      <c r="AD1276" t="s">
        <v>73</v>
      </c>
      <c r="AE1276" t="s">
        <v>77</v>
      </c>
      <c r="AF1276" t="s">
        <v>2242</v>
      </c>
      <c r="AG1276" t="s">
        <v>78</v>
      </c>
    </row>
    <row r="1277" spans="1:33" hidden="1" x14ac:dyDescent="0.25">
      <c r="A1277" t="str">
        <f>"1952537581"</f>
        <v>1952537581</v>
      </c>
      <c r="B1277" t="str">
        <f>"03589291"</f>
        <v>03589291</v>
      </c>
      <c r="C1277" t="s">
        <v>6727</v>
      </c>
      <c r="D1277" t="s">
        <v>6728</v>
      </c>
      <c r="E1277" t="s">
        <v>6729</v>
      </c>
      <c r="L1277" t="s">
        <v>72</v>
      </c>
      <c r="M1277" t="s">
        <v>73</v>
      </c>
      <c r="R1277" t="s">
        <v>6729</v>
      </c>
      <c r="W1277" t="s">
        <v>6729</v>
      </c>
      <c r="X1277" t="s">
        <v>6730</v>
      </c>
      <c r="Y1277" t="s">
        <v>91</v>
      </c>
      <c r="Z1277" t="s">
        <v>74</v>
      </c>
      <c r="AA1277" t="str">
        <f>"10065-4870"</f>
        <v>10065-4870</v>
      </c>
      <c r="AB1277" t="s">
        <v>75</v>
      </c>
      <c r="AC1277" t="s">
        <v>76</v>
      </c>
      <c r="AD1277" t="s">
        <v>73</v>
      </c>
      <c r="AE1277" t="s">
        <v>77</v>
      </c>
      <c r="AF1277" t="s">
        <v>2242</v>
      </c>
      <c r="AG1277" t="s">
        <v>78</v>
      </c>
    </row>
    <row r="1278" spans="1:33" hidden="1" x14ac:dyDescent="0.25">
      <c r="A1278" t="str">
        <f>"1518240688"</f>
        <v>1518240688</v>
      </c>
      <c r="C1278" t="s">
        <v>6731</v>
      </c>
      <c r="G1278" t="s">
        <v>2224</v>
      </c>
      <c r="H1278" t="s">
        <v>2312</v>
      </c>
      <c r="J1278" t="s">
        <v>2226</v>
      </c>
      <c r="K1278" t="s">
        <v>171</v>
      </c>
      <c r="L1278" t="s">
        <v>96</v>
      </c>
      <c r="M1278" t="s">
        <v>73</v>
      </c>
      <c r="R1278" t="s">
        <v>6732</v>
      </c>
      <c r="S1278" t="s">
        <v>2314</v>
      </c>
      <c r="T1278" t="s">
        <v>91</v>
      </c>
      <c r="U1278" t="s">
        <v>74</v>
      </c>
      <c r="V1278" t="str">
        <f>"100654870"</f>
        <v>100654870</v>
      </c>
      <c r="AC1278" t="s">
        <v>76</v>
      </c>
      <c r="AD1278" t="s">
        <v>73</v>
      </c>
      <c r="AE1278" t="s">
        <v>97</v>
      </c>
      <c r="AF1278" t="s">
        <v>2242</v>
      </c>
      <c r="AG1278" t="s">
        <v>78</v>
      </c>
    </row>
    <row r="1279" spans="1:33" hidden="1" x14ac:dyDescent="0.25">
      <c r="A1279" t="str">
        <f>"1245242163"</f>
        <v>1245242163</v>
      </c>
      <c r="B1279" t="str">
        <f>"02078839"</f>
        <v>02078839</v>
      </c>
      <c r="C1279" t="s">
        <v>6733</v>
      </c>
      <c r="D1279" t="s">
        <v>6734</v>
      </c>
      <c r="E1279" t="s">
        <v>6735</v>
      </c>
      <c r="L1279" t="s">
        <v>80</v>
      </c>
      <c r="M1279" t="s">
        <v>73</v>
      </c>
      <c r="R1279" t="s">
        <v>6736</v>
      </c>
      <c r="W1279" t="s">
        <v>6735</v>
      </c>
      <c r="X1279" t="s">
        <v>6737</v>
      </c>
      <c r="Y1279" t="s">
        <v>91</v>
      </c>
      <c r="Z1279" t="s">
        <v>74</v>
      </c>
      <c r="AA1279" t="str">
        <f>"10065-4870"</f>
        <v>10065-4870</v>
      </c>
      <c r="AB1279" t="s">
        <v>75</v>
      </c>
      <c r="AC1279" t="s">
        <v>76</v>
      </c>
      <c r="AD1279" t="s">
        <v>73</v>
      </c>
      <c r="AE1279" t="s">
        <v>77</v>
      </c>
      <c r="AF1279" t="s">
        <v>2242</v>
      </c>
      <c r="AG1279" t="s">
        <v>78</v>
      </c>
    </row>
    <row r="1280" spans="1:33" hidden="1" x14ac:dyDescent="0.25">
      <c r="A1280" t="str">
        <f>"1518111202"</f>
        <v>1518111202</v>
      </c>
      <c r="B1280" t="str">
        <f>"03137804"</f>
        <v>03137804</v>
      </c>
      <c r="C1280" t="s">
        <v>6738</v>
      </c>
      <c r="D1280" t="s">
        <v>6739</v>
      </c>
      <c r="E1280" t="s">
        <v>6740</v>
      </c>
      <c r="L1280" t="s">
        <v>80</v>
      </c>
      <c r="M1280" t="s">
        <v>73</v>
      </c>
      <c r="R1280" t="s">
        <v>6741</v>
      </c>
      <c r="W1280" t="s">
        <v>6742</v>
      </c>
      <c r="X1280" t="s">
        <v>170</v>
      </c>
      <c r="Y1280" t="s">
        <v>91</v>
      </c>
      <c r="Z1280" t="s">
        <v>74</v>
      </c>
      <c r="AA1280" t="str">
        <f>"10065-4870"</f>
        <v>10065-4870</v>
      </c>
      <c r="AB1280" t="s">
        <v>75</v>
      </c>
      <c r="AC1280" t="s">
        <v>76</v>
      </c>
      <c r="AD1280" t="s">
        <v>73</v>
      </c>
      <c r="AE1280" t="s">
        <v>77</v>
      </c>
      <c r="AF1280" t="s">
        <v>2242</v>
      </c>
      <c r="AG1280" t="s">
        <v>78</v>
      </c>
    </row>
    <row r="1281" spans="1:33" hidden="1" x14ac:dyDescent="0.25">
      <c r="A1281" t="str">
        <f>"1982032843"</f>
        <v>1982032843</v>
      </c>
      <c r="C1281" t="s">
        <v>6743</v>
      </c>
      <c r="G1281" t="s">
        <v>2224</v>
      </c>
      <c r="H1281" t="s">
        <v>2312</v>
      </c>
      <c r="J1281" t="s">
        <v>2226</v>
      </c>
      <c r="K1281" t="s">
        <v>171</v>
      </c>
      <c r="L1281" t="s">
        <v>96</v>
      </c>
      <c r="M1281" t="s">
        <v>73</v>
      </c>
      <c r="R1281" t="s">
        <v>6744</v>
      </c>
      <c r="S1281" t="s">
        <v>6745</v>
      </c>
      <c r="T1281" t="s">
        <v>91</v>
      </c>
      <c r="U1281" t="s">
        <v>74</v>
      </c>
      <c r="V1281" t="str">
        <f>"100213129"</f>
        <v>100213129</v>
      </c>
      <c r="AC1281" t="s">
        <v>76</v>
      </c>
      <c r="AD1281" t="s">
        <v>73</v>
      </c>
      <c r="AE1281" t="s">
        <v>97</v>
      </c>
      <c r="AF1281" t="s">
        <v>2242</v>
      </c>
      <c r="AG1281" t="s">
        <v>78</v>
      </c>
    </row>
    <row r="1282" spans="1:33" hidden="1" x14ac:dyDescent="0.25">
      <c r="A1282" t="str">
        <f>"1780831412"</f>
        <v>1780831412</v>
      </c>
      <c r="B1282" t="str">
        <f>"03486197"</f>
        <v>03486197</v>
      </c>
      <c r="C1282" t="s">
        <v>6746</v>
      </c>
      <c r="D1282" t="s">
        <v>6747</v>
      </c>
      <c r="E1282" t="s">
        <v>6748</v>
      </c>
      <c r="L1282" t="s">
        <v>80</v>
      </c>
      <c r="M1282" t="s">
        <v>73</v>
      </c>
      <c r="R1282" t="s">
        <v>6749</v>
      </c>
      <c r="W1282" t="s">
        <v>6750</v>
      </c>
      <c r="X1282" t="s">
        <v>170</v>
      </c>
      <c r="Y1282" t="s">
        <v>91</v>
      </c>
      <c r="Z1282" t="s">
        <v>74</v>
      </c>
      <c r="AA1282" t="str">
        <f>"10065-4870"</f>
        <v>10065-4870</v>
      </c>
      <c r="AB1282" t="s">
        <v>75</v>
      </c>
      <c r="AC1282" t="s">
        <v>76</v>
      </c>
      <c r="AD1282" t="s">
        <v>73</v>
      </c>
      <c r="AE1282" t="s">
        <v>77</v>
      </c>
      <c r="AF1282" t="s">
        <v>2242</v>
      </c>
      <c r="AG1282" t="s">
        <v>78</v>
      </c>
    </row>
    <row r="1283" spans="1:33" hidden="1" x14ac:dyDescent="0.25">
      <c r="A1283" t="str">
        <f>"1013944180"</f>
        <v>1013944180</v>
      </c>
      <c r="C1283" t="s">
        <v>6751</v>
      </c>
      <c r="G1283" t="s">
        <v>2224</v>
      </c>
      <c r="H1283" t="s">
        <v>2312</v>
      </c>
      <c r="J1283" t="s">
        <v>2226</v>
      </c>
      <c r="K1283" t="s">
        <v>171</v>
      </c>
      <c r="L1283" t="s">
        <v>72</v>
      </c>
      <c r="M1283" t="s">
        <v>73</v>
      </c>
      <c r="R1283" t="s">
        <v>6752</v>
      </c>
      <c r="S1283" t="s">
        <v>1708</v>
      </c>
      <c r="T1283" t="s">
        <v>524</v>
      </c>
      <c r="U1283" t="s">
        <v>536</v>
      </c>
      <c r="V1283" t="str">
        <f>"068304608"</f>
        <v>068304608</v>
      </c>
      <c r="AC1283" t="s">
        <v>76</v>
      </c>
      <c r="AD1283" t="s">
        <v>73</v>
      </c>
      <c r="AE1283" t="s">
        <v>97</v>
      </c>
      <c r="AF1283" t="s">
        <v>2242</v>
      </c>
      <c r="AG1283" t="s">
        <v>78</v>
      </c>
    </row>
    <row r="1284" spans="1:33" hidden="1" x14ac:dyDescent="0.25">
      <c r="A1284" t="str">
        <f>"1902049869"</f>
        <v>1902049869</v>
      </c>
      <c r="B1284" t="str">
        <f>"03937088"</f>
        <v>03937088</v>
      </c>
      <c r="C1284" t="s">
        <v>6753</v>
      </c>
      <c r="D1284" t="s">
        <v>6754</v>
      </c>
      <c r="E1284" t="s">
        <v>6755</v>
      </c>
      <c r="G1284" t="s">
        <v>2224</v>
      </c>
      <c r="H1284" t="s">
        <v>2312</v>
      </c>
      <c r="J1284" t="s">
        <v>2226</v>
      </c>
      <c r="L1284" t="s">
        <v>80</v>
      </c>
      <c r="M1284" t="s">
        <v>73</v>
      </c>
      <c r="R1284" t="s">
        <v>6756</v>
      </c>
      <c r="W1284" t="s">
        <v>6755</v>
      </c>
      <c r="X1284" t="s">
        <v>6757</v>
      </c>
      <c r="Y1284" t="s">
        <v>91</v>
      </c>
      <c r="Z1284" t="s">
        <v>74</v>
      </c>
      <c r="AA1284" t="str">
        <f>"10065-0000"</f>
        <v>10065-0000</v>
      </c>
      <c r="AB1284" t="s">
        <v>75</v>
      </c>
      <c r="AC1284" t="s">
        <v>76</v>
      </c>
      <c r="AD1284" t="s">
        <v>73</v>
      </c>
      <c r="AE1284" t="s">
        <v>77</v>
      </c>
      <c r="AF1284" t="s">
        <v>2242</v>
      </c>
      <c r="AG1284" t="s">
        <v>78</v>
      </c>
    </row>
    <row r="1285" spans="1:33" hidden="1" x14ac:dyDescent="0.25">
      <c r="A1285" t="str">
        <f>"1245327311"</f>
        <v>1245327311</v>
      </c>
      <c r="B1285" t="str">
        <f>"00615054"</f>
        <v>00615054</v>
      </c>
      <c r="C1285" t="s">
        <v>6758</v>
      </c>
      <c r="D1285" t="s">
        <v>6759</v>
      </c>
      <c r="E1285" t="s">
        <v>6760</v>
      </c>
      <c r="G1285" t="s">
        <v>2224</v>
      </c>
      <c r="H1285" t="s">
        <v>2225</v>
      </c>
      <c r="J1285" t="s">
        <v>2226</v>
      </c>
      <c r="L1285" t="s">
        <v>81</v>
      </c>
      <c r="M1285" t="s">
        <v>73</v>
      </c>
      <c r="R1285" t="s">
        <v>6761</v>
      </c>
      <c r="W1285" t="s">
        <v>6760</v>
      </c>
      <c r="X1285" t="s">
        <v>6762</v>
      </c>
      <c r="Y1285" t="s">
        <v>91</v>
      </c>
      <c r="Z1285" t="s">
        <v>74</v>
      </c>
      <c r="AA1285" t="str">
        <f>"10032-3720"</f>
        <v>10032-3720</v>
      </c>
      <c r="AB1285" t="s">
        <v>75</v>
      </c>
      <c r="AC1285" t="s">
        <v>76</v>
      </c>
      <c r="AD1285" t="s">
        <v>73</v>
      </c>
      <c r="AE1285" t="s">
        <v>77</v>
      </c>
      <c r="AF1285" t="s">
        <v>2242</v>
      </c>
      <c r="AG1285" t="s">
        <v>78</v>
      </c>
    </row>
    <row r="1286" spans="1:33" hidden="1" x14ac:dyDescent="0.25">
      <c r="A1286" t="str">
        <f>"1437202660"</f>
        <v>1437202660</v>
      </c>
      <c r="B1286" t="str">
        <f>"01395308"</f>
        <v>01395308</v>
      </c>
      <c r="C1286" t="s">
        <v>6763</v>
      </c>
      <c r="D1286" t="s">
        <v>6764</v>
      </c>
      <c r="E1286" t="s">
        <v>6765</v>
      </c>
      <c r="L1286" t="s">
        <v>80</v>
      </c>
      <c r="M1286" t="s">
        <v>73</v>
      </c>
      <c r="R1286" t="s">
        <v>6766</v>
      </c>
      <c r="W1286" t="s">
        <v>6765</v>
      </c>
      <c r="Y1286" t="s">
        <v>91</v>
      </c>
      <c r="Z1286" t="s">
        <v>74</v>
      </c>
      <c r="AA1286" t="str">
        <f>"10032-3720"</f>
        <v>10032-3720</v>
      </c>
      <c r="AB1286" t="s">
        <v>75</v>
      </c>
      <c r="AC1286" t="s">
        <v>76</v>
      </c>
      <c r="AD1286" t="s">
        <v>73</v>
      </c>
      <c r="AE1286" t="s">
        <v>77</v>
      </c>
      <c r="AF1286" t="s">
        <v>2228</v>
      </c>
      <c r="AG1286" t="s">
        <v>78</v>
      </c>
    </row>
    <row r="1287" spans="1:33" hidden="1" x14ac:dyDescent="0.25">
      <c r="A1287" t="str">
        <f>"1710291034"</f>
        <v>1710291034</v>
      </c>
      <c r="B1287" t="str">
        <f>"03269330"</f>
        <v>03269330</v>
      </c>
      <c r="C1287" t="s">
        <v>6767</v>
      </c>
      <c r="D1287" t="s">
        <v>6768</v>
      </c>
      <c r="E1287" t="s">
        <v>6769</v>
      </c>
      <c r="G1287" t="s">
        <v>2224</v>
      </c>
      <c r="H1287" t="s">
        <v>6770</v>
      </c>
      <c r="J1287" t="s">
        <v>2226</v>
      </c>
      <c r="L1287" t="s">
        <v>80</v>
      </c>
      <c r="M1287" t="s">
        <v>82</v>
      </c>
      <c r="R1287" t="s">
        <v>6771</v>
      </c>
      <c r="W1287" t="s">
        <v>6769</v>
      </c>
      <c r="X1287" t="s">
        <v>167</v>
      </c>
      <c r="Y1287" t="s">
        <v>91</v>
      </c>
      <c r="Z1287" t="s">
        <v>74</v>
      </c>
      <c r="AA1287" t="str">
        <f>"10032-3720"</f>
        <v>10032-3720</v>
      </c>
      <c r="AB1287" t="s">
        <v>75</v>
      </c>
      <c r="AC1287" t="s">
        <v>76</v>
      </c>
      <c r="AD1287" t="s">
        <v>73</v>
      </c>
      <c r="AE1287" t="s">
        <v>77</v>
      </c>
      <c r="AF1287" t="s">
        <v>2228</v>
      </c>
      <c r="AG1287" t="s">
        <v>78</v>
      </c>
    </row>
    <row r="1288" spans="1:33" hidden="1" x14ac:dyDescent="0.25">
      <c r="A1288" t="str">
        <f>"1316256324"</f>
        <v>1316256324</v>
      </c>
      <c r="B1288" t="str">
        <f>"03369817"</f>
        <v>03369817</v>
      </c>
      <c r="C1288" t="s">
        <v>6772</v>
      </c>
      <c r="D1288" t="s">
        <v>6773</v>
      </c>
      <c r="E1288" t="s">
        <v>6774</v>
      </c>
      <c r="G1288" t="s">
        <v>2224</v>
      </c>
      <c r="H1288" t="s">
        <v>6775</v>
      </c>
      <c r="J1288" t="s">
        <v>2226</v>
      </c>
      <c r="L1288" t="s">
        <v>72</v>
      </c>
      <c r="M1288" t="s">
        <v>73</v>
      </c>
      <c r="R1288" t="s">
        <v>6776</v>
      </c>
      <c r="W1288" t="s">
        <v>6774</v>
      </c>
      <c r="X1288" t="s">
        <v>170</v>
      </c>
      <c r="Y1288" t="s">
        <v>91</v>
      </c>
      <c r="Z1288" t="s">
        <v>74</v>
      </c>
      <c r="AA1288" t="str">
        <f>"10065-4870"</f>
        <v>10065-4870</v>
      </c>
      <c r="AB1288" t="s">
        <v>75</v>
      </c>
      <c r="AC1288" t="s">
        <v>76</v>
      </c>
      <c r="AD1288" t="s">
        <v>73</v>
      </c>
      <c r="AE1288" t="s">
        <v>77</v>
      </c>
      <c r="AF1288" t="s">
        <v>2234</v>
      </c>
      <c r="AG1288" t="s">
        <v>78</v>
      </c>
    </row>
    <row r="1289" spans="1:33" hidden="1" x14ac:dyDescent="0.25">
      <c r="A1289" t="str">
        <f>"1841389103"</f>
        <v>1841389103</v>
      </c>
      <c r="B1289" t="str">
        <f>"00390381"</f>
        <v>00390381</v>
      </c>
      <c r="C1289" t="s">
        <v>6777</v>
      </c>
      <c r="D1289" t="s">
        <v>6778</v>
      </c>
      <c r="E1289" t="s">
        <v>6779</v>
      </c>
      <c r="G1289" t="s">
        <v>2224</v>
      </c>
      <c r="H1289" t="s">
        <v>2225</v>
      </c>
      <c r="J1289" t="s">
        <v>2226</v>
      </c>
      <c r="L1289" t="s">
        <v>72</v>
      </c>
      <c r="M1289" t="s">
        <v>82</v>
      </c>
      <c r="R1289" t="s">
        <v>6780</v>
      </c>
      <c r="W1289" t="s">
        <v>6779</v>
      </c>
      <c r="X1289" t="s">
        <v>4458</v>
      </c>
      <c r="Y1289" t="s">
        <v>91</v>
      </c>
      <c r="Z1289" t="s">
        <v>74</v>
      </c>
      <c r="AA1289" t="str">
        <f>"10032-3720"</f>
        <v>10032-3720</v>
      </c>
      <c r="AB1289" t="s">
        <v>75</v>
      </c>
      <c r="AC1289" t="s">
        <v>76</v>
      </c>
      <c r="AD1289" t="s">
        <v>73</v>
      </c>
      <c r="AE1289" t="s">
        <v>77</v>
      </c>
      <c r="AF1289" t="s">
        <v>2234</v>
      </c>
      <c r="AG1289" t="s">
        <v>78</v>
      </c>
    </row>
    <row r="1290" spans="1:33" hidden="1" x14ac:dyDescent="0.25">
      <c r="A1290" t="str">
        <f>"1275783284"</f>
        <v>1275783284</v>
      </c>
      <c r="B1290" t="str">
        <f>"03156778"</f>
        <v>03156778</v>
      </c>
      <c r="C1290" t="s">
        <v>6781</v>
      </c>
      <c r="D1290" t="s">
        <v>6782</v>
      </c>
      <c r="E1290" t="s">
        <v>6783</v>
      </c>
      <c r="G1290" t="s">
        <v>2224</v>
      </c>
      <c r="H1290" t="s">
        <v>2225</v>
      </c>
      <c r="J1290" t="s">
        <v>2226</v>
      </c>
      <c r="L1290" t="s">
        <v>80</v>
      </c>
      <c r="M1290" t="s">
        <v>73</v>
      </c>
      <c r="R1290" t="s">
        <v>6784</v>
      </c>
      <c r="W1290" t="s">
        <v>6783</v>
      </c>
      <c r="X1290" t="s">
        <v>183</v>
      </c>
      <c r="Y1290" t="s">
        <v>91</v>
      </c>
      <c r="Z1290" t="s">
        <v>74</v>
      </c>
      <c r="AA1290" t="str">
        <f>"10032-3729"</f>
        <v>10032-3729</v>
      </c>
      <c r="AB1290" t="s">
        <v>75</v>
      </c>
      <c r="AC1290" t="s">
        <v>76</v>
      </c>
      <c r="AD1290" t="s">
        <v>73</v>
      </c>
      <c r="AE1290" t="s">
        <v>77</v>
      </c>
      <c r="AF1290" t="s">
        <v>2254</v>
      </c>
      <c r="AG1290" t="s">
        <v>78</v>
      </c>
    </row>
    <row r="1291" spans="1:33" hidden="1" x14ac:dyDescent="0.25">
      <c r="A1291" t="str">
        <f>"1548330665"</f>
        <v>1548330665</v>
      </c>
      <c r="B1291" t="str">
        <f>"02589462"</f>
        <v>02589462</v>
      </c>
      <c r="C1291" t="s">
        <v>6785</v>
      </c>
      <c r="D1291" t="s">
        <v>6786</v>
      </c>
      <c r="E1291" t="s">
        <v>6787</v>
      </c>
      <c r="L1291" t="s">
        <v>80</v>
      </c>
      <c r="M1291" t="s">
        <v>73</v>
      </c>
      <c r="R1291" t="s">
        <v>6788</v>
      </c>
      <c r="W1291" t="s">
        <v>6787</v>
      </c>
      <c r="X1291" t="s">
        <v>1379</v>
      </c>
      <c r="Y1291" t="s">
        <v>91</v>
      </c>
      <c r="Z1291" t="s">
        <v>74</v>
      </c>
      <c r="AA1291" t="str">
        <f>"10032-3720"</f>
        <v>10032-3720</v>
      </c>
      <c r="AB1291" t="s">
        <v>75</v>
      </c>
      <c r="AC1291" t="s">
        <v>76</v>
      </c>
      <c r="AD1291" t="s">
        <v>73</v>
      </c>
      <c r="AE1291" t="s">
        <v>77</v>
      </c>
      <c r="AF1291" t="s">
        <v>2228</v>
      </c>
      <c r="AG1291" t="s">
        <v>78</v>
      </c>
    </row>
    <row r="1292" spans="1:33" hidden="1" x14ac:dyDescent="0.25">
      <c r="A1292" t="str">
        <f>"1578706032"</f>
        <v>1578706032</v>
      </c>
      <c r="C1292" t="s">
        <v>6789</v>
      </c>
      <c r="G1292" t="s">
        <v>2224</v>
      </c>
      <c r="H1292" t="s">
        <v>2578</v>
      </c>
      <c r="J1292" t="s">
        <v>2226</v>
      </c>
      <c r="K1292" t="s">
        <v>171</v>
      </c>
      <c r="L1292" t="s">
        <v>96</v>
      </c>
      <c r="M1292" t="s">
        <v>73</v>
      </c>
      <c r="R1292" t="s">
        <v>6790</v>
      </c>
      <c r="S1292" t="s">
        <v>6791</v>
      </c>
      <c r="T1292" t="s">
        <v>6792</v>
      </c>
      <c r="U1292" t="s">
        <v>139</v>
      </c>
      <c r="V1292" t="str">
        <f>"077244240"</f>
        <v>077244240</v>
      </c>
      <c r="AC1292" t="s">
        <v>76</v>
      </c>
      <c r="AD1292" t="s">
        <v>73</v>
      </c>
      <c r="AE1292" t="s">
        <v>97</v>
      </c>
      <c r="AF1292" t="s">
        <v>2242</v>
      </c>
      <c r="AG1292" t="s">
        <v>78</v>
      </c>
    </row>
    <row r="1293" spans="1:33" hidden="1" x14ac:dyDescent="0.25">
      <c r="A1293" t="str">
        <f>"1902231129"</f>
        <v>1902231129</v>
      </c>
      <c r="C1293" t="s">
        <v>6793</v>
      </c>
      <c r="G1293" t="s">
        <v>2224</v>
      </c>
      <c r="H1293" t="s">
        <v>2312</v>
      </c>
      <c r="J1293" t="s">
        <v>2226</v>
      </c>
      <c r="K1293" t="s">
        <v>171</v>
      </c>
      <c r="L1293" t="s">
        <v>96</v>
      </c>
      <c r="M1293" t="s">
        <v>73</v>
      </c>
      <c r="R1293" t="s">
        <v>6794</v>
      </c>
      <c r="S1293" t="s">
        <v>170</v>
      </c>
      <c r="T1293" t="s">
        <v>91</v>
      </c>
      <c r="U1293" t="s">
        <v>74</v>
      </c>
      <c r="V1293" t="str">
        <f>"100654870"</f>
        <v>100654870</v>
      </c>
      <c r="AC1293" t="s">
        <v>76</v>
      </c>
      <c r="AD1293" t="s">
        <v>73</v>
      </c>
      <c r="AE1293" t="s">
        <v>97</v>
      </c>
      <c r="AF1293" t="s">
        <v>2242</v>
      </c>
      <c r="AG1293" t="s">
        <v>78</v>
      </c>
    </row>
    <row r="1294" spans="1:33" hidden="1" x14ac:dyDescent="0.25">
      <c r="A1294" t="str">
        <f>"1629015359"</f>
        <v>1629015359</v>
      </c>
      <c r="B1294" t="str">
        <f>"02195068"</f>
        <v>02195068</v>
      </c>
      <c r="C1294" t="s">
        <v>6795</v>
      </c>
      <c r="D1294" t="s">
        <v>6796</v>
      </c>
      <c r="E1294" t="s">
        <v>6797</v>
      </c>
      <c r="L1294" t="s">
        <v>72</v>
      </c>
      <c r="M1294" t="s">
        <v>73</v>
      </c>
      <c r="R1294" t="s">
        <v>6798</v>
      </c>
      <c r="W1294" t="s">
        <v>6797</v>
      </c>
      <c r="X1294" t="s">
        <v>1379</v>
      </c>
      <c r="Y1294" t="s">
        <v>91</v>
      </c>
      <c r="Z1294" t="s">
        <v>74</v>
      </c>
      <c r="AA1294" t="str">
        <f>"10032-3720"</f>
        <v>10032-3720</v>
      </c>
      <c r="AB1294" t="s">
        <v>75</v>
      </c>
      <c r="AC1294" t="s">
        <v>76</v>
      </c>
      <c r="AD1294" t="s">
        <v>73</v>
      </c>
      <c r="AE1294" t="s">
        <v>77</v>
      </c>
      <c r="AF1294" t="s">
        <v>2228</v>
      </c>
      <c r="AG1294" t="s">
        <v>78</v>
      </c>
    </row>
    <row r="1295" spans="1:33" hidden="1" x14ac:dyDescent="0.25">
      <c r="A1295" t="str">
        <f>"1760507941"</f>
        <v>1760507941</v>
      </c>
      <c r="B1295" t="str">
        <f>"03938112"</f>
        <v>03938112</v>
      </c>
      <c r="C1295" t="s">
        <v>6799</v>
      </c>
      <c r="D1295" t="s">
        <v>6800</v>
      </c>
      <c r="E1295" t="s">
        <v>6801</v>
      </c>
      <c r="G1295" t="s">
        <v>2224</v>
      </c>
      <c r="H1295" t="s">
        <v>2312</v>
      </c>
      <c r="J1295" t="s">
        <v>2226</v>
      </c>
      <c r="L1295" t="s">
        <v>72</v>
      </c>
      <c r="M1295" t="s">
        <v>73</v>
      </c>
      <c r="R1295" t="s">
        <v>6802</v>
      </c>
      <c r="W1295" t="s">
        <v>6801</v>
      </c>
      <c r="X1295" t="s">
        <v>167</v>
      </c>
      <c r="Y1295" t="s">
        <v>91</v>
      </c>
      <c r="Z1295" t="s">
        <v>74</v>
      </c>
      <c r="AA1295" t="str">
        <f>"10032-3720"</f>
        <v>10032-3720</v>
      </c>
      <c r="AB1295" t="s">
        <v>75</v>
      </c>
      <c r="AC1295" t="s">
        <v>76</v>
      </c>
      <c r="AD1295" t="s">
        <v>73</v>
      </c>
      <c r="AE1295" t="s">
        <v>77</v>
      </c>
      <c r="AF1295" t="s">
        <v>2228</v>
      </c>
      <c r="AG1295" t="s">
        <v>78</v>
      </c>
    </row>
    <row r="1296" spans="1:33" hidden="1" x14ac:dyDescent="0.25">
      <c r="A1296" t="str">
        <f>"1336126739"</f>
        <v>1336126739</v>
      </c>
      <c r="B1296" t="str">
        <f>"03538218"</f>
        <v>03538218</v>
      </c>
      <c r="C1296" t="s">
        <v>1912</v>
      </c>
      <c r="D1296" t="s">
        <v>1223</v>
      </c>
      <c r="E1296" t="s">
        <v>1224</v>
      </c>
      <c r="G1296" t="s">
        <v>2260</v>
      </c>
      <c r="H1296" t="s">
        <v>6803</v>
      </c>
      <c r="J1296" t="s">
        <v>1512</v>
      </c>
      <c r="L1296" t="s">
        <v>80</v>
      </c>
      <c r="M1296" t="s">
        <v>82</v>
      </c>
      <c r="R1296" t="s">
        <v>1225</v>
      </c>
      <c r="W1296" t="s">
        <v>1224</v>
      </c>
      <c r="X1296" t="s">
        <v>1226</v>
      </c>
      <c r="Y1296" t="s">
        <v>84</v>
      </c>
      <c r="Z1296" t="s">
        <v>74</v>
      </c>
      <c r="AA1296" t="str">
        <f>"11236-3211"</f>
        <v>11236-3211</v>
      </c>
      <c r="AB1296" t="s">
        <v>75</v>
      </c>
      <c r="AC1296" t="s">
        <v>76</v>
      </c>
      <c r="AD1296" t="s">
        <v>73</v>
      </c>
      <c r="AE1296" t="s">
        <v>77</v>
      </c>
      <c r="AG1296" t="s">
        <v>78</v>
      </c>
    </row>
    <row r="1297" spans="1:33" hidden="1" x14ac:dyDescent="0.25">
      <c r="A1297" t="str">
        <f>"1326165002"</f>
        <v>1326165002</v>
      </c>
      <c r="B1297" t="str">
        <f>"03416680"</f>
        <v>03416680</v>
      </c>
      <c r="C1297" t="s">
        <v>6804</v>
      </c>
      <c r="D1297" t="s">
        <v>1596</v>
      </c>
      <c r="E1297" t="s">
        <v>1597</v>
      </c>
      <c r="L1297" t="s">
        <v>72</v>
      </c>
      <c r="M1297" t="s">
        <v>82</v>
      </c>
      <c r="R1297" t="s">
        <v>1598</v>
      </c>
      <c r="W1297" t="s">
        <v>1597</v>
      </c>
      <c r="X1297" t="s">
        <v>1554</v>
      </c>
      <c r="Y1297" t="s">
        <v>91</v>
      </c>
      <c r="Z1297" t="s">
        <v>74</v>
      </c>
      <c r="AA1297" t="str">
        <f>"10003-0000"</f>
        <v>10003-0000</v>
      </c>
      <c r="AB1297" t="s">
        <v>75</v>
      </c>
      <c r="AC1297" t="s">
        <v>76</v>
      </c>
      <c r="AD1297" t="s">
        <v>73</v>
      </c>
      <c r="AE1297" t="s">
        <v>77</v>
      </c>
      <c r="AF1297" t="s">
        <v>2228</v>
      </c>
      <c r="AG1297" t="s">
        <v>78</v>
      </c>
    </row>
    <row r="1298" spans="1:33" hidden="1" x14ac:dyDescent="0.25">
      <c r="A1298" t="str">
        <f>"1922198498"</f>
        <v>1922198498</v>
      </c>
      <c r="B1298" t="str">
        <f>"02844246"</f>
        <v>02844246</v>
      </c>
      <c r="C1298" t="s">
        <v>6805</v>
      </c>
      <c r="D1298" t="s">
        <v>6806</v>
      </c>
      <c r="E1298" t="s">
        <v>6807</v>
      </c>
      <c r="L1298" t="s">
        <v>80</v>
      </c>
      <c r="M1298" t="s">
        <v>73</v>
      </c>
      <c r="R1298" t="s">
        <v>6808</v>
      </c>
      <c r="W1298" t="s">
        <v>6807</v>
      </c>
      <c r="X1298" t="s">
        <v>167</v>
      </c>
      <c r="Y1298" t="s">
        <v>91</v>
      </c>
      <c r="Z1298" t="s">
        <v>74</v>
      </c>
      <c r="AA1298" t="str">
        <f>"10032-3720"</f>
        <v>10032-3720</v>
      </c>
      <c r="AB1298" t="s">
        <v>75</v>
      </c>
      <c r="AC1298" t="s">
        <v>76</v>
      </c>
      <c r="AD1298" t="s">
        <v>73</v>
      </c>
      <c r="AE1298" t="s">
        <v>77</v>
      </c>
      <c r="AF1298" t="s">
        <v>2228</v>
      </c>
      <c r="AG1298" t="s">
        <v>78</v>
      </c>
    </row>
    <row r="1299" spans="1:33" hidden="1" x14ac:dyDescent="0.25">
      <c r="A1299" t="str">
        <f>"1275787608"</f>
        <v>1275787608</v>
      </c>
      <c r="B1299" t="str">
        <f>"03378383"</f>
        <v>03378383</v>
      </c>
      <c r="C1299" t="s">
        <v>6809</v>
      </c>
      <c r="D1299" t="s">
        <v>6810</v>
      </c>
      <c r="E1299" t="s">
        <v>6811</v>
      </c>
      <c r="L1299" t="s">
        <v>80</v>
      </c>
      <c r="M1299" t="s">
        <v>73</v>
      </c>
      <c r="R1299" t="s">
        <v>6812</v>
      </c>
      <c r="W1299" t="s">
        <v>6811</v>
      </c>
      <c r="X1299" t="s">
        <v>167</v>
      </c>
      <c r="Y1299" t="s">
        <v>91</v>
      </c>
      <c r="Z1299" t="s">
        <v>74</v>
      </c>
      <c r="AA1299" t="str">
        <f>"10032-3720"</f>
        <v>10032-3720</v>
      </c>
      <c r="AB1299" t="s">
        <v>75</v>
      </c>
      <c r="AC1299" t="s">
        <v>76</v>
      </c>
      <c r="AD1299" t="s">
        <v>73</v>
      </c>
      <c r="AE1299" t="s">
        <v>77</v>
      </c>
      <c r="AF1299" t="s">
        <v>2228</v>
      </c>
      <c r="AG1299" t="s">
        <v>78</v>
      </c>
    </row>
    <row r="1300" spans="1:33" hidden="1" x14ac:dyDescent="0.25">
      <c r="A1300" t="str">
        <f>"1194871236"</f>
        <v>1194871236</v>
      </c>
      <c r="B1300" t="str">
        <f>"01027807"</f>
        <v>01027807</v>
      </c>
      <c r="C1300" t="s">
        <v>6813</v>
      </c>
      <c r="D1300" t="s">
        <v>6814</v>
      </c>
      <c r="E1300" t="s">
        <v>6815</v>
      </c>
      <c r="L1300" t="s">
        <v>72</v>
      </c>
      <c r="M1300" t="s">
        <v>73</v>
      </c>
      <c r="R1300" t="s">
        <v>6816</v>
      </c>
      <c r="W1300" t="s">
        <v>6815</v>
      </c>
      <c r="X1300" t="s">
        <v>6817</v>
      </c>
      <c r="Y1300" t="s">
        <v>91</v>
      </c>
      <c r="Z1300" t="s">
        <v>74</v>
      </c>
      <c r="AA1300" t="str">
        <f>"10032-3720"</f>
        <v>10032-3720</v>
      </c>
      <c r="AB1300" t="s">
        <v>75</v>
      </c>
      <c r="AC1300" t="s">
        <v>76</v>
      </c>
      <c r="AD1300" t="s">
        <v>73</v>
      </c>
      <c r="AE1300" t="s">
        <v>77</v>
      </c>
      <c r="AF1300" t="s">
        <v>2228</v>
      </c>
      <c r="AG1300" t="s">
        <v>78</v>
      </c>
    </row>
    <row r="1301" spans="1:33" hidden="1" x14ac:dyDescent="0.25">
      <c r="A1301" t="str">
        <f>"1053449462"</f>
        <v>1053449462</v>
      </c>
      <c r="C1301" t="s">
        <v>6818</v>
      </c>
      <c r="G1301" t="s">
        <v>2224</v>
      </c>
      <c r="H1301" t="s">
        <v>2312</v>
      </c>
      <c r="J1301" t="s">
        <v>2226</v>
      </c>
      <c r="K1301" t="s">
        <v>171</v>
      </c>
      <c r="L1301" t="s">
        <v>96</v>
      </c>
      <c r="M1301" t="s">
        <v>73</v>
      </c>
      <c r="R1301" t="s">
        <v>6819</v>
      </c>
      <c r="S1301" t="s">
        <v>6820</v>
      </c>
      <c r="T1301" t="s">
        <v>91</v>
      </c>
      <c r="U1301" t="s">
        <v>74</v>
      </c>
      <c r="V1301" t="str">
        <f>"100323733"</f>
        <v>100323733</v>
      </c>
      <c r="AC1301" t="s">
        <v>76</v>
      </c>
      <c r="AD1301" t="s">
        <v>73</v>
      </c>
      <c r="AE1301" t="s">
        <v>97</v>
      </c>
      <c r="AF1301" t="s">
        <v>2228</v>
      </c>
      <c r="AG1301" t="s">
        <v>78</v>
      </c>
    </row>
    <row r="1302" spans="1:33" hidden="1" x14ac:dyDescent="0.25">
      <c r="A1302" t="str">
        <f>"1396979282"</f>
        <v>1396979282</v>
      </c>
      <c r="B1302" t="str">
        <f>"03880935"</f>
        <v>03880935</v>
      </c>
      <c r="C1302" t="s">
        <v>6821</v>
      </c>
      <c r="D1302" t="s">
        <v>6822</v>
      </c>
      <c r="E1302" t="s">
        <v>6823</v>
      </c>
      <c r="L1302" t="s">
        <v>80</v>
      </c>
      <c r="M1302" t="s">
        <v>73</v>
      </c>
      <c r="R1302" t="s">
        <v>6824</v>
      </c>
      <c r="W1302" t="s">
        <v>6823</v>
      </c>
      <c r="X1302" t="s">
        <v>167</v>
      </c>
      <c r="Y1302" t="s">
        <v>91</v>
      </c>
      <c r="Z1302" t="s">
        <v>74</v>
      </c>
      <c r="AA1302" t="str">
        <f>"10032-3720"</f>
        <v>10032-3720</v>
      </c>
      <c r="AB1302" t="s">
        <v>75</v>
      </c>
      <c r="AC1302" t="s">
        <v>76</v>
      </c>
      <c r="AD1302" t="s">
        <v>73</v>
      </c>
      <c r="AE1302" t="s">
        <v>77</v>
      </c>
      <c r="AF1302" t="s">
        <v>2228</v>
      </c>
      <c r="AG1302" t="s">
        <v>78</v>
      </c>
    </row>
    <row r="1303" spans="1:33" hidden="1" x14ac:dyDescent="0.25">
      <c r="A1303" t="str">
        <f>"1427216878"</f>
        <v>1427216878</v>
      </c>
      <c r="B1303" t="str">
        <f>"03228044"</f>
        <v>03228044</v>
      </c>
      <c r="C1303" t="s">
        <v>6825</v>
      </c>
      <c r="D1303" t="s">
        <v>6826</v>
      </c>
      <c r="E1303" t="s">
        <v>6827</v>
      </c>
      <c r="L1303" t="s">
        <v>80</v>
      </c>
      <c r="M1303" t="s">
        <v>73</v>
      </c>
      <c r="R1303" t="s">
        <v>6828</v>
      </c>
      <c r="W1303" t="s">
        <v>6827</v>
      </c>
      <c r="X1303" t="s">
        <v>167</v>
      </c>
      <c r="Y1303" t="s">
        <v>91</v>
      </c>
      <c r="Z1303" t="s">
        <v>74</v>
      </c>
      <c r="AA1303" t="str">
        <f>"10032-3720"</f>
        <v>10032-3720</v>
      </c>
      <c r="AB1303" t="s">
        <v>75</v>
      </c>
      <c r="AC1303" t="s">
        <v>76</v>
      </c>
      <c r="AD1303" t="s">
        <v>73</v>
      </c>
      <c r="AE1303" t="s">
        <v>77</v>
      </c>
      <c r="AF1303" t="s">
        <v>2228</v>
      </c>
      <c r="AG1303" t="s">
        <v>78</v>
      </c>
    </row>
    <row r="1304" spans="1:33" hidden="1" x14ac:dyDescent="0.25">
      <c r="A1304" t="str">
        <f>"1245337336"</f>
        <v>1245337336</v>
      </c>
      <c r="B1304" t="str">
        <f>"02822833"</f>
        <v>02822833</v>
      </c>
      <c r="C1304" t="s">
        <v>6829</v>
      </c>
      <c r="D1304" t="s">
        <v>6830</v>
      </c>
      <c r="E1304" t="s">
        <v>6831</v>
      </c>
      <c r="L1304" t="s">
        <v>80</v>
      </c>
      <c r="M1304" t="s">
        <v>73</v>
      </c>
      <c r="R1304" t="s">
        <v>6832</v>
      </c>
      <c r="W1304" t="s">
        <v>6831</v>
      </c>
      <c r="X1304" t="s">
        <v>167</v>
      </c>
      <c r="Y1304" t="s">
        <v>91</v>
      </c>
      <c r="Z1304" t="s">
        <v>74</v>
      </c>
      <c r="AA1304" t="str">
        <f>"10032-3720"</f>
        <v>10032-3720</v>
      </c>
      <c r="AB1304" t="s">
        <v>75</v>
      </c>
      <c r="AC1304" t="s">
        <v>76</v>
      </c>
      <c r="AD1304" t="s">
        <v>73</v>
      </c>
      <c r="AE1304" t="s">
        <v>77</v>
      </c>
      <c r="AF1304" t="s">
        <v>2228</v>
      </c>
      <c r="AG1304" t="s">
        <v>78</v>
      </c>
    </row>
    <row r="1305" spans="1:33" hidden="1" x14ac:dyDescent="0.25">
      <c r="A1305" t="str">
        <f>"1164450656"</f>
        <v>1164450656</v>
      </c>
      <c r="B1305" t="str">
        <f>"02010593"</f>
        <v>02010593</v>
      </c>
      <c r="C1305" t="s">
        <v>6833</v>
      </c>
      <c r="D1305" t="s">
        <v>6834</v>
      </c>
      <c r="E1305" t="s">
        <v>6835</v>
      </c>
      <c r="L1305" t="s">
        <v>80</v>
      </c>
      <c r="M1305" t="s">
        <v>73</v>
      </c>
      <c r="R1305" t="s">
        <v>6836</v>
      </c>
      <c r="W1305" t="s">
        <v>6835</v>
      </c>
      <c r="X1305" t="s">
        <v>6837</v>
      </c>
      <c r="Y1305" t="s">
        <v>629</v>
      </c>
      <c r="Z1305" t="s">
        <v>74</v>
      </c>
      <c r="AA1305" t="str">
        <f>"10956-5210"</f>
        <v>10956-5210</v>
      </c>
      <c r="AB1305" t="s">
        <v>75</v>
      </c>
      <c r="AC1305" t="s">
        <v>76</v>
      </c>
      <c r="AD1305" t="s">
        <v>73</v>
      </c>
      <c r="AE1305" t="s">
        <v>77</v>
      </c>
      <c r="AF1305" t="s">
        <v>2228</v>
      </c>
      <c r="AG1305" t="s">
        <v>78</v>
      </c>
    </row>
    <row r="1306" spans="1:33" hidden="1" x14ac:dyDescent="0.25">
      <c r="A1306" t="str">
        <f>"1689873614"</f>
        <v>1689873614</v>
      </c>
      <c r="B1306" t="str">
        <f>"02898626"</f>
        <v>02898626</v>
      </c>
      <c r="C1306" t="s">
        <v>6838</v>
      </c>
      <c r="D1306" t="s">
        <v>6839</v>
      </c>
      <c r="E1306" t="s">
        <v>6840</v>
      </c>
      <c r="G1306" t="s">
        <v>2224</v>
      </c>
      <c r="H1306" t="s">
        <v>2225</v>
      </c>
      <c r="J1306" t="s">
        <v>2226</v>
      </c>
      <c r="L1306" t="s">
        <v>72</v>
      </c>
      <c r="M1306" t="s">
        <v>73</v>
      </c>
      <c r="R1306" t="s">
        <v>6841</v>
      </c>
      <c r="W1306" t="s">
        <v>6842</v>
      </c>
      <c r="X1306" t="s">
        <v>170</v>
      </c>
      <c r="Y1306" t="s">
        <v>91</v>
      </c>
      <c r="Z1306" t="s">
        <v>74</v>
      </c>
      <c r="AA1306" t="str">
        <f>"10065-4870"</f>
        <v>10065-4870</v>
      </c>
      <c r="AB1306" t="s">
        <v>79</v>
      </c>
      <c r="AC1306" t="s">
        <v>76</v>
      </c>
      <c r="AD1306" t="s">
        <v>73</v>
      </c>
      <c r="AE1306" t="s">
        <v>77</v>
      </c>
      <c r="AF1306" t="s">
        <v>2234</v>
      </c>
      <c r="AG1306" t="s">
        <v>78</v>
      </c>
    </row>
    <row r="1307" spans="1:33" hidden="1" x14ac:dyDescent="0.25">
      <c r="A1307" t="str">
        <f>"1609024975"</f>
        <v>1609024975</v>
      </c>
      <c r="C1307" t="s">
        <v>6843</v>
      </c>
      <c r="G1307" t="s">
        <v>2224</v>
      </c>
      <c r="H1307" t="s">
        <v>2225</v>
      </c>
      <c r="J1307" t="s">
        <v>2226</v>
      </c>
      <c r="K1307" t="s">
        <v>171</v>
      </c>
      <c r="L1307" t="s">
        <v>96</v>
      </c>
      <c r="M1307" t="s">
        <v>73</v>
      </c>
      <c r="R1307" t="s">
        <v>6844</v>
      </c>
      <c r="S1307" t="s">
        <v>6845</v>
      </c>
      <c r="T1307" t="s">
        <v>91</v>
      </c>
      <c r="U1307" t="s">
        <v>74</v>
      </c>
      <c r="V1307" t="str">
        <f>"100192802"</f>
        <v>100192802</v>
      </c>
      <c r="AC1307" t="s">
        <v>76</v>
      </c>
      <c r="AD1307" t="s">
        <v>73</v>
      </c>
      <c r="AE1307" t="s">
        <v>97</v>
      </c>
      <c r="AF1307" t="s">
        <v>2234</v>
      </c>
      <c r="AG1307" t="s">
        <v>78</v>
      </c>
    </row>
    <row r="1308" spans="1:33" hidden="1" x14ac:dyDescent="0.25">
      <c r="A1308" t="str">
        <f>"1629279799"</f>
        <v>1629279799</v>
      </c>
      <c r="B1308" t="str">
        <f>"03095443"</f>
        <v>03095443</v>
      </c>
      <c r="C1308" t="s">
        <v>6846</v>
      </c>
      <c r="D1308" t="s">
        <v>6847</v>
      </c>
      <c r="E1308" t="s">
        <v>6848</v>
      </c>
      <c r="G1308" t="s">
        <v>2224</v>
      </c>
      <c r="H1308" t="s">
        <v>2225</v>
      </c>
      <c r="J1308" t="s">
        <v>2226</v>
      </c>
      <c r="L1308" t="s">
        <v>72</v>
      </c>
      <c r="M1308" t="s">
        <v>73</v>
      </c>
      <c r="R1308" t="s">
        <v>6849</v>
      </c>
      <c r="W1308" t="s">
        <v>6848</v>
      </c>
      <c r="X1308" t="s">
        <v>6850</v>
      </c>
      <c r="Y1308" t="s">
        <v>91</v>
      </c>
      <c r="Z1308" t="s">
        <v>74</v>
      </c>
      <c r="AA1308" t="str">
        <f>"10087-0001"</f>
        <v>10087-0001</v>
      </c>
      <c r="AB1308" t="s">
        <v>75</v>
      </c>
      <c r="AC1308" t="s">
        <v>76</v>
      </c>
      <c r="AD1308" t="s">
        <v>73</v>
      </c>
      <c r="AE1308" t="s">
        <v>77</v>
      </c>
      <c r="AF1308" t="s">
        <v>2228</v>
      </c>
      <c r="AG1308" t="s">
        <v>78</v>
      </c>
    </row>
    <row r="1309" spans="1:33" hidden="1" x14ac:dyDescent="0.25">
      <c r="A1309" t="str">
        <f>"1083750855"</f>
        <v>1083750855</v>
      </c>
      <c r="B1309" t="str">
        <f>"03346747"</f>
        <v>03346747</v>
      </c>
      <c r="C1309" t="s">
        <v>6851</v>
      </c>
      <c r="D1309" t="s">
        <v>6852</v>
      </c>
      <c r="E1309" t="s">
        <v>6853</v>
      </c>
      <c r="G1309" t="s">
        <v>2224</v>
      </c>
      <c r="H1309" t="s">
        <v>2225</v>
      </c>
      <c r="J1309" t="s">
        <v>2226</v>
      </c>
      <c r="L1309" t="s">
        <v>80</v>
      </c>
      <c r="M1309" t="s">
        <v>82</v>
      </c>
      <c r="R1309" t="s">
        <v>6854</v>
      </c>
      <c r="W1309" t="s">
        <v>6853</v>
      </c>
      <c r="X1309" t="s">
        <v>167</v>
      </c>
      <c r="Y1309" t="s">
        <v>91</v>
      </c>
      <c r="Z1309" t="s">
        <v>74</v>
      </c>
      <c r="AA1309" t="str">
        <f>"10032-3720"</f>
        <v>10032-3720</v>
      </c>
      <c r="AB1309" t="s">
        <v>75</v>
      </c>
      <c r="AC1309" t="s">
        <v>76</v>
      </c>
      <c r="AD1309" t="s">
        <v>73</v>
      </c>
      <c r="AE1309" t="s">
        <v>77</v>
      </c>
      <c r="AF1309" t="s">
        <v>2228</v>
      </c>
      <c r="AG1309" t="s">
        <v>78</v>
      </c>
    </row>
    <row r="1310" spans="1:33" hidden="1" x14ac:dyDescent="0.25">
      <c r="A1310" t="str">
        <f>"1558336768"</f>
        <v>1558336768</v>
      </c>
      <c r="B1310" t="str">
        <f>"02721942"</f>
        <v>02721942</v>
      </c>
      <c r="C1310" t="s">
        <v>6855</v>
      </c>
      <c r="D1310" t="s">
        <v>6856</v>
      </c>
      <c r="E1310" t="s">
        <v>6857</v>
      </c>
      <c r="G1310" t="s">
        <v>2224</v>
      </c>
      <c r="H1310" t="s">
        <v>2225</v>
      </c>
      <c r="J1310" t="s">
        <v>2226</v>
      </c>
      <c r="L1310" t="s">
        <v>72</v>
      </c>
      <c r="M1310" t="s">
        <v>73</v>
      </c>
      <c r="R1310" t="s">
        <v>6858</v>
      </c>
      <c r="W1310" t="s">
        <v>6857</v>
      </c>
      <c r="X1310" t="s">
        <v>193</v>
      </c>
      <c r="Y1310" t="s">
        <v>118</v>
      </c>
      <c r="Z1310" t="s">
        <v>74</v>
      </c>
      <c r="AA1310" t="str">
        <f>"10467-2401"</f>
        <v>10467-2401</v>
      </c>
      <c r="AB1310" t="s">
        <v>75</v>
      </c>
      <c r="AC1310" t="s">
        <v>76</v>
      </c>
      <c r="AD1310" t="s">
        <v>73</v>
      </c>
      <c r="AE1310" t="s">
        <v>77</v>
      </c>
      <c r="AF1310" t="s">
        <v>2228</v>
      </c>
      <c r="AG1310" t="s">
        <v>78</v>
      </c>
    </row>
    <row r="1311" spans="1:33" hidden="1" x14ac:dyDescent="0.25">
      <c r="A1311" t="str">
        <f>"1154455483"</f>
        <v>1154455483</v>
      </c>
      <c r="B1311" t="str">
        <f>"01712032"</f>
        <v>01712032</v>
      </c>
      <c r="C1311" t="s">
        <v>6859</v>
      </c>
      <c r="D1311" t="s">
        <v>6860</v>
      </c>
      <c r="E1311" t="s">
        <v>6861</v>
      </c>
      <c r="G1311" t="s">
        <v>2224</v>
      </c>
      <c r="H1311" t="s">
        <v>6862</v>
      </c>
      <c r="J1311" t="s">
        <v>2226</v>
      </c>
      <c r="L1311" t="s">
        <v>80</v>
      </c>
      <c r="M1311" t="s">
        <v>73</v>
      </c>
      <c r="R1311" t="s">
        <v>6863</v>
      </c>
      <c r="W1311" t="s">
        <v>6864</v>
      </c>
      <c r="X1311" t="s">
        <v>628</v>
      </c>
      <c r="Y1311" t="s">
        <v>91</v>
      </c>
      <c r="Z1311" t="s">
        <v>74</v>
      </c>
      <c r="AA1311" t="str">
        <f>"10021-4872"</f>
        <v>10021-4872</v>
      </c>
      <c r="AB1311" t="s">
        <v>75</v>
      </c>
      <c r="AC1311" t="s">
        <v>76</v>
      </c>
      <c r="AD1311" t="s">
        <v>73</v>
      </c>
      <c r="AE1311" t="s">
        <v>77</v>
      </c>
      <c r="AF1311" t="s">
        <v>2242</v>
      </c>
      <c r="AG1311" t="s">
        <v>78</v>
      </c>
    </row>
    <row r="1312" spans="1:33" hidden="1" x14ac:dyDescent="0.25">
      <c r="A1312" t="str">
        <f>"1093904633"</f>
        <v>1093904633</v>
      </c>
      <c r="B1312" t="str">
        <f>"02940976"</f>
        <v>02940976</v>
      </c>
      <c r="C1312" t="s">
        <v>6865</v>
      </c>
      <c r="D1312" t="s">
        <v>6866</v>
      </c>
      <c r="E1312" t="s">
        <v>6867</v>
      </c>
      <c r="G1312" t="s">
        <v>2224</v>
      </c>
      <c r="H1312" t="s">
        <v>6868</v>
      </c>
      <c r="J1312" t="s">
        <v>2226</v>
      </c>
      <c r="L1312" t="s">
        <v>80</v>
      </c>
      <c r="M1312" t="s">
        <v>73</v>
      </c>
      <c r="R1312" t="s">
        <v>6869</v>
      </c>
      <c r="W1312" t="s">
        <v>6869</v>
      </c>
      <c r="X1312" t="s">
        <v>167</v>
      </c>
      <c r="Y1312" t="s">
        <v>91</v>
      </c>
      <c r="Z1312" t="s">
        <v>74</v>
      </c>
      <c r="AA1312" t="str">
        <f>"10032-3720"</f>
        <v>10032-3720</v>
      </c>
      <c r="AB1312" t="s">
        <v>75</v>
      </c>
      <c r="AC1312" t="s">
        <v>76</v>
      </c>
      <c r="AD1312" t="s">
        <v>73</v>
      </c>
      <c r="AE1312" t="s">
        <v>77</v>
      </c>
      <c r="AF1312" t="s">
        <v>2228</v>
      </c>
      <c r="AG1312" t="s">
        <v>78</v>
      </c>
    </row>
    <row r="1313" spans="1:33" hidden="1" x14ac:dyDescent="0.25">
      <c r="A1313" t="str">
        <f>"1073893004"</f>
        <v>1073893004</v>
      </c>
      <c r="B1313" t="str">
        <f>"03404006"</f>
        <v>03404006</v>
      </c>
      <c r="C1313" t="s">
        <v>6870</v>
      </c>
      <c r="D1313" t="s">
        <v>6871</v>
      </c>
      <c r="E1313" t="s">
        <v>6872</v>
      </c>
      <c r="G1313" t="s">
        <v>2224</v>
      </c>
      <c r="H1313" t="s">
        <v>2225</v>
      </c>
      <c r="J1313" t="s">
        <v>2226</v>
      </c>
      <c r="L1313" t="s">
        <v>72</v>
      </c>
      <c r="M1313" t="s">
        <v>73</v>
      </c>
      <c r="R1313" t="s">
        <v>6873</v>
      </c>
      <c r="W1313" t="s">
        <v>6872</v>
      </c>
      <c r="X1313" t="s">
        <v>615</v>
      </c>
      <c r="Y1313" t="s">
        <v>91</v>
      </c>
      <c r="Z1313" t="s">
        <v>74</v>
      </c>
      <c r="AA1313" t="str">
        <f>"10024-4018"</f>
        <v>10024-4018</v>
      </c>
      <c r="AB1313" t="s">
        <v>106</v>
      </c>
      <c r="AC1313" t="s">
        <v>76</v>
      </c>
      <c r="AD1313" t="s">
        <v>73</v>
      </c>
      <c r="AE1313" t="s">
        <v>77</v>
      </c>
      <c r="AF1313" t="s">
        <v>2234</v>
      </c>
      <c r="AG1313" t="s">
        <v>78</v>
      </c>
    </row>
    <row r="1314" spans="1:33" hidden="1" x14ac:dyDescent="0.25">
      <c r="A1314" t="str">
        <f>"1083604680"</f>
        <v>1083604680</v>
      </c>
      <c r="B1314" t="str">
        <f>"03152256"</f>
        <v>03152256</v>
      </c>
      <c r="C1314" t="s">
        <v>6874</v>
      </c>
      <c r="D1314" t="s">
        <v>6875</v>
      </c>
      <c r="E1314" t="s">
        <v>6876</v>
      </c>
      <c r="G1314" t="s">
        <v>2224</v>
      </c>
      <c r="H1314" t="s">
        <v>2225</v>
      </c>
      <c r="J1314" t="s">
        <v>2226</v>
      </c>
      <c r="L1314" t="s">
        <v>72</v>
      </c>
      <c r="M1314" t="s">
        <v>73</v>
      </c>
      <c r="R1314" t="s">
        <v>6877</v>
      </c>
      <c r="W1314" t="s">
        <v>6876</v>
      </c>
      <c r="X1314" t="s">
        <v>6878</v>
      </c>
      <c r="Y1314" t="s">
        <v>91</v>
      </c>
      <c r="Z1314" t="s">
        <v>74</v>
      </c>
      <c r="AA1314" t="str">
        <f>"10032-1007"</f>
        <v>10032-1007</v>
      </c>
      <c r="AB1314" t="s">
        <v>75</v>
      </c>
      <c r="AC1314" t="s">
        <v>76</v>
      </c>
      <c r="AD1314" t="s">
        <v>73</v>
      </c>
      <c r="AE1314" t="s">
        <v>77</v>
      </c>
      <c r="AF1314" t="s">
        <v>2254</v>
      </c>
      <c r="AG1314" t="s">
        <v>78</v>
      </c>
    </row>
    <row r="1315" spans="1:33" hidden="1" x14ac:dyDescent="0.25">
      <c r="A1315" t="str">
        <f>"1003868696"</f>
        <v>1003868696</v>
      </c>
      <c r="B1315" t="str">
        <f>"02768656"</f>
        <v>02768656</v>
      </c>
      <c r="C1315" t="s">
        <v>6879</v>
      </c>
      <c r="D1315" t="s">
        <v>6880</v>
      </c>
      <c r="E1315" t="s">
        <v>6881</v>
      </c>
      <c r="G1315" t="s">
        <v>2224</v>
      </c>
      <c r="H1315" t="s">
        <v>2225</v>
      </c>
      <c r="J1315" t="s">
        <v>2226</v>
      </c>
      <c r="L1315" t="s">
        <v>80</v>
      </c>
      <c r="M1315" t="s">
        <v>73</v>
      </c>
      <c r="R1315" t="s">
        <v>6882</v>
      </c>
      <c r="W1315" t="s">
        <v>6881</v>
      </c>
      <c r="X1315" t="s">
        <v>1583</v>
      </c>
      <c r="Y1315" t="s">
        <v>91</v>
      </c>
      <c r="Z1315" t="s">
        <v>74</v>
      </c>
      <c r="AA1315" t="str">
        <f>"10021-9800"</f>
        <v>10021-9800</v>
      </c>
      <c r="AB1315" t="s">
        <v>75</v>
      </c>
      <c r="AC1315" t="s">
        <v>76</v>
      </c>
      <c r="AD1315" t="s">
        <v>73</v>
      </c>
      <c r="AE1315" t="s">
        <v>77</v>
      </c>
      <c r="AF1315" t="s">
        <v>2398</v>
      </c>
      <c r="AG1315" t="s">
        <v>78</v>
      </c>
    </row>
    <row r="1316" spans="1:33" hidden="1" x14ac:dyDescent="0.25">
      <c r="A1316" t="str">
        <f>"1619072303"</f>
        <v>1619072303</v>
      </c>
      <c r="B1316" t="str">
        <f>"02885303"</f>
        <v>02885303</v>
      </c>
      <c r="C1316" t="s">
        <v>6883</v>
      </c>
      <c r="D1316" t="s">
        <v>6884</v>
      </c>
      <c r="E1316" t="s">
        <v>6885</v>
      </c>
      <c r="G1316" t="s">
        <v>2224</v>
      </c>
      <c r="H1316" t="s">
        <v>2225</v>
      </c>
      <c r="J1316" t="s">
        <v>2226</v>
      </c>
      <c r="L1316" t="s">
        <v>72</v>
      </c>
      <c r="M1316" t="s">
        <v>73</v>
      </c>
      <c r="R1316" t="s">
        <v>6885</v>
      </c>
      <c r="W1316" t="s">
        <v>6885</v>
      </c>
      <c r="X1316" t="s">
        <v>4332</v>
      </c>
      <c r="Y1316" t="s">
        <v>91</v>
      </c>
      <c r="Z1316" t="s">
        <v>74</v>
      </c>
      <c r="AA1316" t="str">
        <f>"10032"</f>
        <v>10032</v>
      </c>
      <c r="AB1316" t="s">
        <v>75</v>
      </c>
      <c r="AC1316" t="s">
        <v>76</v>
      </c>
      <c r="AD1316" t="s">
        <v>73</v>
      </c>
      <c r="AE1316" t="s">
        <v>77</v>
      </c>
      <c r="AF1316" t="s">
        <v>2228</v>
      </c>
      <c r="AG1316" t="s">
        <v>78</v>
      </c>
    </row>
    <row r="1317" spans="1:33" hidden="1" x14ac:dyDescent="0.25">
      <c r="A1317" t="str">
        <f>"1942257514"</f>
        <v>1942257514</v>
      </c>
      <c r="B1317" t="str">
        <f>"01356610"</f>
        <v>01356610</v>
      </c>
      <c r="C1317" t="s">
        <v>6886</v>
      </c>
      <c r="D1317" t="s">
        <v>6887</v>
      </c>
      <c r="E1317" t="s">
        <v>6888</v>
      </c>
      <c r="G1317" t="s">
        <v>2224</v>
      </c>
      <c r="H1317" t="s">
        <v>2225</v>
      </c>
      <c r="J1317" t="s">
        <v>2226</v>
      </c>
      <c r="L1317" t="s">
        <v>80</v>
      </c>
      <c r="M1317" t="s">
        <v>73</v>
      </c>
      <c r="R1317" t="s">
        <v>6889</v>
      </c>
      <c r="W1317" t="s">
        <v>6888</v>
      </c>
      <c r="X1317" t="s">
        <v>745</v>
      </c>
      <c r="Y1317" t="s">
        <v>157</v>
      </c>
      <c r="Z1317" t="s">
        <v>74</v>
      </c>
      <c r="AA1317" t="str">
        <f>"11501-3957"</f>
        <v>11501-3957</v>
      </c>
      <c r="AB1317" t="s">
        <v>75</v>
      </c>
      <c r="AC1317" t="s">
        <v>76</v>
      </c>
      <c r="AD1317" t="s">
        <v>73</v>
      </c>
      <c r="AE1317" t="s">
        <v>77</v>
      </c>
      <c r="AF1317" t="s">
        <v>2242</v>
      </c>
      <c r="AG1317" t="s">
        <v>78</v>
      </c>
    </row>
    <row r="1318" spans="1:33" hidden="1" x14ac:dyDescent="0.25">
      <c r="A1318" t="str">
        <f>"1346249794"</f>
        <v>1346249794</v>
      </c>
      <c r="B1318" t="str">
        <f>"00899087"</f>
        <v>00899087</v>
      </c>
      <c r="C1318" t="s">
        <v>6890</v>
      </c>
      <c r="D1318" t="s">
        <v>6891</v>
      </c>
      <c r="E1318" t="s">
        <v>6892</v>
      </c>
      <c r="G1318" t="s">
        <v>2224</v>
      </c>
      <c r="H1318" t="s">
        <v>2225</v>
      </c>
      <c r="J1318" t="s">
        <v>2226</v>
      </c>
      <c r="L1318" t="s">
        <v>72</v>
      </c>
      <c r="M1318" t="s">
        <v>73</v>
      </c>
      <c r="R1318" t="s">
        <v>6893</v>
      </c>
      <c r="W1318" t="s">
        <v>6892</v>
      </c>
      <c r="X1318" t="s">
        <v>6894</v>
      </c>
      <c r="Y1318" t="s">
        <v>317</v>
      </c>
      <c r="Z1318" t="s">
        <v>74</v>
      </c>
      <c r="AA1318" t="str">
        <f>"10960-1627"</f>
        <v>10960-1627</v>
      </c>
      <c r="AB1318" t="s">
        <v>75</v>
      </c>
      <c r="AC1318" t="s">
        <v>76</v>
      </c>
      <c r="AD1318" t="s">
        <v>73</v>
      </c>
      <c r="AE1318" t="s">
        <v>77</v>
      </c>
      <c r="AF1318" t="s">
        <v>2254</v>
      </c>
      <c r="AG1318" t="s">
        <v>78</v>
      </c>
    </row>
    <row r="1319" spans="1:33" hidden="1" x14ac:dyDescent="0.25">
      <c r="A1319" t="str">
        <f>"1588751671"</f>
        <v>1588751671</v>
      </c>
      <c r="B1319" t="str">
        <f>"00723973"</f>
        <v>00723973</v>
      </c>
      <c r="C1319" t="s">
        <v>6895</v>
      </c>
      <c r="D1319" t="s">
        <v>6896</v>
      </c>
      <c r="E1319" t="s">
        <v>6897</v>
      </c>
      <c r="G1319" t="s">
        <v>2224</v>
      </c>
      <c r="H1319" t="s">
        <v>2225</v>
      </c>
      <c r="J1319" t="s">
        <v>2226</v>
      </c>
      <c r="L1319" t="s">
        <v>81</v>
      </c>
      <c r="M1319" t="s">
        <v>73</v>
      </c>
      <c r="R1319" t="s">
        <v>6898</v>
      </c>
      <c r="W1319" t="s">
        <v>6897</v>
      </c>
      <c r="X1319" t="s">
        <v>6899</v>
      </c>
      <c r="Y1319" t="s">
        <v>91</v>
      </c>
      <c r="Z1319" t="s">
        <v>74</v>
      </c>
      <c r="AA1319" t="str">
        <f>"10021"</f>
        <v>10021</v>
      </c>
      <c r="AB1319" t="s">
        <v>75</v>
      </c>
      <c r="AC1319" t="s">
        <v>76</v>
      </c>
      <c r="AD1319" t="s">
        <v>73</v>
      </c>
      <c r="AE1319" t="s">
        <v>77</v>
      </c>
      <c r="AF1319" t="s">
        <v>2242</v>
      </c>
      <c r="AG1319" t="s">
        <v>78</v>
      </c>
    </row>
    <row r="1320" spans="1:33" hidden="1" x14ac:dyDescent="0.25">
      <c r="A1320" t="str">
        <f>"1306990189"</f>
        <v>1306990189</v>
      </c>
      <c r="B1320" t="str">
        <f>"03405438"</f>
        <v>03405438</v>
      </c>
      <c r="C1320" t="s">
        <v>6900</v>
      </c>
      <c r="D1320" t="s">
        <v>6901</v>
      </c>
      <c r="E1320" t="s">
        <v>6902</v>
      </c>
      <c r="G1320" t="s">
        <v>2224</v>
      </c>
      <c r="H1320" t="s">
        <v>6903</v>
      </c>
      <c r="J1320" t="s">
        <v>2226</v>
      </c>
      <c r="L1320" t="s">
        <v>72</v>
      </c>
      <c r="M1320" t="s">
        <v>73</v>
      </c>
      <c r="R1320" t="s">
        <v>6904</v>
      </c>
      <c r="W1320" t="s">
        <v>6905</v>
      </c>
      <c r="X1320" t="s">
        <v>167</v>
      </c>
      <c r="Y1320" t="s">
        <v>91</v>
      </c>
      <c r="Z1320" t="s">
        <v>74</v>
      </c>
      <c r="AA1320" t="str">
        <f>"10032-3720"</f>
        <v>10032-3720</v>
      </c>
      <c r="AB1320" t="s">
        <v>75</v>
      </c>
      <c r="AC1320" t="s">
        <v>76</v>
      </c>
      <c r="AD1320" t="s">
        <v>73</v>
      </c>
      <c r="AE1320" t="s">
        <v>77</v>
      </c>
      <c r="AF1320" t="s">
        <v>2228</v>
      </c>
      <c r="AG1320" t="s">
        <v>78</v>
      </c>
    </row>
    <row r="1321" spans="1:33" hidden="1" x14ac:dyDescent="0.25">
      <c r="A1321" t="str">
        <f>"1326346065"</f>
        <v>1326346065</v>
      </c>
      <c r="B1321" t="str">
        <f>"03716878"</f>
        <v>03716878</v>
      </c>
      <c r="C1321" t="s">
        <v>6906</v>
      </c>
      <c r="D1321" t="s">
        <v>6907</v>
      </c>
      <c r="E1321" t="s">
        <v>6908</v>
      </c>
      <c r="G1321" t="s">
        <v>2224</v>
      </c>
      <c r="H1321" t="s">
        <v>6909</v>
      </c>
      <c r="J1321" t="s">
        <v>2226</v>
      </c>
      <c r="L1321" t="s">
        <v>72</v>
      </c>
      <c r="M1321" t="s">
        <v>73</v>
      </c>
      <c r="R1321" t="s">
        <v>6910</v>
      </c>
      <c r="W1321" t="s">
        <v>6908</v>
      </c>
      <c r="X1321" t="s">
        <v>183</v>
      </c>
      <c r="Y1321" t="s">
        <v>91</v>
      </c>
      <c r="Z1321" t="s">
        <v>74</v>
      </c>
      <c r="AA1321" t="str">
        <f>"10032-3729"</f>
        <v>10032-3729</v>
      </c>
      <c r="AB1321" t="s">
        <v>75</v>
      </c>
      <c r="AC1321" t="s">
        <v>76</v>
      </c>
      <c r="AD1321" t="s">
        <v>73</v>
      </c>
      <c r="AE1321" t="s">
        <v>77</v>
      </c>
      <c r="AF1321" t="s">
        <v>2228</v>
      </c>
      <c r="AG1321" t="s">
        <v>78</v>
      </c>
    </row>
    <row r="1322" spans="1:33" hidden="1" x14ac:dyDescent="0.25">
      <c r="A1322" t="str">
        <f>"1033324009"</f>
        <v>1033324009</v>
      </c>
      <c r="B1322" t="str">
        <f>"03579119"</f>
        <v>03579119</v>
      </c>
      <c r="C1322" t="s">
        <v>6911</v>
      </c>
      <c r="D1322" t="s">
        <v>6912</v>
      </c>
      <c r="E1322" t="s">
        <v>6913</v>
      </c>
      <c r="G1322" t="s">
        <v>2224</v>
      </c>
      <c r="H1322" t="s">
        <v>2225</v>
      </c>
      <c r="J1322" t="s">
        <v>2226</v>
      </c>
      <c r="L1322" t="s">
        <v>72</v>
      </c>
      <c r="M1322" t="s">
        <v>73</v>
      </c>
      <c r="R1322" t="s">
        <v>6914</v>
      </c>
      <c r="W1322" t="s">
        <v>6915</v>
      </c>
      <c r="X1322" t="s">
        <v>170</v>
      </c>
      <c r="Y1322" t="s">
        <v>91</v>
      </c>
      <c r="Z1322" t="s">
        <v>74</v>
      </c>
      <c r="AA1322" t="str">
        <f>"10065-4870"</f>
        <v>10065-4870</v>
      </c>
      <c r="AB1322" t="s">
        <v>75</v>
      </c>
      <c r="AC1322" t="s">
        <v>76</v>
      </c>
      <c r="AD1322" t="s">
        <v>73</v>
      </c>
      <c r="AE1322" t="s">
        <v>77</v>
      </c>
      <c r="AF1322" t="s">
        <v>2234</v>
      </c>
      <c r="AG1322" t="s">
        <v>78</v>
      </c>
    </row>
    <row r="1323" spans="1:33" hidden="1" x14ac:dyDescent="0.25">
      <c r="A1323" t="str">
        <f>"1295851046"</f>
        <v>1295851046</v>
      </c>
      <c r="B1323" t="str">
        <f>"03345071"</f>
        <v>03345071</v>
      </c>
      <c r="C1323" t="s">
        <v>6916</v>
      </c>
      <c r="D1323" t="s">
        <v>6917</v>
      </c>
      <c r="E1323" t="s">
        <v>6918</v>
      </c>
      <c r="G1323" t="s">
        <v>2224</v>
      </c>
      <c r="H1323" t="s">
        <v>6919</v>
      </c>
      <c r="J1323" t="s">
        <v>2226</v>
      </c>
      <c r="L1323" t="s">
        <v>72</v>
      </c>
      <c r="M1323" t="s">
        <v>73</v>
      </c>
      <c r="R1323" t="s">
        <v>6920</v>
      </c>
      <c r="W1323" t="s">
        <v>6918</v>
      </c>
      <c r="X1323" t="s">
        <v>170</v>
      </c>
      <c r="Y1323" t="s">
        <v>91</v>
      </c>
      <c r="Z1323" t="s">
        <v>74</v>
      </c>
      <c r="AA1323" t="str">
        <f>"10065-4870"</f>
        <v>10065-4870</v>
      </c>
      <c r="AB1323" t="s">
        <v>75</v>
      </c>
      <c r="AC1323" t="s">
        <v>76</v>
      </c>
      <c r="AD1323" t="s">
        <v>73</v>
      </c>
      <c r="AE1323" t="s">
        <v>77</v>
      </c>
      <c r="AF1323" t="s">
        <v>2242</v>
      </c>
      <c r="AG1323" t="s">
        <v>78</v>
      </c>
    </row>
    <row r="1324" spans="1:33" hidden="1" x14ac:dyDescent="0.25">
      <c r="A1324" t="str">
        <f>"1922260421"</f>
        <v>1922260421</v>
      </c>
      <c r="B1324" t="str">
        <f>"03470468"</f>
        <v>03470468</v>
      </c>
      <c r="C1324" t="s">
        <v>6921</v>
      </c>
      <c r="D1324" t="s">
        <v>6922</v>
      </c>
      <c r="E1324" t="s">
        <v>6923</v>
      </c>
      <c r="G1324" t="s">
        <v>2224</v>
      </c>
      <c r="H1324" t="s">
        <v>6924</v>
      </c>
      <c r="J1324" t="s">
        <v>2226</v>
      </c>
      <c r="L1324" t="s">
        <v>72</v>
      </c>
      <c r="M1324" t="s">
        <v>73</v>
      </c>
      <c r="R1324" t="s">
        <v>6925</v>
      </c>
      <c r="W1324" t="s">
        <v>6923</v>
      </c>
      <c r="X1324" t="s">
        <v>1379</v>
      </c>
      <c r="Y1324" t="s">
        <v>91</v>
      </c>
      <c r="Z1324" t="s">
        <v>74</v>
      </c>
      <c r="AA1324" t="str">
        <f>"10032-3720"</f>
        <v>10032-3720</v>
      </c>
      <c r="AB1324" t="s">
        <v>75</v>
      </c>
      <c r="AC1324" t="s">
        <v>76</v>
      </c>
      <c r="AD1324" t="s">
        <v>73</v>
      </c>
      <c r="AE1324" t="s">
        <v>77</v>
      </c>
      <c r="AF1324" t="s">
        <v>2228</v>
      </c>
      <c r="AG1324" t="s">
        <v>78</v>
      </c>
    </row>
    <row r="1325" spans="1:33" hidden="1" x14ac:dyDescent="0.25">
      <c r="A1325" t="str">
        <f>"1780736702"</f>
        <v>1780736702</v>
      </c>
      <c r="B1325" t="str">
        <f>"02707179"</f>
        <v>02707179</v>
      </c>
      <c r="C1325" t="s">
        <v>6926</v>
      </c>
      <c r="D1325" t="s">
        <v>6927</v>
      </c>
      <c r="E1325" t="s">
        <v>6928</v>
      </c>
      <c r="G1325" t="s">
        <v>2224</v>
      </c>
      <c r="H1325" t="s">
        <v>2225</v>
      </c>
      <c r="J1325" t="s">
        <v>2226</v>
      </c>
      <c r="L1325" t="s">
        <v>72</v>
      </c>
      <c r="M1325" t="s">
        <v>73</v>
      </c>
      <c r="R1325" t="s">
        <v>6929</v>
      </c>
      <c r="W1325" t="s">
        <v>6928</v>
      </c>
      <c r="X1325" t="s">
        <v>290</v>
      </c>
      <c r="Y1325" t="s">
        <v>91</v>
      </c>
      <c r="Z1325" t="s">
        <v>74</v>
      </c>
      <c r="AA1325" t="str">
        <f>"10037-1802"</f>
        <v>10037-1802</v>
      </c>
      <c r="AB1325" t="s">
        <v>75</v>
      </c>
      <c r="AC1325" t="s">
        <v>76</v>
      </c>
      <c r="AD1325" t="s">
        <v>73</v>
      </c>
      <c r="AE1325" t="s">
        <v>77</v>
      </c>
      <c r="AF1325" t="s">
        <v>2228</v>
      </c>
      <c r="AG1325" t="s">
        <v>78</v>
      </c>
    </row>
    <row r="1326" spans="1:33" hidden="1" x14ac:dyDescent="0.25">
      <c r="A1326" t="str">
        <f>"1780771873"</f>
        <v>1780771873</v>
      </c>
      <c r="B1326" t="str">
        <f>"01068813"</f>
        <v>01068813</v>
      </c>
      <c r="C1326" t="s">
        <v>6930</v>
      </c>
      <c r="D1326" t="s">
        <v>6931</v>
      </c>
      <c r="E1326" t="s">
        <v>6932</v>
      </c>
      <c r="G1326" t="s">
        <v>2224</v>
      </c>
      <c r="H1326" t="s">
        <v>2225</v>
      </c>
      <c r="J1326" t="s">
        <v>2226</v>
      </c>
      <c r="L1326" t="s">
        <v>80</v>
      </c>
      <c r="M1326" t="s">
        <v>73</v>
      </c>
      <c r="R1326" t="s">
        <v>6933</v>
      </c>
      <c r="W1326" t="s">
        <v>6932</v>
      </c>
      <c r="X1326" t="s">
        <v>6934</v>
      </c>
      <c r="Y1326" t="s">
        <v>91</v>
      </c>
      <c r="Z1326" t="s">
        <v>74</v>
      </c>
      <c r="AA1326" t="str">
        <f>"10065-4870"</f>
        <v>10065-4870</v>
      </c>
      <c r="AB1326" t="s">
        <v>75</v>
      </c>
      <c r="AC1326" t="s">
        <v>76</v>
      </c>
      <c r="AD1326" t="s">
        <v>73</v>
      </c>
      <c r="AE1326" t="s">
        <v>77</v>
      </c>
      <c r="AF1326" t="s">
        <v>2242</v>
      </c>
      <c r="AG1326" t="s">
        <v>78</v>
      </c>
    </row>
    <row r="1327" spans="1:33" hidden="1" x14ac:dyDescent="0.25">
      <c r="A1327" t="str">
        <f>"1801885447"</f>
        <v>1801885447</v>
      </c>
      <c r="B1327" t="str">
        <f>"02179399"</f>
        <v>02179399</v>
      </c>
      <c r="C1327" t="s">
        <v>6935</v>
      </c>
      <c r="D1327" t="s">
        <v>6936</v>
      </c>
      <c r="E1327" t="s">
        <v>6937</v>
      </c>
      <c r="G1327" t="s">
        <v>282</v>
      </c>
      <c r="H1327" t="s">
        <v>248</v>
      </c>
      <c r="I1327">
        <v>2604</v>
      </c>
      <c r="J1327" t="s">
        <v>283</v>
      </c>
      <c r="L1327" t="s">
        <v>80</v>
      </c>
      <c r="M1327" t="s">
        <v>82</v>
      </c>
      <c r="R1327" t="s">
        <v>6938</v>
      </c>
      <c r="W1327" t="s">
        <v>6937</v>
      </c>
      <c r="X1327" t="s">
        <v>6939</v>
      </c>
      <c r="Y1327" t="s">
        <v>91</v>
      </c>
      <c r="Z1327" t="s">
        <v>74</v>
      </c>
      <c r="AA1327" t="str">
        <f>"10013-4135"</f>
        <v>10013-4135</v>
      </c>
      <c r="AB1327" t="s">
        <v>75</v>
      </c>
      <c r="AC1327" t="s">
        <v>76</v>
      </c>
      <c r="AD1327" t="s">
        <v>73</v>
      </c>
      <c r="AE1327" t="s">
        <v>77</v>
      </c>
      <c r="AF1327" t="s">
        <v>2319</v>
      </c>
      <c r="AG1327" t="s">
        <v>78</v>
      </c>
    </row>
    <row r="1328" spans="1:33" hidden="1" x14ac:dyDescent="0.25">
      <c r="A1328" t="str">
        <f>"1356318851"</f>
        <v>1356318851</v>
      </c>
      <c r="B1328" t="str">
        <f>"00984592"</f>
        <v>00984592</v>
      </c>
      <c r="C1328" t="s">
        <v>418</v>
      </c>
      <c r="D1328" t="s">
        <v>416</v>
      </c>
      <c r="E1328" t="s">
        <v>417</v>
      </c>
      <c r="G1328" t="s">
        <v>415</v>
      </c>
      <c r="H1328" t="s">
        <v>419</v>
      </c>
      <c r="J1328" t="s">
        <v>6940</v>
      </c>
      <c r="L1328" t="s">
        <v>81</v>
      </c>
      <c r="M1328" t="s">
        <v>82</v>
      </c>
      <c r="R1328" t="s">
        <v>420</v>
      </c>
      <c r="W1328" t="s">
        <v>417</v>
      </c>
      <c r="X1328" t="s">
        <v>290</v>
      </c>
      <c r="Y1328" t="s">
        <v>91</v>
      </c>
      <c r="Z1328" t="s">
        <v>74</v>
      </c>
      <c r="AA1328" t="str">
        <f>"10037-1802"</f>
        <v>10037-1802</v>
      </c>
      <c r="AB1328" t="s">
        <v>75</v>
      </c>
      <c r="AC1328" t="s">
        <v>76</v>
      </c>
      <c r="AD1328" t="s">
        <v>73</v>
      </c>
      <c r="AE1328" t="s">
        <v>77</v>
      </c>
      <c r="AF1328" t="s">
        <v>2228</v>
      </c>
      <c r="AG1328" t="s">
        <v>78</v>
      </c>
    </row>
    <row r="1329" spans="1:33" hidden="1" x14ac:dyDescent="0.25">
      <c r="A1329" t="str">
        <f>"1134102106"</f>
        <v>1134102106</v>
      </c>
      <c r="B1329" t="str">
        <f>"02827907"</f>
        <v>02827907</v>
      </c>
      <c r="C1329" t="s">
        <v>6941</v>
      </c>
      <c r="D1329" t="s">
        <v>6942</v>
      </c>
      <c r="E1329" t="s">
        <v>6943</v>
      </c>
      <c r="G1329" t="s">
        <v>2224</v>
      </c>
      <c r="H1329" t="s">
        <v>2225</v>
      </c>
      <c r="J1329" t="s">
        <v>2226</v>
      </c>
      <c r="L1329" t="s">
        <v>72</v>
      </c>
      <c r="M1329" t="s">
        <v>73</v>
      </c>
      <c r="R1329" t="s">
        <v>6944</v>
      </c>
      <c r="W1329" t="s">
        <v>6943</v>
      </c>
      <c r="X1329" t="s">
        <v>183</v>
      </c>
      <c r="Y1329" t="s">
        <v>91</v>
      </c>
      <c r="Z1329" t="s">
        <v>74</v>
      </c>
      <c r="AA1329" t="str">
        <f>"10032-3729"</f>
        <v>10032-3729</v>
      </c>
      <c r="AB1329" t="s">
        <v>75</v>
      </c>
      <c r="AC1329" t="s">
        <v>76</v>
      </c>
      <c r="AD1329" t="s">
        <v>73</v>
      </c>
      <c r="AE1329" t="s">
        <v>77</v>
      </c>
      <c r="AF1329" t="s">
        <v>2228</v>
      </c>
      <c r="AG1329" t="s">
        <v>78</v>
      </c>
    </row>
    <row r="1330" spans="1:33" hidden="1" x14ac:dyDescent="0.25">
      <c r="A1330" t="str">
        <f>"1023451085"</f>
        <v>1023451085</v>
      </c>
      <c r="C1330" t="s">
        <v>6945</v>
      </c>
      <c r="G1330" t="s">
        <v>2224</v>
      </c>
      <c r="H1330" t="s">
        <v>2312</v>
      </c>
      <c r="J1330" t="s">
        <v>2226</v>
      </c>
      <c r="K1330" t="s">
        <v>171</v>
      </c>
      <c r="L1330" t="s">
        <v>96</v>
      </c>
      <c r="M1330" t="s">
        <v>73</v>
      </c>
      <c r="R1330" t="s">
        <v>6946</v>
      </c>
      <c r="S1330" t="s">
        <v>354</v>
      </c>
      <c r="T1330" t="s">
        <v>91</v>
      </c>
      <c r="U1330" t="s">
        <v>74</v>
      </c>
      <c r="V1330" t="str">
        <f>"100323725"</f>
        <v>100323725</v>
      </c>
      <c r="AC1330" t="s">
        <v>76</v>
      </c>
      <c r="AD1330" t="s">
        <v>73</v>
      </c>
      <c r="AE1330" t="s">
        <v>97</v>
      </c>
      <c r="AF1330" t="s">
        <v>2228</v>
      </c>
      <c r="AG1330" t="s">
        <v>78</v>
      </c>
    </row>
    <row r="1331" spans="1:33" hidden="1" x14ac:dyDescent="0.25">
      <c r="A1331" t="str">
        <f>"1750709671"</f>
        <v>1750709671</v>
      </c>
      <c r="C1331" t="s">
        <v>6947</v>
      </c>
      <c r="G1331" t="s">
        <v>2224</v>
      </c>
      <c r="H1331" t="s">
        <v>2312</v>
      </c>
      <c r="J1331" t="s">
        <v>2226</v>
      </c>
      <c r="K1331" t="s">
        <v>171</v>
      </c>
      <c r="L1331" t="s">
        <v>96</v>
      </c>
      <c r="M1331" t="s">
        <v>73</v>
      </c>
      <c r="R1331" t="s">
        <v>6948</v>
      </c>
      <c r="S1331" t="s">
        <v>3387</v>
      </c>
      <c r="T1331" t="s">
        <v>91</v>
      </c>
      <c r="U1331" t="s">
        <v>74</v>
      </c>
      <c r="V1331" t="str">
        <f>"100323720"</f>
        <v>100323720</v>
      </c>
      <c r="AC1331" t="s">
        <v>76</v>
      </c>
      <c r="AD1331" t="s">
        <v>73</v>
      </c>
      <c r="AE1331" t="s">
        <v>97</v>
      </c>
      <c r="AF1331" t="s">
        <v>2228</v>
      </c>
      <c r="AG1331" t="s">
        <v>78</v>
      </c>
    </row>
    <row r="1332" spans="1:33" hidden="1" x14ac:dyDescent="0.25">
      <c r="A1332" t="str">
        <f>"1386062008"</f>
        <v>1386062008</v>
      </c>
      <c r="C1332" t="s">
        <v>6949</v>
      </c>
      <c r="G1332" t="s">
        <v>2224</v>
      </c>
      <c r="H1332" t="s">
        <v>2312</v>
      </c>
      <c r="J1332" t="s">
        <v>2226</v>
      </c>
      <c r="K1332" t="s">
        <v>171</v>
      </c>
      <c r="L1332" t="s">
        <v>96</v>
      </c>
      <c r="M1332" t="s">
        <v>73</v>
      </c>
      <c r="R1332" t="s">
        <v>6950</v>
      </c>
      <c r="S1332" t="s">
        <v>2442</v>
      </c>
      <c r="T1332" t="s">
        <v>91</v>
      </c>
      <c r="U1332" t="s">
        <v>74</v>
      </c>
      <c r="V1332" t="str">
        <f>"100323720"</f>
        <v>100323720</v>
      </c>
      <c r="AC1332" t="s">
        <v>76</v>
      </c>
      <c r="AD1332" t="s">
        <v>73</v>
      </c>
      <c r="AE1332" t="s">
        <v>97</v>
      </c>
      <c r="AF1332" t="s">
        <v>2228</v>
      </c>
      <c r="AG1332" t="s">
        <v>78</v>
      </c>
    </row>
    <row r="1333" spans="1:33" hidden="1" x14ac:dyDescent="0.25">
      <c r="A1333" t="str">
        <f>"1699843458"</f>
        <v>1699843458</v>
      </c>
      <c r="C1333" t="s">
        <v>6951</v>
      </c>
      <c r="G1333" t="s">
        <v>2224</v>
      </c>
      <c r="H1333" t="s">
        <v>2312</v>
      </c>
      <c r="J1333" t="s">
        <v>2226</v>
      </c>
      <c r="K1333" t="s">
        <v>171</v>
      </c>
      <c r="L1333" t="s">
        <v>96</v>
      </c>
      <c r="M1333" t="s">
        <v>73</v>
      </c>
      <c r="R1333" t="s">
        <v>6952</v>
      </c>
      <c r="S1333" t="s">
        <v>167</v>
      </c>
      <c r="T1333" t="s">
        <v>91</v>
      </c>
      <c r="U1333" t="s">
        <v>74</v>
      </c>
      <c r="V1333" t="str">
        <f>"100323720"</f>
        <v>100323720</v>
      </c>
      <c r="AC1333" t="s">
        <v>76</v>
      </c>
      <c r="AD1333" t="s">
        <v>73</v>
      </c>
      <c r="AE1333" t="s">
        <v>97</v>
      </c>
      <c r="AF1333" t="s">
        <v>2228</v>
      </c>
      <c r="AG1333" t="s">
        <v>78</v>
      </c>
    </row>
    <row r="1334" spans="1:33" hidden="1" x14ac:dyDescent="0.25">
      <c r="A1334" t="str">
        <f>"1215269360"</f>
        <v>1215269360</v>
      </c>
      <c r="B1334" t="str">
        <f>"03593831"</f>
        <v>03593831</v>
      </c>
      <c r="C1334" t="s">
        <v>6953</v>
      </c>
      <c r="D1334" t="s">
        <v>6954</v>
      </c>
      <c r="E1334" t="s">
        <v>6955</v>
      </c>
      <c r="L1334" t="s">
        <v>72</v>
      </c>
      <c r="M1334" t="s">
        <v>73</v>
      </c>
      <c r="R1334" t="s">
        <v>6955</v>
      </c>
      <c r="W1334" t="s">
        <v>6955</v>
      </c>
      <c r="X1334" t="s">
        <v>167</v>
      </c>
      <c r="Y1334" t="s">
        <v>91</v>
      </c>
      <c r="Z1334" t="s">
        <v>74</v>
      </c>
      <c r="AA1334" t="str">
        <f>"10032-3720"</f>
        <v>10032-3720</v>
      </c>
      <c r="AB1334" t="s">
        <v>75</v>
      </c>
      <c r="AC1334" t="s">
        <v>76</v>
      </c>
      <c r="AD1334" t="s">
        <v>73</v>
      </c>
      <c r="AE1334" t="s">
        <v>77</v>
      </c>
      <c r="AF1334" t="s">
        <v>2228</v>
      </c>
      <c r="AG1334" t="s">
        <v>78</v>
      </c>
    </row>
    <row r="1335" spans="1:33" hidden="1" x14ac:dyDescent="0.25">
      <c r="A1335" t="str">
        <f>"1386901742"</f>
        <v>1386901742</v>
      </c>
      <c r="C1335" t="s">
        <v>6956</v>
      </c>
      <c r="G1335" t="s">
        <v>2224</v>
      </c>
      <c r="H1335" t="s">
        <v>2312</v>
      </c>
      <c r="J1335" t="s">
        <v>2226</v>
      </c>
      <c r="K1335" t="s">
        <v>171</v>
      </c>
      <c r="L1335" t="s">
        <v>96</v>
      </c>
      <c r="M1335" t="s">
        <v>73</v>
      </c>
      <c r="R1335" t="s">
        <v>6957</v>
      </c>
      <c r="S1335" t="s">
        <v>275</v>
      </c>
      <c r="T1335" t="s">
        <v>84</v>
      </c>
      <c r="U1335" t="s">
        <v>74</v>
      </c>
      <c r="V1335" t="str">
        <f>"112032012"</f>
        <v>112032012</v>
      </c>
      <c r="AC1335" t="s">
        <v>76</v>
      </c>
      <c r="AD1335" t="s">
        <v>73</v>
      </c>
      <c r="AE1335" t="s">
        <v>97</v>
      </c>
      <c r="AF1335" t="s">
        <v>2242</v>
      </c>
      <c r="AG1335" t="s">
        <v>78</v>
      </c>
    </row>
    <row r="1336" spans="1:33" hidden="1" x14ac:dyDescent="0.25">
      <c r="A1336" t="str">
        <f>"1427373158"</f>
        <v>1427373158</v>
      </c>
      <c r="C1336" t="s">
        <v>6958</v>
      </c>
      <c r="G1336" t="s">
        <v>2224</v>
      </c>
      <c r="H1336" t="s">
        <v>2312</v>
      </c>
      <c r="J1336" t="s">
        <v>2226</v>
      </c>
      <c r="K1336" t="s">
        <v>171</v>
      </c>
      <c r="L1336" t="s">
        <v>96</v>
      </c>
      <c r="M1336" t="s">
        <v>73</v>
      </c>
      <c r="R1336" t="s">
        <v>6959</v>
      </c>
      <c r="S1336" t="s">
        <v>6960</v>
      </c>
      <c r="T1336" t="s">
        <v>91</v>
      </c>
      <c r="U1336" t="s">
        <v>74</v>
      </c>
      <c r="V1336" t="str">
        <f>"100654870"</f>
        <v>100654870</v>
      </c>
      <c r="AC1336" t="s">
        <v>76</v>
      </c>
      <c r="AD1336" t="s">
        <v>73</v>
      </c>
      <c r="AE1336" t="s">
        <v>97</v>
      </c>
      <c r="AF1336" t="s">
        <v>2242</v>
      </c>
      <c r="AG1336" t="s">
        <v>78</v>
      </c>
    </row>
    <row r="1337" spans="1:33" hidden="1" x14ac:dyDescent="0.25">
      <c r="A1337" t="str">
        <f>"1699752261"</f>
        <v>1699752261</v>
      </c>
      <c r="B1337" t="str">
        <f>"00592374"</f>
        <v>00592374</v>
      </c>
      <c r="C1337" t="s">
        <v>6961</v>
      </c>
      <c r="D1337" t="s">
        <v>6962</v>
      </c>
      <c r="E1337" t="s">
        <v>6963</v>
      </c>
      <c r="G1337" t="s">
        <v>2224</v>
      </c>
      <c r="H1337" t="s">
        <v>2225</v>
      </c>
      <c r="J1337" t="s">
        <v>2226</v>
      </c>
      <c r="L1337" t="s">
        <v>81</v>
      </c>
      <c r="M1337" t="s">
        <v>73</v>
      </c>
      <c r="R1337" t="s">
        <v>6964</v>
      </c>
      <c r="W1337" t="s">
        <v>6963</v>
      </c>
      <c r="X1337" t="s">
        <v>354</v>
      </c>
      <c r="Y1337" t="s">
        <v>91</v>
      </c>
      <c r="Z1337" t="s">
        <v>74</v>
      </c>
      <c r="AA1337" t="str">
        <f>"10032-3725"</f>
        <v>10032-3725</v>
      </c>
      <c r="AB1337" t="s">
        <v>75</v>
      </c>
      <c r="AC1337" t="s">
        <v>76</v>
      </c>
      <c r="AD1337" t="s">
        <v>73</v>
      </c>
      <c r="AE1337" t="s">
        <v>77</v>
      </c>
      <c r="AF1337" t="s">
        <v>2228</v>
      </c>
      <c r="AG1337" t="s">
        <v>78</v>
      </c>
    </row>
    <row r="1338" spans="1:33" hidden="1" x14ac:dyDescent="0.25">
      <c r="A1338" t="str">
        <f>"1457324295"</f>
        <v>1457324295</v>
      </c>
      <c r="B1338" t="str">
        <f>"01194765"</f>
        <v>01194765</v>
      </c>
      <c r="C1338" t="s">
        <v>6965</v>
      </c>
      <c r="D1338" t="s">
        <v>6966</v>
      </c>
      <c r="E1338" t="s">
        <v>6967</v>
      </c>
      <c r="G1338" t="s">
        <v>2224</v>
      </c>
      <c r="H1338" t="s">
        <v>2225</v>
      </c>
      <c r="J1338" t="s">
        <v>2226</v>
      </c>
      <c r="L1338" t="s">
        <v>81</v>
      </c>
      <c r="M1338" t="s">
        <v>73</v>
      </c>
      <c r="R1338" t="s">
        <v>6968</v>
      </c>
      <c r="W1338" t="s">
        <v>6967</v>
      </c>
      <c r="X1338" t="s">
        <v>331</v>
      </c>
      <c r="Y1338" t="s">
        <v>91</v>
      </c>
      <c r="Z1338" t="s">
        <v>74</v>
      </c>
      <c r="AA1338" t="str">
        <f>"10025"</f>
        <v>10025</v>
      </c>
      <c r="AB1338" t="s">
        <v>75</v>
      </c>
      <c r="AC1338" t="s">
        <v>76</v>
      </c>
      <c r="AD1338" t="s">
        <v>73</v>
      </c>
      <c r="AE1338" t="s">
        <v>77</v>
      </c>
      <c r="AF1338" t="s">
        <v>2254</v>
      </c>
      <c r="AG1338" t="s">
        <v>78</v>
      </c>
    </row>
    <row r="1339" spans="1:33" hidden="1" x14ac:dyDescent="0.25">
      <c r="A1339" t="str">
        <f>"1457487167"</f>
        <v>1457487167</v>
      </c>
      <c r="B1339" t="str">
        <f>"02965204"</f>
        <v>02965204</v>
      </c>
      <c r="C1339" t="s">
        <v>6969</v>
      </c>
      <c r="D1339" t="s">
        <v>6970</v>
      </c>
      <c r="E1339" t="s">
        <v>6971</v>
      </c>
      <c r="G1339" t="s">
        <v>2224</v>
      </c>
      <c r="H1339" t="s">
        <v>2225</v>
      </c>
      <c r="J1339" t="s">
        <v>2226</v>
      </c>
      <c r="L1339" t="s">
        <v>72</v>
      </c>
      <c r="M1339" t="s">
        <v>73</v>
      </c>
      <c r="R1339" t="s">
        <v>6972</v>
      </c>
      <c r="W1339" t="s">
        <v>6971</v>
      </c>
      <c r="X1339" t="s">
        <v>496</v>
      </c>
      <c r="Y1339" t="s">
        <v>91</v>
      </c>
      <c r="Z1339" t="s">
        <v>74</v>
      </c>
      <c r="AA1339" t="str">
        <f>"10032-3726"</f>
        <v>10032-3726</v>
      </c>
      <c r="AB1339" t="s">
        <v>75</v>
      </c>
      <c r="AC1339" t="s">
        <v>76</v>
      </c>
      <c r="AD1339" t="s">
        <v>73</v>
      </c>
      <c r="AE1339" t="s">
        <v>77</v>
      </c>
      <c r="AF1339" t="s">
        <v>2254</v>
      </c>
      <c r="AG1339" t="s">
        <v>78</v>
      </c>
    </row>
    <row r="1340" spans="1:33" hidden="1" x14ac:dyDescent="0.25">
      <c r="A1340" t="str">
        <f>"1457523953"</f>
        <v>1457523953</v>
      </c>
      <c r="B1340" t="str">
        <f>"03384163"</f>
        <v>03384163</v>
      </c>
      <c r="C1340" t="s">
        <v>6973</v>
      </c>
      <c r="D1340" t="s">
        <v>6974</v>
      </c>
      <c r="E1340" t="s">
        <v>6975</v>
      </c>
      <c r="G1340" t="s">
        <v>2224</v>
      </c>
      <c r="H1340" t="s">
        <v>2225</v>
      </c>
      <c r="J1340" t="s">
        <v>2226</v>
      </c>
      <c r="L1340" t="s">
        <v>72</v>
      </c>
      <c r="M1340" t="s">
        <v>73</v>
      </c>
      <c r="R1340" t="s">
        <v>6975</v>
      </c>
      <c r="W1340" t="s">
        <v>6975</v>
      </c>
      <c r="X1340" t="s">
        <v>5351</v>
      </c>
      <c r="Y1340" t="s">
        <v>91</v>
      </c>
      <c r="Z1340" t="s">
        <v>74</v>
      </c>
      <c r="AA1340" t="str">
        <f>"10032-3720"</f>
        <v>10032-3720</v>
      </c>
      <c r="AB1340" t="s">
        <v>122</v>
      </c>
      <c r="AC1340" t="s">
        <v>76</v>
      </c>
      <c r="AD1340" t="s">
        <v>73</v>
      </c>
      <c r="AE1340" t="s">
        <v>77</v>
      </c>
      <c r="AF1340" t="s">
        <v>2254</v>
      </c>
      <c r="AG1340" t="s">
        <v>78</v>
      </c>
    </row>
    <row r="1341" spans="1:33" hidden="1" x14ac:dyDescent="0.25">
      <c r="A1341" t="str">
        <f>"1801917240"</f>
        <v>1801917240</v>
      </c>
      <c r="B1341" t="str">
        <f>"03230577"</f>
        <v>03230577</v>
      </c>
      <c r="C1341" t="s">
        <v>6976</v>
      </c>
      <c r="D1341" t="s">
        <v>6977</v>
      </c>
      <c r="E1341" t="s">
        <v>6978</v>
      </c>
      <c r="L1341" t="s">
        <v>80</v>
      </c>
      <c r="M1341" t="s">
        <v>73</v>
      </c>
      <c r="R1341" t="s">
        <v>6979</v>
      </c>
      <c r="W1341" t="s">
        <v>6978</v>
      </c>
      <c r="X1341" t="s">
        <v>170</v>
      </c>
      <c r="Y1341" t="s">
        <v>91</v>
      </c>
      <c r="Z1341" t="s">
        <v>74</v>
      </c>
      <c r="AA1341" t="str">
        <f>"10065-4870"</f>
        <v>10065-4870</v>
      </c>
      <c r="AB1341" t="s">
        <v>75</v>
      </c>
      <c r="AC1341" t="s">
        <v>76</v>
      </c>
      <c r="AD1341" t="s">
        <v>73</v>
      </c>
      <c r="AE1341" t="s">
        <v>77</v>
      </c>
      <c r="AF1341" t="s">
        <v>2242</v>
      </c>
      <c r="AG1341" t="s">
        <v>78</v>
      </c>
    </row>
    <row r="1342" spans="1:33" hidden="1" x14ac:dyDescent="0.25">
      <c r="A1342" t="str">
        <f>"1205056082"</f>
        <v>1205056082</v>
      </c>
      <c r="B1342" t="str">
        <f>"02882699"</f>
        <v>02882699</v>
      </c>
      <c r="C1342" t="s">
        <v>6980</v>
      </c>
      <c r="D1342" t="s">
        <v>6981</v>
      </c>
      <c r="E1342" t="s">
        <v>6982</v>
      </c>
      <c r="L1342" t="s">
        <v>80</v>
      </c>
      <c r="M1342" t="s">
        <v>73</v>
      </c>
      <c r="R1342" t="s">
        <v>6983</v>
      </c>
      <c r="W1342" t="s">
        <v>6982</v>
      </c>
      <c r="X1342" t="s">
        <v>170</v>
      </c>
      <c r="Y1342" t="s">
        <v>91</v>
      </c>
      <c r="Z1342" t="s">
        <v>74</v>
      </c>
      <c r="AA1342" t="str">
        <f>"10065-4870"</f>
        <v>10065-4870</v>
      </c>
      <c r="AB1342" t="s">
        <v>75</v>
      </c>
      <c r="AC1342" t="s">
        <v>76</v>
      </c>
      <c r="AD1342" t="s">
        <v>73</v>
      </c>
      <c r="AE1342" t="s">
        <v>77</v>
      </c>
      <c r="AF1342" t="s">
        <v>2242</v>
      </c>
      <c r="AG1342" t="s">
        <v>78</v>
      </c>
    </row>
    <row r="1343" spans="1:33" hidden="1" x14ac:dyDescent="0.25">
      <c r="A1343" t="str">
        <f>"1356352918"</f>
        <v>1356352918</v>
      </c>
      <c r="C1343" t="s">
        <v>3672</v>
      </c>
      <c r="K1343" t="s">
        <v>36</v>
      </c>
      <c r="L1343" t="s">
        <v>96</v>
      </c>
      <c r="M1343" t="s">
        <v>73</v>
      </c>
      <c r="R1343" t="s">
        <v>3672</v>
      </c>
      <c r="S1343" t="s">
        <v>6984</v>
      </c>
      <c r="T1343" t="s">
        <v>91</v>
      </c>
      <c r="U1343" t="s">
        <v>74</v>
      </c>
      <c r="V1343" t="str">
        <f>"100323729"</f>
        <v>100323729</v>
      </c>
      <c r="AC1343" t="s">
        <v>76</v>
      </c>
      <c r="AD1343" t="s">
        <v>73</v>
      </c>
      <c r="AE1343" t="s">
        <v>97</v>
      </c>
      <c r="AG1343" t="s">
        <v>78</v>
      </c>
    </row>
    <row r="1344" spans="1:33" hidden="1" x14ac:dyDescent="0.25">
      <c r="A1344" t="str">
        <f>"1720270846"</f>
        <v>1720270846</v>
      </c>
      <c r="B1344" t="str">
        <f>"03878764"</f>
        <v>03878764</v>
      </c>
      <c r="C1344" t="s">
        <v>6985</v>
      </c>
      <c r="D1344" t="s">
        <v>6986</v>
      </c>
      <c r="E1344" t="s">
        <v>6987</v>
      </c>
      <c r="G1344" t="s">
        <v>2224</v>
      </c>
      <c r="H1344" t="s">
        <v>2225</v>
      </c>
      <c r="J1344" t="s">
        <v>2226</v>
      </c>
      <c r="L1344" t="s">
        <v>80</v>
      </c>
      <c r="M1344" t="s">
        <v>73</v>
      </c>
      <c r="R1344" t="s">
        <v>6988</v>
      </c>
      <c r="W1344" t="s">
        <v>6987</v>
      </c>
      <c r="X1344" t="s">
        <v>167</v>
      </c>
      <c r="Y1344" t="s">
        <v>91</v>
      </c>
      <c r="Z1344" t="s">
        <v>74</v>
      </c>
      <c r="AA1344" t="str">
        <f>"10032-3720"</f>
        <v>10032-3720</v>
      </c>
      <c r="AB1344" t="s">
        <v>75</v>
      </c>
      <c r="AC1344" t="s">
        <v>76</v>
      </c>
      <c r="AD1344" t="s">
        <v>73</v>
      </c>
      <c r="AE1344" t="s">
        <v>77</v>
      </c>
      <c r="AF1344" t="s">
        <v>2228</v>
      </c>
      <c r="AG1344" t="s">
        <v>78</v>
      </c>
    </row>
    <row r="1345" spans="1:33" hidden="1" x14ac:dyDescent="0.25">
      <c r="A1345" t="str">
        <f>"1558313007"</f>
        <v>1558313007</v>
      </c>
      <c r="B1345" t="str">
        <f>"02752183"</f>
        <v>02752183</v>
      </c>
      <c r="C1345" t="s">
        <v>6989</v>
      </c>
      <c r="D1345" t="s">
        <v>6990</v>
      </c>
      <c r="E1345" t="s">
        <v>6991</v>
      </c>
      <c r="L1345" t="s">
        <v>88</v>
      </c>
      <c r="M1345" t="s">
        <v>73</v>
      </c>
      <c r="R1345" t="s">
        <v>6992</v>
      </c>
      <c r="W1345" t="s">
        <v>6993</v>
      </c>
      <c r="X1345" t="s">
        <v>167</v>
      </c>
      <c r="Y1345" t="s">
        <v>91</v>
      </c>
      <c r="Z1345" t="s">
        <v>74</v>
      </c>
      <c r="AA1345" t="str">
        <f>"10032-3720"</f>
        <v>10032-3720</v>
      </c>
      <c r="AB1345" t="s">
        <v>75</v>
      </c>
      <c r="AC1345" t="s">
        <v>76</v>
      </c>
      <c r="AD1345" t="s">
        <v>73</v>
      </c>
      <c r="AE1345" t="s">
        <v>77</v>
      </c>
      <c r="AF1345" t="s">
        <v>2242</v>
      </c>
      <c r="AG1345" t="s">
        <v>78</v>
      </c>
    </row>
    <row r="1346" spans="1:33" hidden="1" x14ac:dyDescent="0.25">
      <c r="A1346" t="str">
        <f>"1730306689"</f>
        <v>1730306689</v>
      </c>
      <c r="B1346" t="str">
        <f>"03355011"</f>
        <v>03355011</v>
      </c>
      <c r="C1346" t="s">
        <v>6994</v>
      </c>
      <c r="D1346" t="s">
        <v>6995</v>
      </c>
      <c r="E1346" t="s">
        <v>6996</v>
      </c>
      <c r="G1346" t="s">
        <v>2224</v>
      </c>
      <c r="H1346" t="s">
        <v>6997</v>
      </c>
      <c r="J1346" t="s">
        <v>2226</v>
      </c>
      <c r="L1346" t="s">
        <v>80</v>
      </c>
      <c r="M1346" t="s">
        <v>73</v>
      </c>
      <c r="R1346" t="s">
        <v>6996</v>
      </c>
      <c r="W1346" t="s">
        <v>6996</v>
      </c>
      <c r="X1346" t="s">
        <v>169</v>
      </c>
      <c r="Y1346" t="s">
        <v>84</v>
      </c>
      <c r="Z1346" t="s">
        <v>74</v>
      </c>
      <c r="AA1346" t="str">
        <f>"11201-5425"</f>
        <v>11201-5425</v>
      </c>
      <c r="AB1346" t="s">
        <v>75</v>
      </c>
      <c r="AC1346" t="s">
        <v>76</v>
      </c>
      <c r="AD1346" t="s">
        <v>73</v>
      </c>
      <c r="AE1346" t="s">
        <v>77</v>
      </c>
      <c r="AF1346" t="s">
        <v>2242</v>
      </c>
      <c r="AG1346" t="s">
        <v>78</v>
      </c>
    </row>
    <row r="1347" spans="1:33" hidden="1" x14ac:dyDescent="0.25">
      <c r="A1347" t="str">
        <f>"1538326491"</f>
        <v>1538326491</v>
      </c>
      <c r="B1347" t="str">
        <f>"03387919"</f>
        <v>03387919</v>
      </c>
      <c r="C1347" t="s">
        <v>6998</v>
      </c>
      <c r="D1347" t="s">
        <v>6999</v>
      </c>
      <c r="E1347" t="s">
        <v>7000</v>
      </c>
      <c r="G1347" t="s">
        <v>2224</v>
      </c>
      <c r="H1347" t="s">
        <v>7001</v>
      </c>
      <c r="J1347" t="s">
        <v>2226</v>
      </c>
      <c r="L1347" t="s">
        <v>80</v>
      </c>
      <c r="M1347" t="s">
        <v>73</v>
      </c>
      <c r="R1347" t="s">
        <v>7002</v>
      </c>
      <c r="W1347" t="s">
        <v>7000</v>
      </c>
      <c r="X1347" t="s">
        <v>7003</v>
      </c>
      <c r="Y1347" t="s">
        <v>91</v>
      </c>
      <c r="Z1347" t="s">
        <v>74</v>
      </c>
      <c r="AA1347" t="str">
        <f>"10038-2612"</f>
        <v>10038-2612</v>
      </c>
      <c r="AB1347" t="s">
        <v>75</v>
      </c>
      <c r="AC1347" t="s">
        <v>76</v>
      </c>
      <c r="AD1347" t="s">
        <v>73</v>
      </c>
      <c r="AE1347" t="s">
        <v>77</v>
      </c>
      <c r="AF1347" t="s">
        <v>2242</v>
      </c>
      <c r="AG1347" t="s">
        <v>78</v>
      </c>
    </row>
    <row r="1348" spans="1:33" hidden="1" x14ac:dyDescent="0.25">
      <c r="A1348" t="str">
        <f>"1063711653"</f>
        <v>1063711653</v>
      </c>
      <c r="C1348" t="s">
        <v>7004</v>
      </c>
      <c r="G1348" t="s">
        <v>2224</v>
      </c>
      <c r="H1348" t="s">
        <v>2312</v>
      </c>
      <c r="J1348" t="s">
        <v>2226</v>
      </c>
      <c r="K1348" t="s">
        <v>171</v>
      </c>
      <c r="L1348" t="s">
        <v>96</v>
      </c>
      <c r="M1348" t="s">
        <v>73</v>
      </c>
      <c r="R1348" t="s">
        <v>7005</v>
      </c>
      <c r="S1348" t="s">
        <v>238</v>
      </c>
      <c r="T1348" t="s">
        <v>91</v>
      </c>
      <c r="U1348" t="s">
        <v>74</v>
      </c>
      <c r="V1348" t="str">
        <f>"100656007"</f>
        <v>100656007</v>
      </c>
      <c r="AC1348" t="s">
        <v>76</v>
      </c>
      <c r="AD1348" t="s">
        <v>73</v>
      </c>
      <c r="AE1348" t="s">
        <v>97</v>
      </c>
      <c r="AF1348" t="s">
        <v>2228</v>
      </c>
      <c r="AG1348" t="s">
        <v>78</v>
      </c>
    </row>
    <row r="1349" spans="1:33" hidden="1" x14ac:dyDescent="0.25">
      <c r="A1349" t="str">
        <f>"1164747895"</f>
        <v>1164747895</v>
      </c>
      <c r="C1349" t="s">
        <v>7006</v>
      </c>
      <c r="G1349" t="s">
        <v>2224</v>
      </c>
      <c r="H1349" t="s">
        <v>2312</v>
      </c>
      <c r="J1349" t="s">
        <v>2226</v>
      </c>
      <c r="K1349" t="s">
        <v>171</v>
      </c>
      <c r="L1349" t="s">
        <v>96</v>
      </c>
      <c r="M1349" t="s">
        <v>73</v>
      </c>
      <c r="R1349" t="s">
        <v>7007</v>
      </c>
      <c r="S1349" t="s">
        <v>7008</v>
      </c>
      <c r="T1349" t="s">
        <v>1153</v>
      </c>
      <c r="U1349" t="s">
        <v>519</v>
      </c>
      <c r="V1349" t="str">
        <f>"17403"</f>
        <v>17403</v>
      </c>
      <c r="AC1349" t="s">
        <v>76</v>
      </c>
      <c r="AD1349" t="s">
        <v>73</v>
      </c>
      <c r="AE1349" t="s">
        <v>97</v>
      </c>
      <c r="AF1349" t="s">
        <v>2234</v>
      </c>
      <c r="AG1349" t="s">
        <v>78</v>
      </c>
    </row>
    <row r="1350" spans="1:33" hidden="1" x14ac:dyDescent="0.25">
      <c r="A1350" t="str">
        <f>"1043216633"</f>
        <v>1043216633</v>
      </c>
      <c r="B1350" t="str">
        <f>"01550807"</f>
        <v>01550807</v>
      </c>
      <c r="C1350" t="s">
        <v>7009</v>
      </c>
      <c r="D1350" t="s">
        <v>7010</v>
      </c>
      <c r="E1350" t="s">
        <v>7011</v>
      </c>
      <c r="L1350" t="s">
        <v>80</v>
      </c>
      <c r="M1350" t="s">
        <v>73</v>
      </c>
      <c r="R1350" t="s">
        <v>7012</v>
      </c>
      <c r="W1350" t="s">
        <v>7011</v>
      </c>
      <c r="X1350" t="s">
        <v>142</v>
      </c>
      <c r="Y1350" t="s">
        <v>143</v>
      </c>
      <c r="Z1350" t="s">
        <v>74</v>
      </c>
      <c r="AA1350" t="str">
        <f>"11030-3816"</f>
        <v>11030-3816</v>
      </c>
      <c r="AB1350" t="s">
        <v>75</v>
      </c>
      <c r="AC1350" t="s">
        <v>76</v>
      </c>
      <c r="AD1350" t="s">
        <v>73</v>
      </c>
      <c r="AE1350" t="s">
        <v>77</v>
      </c>
      <c r="AF1350" t="s">
        <v>2242</v>
      </c>
      <c r="AG1350" t="s">
        <v>78</v>
      </c>
    </row>
    <row r="1351" spans="1:33" hidden="1" x14ac:dyDescent="0.25">
      <c r="A1351" t="str">
        <f>"1649281650"</f>
        <v>1649281650</v>
      </c>
      <c r="B1351" t="str">
        <f>"02078779"</f>
        <v>02078779</v>
      </c>
      <c r="C1351" t="s">
        <v>7013</v>
      </c>
      <c r="D1351" t="s">
        <v>7014</v>
      </c>
      <c r="E1351" t="s">
        <v>7015</v>
      </c>
      <c r="L1351" t="s">
        <v>72</v>
      </c>
      <c r="M1351" t="s">
        <v>73</v>
      </c>
      <c r="R1351" t="s">
        <v>7016</v>
      </c>
      <c r="W1351" t="s">
        <v>7015</v>
      </c>
      <c r="X1351" t="s">
        <v>6737</v>
      </c>
      <c r="Y1351" t="s">
        <v>91</v>
      </c>
      <c r="Z1351" t="s">
        <v>74</v>
      </c>
      <c r="AA1351" t="str">
        <f>"10065-4870"</f>
        <v>10065-4870</v>
      </c>
      <c r="AB1351" t="s">
        <v>75</v>
      </c>
      <c r="AC1351" t="s">
        <v>76</v>
      </c>
      <c r="AD1351" t="s">
        <v>73</v>
      </c>
      <c r="AE1351" t="s">
        <v>77</v>
      </c>
      <c r="AF1351" t="s">
        <v>2242</v>
      </c>
      <c r="AG1351" t="s">
        <v>78</v>
      </c>
    </row>
    <row r="1352" spans="1:33" hidden="1" x14ac:dyDescent="0.25">
      <c r="A1352" t="str">
        <f>"1366644973"</f>
        <v>1366644973</v>
      </c>
      <c r="C1352" t="s">
        <v>7017</v>
      </c>
      <c r="G1352" t="s">
        <v>2224</v>
      </c>
      <c r="H1352" t="s">
        <v>2312</v>
      </c>
      <c r="J1352" t="s">
        <v>2226</v>
      </c>
      <c r="K1352" t="s">
        <v>171</v>
      </c>
      <c r="L1352" t="s">
        <v>96</v>
      </c>
      <c r="M1352" t="s">
        <v>73</v>
      </c>
      <c r="R1352" t="s">
        <v>7018</v>
      </c>
      <c r="S1352" t="s">
        <v>170</v>
      </c>
      <c r="T1352" t="s">
        <v>91</v>
      </c>
      <c r="U1352" t="s">
        <v>74</v>
      </c>
      <c r="V1352" t="str">
        <f>"100214870"</f>
        <v>100214870</v>
      </c>
      <c r="AC1352" t="s">
        <v>76</v>
      </c>
      <c r="AD1352" t="s">
        <v>73</v>
      </c>
      <c r="AE1352" t="s">
        <v>97</v>
      </c>
      <c r="AF1352" t="s">
        <v>2242</v>
      </c>
      <c r="AG1352" t="s">
        <v>78</v>
      </c>
    </row>
    <row r="1353" spans="1:33" hidden="1" x14ac:dyDescent="0.25">
      <c r="A1353" t="str">
        <f>"1912094095"</f>
        <v>1912094095</v>
      </c>
      <c r="B1353" t="str">
        <f>"00955500"</f>
        <v>00955500</v>
      </c>
      <c r="C1353" t="s">
        <v>7019</v>
      </c>
      <c r="D1353" t="s">
        <v>7020</v>
      </c>
      <c r="E1353" t="s">
        <v>7021</v>
      </c>
      <c r="L1353" t="s">
        <v>80</v>
      </c>
      <c r="M1353" t="s">
        <v>73</v>
      </c>
      <c r="R1353" t="s">
        <v>7022</v>
      </c>
      <c r="W1353" t="s">
        <v>7021</v>
      </c>
      <c r="X1353" t="s">
        <v>765</v>
      </c>
      <c r="Y1353" t="s">
        <v>91</v>
      </c>
      <c r="Z1353" t="s">
        <v>74</v>
      </c>
      <c r="AA1353" t="str">
        <f>"10065-4870"</f>
        <v>10065-4870</v>
      </c>
      <c r="AB1353" t="s">
        <v>75</v>
      </c>
      <c r="AC1353" t="s">
        <v>76</v>
      </c>
      <c r="AD1353" t="s">
        <v>73</v>
      </c>
      <c r="AE1353" t="s">
        <v>77</v>
      </c>
      <c r="AF1353" t="s">
        <v>2242</v>
      </c>
      <c r="AG1353" t="s">
        <v>78</v>
      </c>
    </row>
    <row r="1354" spans="1:33" hidden="1" x14ac:dyDescent="0.25">
      <c r="A1354" t="str">
        <f>"1275647265"</f>
        <v>1275647265</v>
      </c>
      <c r="B1354" t="str">
        <f>"02670051"</f>
        <v>02670051</v>
      </c>
      <c r="C1354" t="s">
        <v>7023</v>
      </c>
      <c r="D1354" t="s">
        <v>7024</v>
      </c>
      <c r="E1354" t="s">
        <v>7025</v>
      </c>
      <c r="L1354" t="s">
        <v>80</v>
      </c>
      <c r="M1354" t="s">
        <v>73</v>
      </c>
      <c r="R1354" t="s">
        <v>7026</v>
      </c>
      <c r="W1354" t="s">
        <v>7025</v>
      </c>
      <c r="X1354" t="s">
        <v>253</v>
      </c>
      <c r="Y1354" t="s">
        <v>91</v>
      </c>
      <c r="Z1354" t="s">
        <v>74</v>
      </c>
      <c r="AA1354" t="str">
        <f>"10011-8305"</f>
        <v>10011-8305</v>
      </c>
      <c r="AB1354" t="s">
        <v>75</v>
      </c>
      <c r="AC1354" t="s">
        <v>76</v>
      </c>
      <c r="AD1354" t="s">
        <v>73</v>
      </c>
      <c r="AE1354" t="s">
        <v>77</v>
      </c>
      <c r="AF1354" t="s">
        <v>2242</v>
      </c>
      <c r="AG1354" t="s">
        <v>78</v>
      </c>
    </row>
    <row r="1355" spans="1:33" hidden="1" x14ac:dyDescent="0.25">
      <c r="A1355" t="str">
        <f>"1043435639"</f>
        <v>1043435639</v>
      </c>
      <c r="B1355" t="str">
        <f>"02892780"</f>
        <v>02892780</v>
      </c>
      <c r="C1355" t="s">
        <v>7027</v>
      </c>
      <c r="D1355" t="s">
        <v>7028</v>
      </c>
      <c r="E1355" t="s">
        <v>7029</v>
      </c>
      <c r="L1355" t="s">
        <v>72</v>
      </c>
      <c r="M1355" t="s">
        <v>73</v>
      </c>
      <c r="R1355" t="s">
        <v>7030</v>
      </c>
      <c r="W1355" t="s">
        <v>7029</v>
      </c>
      <c r="X1355" t="s">
        <v>167</v>
      </c>
      <c r="Y1355" t="s">
        <v>91</v>
      </c>
      <c r="Z1355" t="s">
        <v>74</v>
      </c>
      <c r="AA1355" t="str">
        <f>"10032-3720"</f>
        <v>10032-3720</v>
      </c>
      <c r="AB1355" t="s">
        <v>75</v>
      </c>
      <c r="AC1355" t="s">
        <v>76</v>
      </c>
      <c r="AD1355" t="s">
        <v>73</v>
      </c>
      <c r="AE1355" t="s">
        <v>77</v>
      </c>
      <c r="AF1355" t="s">
        <v>2228</v>
      </c>
      <c r="AG1355" t="s">
        <v>78</v>
      </c>
    </row>
    <row r="1356" spans="1:33" hidden="1" x14ac:dyDescent="0.25">
      <c r="A1356" t="str">
        <f>"1518391556"</f>
        <v>1518391556</v>
      </c>
      <c r="C1356" t="s">
        <v>7031</v>
      </c>
      <c r="G1356" t="s">
        <v>2224</v>
      </c>
      <c r="H1356" t="s">
        <v>2312</v>
      </c>
      <c r="J1356" t="s">
        <v>2226</v>
      </c>
      <c r="K1356" t="s">
        <v>171</v>
      </c>
      <c r="L1356" t="s">
        <v>96</v>
      </c>
      <c r="M1356" t="s">
        <v>73</v>
      </c>
      <c r="R1356" t="s">
        <v>7032</v>
      </c>
      <c r="S1356" t="s">
        <v>167</v>
      </c>
      <c r="T1356" t="s">
        <v>91</v>
      </c>
      <c r="U1356" t="s">
        <v>74</v>
      </c>
      <c r="V1356" t="str">
        <f>"100323720"</f>
        <v>100323720</v>
      </c>
      <c r="AC1356" t="s">
        <v>76</v>
      </c>
      <c r="AD1356" t="s">
        <v>73</v>
      </c>
      <c r="AE1356" t="s">
        <v>97</v>
      </c>
      <c r="AF1356" t="s">
        <v>2228</v>
      </c>
      <c r="AG1356" t="s">
        <v>78</v>
      </c>
    </row>
    <row r="1357" spans="1:33" hidden="1" x14ac:dyDescent="0.25">
      <c r="A1357" t="str">
        <f>"1699937052"</f>
        <v>1699937052</v>
      </c>
      <c r="B1357" t="str">
        <f>"03484851"</f>
        <v>03484851</v>
      </c>
      <c r="C1357" t="s">
        <v>7033</v>
      </c>
      <c r="D1357" t="s">
        <v>2088</v>
      </c>
      <c r="E1357" t="s">
        <v>2089</v>
      </c>
      <c r="L1357" t="s">
        <v>72</v>
      </c>
      <c r="M1357" t="s">
        <v>73</v>
      </c>
      <c r="R1357" t="s">
        <v>2090</v>
      </c>
      <c r="W1357" t="s">
        <v>2091</v>
      </c>
      <c r="X1357" t="s">
        <v>1402</v>
      </c>
      <c r="Y1357" t="s">
        <v>118</v>
      </c>
      <c r="Z1357" t="s">
        <v>74</v>
      </c>
      <c r="AA1357" t="str">
        <f>"10451-5504"</f>
        <v>10451-5504</v>
      </c>
      <c r="AB1357" t="s">
        <v>75</v>
      </c>
      <c r="AC1357" t="s">
        <v>76</v>
      </c>
      <c r="AD1357" t="s">
        <v>73</v>
      </c>
      <c r="AE1357" t="s">
        <v>77</v>
      </c>
      <c r="AF1357" t="s">
        <v>2228</v>
      </c>
      <c r="AG1357" t="s">
        <v>78</v>
      </c>
    </row>
    <row r="1358" spans="1:33" hidden="1" x14ac:dyDescent="0.25">
      <c r="A1358" t="str">
        <f>"1427145523"</f>
        <v>1427145523</v>
      </c>
      <c r="B1358" t="str">
        <f>"01801234"</f>
        <v>01801234</v>
      </c>
      <c r="C1358" t="s">
        <v>7034</v>
      </c>
      <c r="D1358" t="s">
        <v>7035</v>
      </c>
      <c r="E1358" t="s">
        <v>7036</v>
      </c>
      <c r="L1358" t="s">
        <v>72</v>
      </c>
      <c r="M1358" t="s">
        <v>73</v>
      </c>
      <c r="R1358" t="s">
        <v>7037</v>
      </c>
      <c r="W1358" t="s">
        <v>7036</v>
      </c>
      <c r="X1358" t="s">
        <v>152</v>
      </c>
      <c r="Y1358" t="s">
        <v>118</v>
      </c>
      <c r="Z1358" t="s">
        <v>74</v>
      </c>
      <c r="AA1358" t="str">
        <f>"10461-2301"</f>
        <v>10461-2301</v>
      </c>
      <c r="AB1358" t="s">
        <v>75</v>
      </c>
      <c r="AC1358" t="s">
        <v>76</v>
      </c>
      <c r="AD1358" t="s">
        <v>73</v>
      </c>
      <c r="AE1358" t="s">
        <v>77</v>
      </c>
      <c r="AF1358" t="s">
        <v>2228</v>
      </c>
      <c r="AG1358" t="s">
        <v>78</v>
      </c>
    </row>
    <row r="1359" spans="1:33" hidden="1" x14ac:dyDescent="0.25">
      <c r="A1359" t="str">
        <f>"1003994930"</f>
        <v>1003994930</v>
      </c>
      <c r="B1359" t="str">
        <f>"02862962"</f>
        <v>02862962</v>
      </c>
      <c r="C1359" t="s">
        <v>7038</v>
      </c>
      <c r="D1359" t="s">
        <v>7039</v>
      </c>
      <c r="E1359" t="s">
        <v>7040</v>
      </c>
      <c r="G1359" t="s">
        <v>2224</v>
      </c>
      <c r="H1359" t="s">
        <v>2225</v>
      </c>
      <c r="J1359" t="s">
        <v>2226</v>
      </c>
      <c r="L1359" t="s">
        <v>81</v>
      </c>
      <c r="M1359" t="s">
        <v>82</v>
      </c>
      <c r="R1359" t="s">
        <v>7041</v>
      </c>
      <c r="W1359" t="s">
        <v>7040</v>
      </c>
      <c r="X1359" t="s">
        <v>167</v>
      </c>
      <c r="Y1359" t="s">
        <v>91</v>
      </c>
      <c r="Z1359" t="s">
        <v>74</v>
      </c>
      <c r="AA1359" t="str">
        <f>"10032-3720"</f>
        <v>10032-3720</v>
      </c>
      <c r="AB1359" t="s">
        <v>75</v>
      </c>
      <c r="AC1359" t="s">
        <v>76</v>
      </c>
      <c r="AD1359" t="s">
        <v>73</v>
      </c>
      <c r="AE1359" t="s">
        <v>77</v>
      </c>
      <c r="AF1359" t="s">
        <v>2228</v>
      </c>
      <c r="AG1359" t="s">
        <v>78</v>
      </c>
    </row>
    <row r="1360" spans="1:33" hidden="1" x14ac:dyDescent="0.25">
      <c r="A1360" t="str">
        <f>"1831164110"</f>
        <v>1831164110</v>
      </c>
      <c r="B1360" t="str">
        <f>"03625050"</f>
        <v>03625050</v>
      </c>
      <c r="C1360" t="s">
        <v>7042</v>
      </c>
      <c r="D1360" t="s">
        <v>7043</v>
      </c>
      <c r="E1360" t="s">
        <v>7044</v>
      </c>
      <c r="G1360" t="s">
        <v>2224</v>
      </c>
      <c r="H1360" t="s">
        <v>7045</v>
      </c>
      <c r="J1360" t="s">
        <v>2226</v>
      </c>
      <c r="L1360" t="s">
        <v>80</v>
      </c>
      <c r="M1360" t="s">
        <v>73</v>
      </c>
      <c r="R1360" t="s">
        <v>7046</v>
      </c>
      <c r="W1360" t="s">
        <v>7044</v>
      </c>
      <c r="X1360" t="s">
        <v>1695</v>
      </c>
      <c r="Y1360" t="s">
        <v>91</v>
      </c>
      <c r="Z1360" t="s">
        <v>74</v>
      </c>
      <c r="AA1360" t="str">
        <f>"10032"</f>
        <v>10032</v>
      </c>
      <c r="AB1360" t="s">
        <v>75</v>
      </c>
      <c r="AC1360" t="s">
        <v>76</v>
      </c>
      <c r="AD1360" t="s">
        <v>73</v>
      </c>
      <c r="AE1360" t="s">
        <v>77</v>
      </c>
      <c r="AF1360" t="s">
        <v>2228</v>
      </c>
      <c r="AG1360" t="s">
        <v>78</v>
      </c>
    </row>
    <row r="1361" spans="1:33" hidden="1" x14ac:dyDescent="0.25">
      <c r="A1361" t="str">
        <f>"1730491671"</f>
        <v>1730491671</v>
      </c>
      <c r="B1361" t="str">
        <f>"03264986"</f>
        <v>03264986</v>
      </c>
      <c r="C1361" t="s">
        <v>736</v>
      </c>
      <c r="D1361" t="s">
        <v>760</v>
      </c>
      <c r="E1361" t="s">
        <v>736</v>
      </c>
      <c r="G1361" t="s">
        <v>3651</v>
      </c>
      <c r="H1361" t="s">
        <v>1509</v>
      </c>
      <c r="J1361" t="s">
        <v>1510</v>
      </c>
      <c r="L1361" t="s">
        <v>99</v>
      </c>
      <c r="M1361" t="s">
        <v>73</v>
      </c>
      <c r="R1361" t="s">
        <v>757</v>
      </c>
      <c r="W1361" t="s">
        <v>736</v>
      </c>
      <c r="X1361" t="s">
        <v>761</v>
      </c>
      <c r="Y1361" t="s">
        <v>118</v>
      </c>
      <c r="Z1361" t="s">
        <v>74</v>
      </c>
      <c r="AA1361" t="str">
        <f>"10456-7815"</f>
        <v>10456-7815</v>
      </c>
      <c r="AB1361" t="s">
        <v>110</v>
      </c>
      <c r="AC1361" t="s">
        <v>76</v>
      </c>
      <c r="AD1361" t="s">
        <v>73</v>
      </c>
      <c r="AE1361" t="s">
        <v>77</v>
      </c>
      <c r="AF1361" t="s">
        <v>3652</v>
      </c>
      <c r="AG1361" t="s">
        <v>78</v>
      </c>
    </row>
    <row r="1362" spans="1:33" hidden="1" x14ac:dyDescent="0.25">
      <c r="A1362" t="str">
        <f>"1710022330"</f>
        <v>1710022330</v>
      </c>
      <c r="B1362" t="str">
        <f>"01103593"</f>
        <v>01103593</v>
      </c>
      <c r="C1362" t="s">
        <v>7047</v>
      </c>
      <c r="D1362" t="s">
        <v>830</v>
      </c>
      <c r="E1362" t="s">
        <v>831</v>
      </c>
      <c r="G1362" t="s">
        <v>3651</v>
      </c>
      <c r="H1362" t="s">
        <v>1509</v>
      </c>
      <c r="J1362" t="s">
        <v>1510</v>
      </c>
      <c r="L1362" t="s">
        <v>99</v>
      </c>
      <c r="M1362" t="s">
        <v>73</v>
      </c>
      <c r="R1362" t="s">
        <v>757</v>
      </c>
      <c r="W1362" t="s">
        <v>831</v>
      </c>
      <c r="X1362" t="s">
        <v>832</v>
      </c>
      <c r="Y1362" t="s">
        <v>118</v>
      </c>
      <c r="Z1362" t="s">
        <v>74</v>
      </c>
      <c r="AA1362" t="str">
        <f>"10455-1232"</f>
        <v>10455-1232</v>
      </c>
      <c r="AB1362" t="s">
        <v>110</v>
      </c>
      <c r="AC1362" t="s">
        <v>76</v>
      </c>
      <c r="AD1362" t="s">
        <v>73</v>
      </c>
      <c r="AE1362" t="s">
        <v>77</v>
      </c>
      <c r="AF1362" t="s">
        <v>3652</v>
      </c>
      <c r="AG1362" t="s">
        <v>78</v>
      </c>
    </row>
    <row r="1363" spans="1:33" hidden="1" x14ac:dyDescent="0.25">
      <c r="A1363" t="str">
        <f>"1245467810"</f>
        <v>1245467810</v>
      </c>
      <c r="B1363" t="str">
        <f>"03121542"</f>
        <v>03121542</v>
      </c>
      <c r="C1363" t="s">
        <v>2105</v>
      </c>
      <c r="D1363" t="s">
        <v>2104</v>
      </c>
      <c r="E1363" t="s">
        <v>2105</v>
      </c>
      <c r="G1363" t="s">
        <v>7048</v>
      </c>
      <c r="H1363" t="s">
        <v>7049</v>
      </c>
      <c r="J1363" t="s">
        <v>7050</v>
      </c>
      <c r="L1363" t="s">
        <v>96</v>
      </c>
      <c r="M1363" t="s">
        <v>73</v>
      </c>
      <c r="R1363" t="s">
        <v>2106</v>
      </c>
      <c r="W1363" t="s">
        <v>2105</v>
      </c>
      <c r="X1363" t="s">
        <v>2107</v>
      </c>
      <c r="Y1363" t="s">
        <v>91</v>
      </c>
      <c r="Z1363" t="s">
        <v>74</v>
      </c>
      <c r="AA1363" t="str">
        <f>"10027-3723"</f>
        <v>10027-3723</v>
      </c>
      <c r="AB1363" t="s">
        <v>92</v>
      </c>
      <c r="AC1363" t="s">
        <v>76</v>
      </c>
      <c r="AD1363" t="s">
        <v>73</v>
      </c>
      <c r="AE1363" t="s">
        <v>77</v>
      </c>
      <c r="AG1363" t="s">
        <v>78</v>
      </c>
    </row>
    <row r="1364" spans="1:33" hidden="1" x14ac:dyDescent="0.25">
      <c r="A1364" t="str">
        <f>"1104840503"</f>
        <v>1104840503</v>
      </c>
      <c r="B1364" t="str">
        <f>"02184178"</f>
        <v>02184178</v>
      </c>
      <c r="C1364" t="s">
        <v>7051</v>
      </c>
      <c r="D1364" t="s">
        <v>1604</v>
      </c>
      <c r="E1364" t="s">
        <v>1605</v>
      </c>
      <c r="G1364" t="s">
        <v>2260</v>
      </c>
      <c r="H1364" t="s">
        <v>7052</v>
      </c>
      <c r="J1364" t="s">
        <v>1512</v>
      </c>
      <c r="L1364" t="s">
        <v>80</v>
      </c>
      <c r="M1364" t="s">
        <v>73</v>
      </c>
      <c r="R1364" t="s">
        <v>1606</v>
      </c>
      <c r="W1364" t="s">
        <v>1605</v>
      </c>
      <c r="X1364" t="s">
        <v>1607</v>
      </c>
      <c r="Y1364" t="s">
        <v>91</v>
      </c>
      <c r="Z1364" t="s">
        <v>74</v>
      </c>
      <c r="AA1364" t="str">
        <f>"10011-9180"</f>
        <v>10011-9180</v>
      </c>
      <c r="AB1364" t="s">
        <v>75</v>
      </c>
      <c r="AC1364" t="s">
        <v>76</v>
      </c>
      <c r="AD1364" t="s">
        <v>73</v>
      </c>
      <c r="AE1364" t="s">
        <v>77</v>
      </c>
      <c r="AG1364" t="s">
        <v>78</v>
      </c>
    </row>
    <row r="1365" spans="1:33" hidden="1" x14ac:dyDescent="0.25">
      <c r="A1365" t="str">
        <f>"1275527798"</f>
        <v>1275527798</v>
      </c>
      <c r="B1365" t="str">
        <f>"00845336"</f>
        <v>00845336</v>
      </c>
      <c r="C1365" t="s">
        <v>746</v>
      </c>
      <c r="D1365" t="s">
        <v>554</v>
      </c>
      <c r="E1365" t="s">
        <v>555</v>
      </c>
      <c r="G1365" t="s">
        <v>2260</v>
      </c>
      <c r="H1365" t="s">
        <v>7053</v>
      </c>
      <c r="J1365" t="s">
        <v>1512</v>
      </c>
      <c r="L1365" t="s">
        <v>81</v>
      </c>
      <c r="M1365" t="s">
        <v>73</v>
      </c>
      <c r="R1365" t="s">
        <v>553</v>
      </c>
      <c r="W1365" t="s">
        <v>555</v>
      </c>
      <c r="X1365" t="s">
        <v>556</v>
      </c>
      <c r="Y1365" t="s">
        <v>138</v>
      </c>
      <c r="Z1365" t="s">
        <v>74</v>
      </c>
      <c r="AA1365" t="str">
        <f>"10305-3498"</f>
        <v>10305-3498</v>
      </c>
      <c r="AB1365" t="s">
        <v>75</v>
      </c>
      <c r="AC1365" t="s">
        <v>76</v>
      </c>
      <c r="AD1365" t="s">
        <v>73</v>
      </c>
      <c r="AE1365" t="s">
        <v>77</v>
      </c>
      <c r="AG1365" t="s">
        <v>78</v>
      </c>
    </row>
    <row r="1366" spans="1:33" hidden="1" x14ac:dyDescent="0.25">
      <c r="A1366" t="str">
        <f>"1942370135"</f>
        <v>1942370135</v>
      </c>
      <c r="B1366" t="str">
        <f>"02097941"</f>
        <v>02097941</v>
      </c>
      <c r="C1366" t="s">
        <v>7054</v>
      </c>
      <c r="D1366" t="s">
        <v>7055</v>
      </c>
      <c r="E1366" t="s">
        <v>7056</v>
      </c>
      <c r="G1366" t="s">
        <v>2224</v>
      </c>
      <c r="H1366" t="s">
        <v>2225</v>
      </c>
      <c r="J1366" t="s">
        <v>2226</v>
      </c>
      <c r="L1366" t="s">
        <v>88</v>
      </c>
      <c r="M1366" t="s">
        <v>82</v>
      </c>
      <c r="R1366" t="s">
        <v>7056</v>
      </c>
      <c r="W1366" t="s">
        <v>7056</v>
      </c>
      <c r="X1366" t="s">
        <v>1378</v>
      </c>
      <c r="Y1366" t="s">
        <v>118</v>
      </c>
      <c r="Z1366" t="s">
        <v>74</v>
      </c>
      <c r="AA1366" t="str">
        <f>"10469"</f>
        <v>10469</v>
      </c>
      <c r="AB1366" t="s">
        <v>75</v>
      </c>
      <c r="AC1366" t="s">
        <v>76</v>
      </c>
      <c r="AD1366" t="s">
        <v>73</v>
      </c>
      <c r="AE1366" t="s">
        <v>77</v>
      </c>
      <c r="AF1366" t="s">
        <v>2254</v>
      </c>
      <c r="AG1366" t="s">
        <v>78</v>
      </c>
    </row>
    <row r="1367" spans="1:33" hidden="1" x14ac:dyDescent="0.25">
      <c r="A1367" t="str">
        <f>"1942397021"</f>
        <v>1942397021</v>
      </c>
      <c r="B1367" t="str">
        <f>"00834804"</f>
        <v>00834804</v>
      </c>
      <c r="C1367" t="s">
        <v>7057</v>
      </c>
      <c r="D1367" t="s">
        <v>7058</v>
      </c>
      <c r="E1367" t="s">
        <v>7059</v>
      </c>
      <c r="G1367" t="s">
        <v>2224</v>
      </c>
      <c r="H1367" t="s">
        <v>2225</v>
      </c>
      <c r="J1367" t="s">
        <v>2226</v>
      </c>
      <c r="L1367" t="s">
        <v>81</v>
      </c>
      <c r="M1367" t="s">
        <v>73</v>
      </c>
      <c r="R1367" t="s">
        <v>7060</v>
      </c>
      <c r="W1367" t="s">
        <v>7059</v>
      </c>
      <c r="X1367" t="s">
        <v>7061</v>
      </c>
      <c r="Y1367" t="s">
        <v>91</v>
      </c>
      <c r="Z1367" t="s">
        <v>74</v>
      </c>
      <c r="AA1367" t="str">
        <f>"10065-4870"</f>
        <v>10065-4870</v>
      </c>
      <c r="AB1367" t="s">
        <v>75</v>
      </c>
      <c r="AC1367" t="s">
        <v>76</v>
      </c>
      <c r="AD1367" t="s">
        <v>73</v>
      </c>
      <c r="AE1367" t="s">
        <v>77</v>
      </c>
      <c r="AF1367" t="s">
        <v>2398</v>
      </c>
      <c r="AG1367" t="s">
        <v>78</v>
      </c>
    </row>
    <row r="1368" spans="1:33" hidden="1" x14ac:dyDescent="0.25">
      <c r="A1368" t="str">
        <f>"1184724437"</f>
        <v>1184724437</v>
      </c>
      <c r="B1368" t="str">
        <f>"01979919"</f>
        <v>01979919</v>
      </c>
      <c r="C1368" t="s">
        <v>7062</v>
      </c>
      <c r="D1368" t="s">
        <v>7063</v>
      </c>
      <c r="E1368" t="s">
        <v>7064</v>
      </c>
      <c r="G1368" t="s">
        <v>2224</v>
      </c>
      <c r="H1368" t="s">
        <v>2225</v>
      </c>
      <c r="J1368" t="s">
        <v>2226</v>
      </c>
      <c r="L1368" t="s">
        <v>88</v>
      </c>
      <c r="M1368" t="s">
        <v>73</v>
      </c>
      <c r="R1368" t="s">
        <v>7065</v>
      </c>
      <c r="W1368" t="s">
        <v>7064</v>
      </c>
      <c r="X1368" t="s">
        <v>167</v>
      </c>
      <c r="Y1368" t="s">
        <v>91</v>
      </c>
      <c r="Z1368" t="s">
        <v>74</v>
      </c>
      <c r="AA1368" t="str">
        <f>"10032-3720"</f>
        <v>10032-3720</v>
      </c>
      <c r="AB1368" t="s">
        <v>75</v>
      </c>
      <c r="AC1368" t="s">
        <v>76</v>
      </c>
      <c r="AD1368" t="s">
        <v>73</v>
      </c>
      <c r="AE1368" t="s">
        <v>77</v>
      </c>
      <c r="AF1368" t="s">
        <v>2228</v>
      </c>
      <c r="AG1368" t="s">
        <v>78</v>
      </c>
    </row>
    <row r="1369" spans="1:33" hidden="1" x14ac:dyDescent="0.25">
      <c r="A1369" t="str">
        <f>"1487636858"</f>
        <v>1487636858</v>
      </c>
      <c r="B1369" t="str">
        <f>"02161379"</f>
        <v>02161379</v>
      </c>
      <c r="C1369" t="s">
        <v>7066</v>
      </c>
      <c r="D1369" t="s">
        <v>7067</v>
      </c>
      <c r="E1369" t="s">
        <v>7068</v>
      </c>
      <c r="G1369" t="s">
        <v>2224</v>
      </c>
      <c r="H1369" t="s">
        <v>2225</v>
      </c>
      <c r="J1369" t="s">
        <v>2226</v>
      </c>
      <c r="L1369" t="s">
        <v>72</v>
      </c>
      <c r="M1369" t="s">
        <v>73</v>
      </c>
      <c r="R1369" t="s">
        <v>7069</v>
      </c>
      <c r="W1369" t="s">
        <v>7068</v>
      </c>
      <c r="X1369" t="s">
        <v>387</v>
      </c>
      <c r="Y1369" t="s">
        <v>91</v>
      </c>
      <c r="Z1369" t="s">
        <v>74</v>
      </c>
      <c r="AA1369" t="str">
        <f>"10025-1737"</f>
        <v>10025-1737</v>
      </c>
      <c r="AB1369" t="s">
        <v>75</v>
      </c>
      <c r="AC1369" t="s">
        <v>76</v>
      </c>
      <c r="AD1369" t="s">
        <v>73</v>
      </c>
      <c r="AE1369" t="s">
        <v>77</v>
      </c>
      <c r="AF1369" t="s">
        <v>2254</v>
      </c>
      <c r="AG1369" t="s">
        <v>78</v>
      </c>
    </row>
    <row r="1370" spans="1:33" hidden="1" x14ac:dyDescent="0.25">
      <c r="A1370" t="str">
        <f>"1588667877"</f>
        <v>1588667877</v>
      </c>
      <c r="B1370" t="str">
        <f>"01663845"</f>
        <v>01663845</v>
      </c>
      <c r="C1370" t="s">
        <v>7070</v>
      </c>
      <c r="D1370" t="s">
        <v>7071</v>
      </c>
      <c r="E1370" t="s">
        <v>7072</v>
      </c>
      <c r="L1370" t="s">
        <v>80</v>
      </c>
      <c r="M1370" t="s">
        <v>73</v>
      </c>
      <c r="R1370" t="s">
        <v>7073</v>
      </c>
      <c r="W1370" t="s">
        <v>7072</v>
      </c>
      <c r="X1370" t="s">
        <v>7074</v>
      </c>
      <c r="Y1370" t="s">
        <v>91</v>
      </c>
      <c r="Z1370" t="s">
        <v>74</v>
      </c>
      <c r="AA1370" t="str">
        <f>"10003"</f>
        <v>10003</v>
      </c>
      <c r="AB1370" t="s">
        <v>75</v>
      </c>
      <c r="AC1370" t="s">
        <v>76</v>
      </c>
      <c r="AD1370" t="s">
        <v>73</v>
      </c>
      <c r="AE1370" t="s">
        <v>77</v>
      </c>
      <c r="AF1370" t="s">
        <v>2242</v>
      </c>
      <c r="AG1370" t="s">
        <v>78</v>
      </c>
    </row>
    <row r="1371" spans="1:33" hidden="1" x14ac:dyDescent="0.25">
      <c r="A1371" t="str">
        <f>"1659532232"</f>
        <v>1659532232</v>
      </c>
      <c r="B1371" t="str">
        <f>"03293029"</f>
        <v>03293029</v>
      </c>
      <c r="C1371" t="s">
        <v>7075</v>
      </c>
      <c r="D1371" t="s">
        <v>7076</v>
      </c>
      <c r="E1371" t="s">
        <v>7077</v>
      </c>
      <c r="L1371" t="s">
        <v>80</v>
      </c>
      <c r="M1371" t="s">
        <v>73</v>
      </c>
      <c r="R1371" t="s">
        <v>7078</v>
      </c>
      <c r="W1371" t="s">
        <v>7077</v>
      </c>
      <c r="X1371" t="s">
        <v>7079</v>
      </c>
      <c r="Y1371" t="s">
        <v>91</v>
      </c>
      <c r="Z1371" t="s">
        <v>74</v>
      </c>
      <c r="AA1371" t="str">
        <f>"10065-4870"</f>
        <v>10065-4870</v>
      </c>
      <c r="AB1371" t="s">
        <v>75</v>
      </c>
      <c r="AC1371" t="s">
        <v>76</v>
      </c>
      <c r="AD1371" t="s">
        <v>73</v>
      </c>
      <c r="AE1371" t="s">
        <v>77</v>
      </c>
      <c r="AF1371" t="s">
        <v>2242</v>
      </c>
      <c r="AG1371" t="s">
        <v>78</v>
      </c>
    </row>
    <row r="1372" spans="1:33" hidden="1" x14ac:dyDescent="0.25">
      <c r="A1372" t="str">
        <f>"1841234838"</f>
        <v>1841234838</v>
      </c>
      <c r="B1372" t="str">
        <f>"02759511"</f>
        <v>02759511</v>
      </c>
      <c r="C1372" t="s">
        <v>7080</v>
      </c>
      <c r="D1372" t="s">
        <v>7081</v>
      </c>
      <c r="E1372" t="s">
        <v>7082</v>
      </c>
      <c r="G1372" t="s">
        <v>2224</v>
      </c>
      <c r="H1372" t="s">
        <v>2225</v>
      </c>
      <c r="J1372" t="s">
        <v>2226</v>
      </c>
      <c r="L1372" t="s">
        <v>80</v>
      </c>
      <c r="M1372" t="s">
        <v>73</v>
      </c>
      <c r="R1372" t="s">
        <v>7083</v>
      </c>
      <c r="W1372" t="s">
        <v>7082</v>
      </c>
      <c r="X1372" t="s">
        <v>167</v>
      </c>
      <c r="Y1372" t="s">
        <v>91</v>
      </c>
      <c r="Z1372" t="s">
        <v>74</v>
      </c>
      <c r="AA1372" t="str">
        <f>"10032-3720"</f>
        <v>10032-3720</v>
      </c>
      <c r="AB1372" t="s">
        <v>75</v>
      </c>
      <c r="AC1372" t="s">
        <v>76</v>
      </c>
      <c r="AD1372" t="s">
        <v>73</v>
      </c>
      <c r="AE1372" t="s">
        <v>77</v>
      </c>
      <c r="AF1372" t="s">
        <v>2228</v>
      </c>
      <c r="AG1372" t="s">
        <v>78</v>
      </c>
    </row>
    <row r="1373" spans="1:33" hidden="1" x14ac:dyDescent="0.25">
      <c r="A1373" t="str">
        <f>"1235340001"</f>
        <v>1235340001</v>
      </c>
      <c r="B1373" t="str">
        <f>"03366823"</f>
        <v>03366823</v>
      </c>
      <c r="C1373" t="s">
        <v>7084</v>
      </c>
      <c r="D1373" t="s">
        <v>7085</v>
      </c>
      <c r="E1373" t="s">
        <v>7086</v>
      </c>
      <c r="G1373" t="s">
        <v>2224</v>
      </c>
      <c r="H1373" t="s">
        <v>7087</v>
      </c>
      <c r="J1373" t="s">
        <v>2226</v>
      </c>
      <c r="L1373" t="s">
        <v>80</v>
      </c>
      <c r="M1373" t="s">
        <v>73</v>
      </c>
      <c r="R1373" t="s">
        <v>7088</v>
      </c>
      <c r="W1373" t="s">
        <v>7086</v>
      </c>
      <c r="X1373" t="s">
        <v>170</v>
      </c>
      <c r="Y1373" t="s">
        <v>91</v>
      </c>
      <c r="Z1373" t="s">
        <v>74</v>
      </c>
      <c r="AA1373" t="str">
        <f>"10065-4870"</f>
        <v>10065-4870</v>
      </c>
      <c r="AB1373" t="s">
        <v>75</v>
      </c>
      <c r="AC1373" t="s">
        <v>76</v>
      </c>
      <c r="AD1373" t="s">
        <v>73</v>
      </c>
      <c r="AE1373" t="s">
        <v>77</v>
      </c>
      <c r="AF1373" t="s">
        <v>2234</v>
      </c>
      <c r="AG1373" t="s">
        <v>78</v>
      </c>
    </row>
    <row r="1374" spans="1:33" hidden="1" x14ac:dyDescent="0.25">
      <c r="A1374" t="str">
        <f>"1235301318"</f>
        <v>1235301318</v>
      </c>
      <c r="B1374" t="str">
        <f>"03482262"</f>
        <v>03482262</v>
      </c>
      <c r="C1374" t="s">
        <v>7089</v>
      </c>
      <c r="D1374" t="s">
        <v>7090</v>
      </c>
      <c r="E1374" t="s">
        <v>7091</v>
      </c>
      <c r="G1374" t="s">
        <v>2224</v>
      </c>
      <c r="H1374" t="s">
        <v>2225</v>
      </c>
      <c r="J1374" t="s">
        <v>2226</v>
      </c>
      <c r="L1374" t="s">
        <v>80</v>
      </c>
      <c r="M1374" t="s">
        <v>73</v>
      </c>
      <c r="R1374" t="s">
        <v>7092</v>
      </c>
      <c r="W1374" t="s">
        <v>7091</v>
      </c>
      <c r="X1374" t="s">
        <v>167</v>
      </c>
      <c r="Y1374" t="s">
        <v>91</v>
      </c>
      <c r="Z1374" t="s">
        <v>74</v>
      </c>
      <c r="AA1374" t="str">
        <f>"10032-3720"</f>
        <v>10032-3720</v>
      </c>
      <c r="AB1374" t="s">
        <v>75</v>
      </c>
      <c r="AC1374" t="s">
        <v>76</v>
      </c>
      <c r="AD1374" t="s">
        <v>73</v>
      </c>
      <c r="AE1374" t="s">
        <v>77</v>
      </c>
      <c r="AF1374" t="s">
        <v>2234</v>
      </c>
      <c r="AG1374" t="s">
        <v>78</v>
      </c>
    </row>
    <row r="1375" spans="1:33" hidden="1" x14ac:dyDescent="0.25">
      <c r="A1375" t="str">
        <f>"1447404892"</f>
        <v>1447404892</v>
      </c>
      <c r="B1375" t="str">
        <f>"03366103"</f>
        <v>03366103</v>
      </c>
      <c r="C1375" t="s">
        <v>7093</v>
      </c>
      <c r="D1375" t="s">
        <v>7094</v>
      </c>
      <c r="E1375" t="s">
        <v>7095</v>
      </c>
      <c r="L1375" t="s">
        <v>80</v>
      </c>
      <c r="M1375" t="s">
        <v>73</v>
      </c>
      <c r="R1375" t="s">
        <v>7096</v>
      </c>
      <c r="W1375" t="s">
        <v>7097</v>
      </c>
      <c r="X1375" t="s">
        <v>4560</v>
      </c>
      <c r="Y1375" t="s">
        <v>91</v>
      </c>
      <c r="Z1375" t="s">
        <v>74</v>
      </c>
      <c r="AA1375" t="str">
        <f>"10087-4885"</f>
        <v>10087-4885</v>
      </c>
      <c r="AB1375" t="s">
        <v>75</v>
      </c>
      <c r="AC1375" t="s">
        <v>76</v>
      </c>
      <c r="AD1375" t="s">
        <v>73</v>
      </c>
      <c r="AE1375" t="s">
        <v>77</v>
      </c>
      <c r="AF1375" t="s">
        <v>2242</v>
      </c>
      <c r="AG1375" t="s">
        <v>78</v>
      </c>
    </row>
    <row r="1376" spans="1:33" hidden="1" x14ac:dyDescent="0.25">
      <c r="A1376" t="str">
        <f>"1801879564"</f>
        <v>1801879564</v>
      </c>
      <c r="B1376" t="str">
        <f>"00661610"</f>
        <v>00661610</v>
      </c>
      <c r="C1376" t="s">
        <v>7098</v>
      </c>
      <c r="D1376" t="s">
        <v>7099</v>
      </c>
      <c r="E1376" t="s">
        <v>7100</v>
      </c>
      <c r="G1376" t="s">
        <v>2224</v>
      </c>
      <c r="H1376" t="s">
        <v>2225</v>
      </c>
      <c r="J1376" t="s">
        <v>2226</v>
      </c>
      <c r="L1376" t="s">
        <v>72</v>
      </c>
      <c r="M1376" t="s">
        <v>73</v>
      </c>
      <c r="R1376" t="s">
        <v>7101</v>
      </c>
      <c r="W1376" t="s">
        <v>7102</v>
      </c>
      <c r="X1376" t="s">
        <v>2182</v>
      </c>
      <c r="Y1376" t="s">
        <v>1339</v>
      </c>
      <c r="Z1376" t="s">
        <v>74</v>
      </c>
      <c r="AA1376" t="str">
        <f>"10954-1601"</f>
        <v>10954-1601</v>
      </c>
      <c r="AB1376" t="s">
        <v>75</v>
      </c>
      <c r="AC1376" t="s">
        <v>76</v>
      </c>
      <c r="AD1376" t="s">
        <v>73</v>
      </c>
      <c r="AE1376" t="s">
        <v>77</v>
      </c>
      <c r="AF1376" t="s">
        <v>2228</v>
      </c>
      <c r="AG1376" t="s">
        <v>78</v>
      </c>
    </row>
    <row r="1377" spans="1:33" hidden="1" x14ac:dyDescent="0.25">
      <c r="A1377" t="str">
        <f>"1184824393"</f>
        <v>1184824393</v>
      </c>
      <c r="B1377" t="str">
        <f>"03918701"</f>
        <v>03918701</v>
      </c>
      <c r="C1377" t="s">
        <v>7103</v>
      </c>
      <c r="D1377" t="s">
        <v>7104</v>
      </c>
      <c r="E1377" t="s">
        <v>7105</v>
      </c>
      <c r="G1377" t="s">
        <v>2224</v>
      </c>
      <c r="H1377" t="s">
        <v>2225</v>
      </c>
      <c r="J1377" t="s">
        <v>2226</v>
      </c>
      <c r="L1377" t="s">
        <v>72</v>
      </c>
      <c r="M1377" t="s">
        <v>73</v>
      </c>
      <c r="R1377" t="s">
        <v>7105</v>
      </c>
      <c r="W1377" t="s">
        <v>7105</v>
      </c>
      <c r="X1377" t="s">
        <v>183</v>
      </c>
      <c r="Y1377" t="s">
        <v>91</v>
      </c>
      <c r="Z1377" t="s">
        <v>74</v>
      </c>
      <c r="AA1377" t="str">
        <f>"10032-3729"</f>
        <v>10032-3729</v>
      </c>
      <c r="AB1377" t="s">
        <v>75</v>
      </c>
      <c r="AC1377" t="s">
        <v>76</v>
      </c>
      <c r="AD1377" t="s">
        <v>73</v>
      </c>
      <c r="AE1377" t="s">
        <v>77</v>
      </c>
      <c r="AF1377" t="s">
        <v>2228</v>
      </c>
      <c r="AG1377" t="s">
        <v>78</v>
      </c>
    </row>
    <row r="1378" spans="1:33" hidden="1" x14ac:dyDescent="0.25">
      <c r="A1378" t="str">
        <f>"1184942773"</f>
        <v>1184942773</v>
      </c>
      <c r="B1378" t="str">
        <f>"03879316"</f>
        <v>03879316</v>
      </c>
      <c r="C1378" t="s">
        <v>7106</v>
      </c>
      <c r="D1378" t="s">
        <v>7107</v>
      </c>
      <c r="E1378" t="s">
        <v>7108</v>
      </c>
      <c r="G1378" t="s">
        <v>2224</v>
      </c>
      <c r="H1378" t="s">
        <v>2225</v>
      </c>
      <c r="J1378" t="s">
        <v>2226</v>
      </c>
      <c r="L1378" t="s">
        <v>80</v>
      </c>
      <c r="M1378" t="s">
        <v>73</v>
      </c>
      <c r="R1378" t="s">
        <v>7108</v>
      </c>
      <c r="W1378" t="s">
        <v>7108</v>
      </c>
      <c r="X1378" t="s">
        <v>183</v>
      </c>
      <c r="Y1378" t="s">
        <v>91</v>
      </c>
      <c r="Z1378" t="s">
        <v>74</v>
      </c>
      <c r="AA1378" t="str">
        <f>"10032-3729"</f>
        <v>10032-3729</v>
      </c>
      <c r="AB1378" t="s">
        <v>75</v>
      </c>
      <c r="AC1378" t="s">
        <v>76</v>
      </c>
      <c r="AD1378" t="s">
        <v>73</v>
      </c>
      <c r="AE1378" t="s">
        <v>77</v>
      </c>
      <c r="AF1378" t="s">
        <v>2228</v>
      </c>
      <c r="AG1378" t="s">
        <v>78</v>
      </c>
    </row>
    <row r="1379" spans="1:33" hidden="1" x14ac:dyDescent="0.25">
      <c r="A1379" t="str">
        <f>"1992719173"</f>
        <v>1992719173</v>
      </c>
      <c r="B1379" t="str">
        <f>"02583695"</f>
        <v>02583695</v>
      </c>
      <c r="C1379" t="s">
        <v>7109</v>
      </c>
      <c r="D1379" t="s">
        <v>7110</v>
      </c>
      <c r="E1379" t="s">
        <v>7111</v>
      </c>
      <c r="L1379" t="s">
        <v>80</v>
      </c>
      <c r="M1379" t="s">
        <v>73</v>
      </c>
      <c r="R1379" t="s">
        <v>7112</v>
      </c>
      <c r="W1379" t="s">
        <v>7111</v>
      </c>
      <c r="X1379" t="s">
        <v>7113</v>
      </c>
      <c r="Y1379" t="s">
        <v>91</v>
      </c>
      <c r="Z1379" t="s">
        <v>74</v>
      </c>
      <c r="AA1379" t="str">
        <f>"10065-4870"</f>
        <v>10065-4870</v>
      </c>
      <c r="AB1379" t="s">
        <v>75</v>
      </c>
      <c r="AC1379" t="s">
        <v>76</v>
      </c>
      <c r="AD1379" t="s">
        <v>73</v>
      </c>
      <c r="AE1379" t="s">
        <v>77</v>
      </c>
      <c r="AF1379" t="s">
        <v>2242</v>
      </c>
      <c r="AG1379" t="s">
        <v>78</v>
      </c>
    </row>
    <row r="1380" spans="1:33" hidden="1" x14ac:dyDescent="0.25">
      <c r="A1380" t="str">
        <f>"1013151208"</f>
        <v>1013151208</v>
      </c>
      <c r="B1380" t="str">
        <f>"03109964"</f>
        <v>03109964</v>
      </c>
      <c r="C1380" t="s">
        <v>7114</v>
      </c>
      <c r="D1380" t="s">
        <v>7115</v>
      </c>
      <c r="E1380" t="s">
        <v>7116</v>
      </c>
      <c r="L1380" t="s">
        <v>80</v>
      </c>
      <c r="M1380" t="s">
        <v>73</v>
      </c>
      <c r="R1380" t="s">
        <v>7117</v>
      </c>
      <c r="W1380" t="s">
        <v>7116</v>
      </c>
      <c r="X1380" t="s">
        <v>170</v>
      </c>
      <c r="Y1380" t="s">
        <v>91</v>
      </c>
      <c r="Z1380" t="s">
        <v>74</v>
      </c>
      <c r="AA1380" t="str">
        <f>"10065-4885"</f>
        <v>10065-4885</v>
      </c>
      <c r="AB1380" t="s">
        <v>75</v>
      </c>
      <c r="AC1380" t="s">
        <v>76</v>
      </c>
      <c r="AD1380" t="s">
        <v>73</v>
      </c>
      <c r="AE1380" t="s">
        <v>77</v>
      </c>
      <c r="AF1380" t="s">
        <v>2242</v>
      </c>
      <c r="AG1380" t="s">
        <v>78</v>
      </c>
    </row>
    <row r="1381" spans="1:33" hidden="1" x14ac:dyDescent="0.25">
      <c r="A1381" t="str">
        <f>"1073542866"</f>
        <v>1073542866</v>
      </c>
      <c r="B1381" t="str">
        <f>"02575244"</f>
        <v>02575244</v>
      </c>
      <c r="C1381" t="s">
        <v>7118</v>
      </c>
      <c r="D1381" t="s">
        <v>7119</v>
      </c>
      <c r="E1381" t="s">
        <v>7120</v>
      </c>
      <c r="G1381" t="s">
        <v>2224</v>
      </c>
      <c r="H1381" t="s">
        <v>2225</v>
      </c>
      <c r="J1381" t="s">
        <v>2226</v>
      </c>
      <c r="L1381" t="s">
        <v>81</v>
      </c>
      <c r="M1381" t="s">
        <v>82</v>
      </c>
      <c r="R1381" t="s">
        <v>7121</v>
      </c>
      <c r="W1381" t="s">
        <v>7120</v>
      </c>
      <c r="X1381" t="s">
        <v>1547</v>
      </c>
      <c r="Y1381" t="s">
        <v>91</v>
      </c>
      <c r="Z1381" t="s">
        <v>74</v>
      </c>
      <c r="AA1381" t="str">
        <f>"10029-6542"</f>
        <v>10029-6542</v>
      </c>
      <c r="AB1381" t="s">
        <v>75</v>
      </c>
      <c r="AC1381" t="s">
        <v>76</v>
      </c>
      <c r="AD1381" t="s">
        <v>73</v>
      </c>
      <c r="AE1381" t="s">
        <v>77</v>
      </c>
      <c r="AF1381" t="s">
        <v>2228</v>
      </c>
      <c r="AG1381" t="s">
        <v>78</v>
      </c>
    </row>
    <row r="1382" spans="1:33" hidden="1" x14ac:dyDescent="0.25">
      <c r="A1382" t="str">
        <f>"1699800821"</f>
        <v>1699800821</v>
      </c>
      <c r="B1382" t="str">
        <f>"03402935"</f>
        <v>03402935</v>
      </c>
      <c r="C1382" t="s">
        <v>7122</v>
      </c>
      <c r="D1382" t="s">
        <v>7123</v>
      </c>
      <c r="E1382" t="s">
        <v>7124</v>
      </c>
      <c r="G1382" t="s">
        <v>2224</v>
      </c>
      <c r="H1382" t="s">
        <v>2225</v>
      </c>
      <c r="J1382" t="s">
        <v>2226</v>
      </c>
      <c r="L1382" t="s">
        <v>72</v>
      </c>
      <c r="M1382" t="s">
        <v>73</v>
      </c>
      <c r="R1382" t="s">
        <v>7124</v>
      </c>
      <c r="W1382" t="s">
        <v>7125</v>
      </c>
      <c r="X1382" t="s">
        <v>3189</v>
      </c>
      <c r="Y1382" t="s">
        <v>91</v>
      </c>
      <c r="Z1382" t="s">
        <v>74</v>
      </c>
      <c r="AA1382" t="str">
        <f>"10032-1559"</f>
        <v>10032-1559</v>
      </c>
      <c r="AB1382" t="s">
        <v>113</v>
      </c>
      <c r="AC1382" t="s">
        <v>76</v>
      </c>
      <c r="AD1382" t="s">
        <v>73</v>
      </c>
      <c r="AE1382" t="s">
        <v>77</v>
      </c>
      <c r="AF1382" t="s">
        <v>2254</v>
      </c>
      <c r="AG1382" t="s">
        <v>78</v>
      </c>
    </row>
    <row r="1383" spans="1:33" hidden="1" x14ac:dyDescent="0.25">
      <c r="A1383" t="str">
        <f>"1104912898"</f>
        <v>1104912898</v>
      </c>
      <c r="B1383" t="str">
        <f>"03100061"</f>
        <v>03100061</v>
      </c>
      <c r="C1383" t="s">
        <v>7126</v>
      </c>
      <c r="D1383" t="s">
        <v>7127</v>
      </c>
      <c r="E1383" t="s">
        <v>7128</v>
      </c>
      <c r="G1383" t="s">
        <v>2224</v>
      </c>
      <c r="H1383" t="s">
        <v>2225</v>
      </c>
      <c r="J1383" t="s">
        <v>2226</v>
      </c>
      <c r="L1383" t="s">
        <v>72</v>
      </c>
      <c r="M1383" t="s">
        <v>73</v>
      </c>
      <c r="R1383" t="s">
        <v>7128</v>
      </c>
      <c r="W1383" t="s">
        <v>7128</v>
      </c>
      <c r="X1383" t="s">
        <v>7129</v>
      </c>
      <c r="Y1383" t="s">
        <v>91</v>
      </c>
      <c r="Z1383" t="s">
        <v>74</v>
      </c>
      <c r="AA1383" t="str">
        <f>"10021-4872"</f>
        <v>10021-4872</v>
      </c>
      <c r="AB1383" t="s">
        <v>106</v>
      </c>
      <c r="AC1383" t="s">
        <v>76</v>
      </c>
      <c r="AD1383" t="s">
        <v>73</v>
      </c>
      <c r="AE1383" t="s">
        <v>77</v>
      </c>
      <c r="AF1383" t="s">
        <v>2398</v>
      </c>
      <c r="AG1383" t="s">
        <v>78</v>
      </c>
    </row>
    <row r="1384" spans="1:33" hidden="1" x14ac:dyDescent="0.25">
      <c r="A1384" t="str">
        <f>"1851310254"</f>
        <v>1851310254</v>
      </c>
      <c r="B1384" t="str">
        <f>"00226375"</f>
        <v>00226375</v>
      </c>
      <c r="C1384" t="s">
        <v>7130</v>
      </c>
      <c r="D1384" t="s">
        <v>1648</v>
      </c>
      <c r="E1384" t="s">
        <v>1649</v>
      </c>
      <c r="G1384" t="s">
        <v>2224</v>
      </c>
      <c r="H1384" t="s">
        <v>2225</v>
      </c>
      <c r="J1384" t="s">
        <v>2226</v>
      </c>
      <c r="L1384" t="s">
        <v>80</v>
      </c>
      <c r="M1384" t="s">
        <v>82</v>
      </c>
      <c r="R1384" t="s">
        <v>1426</v>
      </c>
      <c r="W1384" t="s">
        <v>1649</v>
      </c>
      <c r="X1384" t="s">
        <v>1650</v>
      </c>
      <c r="Y1384" t="s">
        <v>91</v>
      </c>
      <c r="Z1384" t="s">
        <v>74</v>
      </c>
      <c r="AA1384" t="str">
        <f>"10030-2802"</f>
        <v>10030-2802</v>
      </c>
      <c r="AB1384" t="s">
        <v>75</v>
      </c>
      <c r="AC1384" t="s">
        <v>76</v>
      </c>
      <c r="AD1384" t="s">
        <v>73</v>
      </c>
      <c r="AE1384" t="s">
        <v>77</v>
      </c>
      <c r="AF1384" t="s">
        <v>2228</v>
      </c>
      <c r="AG1384" t="s">
        <v>78</v>
      </c>
    </row>
    <row r="1385" spans="1:33" hidden="1" x14ac:dyDescent="0.25">
      <c r="A1385" t="str">
        <f>"1659659357"</f>
        <v>1659659357</v>
      </c>
      <c r="B1385" t="str">
        <f>"04138143"</f>
        <v>04138143</v>
      </c>
      <c r="C1385" t="s">
        <v>7131</v>
      </c>
      <c r="D1385" t="s">
        <v>7132</v>
      </c>
      <c r="E1385" t="s">
        <v>7133</v>
      </c>
      <c r="G1385" t="s">
        <v>2224</v>
      </c>
      <c r="H1385" t="s">
        <v>2225</v>
      </c>
      <c r="J1385" t="s">
        <v>2226</v>
      </c>
      <c r="L1385" t="s">
        <v>72</v>
      </c>
      <c r="M1385" t="s">
        <v>73</v>
      </c>
      <c r="R1385" t="s">
        <v>7134</v>
      </c>
      <c r="W1385" t="s">
        <v>7133</v>
      </c>
      <c r="X1385" t="s">
        <v>272</v>
      </c>
      <c r="Y1385" t="s">
        <v>91</v>
      </c>
      <c r="Z1385" t="s">
        <v>74</v>
      </c>
      <c r="AA1385" t="str">
        <f>"10038-2612"</f>
        <v>10038-2612</v>
      </c>
      <c r="AB1385" t="s">
        <v>75</v>
      </c>
      <c r="AC1385" t="s">
        <v>76</v>
      </c>
      <c r="AD1385" t="s">
        <v>73</v>
      </c>
      <c r="AE1385" t="s">
        <v>77</v>
      </c>
      <c r="AF1385" t="s">
        <v>2234</v>
      </c>
      <c r="AG1385" t="s">
        <v>78</v>
      </c>
    </row>
    <row r="1386" spans="1:33" hidden="1" x14ac:dyDescent="0.25">
      <c r="A1386" t="str">
        <f>"1881731172"</f>
        <v>1881731172</v>
      </c>
      <c r="B1386" t="str">
        <f>"01845110"</f>
        <v>01845110</v>
      </c>
      <c r="C1386" t="s">
        <v>7135</v>
      </c>
      <c r="D1386" t="s">
        <v>7136</v>
      </c>
      <c r="E1386" t="s">
        <v>7137</v>
      </c>
      <c r="G1386" t="s">
        <v>2224</v>
      </c>
      <c r="H1386" t="s">
        <v>2225</v>
      </c>
      <c r="J1386" t="s">
        <v>2226</v>
      </c>
      <c r="L1386" t="s">
        <v>81</v>
      </c>
      <c r="M1386" t="s">
        <v>73</v>
      </c>
      <c r="R1386" t="s">
        <v>7138</v>
      </c>
      <c r="W1386" t="s">
        <v>7137</v>
      </c>
      <c r="X1386" t="s">
        <v>7139</v>
      </c>
      <c r="Y1386" t="s">
        <v>91</v>
      </c>
      <c r="Z1386" t="s">
        <v>74</v>
      </c>
      <c r="AA1386" t="str">
        <f>"10065-4870"</f>
        <v>10065-4870</v>
      </c>
      <c r="AB1386" t="s">
        <v>75</v>
      </c>
      <c r="AC1386" t="s">
        <v>76</v>
      </c>
      <c r="AD1386" t="s">
        <v>73</v>
      </c>
      <c r="AE1386" t="s">
        <v>77</v>
      </c>
      <c r="AF1386" t="s">
        <v>2398</v>
      </c>
      <c r="AG1386" t="s">
        <v>78</v>
      </c>
    </row>
    <row r="1387" spans="1:33" hidden="1" x14ac:dyDescent="0.25">
      <c r="A1387" t="str">
        <f>"1972525988"</f>
        <v>1972525988</v>
      </c>
      <c r="B1387" t="str">
        <f>"02931088"</f>
        <v>02931088</v>
      </c>
      <c r="C1387" t="s">
        <v>7140</v>
      </c>
      <c r="D1387" t="s">
        <v>7141</v>
      </c>
      <c r="E1387" t="s">
        <v>7142</v>
      </c>
      <c r="G1387" t="s">
        <v>2514</v>
      </c>
      <c r="H1387" t="s">
        <v>7143</v>
      </c>
      <c r="J1387" t="s">
        <v>2516</v>
      </c>
      <c r="L1387" t="s">
        <v>96</v>
      </c>
      <c r="M1387" t="s">
        <v>73</v>
      </c>
      <c r="R1387" t="s">
        <v>7144</v>
      </c>
      <c r="W1387" t="s">
        <v>7142</v>
      </c>
      <c r="X1387" t="s">
        <v>7145</v>
      </c>
      <c r="Y1387" t="s">
        <v>91</v>
      </c>
      <c r="Z1387" t="s">
        <v>74</v>
      </c>
      <c r="AA1387" t="str">
        <f>"10025-6525"</f>
        <v>10025-6525</v>
      </c>
      <c r="AB1387" t="s">
        <v>106</v>
      </c>
      <c r="AC1387" t="s">
        <v>76</v>
      </c>
      <c r="AD1387" t="s">
        <v>73</v>
      </c>
      <c r="AE1387" t="s">
        <v>77</v>
      </c>
      <c r="AF1387" t="s">
        <v>2518</v>
      </c>
      <c r="AG1387" t="s">
        <v>78</v>
      </c>
    </row>
    <row r="1388" spans="1:33" hidden="1" x14ac:dyDescent="0.25">
      <c r="A1388" t="str">
        <f>"1346313178"</f>
        <v>1346313178</v>
      </c>
      <c r="B1388" t="str">
        <f>"03967806"</f>
        <v>03967806</v>
      </c>
      <c r="C1388" t="s">
        <v>7146</v>
      </c>
      <c r="D1388" t="s">
        <v>7147</v>
      </c>
      <c r="E1388" t="s">
        <v>7148</v>
      </c>
      <c r="G1388" t="s">
        <v>2514</v>
      </c>
      <c r="H1388" t="s">
        <v>7149</v>
      </c>
      <c r="J1388" t="s">
        <v>2516</v>
      </c>
      <c r="L1388" t="s">
        <v>72</v>
      </c>
      <c r="M1388" t="s">
        <v>73</v>
      </c>
      <c r="R1388" t="s">
        <v>7148</v>
      </c>
      <c r="W1388" t="s">
        <v>7148</v>
      </c>
      <c r="X1388" t="s">
        <v>1929</v>
      </c>
      <c r="Y1388" t="s">
        <v>91</v>
      </c>
      <c r="Z1388" t="s">
        <v>74</v>
      </c>
      <c r="AA1388" t="str">
        <f>"10032-4207"</f>
        <v>10032-4207</v>
      </c>
      <c r="AB1388" t="s">
        <v>106</v>
      </c>
      <c r="AC1388" t="s">
        <v>76</v>
      </c>
      <c r="AD1388" t="s">
        <v>73</v>
      </c>
      <c r="AE1388" t="s">
        <v>77</v>
      </c>
      <c r="AF1388" t="s">
        <v>2518</v>
      </c>
      <c r="AG1388" t="s">
        <v>78</v>
      </c>
    </row>
    <row r="1389" spans="1:33" hidden="1" x14ac:dyDescent="0.25">
      <c r="A1389" t="str">
        <f>"1144417635"</f>
        <v>1144417635</v>
      </c>
      <c r="B1389" t="str">
        <f>"03033630"</f>
        <v>03033630</v>
      </c>
      <c r="C1389" t="s">
        <v>7150</v>
      </c>
      <c r="D1389" t="s">
        <v>1623</v>
      </c>
      <c r="E1389" t="s">
        <v>1624</v>
      </c>
      <c r="G1389" t="s">
        <v>2224</v>
      </c>
      <c r="H1389" t="s">
        <v>7151</v>
      </c>
      <c r="J1389" t="s">
        <v>2226</v>
      </c>
      <c r="L1389" t="s">
        <v>72</v>
      </c>
      <c r="M1389" t="s">
        <v>73</v>
      </c>
      <c r="R1389" t="s">
        <v>1625</v>
      </c>
      <c r="W1389" t="s">
        <v>1626</v>
      </c>
      <c r="X1389" t="s">
        <v>1627</v>
      </c>
      <c r="Y1389" t="s">
        <v>91</v>
      </c>
      <c r="Z1389" t="s">
        <v>74</v>
      </c>
      <c r="AA1389" t="str">
        <f>"10032-3729"</f>
        <v>10032-3729</v>
      </c>
      <c r="AB1389" t="s">
        <v>75</v>
      </c>
      <c r="AC1389" t="s">
        <v>76</v>
      </c>
      <c r="AD1389" t="s">
        <v>73</v>
      </c>
      <c r="AE1389" t="s">
        <v>77</v>
      </c>
      <c r="AF1389" t="s">
        <v>2228</v>
      </c>
      <c r="AG1389" t="s">
        <v>78</v>
      </c>
    </row>
    <row r="1390" spans="1:33" hidden="1" x14ac:dyDescent="0.25">
      <c r="A1390" t="str">
        <f>"1558461871"</f>
        <v>1558461871</v>
      </c>
      <c r="B1390" t="str">
        <f>"01644375"</f>
        <v>01644375</v>
      </c>
      <c r="C1390" t="s">
        <v>7152</v>
      </c>
      <c r="D1390" t="s">
        <v>7153</v>
      </c>
      <c r="E1390" t="s">
        <v>7154</v>
      </c>
      <c r="G1390" t="s">
        <v>2224</v>
      </c>
      <c r="H1390" t="s">
        <v>2225</v>
      </c>
      <c r="J1390" t="s">
        <v>2226</v>
      </c>
      <c r="L1390" t="s">
        <v>72</v>
      </c>
      <c r="M1390" t="s">
        <v>73</v>
      </c>
      <c r="R1390" t="s">
        <v>7155</v>
      </c>
      <c r="W1390" t="s">
        <v>7154</v>
      </c>
      <c r="X1390" t="s">
        <v>1582</v>
      </c>
      <c r="Y1390" t="s">
        <v>91</v>
      </c>
      <c r="Z1390" t="s">
        <v>74</v>
      </c>
      <c r="AA1390" t="str">
        <f>"10022-1002"</f>
        <v>10022-1002</v>
      </c>
      <c r="AB1390" t="s">
        <v>75</v>
      </c>
      <c r="AC1390" t="s">
        <v>76</v>
      </c>
      <c r="AD1390" t="s">
        <v>73</v>
      </c>
      <c r="AE1390" t="s">
        <v>77</v>
      </c>
      <c r="AF1390" t="s">
        <v>2254</v>
      </c>
      <c r="AG1390" t="s">
        <v>78</v>
      </c>
    </row>
    <row r="1391" spans="1:33" hidden="1" x14ac:dyDescent="0.25">
      <c r="A1391" t="str">
        <f>"1083633036"</f>
        <v>1083633036</v>
      </c>
      <c r="B1391" t="str">
        <f>"00243518"</f>
        <v>00243518</v>
      </c>
      <c r="C1391" t="s">
        <v>7156</v>
      </c>
      <c r="D1391" t="s">
        <v>3459</v>
      </c>
      <c r="E1391" t="s">
        <v>3460</v>
      </c>
      <c r="G1391" t="s">
        <v>2224</v>
      </c>
      <c r="H1391" t="s">
        <v>2225</v>
      </c>
      <c r="J1391" t="s">
        <v>2226</v>
      </c>
      <c r="L1391" t="s">
        <v>444</v>
      </c>
      <c r="M1391" t="s">
        <v>82</v>
      </c>
      <c r="R1391" t="s">
        <v>3461</v>
      </c>
      <c r="W1391" t="s">
        <v>3462</v>
      </c>
      <c r="X1391" t="s">
        <v>170</v>
      </c>
      <c r="Y1391" t="s">
        <v>91</v>
      </c>
      <c r="Z1391" t="s">
        <v>74</v>
      </c>
      <c r="AA1391" t="str">
        <f>"10065-4870"</f>
        <v>10065-4870</v>
      </c>
      <c r="AB1391" t="s">
        <v>90</v>
      </c>
      <c r="AC1391" t="s">
        <v>76</v>
      </c>
      <c r="AD1391" t="s">
        <v>73</v>
      </c>
      <c r="AE1391" t="s">
        <v>77</v>
      </c>
      <c r="AF1391" t="s">
        <v>2242</v>
      </c>
      <c r="AG1391" t="s">
        <v>78</v>
      </c>
    </row>
    <row r="1392" spans="1:33" hidden="1" x14ac:dyDescent="0.25">
      <c r="A1392" t="str">
        <f>"1144504044"</f>
        <v>1144504044</v>
      </c>
      <c r="C1392" t="s">
        <v>7157</v>
      </c>
      <c r="G1392" t="s">
        <v>2224</v>
      </c>
      <c r="H1392" t="s">
        <v>2225</v>
      </c>
      <c r="J1392" t="s">
        <v>2226</v>
      </c>
      <c r="K1392" t="s">
        <v>565</v>
      </c>
      <c r="L1392" t="s">
        <v>96</v>
      </c>
      <c r="M1392" t="s">
        <v>73</v>
      </c>
      <c r="R1392" t="s">
        <v>7158</v>
      </c>
      <c r="S1392" t="s">
        <v>170</v>
      </c>
      <c r="T1392" t="s">
        <v>91</v>
      </c>
      <c r="U1392" t="s">
        <v>74</v>
      </c>
      <c r="V1392" t="str">
        <f>"100654870"</f>
        <v>100654870</v>
      </c>
      <c r="AC1392" t="s">
        <v>76</v>
      </c>
      <c r="AD1392" t="s">
        <v>73</v>
      </c>
      <c r="AE1392" t="s">
        <v>97</v>
      </c>
      <c r="AF1392" t="s">
        <v>2234</v>
      </c>
      <c r="AG1392" t="s">
        <v>78</v>
      </c>
    </row>
    <row r="1393" spans="1:33" hidden="1" x14ac:dyDescent="0.25">
      <c r="A1393" t="str">
        <f>"1659663995"</f>
        <v>1659663995</v>
      </c>
      <c r="B1393" t="str">
        <f>"04454766"</f>
        <v>04454766</v>
      </c>
      <c r="C1393" t="s">
        <v>7159</v>
      </c>
      <c r="D1393" t="s">
        <v>7160</v>
      </c>
      <c r="E1393" t="s">
        <v>7161</v>
      </c>
      <c r="G1393" t="s">
        <v>2224</v>
      </c>
      <c r="H1393" t="s">
        <v>2312</v>
      </c>
      <c r="J1393" t="s">
        <v>2226</v>
      </c>
      <c r="L1393" t="s">
        <v>96</v>
      </c>
      <c r="M1393" t="s">
        <v>73</v>
      </c>
      <c r="R1393" t="s">
        <v>7161</v>
      </c>
      <c r="W1393" t="s">
        <v>7161</v>
      </c>
      <c r="AB1393" t="s">
        <v>75</v>
      </c>
      <c r="AC1393" t="s">
        <v>76</v>
      </c>
      <c r="AD1393" t="s">
        <v>73</v>
      </c>
      <c r="AE1393" t="s">
        <v>77</v>
      </c>
      <c r="AF1393" t="s">
        <v>2234</v>
      </c>
      <c r="AG1393" t="s">
        <v>78</v>
      </c>
    </row>
    <row r="1394" spans="1:33" hidden="1" x14ac:dyDescent="0.25">
      <c r="A1394" t="str">
        <f>"1730471079"</f>
        <v>1730471079</v>
      </c>
      <c r="B1394" t="str">
        <f>"04181646"</f>
        <v>04181646</v>
      </c>
      <c r="C1394" t="s">
        <v>7162</v>
      </c>
      <c r="D1394" t="s">
        <v>7163</v>
      </c>
      <c r="E1394" t="s">
        <v>7164</v>
      </c>
      <c r="G1394" t="s">
        <v>2224</v>
      </c>
      <c r="H1394" t="s">
        <v>2312</v>
      </c>
      <c r="J1394" t="s">
        <v>2226</v>
      </c>
      <c r="L1394" t="s">
        <v>80</v>
      </c>
      <c r="M1394" t="s">
        <v>73</v>
      </c>
      <c r="R1394" t="s">
        <v>7165</v>
      </c>
      <c r="W1394" t="s">
        <v>7164</v>
      </c>
      <c r="X1394" t="s">
        <v>1218</v>
      </c>
      <c r="Y1394" t="s">
        <v>132</v>
      </c>
      <c r="Z1394" t="s">
        <v>74</v>
      </c>
      <c r="AA1394" t="str">
        <f>"10595-1530"</f>
        <v>10595-1530</v>
      </c>
      <c r="AB1394" t="s">
        <v>75</v>
      </c>
      <c r="AC1394" t="s">
        <v>76</v>
      </c>
      <c r="AD1394" t="s">
        <v>73</v>
      </c>
      <c r="AE1394" t="s">
        <v>77</v>
      </c>
      <c r="AF1394" t="s">
        <v>2234</v>
      </c>
      <c r="AG1394" t="s">
        <v>78</v>
      </c>
    </row>
    <row r="1395" spans="1:33" hidden="1" x14ac:dyDescent="0.25">
      <c r="A1395" t="str">
        <f>"1780716423"</f>
        <v>1780716423</v>
      </c>
      <c r="B1395" t="str">
        <f>"03756769"</f>
        <v>03756769</v>
      </c>
      <c r="C1395" t="s">
        <v>7166</v>
      </c>
      <c r="D1395" t="s">
        <v>1638</v>
      </c>
      <c r="E1395" t="s">
        <v>1639</v>
      </c>
      <c r="G1395" t="s">
        <v>2260</v>
      </c>
      <c r="H1395" t="s">
        <v>7167</v>
      </c>
      <c r="J1395" t="s">
        <v>1512</v>
      </c>
      <c r="L1395" t="s">
        <v>72</v>
      </c>
      <c r="M1395" t="s">
        <v>73</v>
      </c>
      <c r="R1395" t="s">
        <v>1640</v>
      </c>
      <c r="W1395" t="s">
        <v>1639</v>
      </c>
      <c r="X1395" t="s">
        <v>1585</v>
      </c>
      <c r="Y1395" t="s">
        <v>91</v>
      </c>
      <c r="Z1395" t="s">
        <v>74</v>
      </c>
      <c r="AA1395" t="str">
        <f>"10021-4707"</f>
        <v>10021-4707</v>
      </c>
      <c r="AB1395" t="s">
        <v>75</v>
      </c>
      <c r="AC1395" t="s">
        <v>76</v>
      </c>
      <c r="AD1395" t="s">
        <v>73</v>
      </c>
      <c r="AE1395" t="s">
        <v>77</v>
      </c>
      <c r="AG1395" t="s">
        <v>78</v>
      </c>
    </row>
    <row r="1396" spans="1:33" hidden="1" x14ac:dyDescent="0.25">
      <c r="A1396" t="str">
        <f>"1700897840"</f>
        <v>1700897840</v>
      </c>
      <c r="B1396" t="str">
        <f>"01195853"</f>
        <v>01195853</v>
      </c>
      <c r="C1396" t="s">
        <v>7168</v>
      </c>
      <c r="D1396" t="s">
        <v>7169</v>
      </c>
      <c r="E1396" t="s">
        <v>7170</v>
      </c>
      <c r="L1396" t="s">
        <v>80</v>
      </c>
      <c r="M1396" t="s">
        <v>73</v>
      </c>
      <c r="R1396" t="s">
        <v>7171</v>
      </c>
      <c r="W1396" t="s">
        <v>7170</v>
      </c>
      <c r="X1396" t="s">
        <v>170</v>
      </c>
      <c r="Y1396" t="s">
        <v>91</v>
      </c>
      <c r="Z1396" t="s">
        <v>74</v>
      </c>
      <c r="AA1396" t="str">
        <f>"10065-4870"</f>
        <v>10065-4870</v>
      </c>
      <c r="AB1396" t="s">
        <v>75</v>
      </c>
      <c r="AC1396" t="s">
        <v>76</v>
      </c>
      <c r="AD1396" t="s">
        <v>73</v>
      </c>
      <c r="AE1396" t="s">
        <v>77</v>
      </c>
      <c r="AG1396" t="s">
        <v>78</v>
      </c>
    </row>
    <row r="1397" spans="1:33" hidden="1" x14ac:dyDescent="0.25">
      <c r="A1397" t="str">
        <f>"1083974794"</f>
        <v>1083974794</v>
      </c>
      <c r="B1397" t="str">
        <f>"04606153"</f>
        <v>04606153</v>
      </c>
      <c r="C1397" t="s">
        <v>7172</v>
      </c>
      <c r="D1397" t="s">
        <v>7173</v>
      </c>
      <c r="E1397" t="s">
        <v>7174</v>
      </c>
      <c r="G1397" t="s">
        <v>2224</v>
      </c>
      <c r="H1397" t="s">
        <v>2312</v>
      </c>
      <c r="J1397" t="s">
        <v>2226</v>
      </c>
      <c r="L1397" t="s">
        <v>96</v>
      </c>
      <c r="M1397" t="s">
        <v>73</v>
      </c>
      <c r="R1397" t="s">
        <v>7175</v>
      </c>
      <c r="W1397" t="s">
        <v>7174</v>
      </c>
      <c r="AB1397" t="s">
        <v>75</v>
      </c>
      <c r="AC1397" t="s">
        <v>76</v>
      </c>
      <c r="AD1397" t="s">
        <v>73</v>
      </c>
      <c r="AE1397" t="s">
        <v>77</v>
      </c>
      <c r="AF1397" t="s">
        <v>2242</v>
      </c>
      <c r="AG1397" t="s">
        <v>78</v>
      </c>
    </row>
    <row r="1398" spans="1:33" hidden="1" x14ac:dyDescent="0.25">
      <c r="A1398" t="str">
        <f>"1477819746"</f>
        <v>1477819746</v>
      </c>
      <c r="C1398" t="s">
        <v>7176</v>
      </c>
      <c r="G1398" t="s">
        <v>2224</v>
      </c>
      <c r="H1398" t="s">
        <v>2225</v>
      </c>
      <c r="J1398" t="s">
        <v>2226</v>
      </c>
      <c r="K1398" t="s">
        <v>93</v>
      </c>
      <c r="L1398" t="s">
        <v>96</v>
      </c>
      <c r="M1398" t="s">
        <v>73</v>
      </c>
      <c r="R1398" t="s">
        <v>7177</v>
      </c>
      <c r="S1398" t="s">
        <v>7178</v>
      </c>
      <c r="T1398" t="s">
        <v>7179</v>
      </c>
      <c r="U1398" t="s">
        <v>224</v>
      </c>
      <c r="V1398" t="str">
        <f>"331624749"</f>
        <v>331624749</v>
      </c>
      <c r="AC1398" t="s">
        <v>76</v>
      </c>
      <c r="AD1398" t="s">
        <v>73</v>
      </c>
      <c r="AE1398" t="s">
        <v>97</v>
      </c>
      <c r="AF1398" t="s">
        <v>2234</v>
      </c>
      <c r="AG1398" t="s">
        <v>78</v>
      </c>
    </row>
    <row r="1399" spans="1:33" hidden="1" x14ac:dyDescent="0.25">
      <c r="A1399" t="str">
        <f>"1245594761"</f>
        <v>1245594761</v>
      </c>
      <c r="C1399" t="s">
        <v>7180</v>
      </c>
      <c r="G1399" t="s">
        <v>2224</v>
      </c>
      <c r="H1399" t="s">
        <v>2225</v>
      </c>
      <c r="J1399" t="s">
        <v>2226</v>
      </c>
      <c r="K1399" t="s">
        <v>93</v>
      </c>
      <c r="L1399" t="s">
        <v>96</v>
      </c>
      <c r="M1399" t="s">
        <v>73</v>
      </c>
      <c r="R1399" t="s">
        <v>7181</v>
      </c>
      <c r="S1399" t="s">
        <v>410</v>
      </c>
      <c r="T1399" t="s">
        <v>91</v>
      </c>
      <c r="U1399" t="s">
        <v>74</v>
      </c>
      <c r="V1399" t="str">
        <f>"100321559"</f>
        <v>100321559</v>
      </c>
      <c r="AC1399" t="s">
        <v>76</v>
      </c>
      <c r="AD1399" t="s">
        <v>73</v>
      </c>
      <c r="AE1399" t="s">
        <v>97</v>
      </c>
      <c r="AF1399" t="s">
        <v>2234</v>
      </c>
      <c r="AG1399" t="s">
        <v>78</v>
      </c>
    </row>
    <row r="1400" spans="1:33" hidden="1" x14ac:dyDescent="0.25">
      <c r="A1400" t="str">
        <f>"1033452131"</f>
        <v>1033452131</v>
      </c>
      <c r="C1400" t="s">
        <v>7182</v>
      </c>
      <c r="G1400" t="s">
        <v>2224</v>
      </c>
      <c r="H1400" t="s">
        <v>2225</v>
      </c>
      <c r="J1400" t="s">
        <v>2226</v>
      </c>
      <c r="K1400" t="s">
        <v>93</v>
      </c>
      <c r="L1400" t="s">
        <v>96</v>
      </c>
      <c r="M1400" t="s">
        <v>73</v>
      </c>
      <c r="R1400" t="s">
        <v>7183</v>
      </c>
      <c r="S1400" t="s">
        <v>410</v>
      </c>
      <c r="T1400" t="s">
        <v>91</v>
      </c>
      <c r="U1400" t="s">
        <v>74</v>
      </c>
      <c r="V1400" t="str">
        <f>"100321559"</f>
        <v>100321559</v>
      </c>
      <c r="AC1400" t="s">
        <v>76</v>
      </c>
      <c r="AD1400" t="s">
        <v>73</v>
      </c>
      <c r="AE1400" t="s">
        <v>97</v>
      </c>
      <c r="AF1400" t="s">
        <v>2228</v>
      </c>
      <c r="AG1400" t="s">
        <v>78</v>
      </c>
    </row>
    <row r="1401" spans="1:33" hidden="1" x14ac:dyDescent="0.25">
      <c r="A1401" t="str">
        <f>"1699018358"</f>
        <v>1699018358</v>
      </c>
      <c r="C1401" t="s">
        <v>7184</v>
      </c>
      <c r="G1401" t="s">
        <v>2224</v>
      </c>
      <c r="H1401" t="s">
        <v>2225</v>
      </c>
      <c r="J1401" t="s">
        <v>2226</v>
      </c>
      <c r="K1401" t="s">
        <v>93</v>
      </c>
      <c r="L1401" t="s">
        <v>96</v>
      </c>
      <c r="M1401" t="s">
        <v>73</v>
      </c>
      <c r="R1401" t="s">
        <v>7185</v>
      </c>
      <c r="S1401" t="s">
        <v>410</v>
      </c>
      <c r="T1401" t="s">
        <v>91</v>
      </c>
      <c r="U1401" t="s">
        <v>74</v>
      </c>
      <c r="V1401" t="str">
        <f>"100321559"</f>
        <v>100321559</v>
      </c>
      <c r="AC1401" t="s">
        <v>76</v>
      </c>
      <c r="AD1401" t="s">
        <v>73</v>
      </c>
      <c r="AE1401" t="s">
        <v>97</v>
      </c>
      <c r="AF1401" t="s">
        <v>2228</v>
      </c>
      <c r="AG1401" t="s">
        <v>78</v>
      </c>
    </row>
    <row r="1402" spans="1:33" hidden="1" x14ac:dyDescent="0.25">
      <c r="C1402" t="s">
        <v>7186</v>
      </c>
      <c r="G1402" t="s">
        <v>2224</v>
      </c>
      <c r="H1402" t="s">
        <v>2225</v>
      </c>
      <c r="J1402" t="s">
        <v>2226</v>
      </c>
      <c r="K1402" t="s">
        <v>93</v>
      </c>
      <c r="L1402" t="s">
        <v>94</v>
      </c>
      <c r="M1402" t="s">
        <v>73</v>
      </c>
      <c r="N1402" t="s">
        <v>7187</v>
      </c>
      <c r="O1402" t="s">
        <v>475</v>
      </c>
      <c r="P1402" t="s">
        <v>74</v>
      </c>
      <c r="Q1402" t="str">
        <f>"10021"</f>
        <v>10021</v>
      </c>
      <c r="AC1402" t="s">
        <v>76</v>
      </c>
      <c r="AD1402" t="s">
        <v>73</v>
      </c>
      <c r="AE1402" t="s">
        <v>95</v>
      </c>
      <c r="AF1402" t="s">
        <v>2234</v>
      </c>
      <c r="AG1402" t="s">
        <v>78</v>
      </c>
    </row>
    <row r="1403" spans="1:33" hidden="1" x14ac:dyDescent="0.25">
      <c r="A1403" t="str">
        <f>"1205178787"</f>
        <v>1205178787</v>
      </c>
      <c r="C1403" t="s">
        <v>7188</v>
      </c>
      <c r="G1403" t="s">
        <v>2224</v>
      </c>
      <c r="H1403" t="s">
        <v>2225</v>
      </c>
      <c r="J1403" t="s">
        <v>2226</v>
      </c>
      <c r="K1403" t="s">
        <v>93</v>
      </c>
      <c r="L1403" t="s">
        <v>96</v>
      </c>
      <c r="M1403" t="s">
        <v>73</v>
      </c>
      <c r="R1403" t="s">
        <v>7189</v>
      </c>
      <c r="S1403" t="s">
        <v>410</v>
      </c>
      <c r="T1403" t="s">
        <v>91</v>
      </c>
      <c r="U1403" t="s">
        <v>74</v>
      </c>
      <c r="V1403" t="str">
        <f>"100321559"</f>
        <v>100321559</v>
      </c>
      <c r="AC1403" t="s">
        <v>76</v>
      </c>
      <c r="AD1403" t="s">
        <v>73</v>
      </c>
      <c r="AE1403" t="s">
        <v>97</v>
      </c>
      <c r="AF1403" t="s">
        <v>2228</v>
      </c>
      <c r="AG1403" t="s">
        <v>78</v>
      </c>
    </row>
    <row r="1404" spans="1:33" hidden="1" x14ac:dyDescent="0.25">
      <c r="A1404" t="str">
        <f>"1588907703"</f>
        <v>1588907703</v>
      </c>
      <c r="C1404" t="s">
        <v>7190</v>
      </c>
      <c r="G1404" t="s">
        <v>2224</v>
      </c>
      <c r="H1404" t="s">
        <v>2225</v>
      </c>
      <c r="J1404" t="s">
        <v>2226</v>
      </c>
      <c r="K1404" t="s">
        <v>93</v>
      </c>
      <c r="L1404" t="s">
        <v>96</v>
      </c>
      <c r="M1404" t="s">
        <v>73</v>
      </c>
      <c r="R1404" t="s">
        <v>7191</v>
      </c>
      <c r="S1404" t="s">
        <v>410</v>
      </c>
      <c r="T1404" t="s">
        <v>91</v>
      </c>
      <c r="U1404" t="s">
        <v>74</v>
      </c>
      <c r="V1404" t="str">
        <f>"100321559"</f>
        <v>100321559</v>
      </c>
      <c r="AC1404" t="s">
        <v>76</v>
      </c>
      <c r="AD1404" t="s">
        <v>73</v>
      </c>
      <c r="AE1404" t="s">
        <v>97</v>
      </c>
      <c r="AF1404" t="s">
        <v>2228</v>
      </c>
      <c r="AG1404" t="s">
        <v>78</v>
      </c>
    </row>
    <row r="1405" spans="1:33" hidden="1" x14ac:dyDescent="0.25">
      <c r="A1405" t="str">
        <f>"1942576095"</f>
        <v>1942576095</v>
      </c>
      <c r="C1405" t="s">
        <v>7192</v>
      </c>
      <c r="G1405" t="s">
        <v>2224</v>
      </c>
      <c r="H1405" t="s">
        <v>2225</v>
      </c>
      <c r="J1405" t="s">
        <v>2226</v>
      </c>
      <c r="K1405" t="s">
        <v>93</v>
      </c>
      <c r="L1405" t="s">
        <v>96</v>
      </c>
      <c r="M1405" t="s">
        <v>73</v>
      </c>
      <c r="R1405" t="s">
        <v>7193</v>
      </c>
      <c r="S1405" t="s">
        <v>142</v>
      </c>
      <c r="T1405" t="s">
        <v>143</v>
      </c>
      <c r="U1405" t="s">
        <v>74</v>
      </c>
      <c r="V1405" t="str">
        <f>"110303816"</f>
        <v>110303816</v>
      </c>
      <c r="AC1405" t="s">
        <v>76</v>
      </c>
      <c r="AD1405" t="s">
        <v>73</v>
      </c>
      <c r="AE1405" t="s">
        <v>97</v>
      </c>
      <c r="AF1405" t="s">
        <v>2234</v>
      </c>
      <c r="AG1405" t="s">
        <v>78</v>
      </c>
    </row>
    <row r="1406" spans="1:33" hidden="1" x14ac:dyDescent="0.25">
      <c r="A1406" t="str">
        <f>"1427390228"</f>
        <v>1427390228</v>
      </c>
      <c r="C1406" t="s">
        <v>7194</v>
      </c>
      <c r="G1406" t="s">
        <v>2224</v>
      </c>
      <c r="H1406" t="s">
        <v>2225</v>
      </c>
      <c r="J1406" t="s">
        <v>2226</v>
      </c>
      <c r="K1406" t="s">
        <v>93</v>
      </c>
      <c r="L1406" t="s">
        <v>96</v>
      </c>
      <c r="M1406" t="s">
        <v>73</v>
      </c>
      <c r="R1406" t="s">
        <v>7195</v>
      </c>
      <c r="S1406" t="s">
        <v>7196</v>
      </c>
      <c r="T1406" t="s">
        <v>91</v>
      </c>
      <c r="U1406" t="s">
        <v>74</v>
      </c>
      <c r="V1406" t="str">
        <f>"100101915"</f>
        <v>100101915</v>
      </c>
      <c r="AC1406" t="s">
        <v>76</v>
      </c>
      <c r="AD1406" t="s">
        <v>73</v>
      </c>
      <c r="AE1406" t="s">
        <v>97</v>
      </c>
      <c r="AF1406" t="s">
        <v>2228</v>
      </c>
      <c r="AG1406" t="s">
        <v>78</v>
      </c>
    </row>
    <row r="1407" spans="1:33" hidden="1" x14ac:dyDescent="0.25">
      <c r="A1407" t="str">
        <f>"1073812863"</f>
        <v>1073812863</v>
      </c>
      <c r="B1407" t="str">
        <f>"03920638"</f>
        <v>03920638</v>
      </c>
      <c r="C1407" t="s">
        <v>7197</v>
      </c>
      <c r="D1407" t="s">
        <v>7198</v>
      </c>
      <c r="E1407" t="s">
        <v>7199</v>
      </c>
      <c r="L1407" t="s">
        <v>72</v>
      </c>
      <c r="M1407" t="s">
        <v>73</v>
      </c>
      <c r="R1407" t="s">
        <v>7200</v>
      </c>
      <c r="W1407" t="s">
        <v>7199</v>
      </c>
      <c r="X1407" t="s">
        <v>6730</v>
      </c>
      <c r="Y1407" t="s">
        <v>91</v>
      </c>
      <c r="Z1407" t="s">
        <v>74</v>
      </c>
      <c r="AA1407" t="str">
        <f>"10065-4870"</f>
        <v>10065-4870</v>
      </c>
      <c r="AB1407" t="s">
        <v>75</v>
      </c>
      <c r="AC1407" t="s">
        <v>76</v>
      </c>
      <c r="AD1407" t="s">
        <v>73</v>
      </c>
      <c r="AE1407" t="s">
        <v>77</v>
      </c>
      <c r="AF1407" t="s">
        <v>2242</v>
      </c>
      <c r="AG1407" t="s">
        <v>78</v>
      </c>
    </row>
    <row r="1408" spans="1:33" hidden="1" x14ac:dyDescent="0.25">
      <c r="A1408" t="str">
        <f>"1275660441"</f>
        <v>1275660441</v>
      </c>
      <c r="B1408" t="str">
        <f>"01811650"</f>
        <v>01811650</v>
      </c>
      <c r="C1408" t="s">
        <v>7201</v>
      </c>
      <c r="D1408" t="s">
        <v>7202</v>
      </c>
      <c r="E1408" t="s">
        <v>7203</v>
      </c>
      <c r="L1408" t="s">
        <v>96</v>
      </c>
      <c r="M1408" t="s">
        <v>73</v>
      </c>
      <c r="R1408" t="s">
        <v>7204</v>
      </c>
      <c r="W1408" t="s">
        <v>7203</v>
      </c>
      <c r="X1408" t="s">
        <v>7203</v>
      </c>
      <c r="Y1408" t="s">
        <v>91</v>
      </c>
      <c r="Z1408" t="s">
        <v>74</v>
      </c>
      <c r="AA1408" t="str">
        <f>"10032-3720"</f>
        <v>10032-3720</v>
      </c>
      <c r="AB1408" t="s">
        <v>75</v>
      </c>
      <c r="AC1408" t="s">
        <v>76</v>
      </c>
      <c r="AD1408" t="s">
        <v>73</v>
      </c>
      <c r="AE1408" t="s">
        <v>77</v>
      </c>
      <c r="AF1408" t="s">
        <v>2228</v>
      </c>
      <c r="AG1408" t="s">
        <v>78</v>
      </c>
    </row>
    <row r="1409" spans="1:33" hidden="1" x14ac:dyDescent="0.25">
      <c r="A1409" t="str">
        <f>"1437392131"</f>
        <v>1437392131</v>
      </c>
      <c r="B1409" t="str">
        <f>"03922561"</f>
        <v>03922561</v>
      </c>
      <c r="C1409" t="s">
        <v>7205</v>
      </c>
      <c r="D1409" t="s">
        <v>7206</v>
      </c>
      <c r="E1409" t="s">
        <v>7207</v>
      </c>
      <c r="L1409" t="s">
        <v>80</v>
      </c>
      <c r="M1409" t="s">
        <v>73</v>
      </c>
      <c r="R1409" t="s">
        <v>7208</v>
      </c>
      <c r="W1409" t="s">
        <v>7207</v>
      </c>
      <c r="X1409" t="s">
        <v>2693</v>
      </c>
      <c r="Y1409" t="s">
        <v>91</v>
      </c>
      <c r="Z1409" t="s">
        <v>74</v>
      </c>
      <c r="AA1409" t="str">
        <f>"10065-4885"</f>
        <v>10065-4885</v>
      </c>
      <c r="AB1409" t="s">
        <v>75</v>
      </c>
      <c r="AC1409" t="s">
        <v>76</v>
      </c>
      <c r="AD1409" t="s">
        <v>73</v>
      </c>
      <c r="AE1409" t="s">
        <v>77</v>
      </c>
      <c r="AF1409" t="s">
        <v>2242</v>
      </c>
      <c r="AG1409" t="s">
        <v>78</v>
      </c>
    </row>
    <row r="1410" spans="1:33" hidden="1" x14ac:dyDescent="0.25">
      <c r="A1410" t="str">
        <f>"1043224025"</f>
        <v>1043224025</v>
      </c>
      <c r="B1410" t="str">
        <f>"01367335"</f>
        <v>01367335</v>
      </c>
      <c r="C1410" t="s">
        <v>7209</v>
      </c>
      <c r="D1410" t="s">
        <v>1427</v>
      </c>
      <c r="E1410" t="s">
        <v>1428</v>
      </c>
      <c r="L1410" t="s">
        <v>72</v>
      </c>
      <c r="M1410" t="s">
        <v>73</v>
      </c>
      <c r="R1410" t="s">
        <v>1429</v>
      </c>
      <c r="W1410" t="s">
        <v>1428</v>
      </c>
      <c r="X1410" t="s">
        <v>1410</v>
      </c>
      <c r="Y1410" t="s">
        <v>235</v>
      </c>
      <c r="Z1410" t="s">
        <v>74</v>
      </c>
      <c r="AA1410" t="str">
        <f>"10522-1924"</f>
        <v>10522-1924</v>
      </c>
      <c r="AB1410" t="s">
        <v>75</v>
      </c>
      <c r="AC1410" t="s">
        <v>76</v>
      </c>
      <c r="AD1410" t="s">
        <v>73</v>
      </c>
      <c r="AE1410" t="s">
        <v>77</v>
      </c>
      <c r="AF1410" t="s">
        <v>2228</v>
      </c>
      <c r="AG1410" t="s">
        <v>78</v>
      </c>
    </row>
    <row r="1411" spans="1:33" hidden="1" x14ac:dyDescent="0.25">
      <c r="A1411" t="str">
        <f>"1902066954"</f>
        <v>1902066954</v>
      </c>
      <c r="B1411" t="str">
        <f>"03501177"</f>
        <v>03501177</v>
      </c>
      <c r="C1411" t="s">
        <v>7210</v>
      </c>
      <c r="D1411" t="s">
        <v>1441</v>
      </c>
      <c r="E1411" t="s">
        <v>1442</v>
      </c>
      <c r="L1411" t="s">
        <v>80</v>
      </c>
      <c r="M1411" t="s">
        <v>73</v>
      </c>
      <c r="R1411" t="s">
        <v>1443</v>
      </c>
      <c r="W1411" t="s">
        <v>1442</v>
      </c>
      <c r="X1411" t="s">
        <v>167</v>
      </c>
      <c r="Y1411" t="s">
        <v>91</v>
      </c>
      <c r="Z1411" t="s">
        <v>74</v>
      </c>
      <c r="AA1411" t="str">
        <f>"10032-3720"</f>
        <v>10032-3720</v>
      </c>
      <c r="AB1411" t="s">
        <v>75</v>
      </c>
      <c r="AC1411" t="s">
        <v>76</v>
      </c>
      <c r="AD1411" t="s">
        <v>73</v>
      </c>
      <c r="AE1411" t="s">
        <v>77</v>
      </c>
      <c r="AF1411" t="s">
        <v>2228</v>
      </c>
      <c r="AG1411" t="s">
        <v>78</v>
      </c>
    </row>
    <row r="1412" spans="1:33" hidden="1" x14ac:dyDescent="0.25">
      <c r="A1412" t="str">
        <f>"1275566309"</f>
        <v>1275566309</v>
      </c>
      <c r="B1412" t="str">
        <f>"01704585"</f>
        <v>01704585</v>
      </c>
      <c r="C1412" t="s">
        <v>7211</v>
      </c>
      <c r="D1412" t="s">
        <v>1423</v>
      </c>
      <c r="E1412" t="s">
        <v>1424</v>
      </c>
      <c r="L1412" t="s">
        <v>72</v>
      </c>
      <c r="M1412" t="s">
        <v>73</v>
      </c>
      <c r="R1412" t="s">
        <v>1425</v>
      </c>
      <c r="W1412" t="s">
        <v>1424</v>
      </c>
      <c r="X1412" t="s">
        <v>156</v>
      </c>
      <c r="Y1412" t="s">
        <v>91</v>
      </c>
      <c r="Z1412" t="s">
        <v>74</v>
      </c>
      <c r="AA1412" t="str">
        <f>"10025-1716"</f>
        <v>10025-1716</v>
      </c>
      <c r="AB1412" t="s">
        <v>75</v>
      </c>
      <c r="AC1412" t="s">
        <v>76</v>
      </c>
      <c r="AD1412" t="s">
        <v>73</v>
      </c>
      <c r="AE1412" t="s">
        <v>77</v>
      </c>
      <c r="AG1412" t="s">
        <v>78</v>
      </c>
    </row>
    <row r="1413" spans="1:33" hidden="1" x14ac:dyDescent="0.25">
      <c r="A1413" t="str">
        <f>"1629057070"</f>
        <v>1629057070</v>
      </c>
      <c r="B1413" t="str">
        <f>"02091436"</f>
        <v>02091436</v>
      </c>
      <c r="C1413" t="s">
        <v>7212</v>
      </c>
      <c r="D1413" t="s">
        <v>7213</v>
      </c>
      <c r="E1413" t="s">
        <v>7214</v>
      </c>
      <c r="L1413" t="s">
        <v>72</v>
      </c>
      <c r="M1413" t="s">
        <v>73</v>
      </c>
      <c r="R1413" t="s">
        <v>7215</v>
      </c>
      <c r="W1413" t="s">
        <v>7214</v>
      </c>
      <c r="X1413" t="s">
        <v>163</v>
      </c>
      <c r="Y1413" t="s">
        <v>91</v>
      </c>
      <c r="Z1413" t="s">
        <v>74</v>
      </c>
      <c r="AA1413" t="str">
        <f>"10019-1147"</f>
        <v>10019-1147</v>
      </c>
      <c r="AB1413" t="s">
        <v>75</v>
      </c>
      <c r="AC1413" t="s">
        <v>76</v>
      </c>
      <c r="AD1413" t="s">
        <v>73</v>
      </c>
      <c r="AE1413" t="s">
        <v>77</v>
      </c>
      <c r="AF1413" t="s">
        <v>2228</v>
      </c>
      <c r="AG1413" t="s">
        <v>78</v>
      </c>
    </row>
    <row r="1414" spans="1:33" hidden="1" x14ac:dyDescent="0.25">
      <c r="A1414" t="str">
        <f>"1710238910"</f>
        <v>1710238910</v>
      </c>
      <c r="C1414" t="s">
        <v>7216</v>
      </c>
      <c r="G1414" t="s">
        <v>2224</v>
      </c>
      <c r="H1414" t="s">
        <v>2312</v>
      </c>
      <c r="J1414" t="s">
        <v>2226</v>
      </c>
      <c r="K1414" t="s">
        <v>171</v>
      </c>
      <c r="L1414" t="s">
        <v>72</v>
      </c>
      <c r="M1414" t="s">
        <v>73</v>
      </c>
      <c r="R1414" t="s">
        <v>7217</v>
      </c>
      <c r="S1414" t="s">
        <v>7218</v>
      </c>
      <c r="T1414" t="s">
        <v>1288</v>
      </c>
      <c r="U1414" t="s">
        <v>139</v>
      </c>
      <c r="V1414" t="str">
        <f>"089011766"</f>
        <v>089011766</v>
      </c>
      <c r="AC1414" t="s">
        <v>76</v>
      </c>
      <c r="AD1414" t="s">
        <v>73</v>
      </c>
      <c r="AE1414" t="s">
        <v>97</v>
      </c>
      <c r="AF1414" t="s">
        <v>2228</v>
      </c>
      <c r="AG1414" t="s">
        <v>78</v>
      </c>
    </row>
    <row r="1415" spans="1:33" hidden="1" x14ac:dyDescent="0.25">
      <c r="A1415" t="str">
        <f>"1346569993"</f>
        <v>1346569993</v>
      </c>
      <c r="B1415" t="str">
        <f>"03255772"</f>
        <v>03255772</v>
      </c>
      <c r="C1415" t="s">
        <v>7219</v>
      </c>
      <c r="D1415" t="s">
        <v>7220</v>
      </c>
      <c r="E1415" t="s">
        <v>7221</v>
      </c>
      <c r="G1415" t="s">
        <v>2224</v>
      </c>
      <c r="H1415" t="s">
        <v>2225</v>
      </c>
      <c r="J1415" t="s">
        <v>2226</v>
      </c>
      <c r="L1415" t="s">
        <v>80</v>
      </c>
      <c r="M1415" t="s">
        <v>82</v>
      </c>
      <c r="R1415" t="s">
        <v>7222</v>
      </c>
      <c r="W1415" t="s">
        <v>7221</v>
      </c>
      <c r="X1415" t="s">
        <v>3433</v>
      </c>
      <c r="Y1415" t="s">
        <v>91</v>
      </c>
      <c r="Z1415" t="s">
        <v>74</v>
      </c>
      <c r="AA1415" t="str">
        <f>"10032-0000"</f>
        <v>10032-0000</v>
      </c>
      <c r="AB1415" t="s">
        <v>75</v>
      </c>
      <c r="AC1415" t="s">
        <v>76</v>
      </c>
      <c r="AD1415" t="s">
        <v>73</v>
      </c>
      <c r="AE1415" t="s">
        <v>77</v>
      </c>
      <c r="AF1415" t="s">
        <v>2254</v>
      </c>
      <c r="AG1415" t="s">
        <v>78</v>
      </c>
    </row>
    <row r="1416" spans="1:33" hidden="1" x14ac:dyDescent="0.25">
      <c r="A1416" t="str">
        <f>"1255573689"</f>
        <v>1255573689</v>
      </c>
      <c r="B1416" t="str">
        <f>"03223558"</f>
        <v>03223558</v>
      </c>
      <c r="C1416" t="s">
        <v>7223</v>
      </c>
      <c r="D1416" t="s">
        <v>7224</v>
      </c>
      <c r="E1416" t="s">
        <v>7225</v>
      </c>
      <c r="G1416" t="s">
        <v>2224</v>
      </c>
      <c r="H1416" t="s">
        <v>2225</v>
      </c>
      <c r="J1416" t="s">
        <v>2226</v>
      </c>
      <c r="L1416" t="s">
        <v>72</v>
      </c>
      <c r="M1416" t="s">
        <v>82</v>
      </c>
      <c r="R1416" t="s">
        <v>7226</v>
      </c>
      <c r="W1416" t="s">
        <v>7225</v>
      </c>
      <c r="X1416" t="s">
        <v>1295</v>
      </c>
      <c r="Y1416" t="s">
        <v>91</v>
      </c>
      <c r="Z1416" t="s">
        <v>74</v>
      </c>
      <c r="AA1416" t="str">
        <f>"10032-3822"</f>
        <v>10032-3822</v>
      </c>
      <c r="AB1416" t="s">
        <v>75</v>
      </c>
      <c r="AC1416" t="s">
        <v>76</v>
      </c>
      <c r="AD1416" t="s">
        <v>73</v>
      </c>
      <c r="AE1416" t="s">
        <v>77</v>
      </c>
      <c r="AF1416" t="s">
        <v>2228</v>
      </c>
      <c r="AG1416" t="s">
        <v>78</v>
      </c>
    </row>
    <row r="1417" spans="1:33" hidden="1" x14ac:dyDescent="0.25">
      <c r="A1417" t="str">
        <f>"1609912799"</f>
        <v>1609912799</v>
      </c>
      <c r="C1417" t="s">
        <v>7227</v>
      </c>
      <c r="G1417" t="s">
        <v>2224</v>
      </c>
      <c r="H1417" t="s">
        <v>2312</v>
      </c>
      <c r="J1417" t="s">
        <v>2226</v>
      </c>
      <c r="K1417" t="s">
        <v>171</v>
      </c>
      <c r="L1417" t="s">
        <v>96</v>
      </c>
      <c r="M1417" t="s">
        <v>73</v>
      </c>
      <c r="R1417" t="s">
        <v>7228</v>
      </c>
      <c r="S1417" t="s">
        <v>167</v>
      </c>
      <c r="T1417" t="s">
        <v>91</v>
      </c>
      <c r="U1417" t="s">
        <v>74</v>
      </c>
      <c r="V1417" t="str">
        <f>"100323720"</f>
        <v>100323720</v>
      </c>
      <c r="AC1417" t="s">
        <v>76</v>
      </c>
      <c r="AD1417" t="s">
        <v>73</v>
      </c>
      <c r="AE1417" t="s">
        <v>97</v>
      </c>
      <c r="AF1417" t="s">
        <v>2228</v>
      </c>
      <c r="AG1417" t="s">
        <v>78</v>
      </c>
    </row>
    <row r="1418" spans="1:33" hidden="1" x14ac:dyDescent="0.25">
      <c r="A1418" t="str">
        <f>"1720028947"</f>
        <v>1720028947</v>
      </c>
      <c r="B1418" t="str">
        <f>"01991464"</f>
        <v>01991464</v>
      </c>
      <c r="C1418" t="s">
        <v>7229</v>
      </c>
      <c r="D1418" t="s">
        <v>7230</v>
      </c>
      <c r="E1418" t="s">
        <v>7231</v>
      </c>
      <c r="G1418" t="s">
        <v>2224</v>
      </c>
      <c r="H1418" t="s">
        <v>7232</v>
      </c>
      <c r="J1418" t="s">
        <v>2226</v>
      </c>
      <c r="L1418" t="s">
        <v>80</v>
      </c>
      <c r="M1418" t="s">
        <v>73</v>
      </c>
      <c r="R1418" t="s">
        <v>7233</v>
      </c>
      <c r="W1418" t="s">
        <v>7231</v>
      </c>
      <c r="X1418" t="s">
        <v>7231</v>
      </c>
      <c r="Y1418" t="s">
        <v>91</v>
      </c>
      <c r="Z1418" t="s">
        <v>74</v>
      </c>
      <c r="AA1418" t="str">
        <f>"10065-4870"</f>
        <v>10065-4870</v>
      </c>
      <c r="AB1418" t="s">
        <v>75</v>
      </c>
      <c r="AC1418" t="s">
        <v>76</v>
      </c>
      <c r="AD1418" t="s">
        <v>73</v>
      </c>
      <c r="AE1418" t="s">
        <v>77</v>
      </c>
      <c r="AF1418" t="s">
        <v>2242</v>
      </c>
      <c r="AG1418" t="s">
        <v>78</v>
      </c>
    </row>
    <row r="1419" spans="1:33" hidden="1" x14ac:dyDescent="0.25">
      <c r="A1419" t="str">
        <f>"1699938324"</f>
        <v>1699938324</v>
      </c>
      <c r="B1419" t="str">
        <f>"03493405"</f>
        <v>03493405</v>
      </c>
      <c r="C1419" t="s">
        <v>7234</v>
      </c>
      <c r="D1419" t="s">
        <v>7235</v>
      </c>
      <c r="E1419" t="s">
        <v>7236</v>
      </c>
      <c r="G1419" t="s">
        <v>2224</v>
      </c>
      <c r="H1419" t="s">
        <v>7237</v>
      </c>
      <c r="J1419" t="s">
        <v>2226</v>
      </c>
      <c r="L1419" t="s">
        <v>80</v>
      </c>
      <c r="M1419" t="s">
        <v>73</v>
      </c>
      <c r="R1419" t="s">
        <v>7238</v>
      </c>
      <c r="W1419" t="s">
        <v>7236</v>
      </c>
      <c r="X1419" t="s">
        <v>5931</v>
      </c>
      <c r="Y1419" t="s">
        <v>91</v>
      </c>
      <c r="Z1419" t="s">
        <v>74</v>
      </c>
      <c r="AA1419" t="str">
        <f>"10065-4870"</f>
        <v>10065-4870</v>
      </c>
      <c r="AB1419" t="s">
        <v>75</v>
      </c>
      <c r="AC1419" t="s">
        <v>76</v>
      </c>
      <c r="AD1419" t="s">
        <v>73</v>
      </c>
      <c r="AE1419" t="s">
        <v>77</v>
      </c>
      <c r="AF1419" t="s">
        <v>2242</v>
      </c>
      <c r="AG1419" t="s">
        <v>78</v>
      </c>
    </row>
    <row r="1420" spans="1:33" hidden="1" x14ac:dyDescent="0.25">
      <c r="A1420" t="str">
        <f>"1972679173"</f>
        <v>1972679173</v>
      </c>
      <c r="C1420" t="s">
        <v>7239</v>
      </c>
      <c r="G1420" t="s">
        <v>2224</v>
      </c>
      <c r="H1420" t="s">
        <v>2312</v>
      </c>
      <c r="J1420" t="s">
        <v>2226</v>
      </c>
      <c r="K1420" t="s">
        <v>171</v>
      </c>
      <c r="L1420" t="s">
        <v>96</v>
      </c>
      <c r="M1420" t="s">
        <v>73</v>
      </c>
      <c r="R1420" t="s">
        <v>7240</v>
      </c>
      <c r="S1420" t="s">
        <v>167</v>
      </c>
      <c r="T1420" t="s">
        <v>91</v>
      </c>
      <c r="U1420" t="s">
        <v>74</v>
      </c>
      <c r="V1420" t="str">
        <f>"100323720"</f>
        <v>100323720</v>
      </c>
      <c r="AC1420" t="s">
        <v>76</v>
      </c>
      <c r="AD1420" t="s">
        <v>73</v>
      </c>
      <c r="AE1420" t="s">
        <v>97</v>
      </c>
      <c r="AF1420" t="s">
        <v>2228</v>
      </c>
      <c r="AG1420" t="s">
        <v>78</v>
      </c>
    </row>
    <row r="1421" spans="1:33" hidden="1" x14ac:dyDescent="0.25">
      <c r="A1421" t="str">
        <f>"1730448531"</f>
        <v>1730448531</v>
      </c>
      <c r="B1421" t="str">
        <f>"03459785"</f>
        <v>03459785</v>
      </c>
      <c r="C1421" t="s">
        <v>7241</v>
      </c>
      <c r="D1421" t="s">
        <v>7242</v>
      </c>
      <c r="E1421" t="s">
        <v>7243</v>
      </c>
      <c r="L1421" t="s">
        <v>72</v>
      </c>
      <c r="M1421" t="s">
        <v>73</v>
      </c>
      <c r="R1421" t="s">
        <v>7244</v>
      </c>
      <c r="W1421" t="s">
        <v>7243</v>
      </c>
      <c r="X1421" t="s">
        <v>167</v>
      </c>
      <c r="Y1421" t="s">
        <v>91</v>
      </c>
      <c r="Z1421" t="s">
        <v>74</v>
      </c>
      <c r="AA1421" t="str">
        <f>"10032-3720"</f>
        <v>10032-3720</v>
      </c>
      <c r="AB1421" t="s">
        <v>75</v>
      </c>
      <c r="AC1421" t="s">
        <v>76</v>
      </c>
      <c r="AD1421" t="s">
        <v>73</v>
      </c>
      <c r="AE1421" t="s">
        <v>77</v>
      </c>
      <c r="AF1421" t="s">
        <v>2228</v>
      </c>
      <c r="AG1421" t="s">
        <v>78</v>
      </c>
    </row>
    <row r="1422" spans="1:33" hidden="1" x14ac:dyDescent="0.25">
      <c r="A1422" t="str">
        <f>"1841200227"</f>
        <v>1841200227</v>
      </c>
      <c r="C1422" t="s">
        <v>7245</v>
      </c>
      <c r="G1422" t="s">
        <v>2224</v>
      </c>
      <c r="H1422" t="s">
        <v>2312</v>
      </c>
      <c r="J1422" t="s">
        <v>2226</v>
      </c>
      <c r="K1422" t="s">
        <v>171</v>
      </c>
      <c r="L1422" t="s">
        <v>96</v>
      </c>
      <c r="M1422" t="s">
        <v>73</v>
      </c>
      <c r="R1422" t="s">
        <v>7246</v>
      </c>
      <c r="S1422" t="s">
        <v>1959</v>
      </c>
      <c r="T1422" t="s">
        <v>1960</v>
      </c>
      <c r="U1422" t="s">
        <v>139</v>
      </c>
      <c r="V1422" t="str">
        <f>"077282537"</f>
        <v>077282537</v>
      </c>
      <c r="AC1422" t="s">
        <v>76</v>
      </c>
      <c r="AD1422" t="s">
        <v>73</v>
      </c>
      <c r="AE1422" t="s">
        <v>97</v>
      </c>
      <c r="AF1422" t="s">
        <v>2228</v>
      </c>
      <c r="AG1422" t="s">
        <v>78</v>
      </c>
    </row>
    <row r="1423" spans="1:33" hidden="1" x14ac:dyDescent="0.25">
      <c r="A1423" t="str">
        <f>"1609974716"</f>
        <v>1609974716</v>
      </c>
      <c r="B1423" t="str">
        <f>"03377066"</f>
        <v>03377066</v>
      </c>
      <c r="C1423" t="s">
        <v>7247</v>
      </c>
      <c r="D1423" t="s">
        <v>7248</v>
      </c>
      <c r="E1423" t="s">
        <v>7249</v>
      </c>
      <c r="G1423" t="s">
        <v>2224</v>
      </c>
      <c r="H1423" t="s">
        <v>2225</v>
      </c>
      <c r="J1423" t="s">
        <v>2226</v>
      </c>
      <c r="L1423" t="s">
        <v>72</v>
      </c>
      <c r="M1423" t="s">
        <v>73</v>
      </c>
      <c r="R1423" t="s">
        <v>7250</v>
      </c>
      <c r="W1423" t="s">
        <v>7249</v>
      </c>
      <c r="X1423" t="s">
        <v>167</v>
      </c>
      <c r="Y1423" t="s">
        <v>91</v>
      </c>
      <c r="Z1423" t="s">
        <v>74</v>
      </c>
      <c r="AA1423" t="str">
        <f>"10032-3720"</f>
        <v>10032-3720</v>
      </c>
      <c r="AB1423" t="s">
        <v>75</v>
      </c>
      <c r="AC1423" t="s">
        <v>76</v>
      </c>
      <c r="AD1423" t="s">
        <v>73</v>
      </c>
      <c r="AE1423" t="s">
        <v>77</v>
      </c>
      <c r="AF1423" t="s">
        <v>2234</v>
      </c>
      <c r="AG1423" t="s">
        <v>78</v>
      </c>
    </row>
    <row r="1424" spans="1:33" hidden="1" x14ac:dyDescent="0.25">
      <c r="A1424" t="str">
        <f>"1942392592"</f>
        <v>1942392592</v>
      </c>
      <c r="B1424" t="str">
        <f>"00180745"</f>
        <v>00180745</v>
      </c>
      <c r="C1424" t="s">
        <v>7251</v>
      </c>
      <c r="D1424" t="s">
        <v>7252</v>
      </c>
      <c r="E1424" t="s">
        <v>7253</v>
      </c>
      <c r="G1424" t="s">
        <v>2224</v>
      </c>
      <c r="H1424" t="s">
        <v>2225</v>
      </c>
      <c r="J1424" t="s">
        <v>2226</v>
      </c>
      <c r="L1424" t="s">
        <v>72</v>
      </c>
      <c r="M1424" t="s">
        <v>73</v>
      </c>
      <c r="R1424" t="s">
        <v>7254</v>
      </c>
      <c r="W1424" t="s">
        <v>7253</v>
      </c>
      <c r="X1424" t="s">
        <v>310</v>
      </c>
      <c r="Y1424" t="s">
        <v>91</v>
      </c>
      <c r="Z1424" t="s">
        <v>74</v>
      </c>
      <c r="AA1424" t="str">
        <f>"10019"</f>
        <v>10019</v>
      </c>
      <c r="AB1424" t="s">
        <v>75</v>
      </c>
      <c r="AC1424" t="s">
        <v>76</v>
      </c>
      <c r="AD1424" t="s">
        <v>73</v>
      </c>
      <c r="AE1424" t="s">
        <v>77</v>
      </c>
      <c r="AF1424" t="s">
        <v>2228</v>
      </c>
      <c r="AG1424" t="s">
        <v>78</v>
      </c>
    </row>
    <row r="1425" spans="1:33" hidden="1" x14ac:dyDescent="0.25">
      <c r="A1425" t="str">
        <f>"1154563922"</f>
        <v>1154563922</v>
      </c>
      <c r="B1425" t="str">
        <f>"03112796"</f>
        <v>03112796</v>
      </c>
      <c r="C1425" t="s">
        <v>7255</v>
      </c>
      <c r="D1425" t="s">
        <v>7256</v>
      </c>
      <c r="E1425" t="s">
        <v>7257</v>
      </c>
      <c r="L1425" t="s">
        <v>80</v>
      </c>
      <c r="M1425" t="s">
        <v>73</v>
      </c>
      <c r="R1425" t="s">
        <v>7258</v>
      </c>
      <c r="W1425" t="s">
        <v>7259</v>
      </c>
      <c r="X1425" t="s">
        <v>170</v>
      </c>
      <c r="Y1425" t="s">
        <v>91</v>
      </c>
      <c r="Z1425" t="s">
        <v>74</v>
      </c>
      <c r="AA1425" t="str">
        <f>"10065-4870"</f>
        <v>10065-4870</v>
      </c>
      <c r="AB1425" t="s">
        <v>75</v>
      </c>
      <c r="AC1425" t="s">
        <v>76</v>
      </c>
      <c r="AD1425" t="s">
        <v>73</v>
      </c>
      <c r="AE1425" t="s">
        <v>77</v>
      </c>
      <c r="AF1425" t="s">
        <v>2242</v>
      </c>
      <c r="AG1425" t="s">
        <v>78</v>
      </c>
    </row>
    <row r="1426" spans="1:33" hidden="1" x14ac:dyDescent="0.25">
      <c r="A1426" t="str">
        <f>"1629041207"</f>
        <v>1629041207</v>
      </c>
      <c r="B1426" t="str">
        <f>"02944392"</f>
        <v>02944392</v>
      </c>
      <c r="C1426" t="s">
        <v>7260</v>
      </c>
      <c r="D1426" t="s">
        <v>7261</v>
      </c>
      <c r="E1426" t="s">
        <v>7262</v>
      </c>
      <c r="L1426" t="s">
        <v>80</v>
      </c>
      <c r="M1426" t="s">
        <v>73</v>
      </c>
      <c r="R1426" t="s">
        <v>7262</v>
      </c>
      <c r="W1426" t="s">
        <v>7263</v>
      </c>
      <c r="X1426" t="s">
        <v>170</v>
      </c>
      <c r="Y1426" t="s">
        <v>91</v>
      </c>
      <c r="Z1426" t="s">
        <v>74</v>
      </c>
      <c r="AA1426" t="str">
        <f>"10065-4870"</f>
        <v>10065-4870</v>
      </c>
      <c r="AB1426" t="s">
        <v>75</v>
      </c>
      <c r="AC1426" t="s">
        <v>76</v>
      </c>
      <c r="AD1426" t="s">
        <v>73</v>
      </c>
      <c r="AE1426" t="s">
        <v>77</v>
      </c>
      <c r="AF1426" t="s">
        <v>2242</v>
      </c>
      <c r="AG1426" t="s">
        <v>78</v>
      </c>
    </row>
    <row r="1427" spans="1:33" hidden="1" x14ac:dyDescent="0.25">
      <c r="A1427" t="str">
        <f>"1710127956"</f>
        <v>1710127956</v>
      </c>
      <c r="B1427" t="str">
        <f>"03265809"</f>
        <v>03265809</v>
      </c>
      <c r="C1427" t="s">
        <v>7264</v>
      </c>
      <c r="D1427" t="s">
        <v>1432</v>
      </c>
      <c r="E1427" t="s">
        <v>1433</v>
      </c>
      <c r="L1427" t="s">
        <v>80</v>
      </c>
      <c r="M1427" t="s">
        <v>73</v>
      </c>
      <c r="R1427" t="s">
        <v>1433</v>
      </c>
      <c r="W1427" t="s">
        <v>1433</v>
      </c>
      <c r="X1427" t="s">
        <v>1434</v>
      </c>
      <c r="Y1427" t="s">
        <v>118</v>
      </c>
      <c r="Z1427" t="s">
        <v>74</v>
      </c>
      <c r="AA1427" t="str">
        <f>"10462-3388"</f>
        <v>10462-3388</v>
      </c>
      <c r="AB1427" t="s">
        <v>75</v>
      </c>
      <c r="AC1427" t="s">
        <v>76</v>
      </c>
      <c r="AD1427" t="s">
        <v>73</v>
      </c>
      <c r="AE1427" t="s">
        <v>77</v>
      </c>
      <c r="AF1427" t="s">
        <v>2242</v>
      </c>
      <c r="AG1427" t="s">
        <v>78</v>
      </c>
    </row>
    <row r="1428" spans="1:33" hidden="1" x14ac:dyDescent="0.25">
      <c r="A1428" t="str">
        <f>"1376546630"</f>
        <v>1376546630</v>
      </c>
      <c r="B1428" t="str">
        <f>"01848388"</f>
        <v>01848388</v>
      </c>
      <c r="C1428" t="s">
        <v>7265</v>
      </c>
      <c r="D1428" t="s">
        <v>7266</v>
      </c>
      <c r="E1428" t="s">
        <v>7267</v>
      </c>
      <c r="L1428" t="s">
        <v>80</v>
      </c>
      <c r="M1428" t="s">
        <v>73</v>
      </c>
      <c r="R1428" t="s">
        <v>7268</v>
      </c>
      <c r="W1428" t="s">
        <v>7267</v>
      </c>
      <c r="X1428" t="s">
        <v>3219</v>
      </c>
      <c r="Y1428" t="s">
        <v>91</v>
      </c>
      <c r="Z1428" t="s">
        <v>74</v>
      </c>
      <c r="AA1428" t="str">
        <f>"10065-4870"</f>
        <v>10065-4870</v>
      </c>
      <c r="AB1428" t="s">
        <v>75</v>
      </c>
      <c r="AC1428" t="s">
        <v>76</v>
      </c>
      <c r="AD1428" t="s">
        <v>73</v>
      </c>
      <c r="AE1428" t="s">
        <v>77</v>
      </c>
      <c r="AF1428" t="s">
        <v>2242</v>
      </c>
      <c r="AG1428" t="s">
        <v>78</v>
      </c>
    </row>
    <row r="1429" spans="1:33" hidden="1" x14ac:dyDescent="0.25">
      <c r="A1429" t="str">
        <f>"1942437041"</f>
        <v>1942437041</v>
      </c>
      <c r="B1429" t="str">
        <f>"03137771"</f>
        <v>03137771</v>
      </c>
      <c r="C1429" t="s">
        <v>7269</v>
      </c>
      <c r="D1429" t="s">
        <v>1411</v>
      </c>
      <c r="E1429" t="s">
        <v>1412</v>
      </c>
      <c r="L1429" t="s">
        <v>80</v>
      </c>
      <c r="M1429" t="s">
        <v>73</v>
      </c>
      <c r="R1429" t="s">
        <v>1413</v>
      </c>
      <c r="W1429" t="s">
        <v>1412</v>
      </c>
      <c r="X1429" t="s">
        <v>1080</v>
      </c>
      <c r="Y1429" t="s">
        <v>755</v>
      </c>
      <c r="Z1429" t="s">
        <v>74</v>
      </c>
      <c r="AA1429" t="str">
        <f>"10591-1020"</f>
        <v>10591-1020</v>
      </c>
      <c r="AB1429" t="s">
        <v>75</v>
      </c>
      <c r="AC1429" t="s">
        <v>76</v>
      </c>
      <c r="AD1429" t="s">
        <v>73</v>
      </c>
      <c r="AE1429" t="s">
        <v>77</v>
      </c>
      <c r="AF1429" t="s">
        <v>2242</v>
      </c>
      <c r="AG1429" t="s">
        <v>78</v>
      </c>
    </row>
    <row r="1430" spans="1:33" hidden="1" x14ac:dyDescent="0.25">
      <c r="A1430" t="str">
        <f>"1447235056"</f>
        <v>1447235056</v>
      </c>
      <c r="B1430" t="str">
        <f>"01672908"</f>
        <v>01672908</v>
      </c>
      <c r="C1430" t="s">
        <v>7270</v>
      </c>
      <c r="D1430" t="s">
        <v>7271</v>
      </c>
      <c r="E1430" t="s">
        <v>7272</v>
      </c>
      <c r="L1430" t="s">
        <v>80</v>
      </c>
      <c r="M1430" t="s">
        <v>73</v>
      </c>
      <c r="R1430" t="s">
        <v>7273</v>
      </c>
      <c r="W1430" t="s">
        <v>7272</v>
      </c>
      <c r="X1430" t="s">
        <v>7274</v>
      </c>
      <c r="Y1430" t="s">
        <v>91</v>
      </c>
      <c r="Z1430" t="s">
        <v>74</v>
      </c>
      <c r="AA1430" t="str">
        <f>"10011-5325"</f>
        <v>10011-5325</v>
      </c>
      <c r="AB1430" t="s">
        <v>75</v>
      </c>
      <c r="AC1430" t="s">
        <v>76</v>
      </c>
      <c r="AD1430" t="s">
        <v>73</v>
      </c>
      <c r="AE1430" t="s">
        <v>77</v>
      </c>
      <c r="AF1430" t="s">
        <v>2242</v>
      </c>
      <c r="AG1430" t="s">
        <v>78</v>
      </c>
    </row>
    <row r="1431" spans="1:33" hidden="1" x14ac:dyDescent="0.25">
      <c r="A1431" t="str">
        <f>"1538256615"</f>
        <v>1538256615</v>
      </c>
      <c r="B1431" t="str">
        <f>"01884037"</f>
        <v>01884037</v>
      </c>
      <c r="C1431" t="s">
        <v>7275</v>
      </c>
      <c r="D1431" t="s">
        <v>7276</v>
      </c>
      <c r="E1431" t="s">
        <v>7277</v>
      </c>
      <c r="G1431" t="s">
        <v>2224</v>
      </c>
      <c r="H1431" t="s">
        <v>2225</v>
      </c>
      <c r="J1431" t="s">
        <v>2226</v>
      </c>
      <c r="L1431" t="s">
        <v>72</v>
      </c>
      <c r="M1431" t="s">
        <v>73</v>
      </c>
      <c r="R1431" t="s">
        <v>576</v>
      </c>
      <c r="W1431" t="s">
        <v>7277</v>
      </c>
      <c r="Y1431" t="s">
        <v>91</v>
      </c>
      <c r="Z1431" t="s">
        <v>74</v>
      </c>
      <c r="AA1431" t="str">
        <f>"10065-4870"</f>
        <v>10065-4870</v>
      </c>
      <c r="AB1431" t="s">
        <v>75</v>
      </c>
      <c r="AC1431" t="s">
        <v>76</v>
      </c>
      <c r="AD1431" t="s">
        <v>73</v>
      </c>
      <c r="AE1431" t="s">
        <v>77</v>
      </c>
      <c r="AF1431" t="s">
        <v>2242</v>
      </c>
      <c r="AG1431" t="s">
        <v>78</v>
      </c>
    </row>
    <row r="1432" spans="1:33" hidden="1" x14ac:dyDescent="0.25">
      <c r="A1432" t="str">
        <f>"1518084664"</f>
        <v>1518084664</v>
      </c>
      <c r="B1432" t="str">
        <f>"03588841"</f>
        <v>03588841</v>
      </c>
      <c r="C1432" t="s">
        <v>7278</v>
      </c>
      <c r="D1432" t="s">
        <v>7279</v>
      </c>
      <c r="E1432" t="s">
        <v>7280</v>
      </c>
      <c r="G1432" t="s">
        <v>2224</v>
      </c>
      <c r="H1432" t="s">
        <v>2225</v>
      </c>
      <c r="J1432" t="s">
        <v>2226</v>
      </c>
      <c r="L1432" t="s">
        <v>80</v>
      </c>
      <c r="M1432" t="s">
        <v>73</v>
      </c>
      <c r="R1432" t="s">
        <v>7281</v>
      </c>
      <c r="W1432" t="s">
        <v>7280</v>
      </c>
      <c r="X1432" t="s">
        <v>1583</v>
      </c>
      <c r="Y1432" t="s">
        <v>91</v>
      </c>
      <c r="Z1432" t="s">
        <v>74</v>
      </c>
      <c r="AA1432" t="str">
        <f>"10021-9800"</f>
        <v>10021-9800</v>
      </c>
      <c r="AB1432" t="s">
        <v>75</v>
      </c>
      <c r="AC1432" t="s">
        <v>76</v>
      </c>
      <c r="AD1432" t="s">
        <v>73</v>
      </c>
      <c r="AE1432" t="s">
        <v>77</v>
      </c>
      <c r="AF1432" t="s">
        <v>2234</v>
      </c>
      <c r="AG1432" t="s">
        <v>78</v>
      </c>
    </row>
    <row r="1433" spans="1:33" hidden="1" x14ac:dyDescent="0.25">
      <c r="A1433" t="str">
        <f>"1518114602"</f>
        <v>1518114602</v>
      </c>
      <c r="B1433" t="str">
        <f>"03100176"</f>
        <v>03100176</v>
      </c>
      <c r="C1433" t="s">
        <v>7282</v>
      </c>
      <c r="D1433" t="s">
        <v>7283</v>
      </c>
      <c r="E1433" t="s">
        <v>7284</v>
      </c>
      <c r="G1433" t="s">
        <v>2224</v>
      </c>
      <c r="H1433" t="s">
        <v>2225</v>
      </c>
      <c r="J1433" t="s">
        <v>2226</v>
      </c>
      <c r="L1433" t="s">
        <v>72</v>
      </c>
      <c r="M1433" t="s">
        <v>73</v>
      </c>
      <c r="R1433" t="s">
        <v>7284</v>
      </c>
      <c r="W1433" t="s">
        <v>7284</v>
      </c>
      <c r="X1433" t="s">
        <v>7285</v>
      </c>
      <c r="Y1433" t="s">
        <v>91</v>
      </c>
      <c r="Z1433" t="s">
        <v>74</v>
      </c>
      <c r="AA1433" t="str">
        <f>"10033-3102"</f>
        <v>10033-3102</v>
      </c>
      <c r="AB1433" t="s">
        <v>106</v>
      </c>
      <c r="AC1433" t="s">
        <v>76</v>
      </c>
      <c r="AD1433" t="s">
        <v>73</v>
      </c>
      <c r="AE1433" t="s">
        <v>77</v>
      </c>
      <c r="AF1433" t="s">
        <v>2234</v>
      </c>
      <c r="AG1433" t="s">
        <v>78</v>
      </c>
    </row>
    <row r="1434" spans="1:33" hidden="1" x14ac:dyDescent="0.25">
      <c r="A1434" t="str">
        <f>"1164658803"</f>
        <v>1164658803</v>
      </c>
      <c r="B1434" t="str">
        <f>"03984030"</f>
        <v>03984030</v>
      </c>
      <c r="C1434" t="s">
        <v>7286</v>
      </c>
      <c r="D1434" t="s">
        <v>7287</v>
      </c>
      <c r="E1434" t="s">
        <v>7288</v>
      </c>
      <c r="G1434" t="s">
        <v>2224</v>
      </c>
      <c r="H1434" t="s">
        <v>2312</v>
      </c>
      <c r="J1434" t="s">
        <v>2226</v>
      </c>
      <c r="L1434" t="s">
        <v>80</v>
      </c>
      <c r="M1434" t="s">
        <v>73</v>
      </c>
      <c r="R1434" t="s">
        <v>7289</v>
      </c>
      <c r="W1434" t="s">
        <v>7288</v>
      </c>
      <c r="X1434" t="s">
        <v>7290</v>
      </c>
      <c r="Y1434" t="s">
        <v>91</v>
      </c>
      <c r="Z1434" t="s">
        <v>74</v>
      </c>
      <c r="AA1434" t="str">
        <f>"10065-4870"</f>
        <v>10065-4870</v>
      </c>
      <c r="AB1434" t="s">
        <v>75</v>
      </c>
      <c r="AC1434" t="s">
        <v>76</v>
      </c>
      <c r="AD1434" t="s">
        <v>73</v>
      </c>
      <c r="AE1434" t="s">
        <v>77</v>
      </c>
      <c r="AF1434" t="s">
        <v>2242</v>
      </c>
      <c r="AG1434" t="s">
        <v>78</v>
      </c>
    </row>
    <row r="1435" spans="1:33" hidden="1" x14ac:dyDescent="0.25">
      <c r="A1435" t="str">
        <f>"1790861672"</f>
        <v>1790861672</v>
      </c>
      <c r="C1435" t="s">
        <v>7291</v>
      </c>
      <c r="G1435" t="s">
        <v>2224</v>
      </c>
      <c r="H1435" t="s">
        <v>2312</v>
      </c>
      <c r="J1435" t="s">
        <v>2226</v>
      </c>
      <c r="K1435" t="s">
        <v>171</v>
      </c>
      <c r="L1435" t="s">
        <v>96</v>
      </c>
      <c r="M1435" t="s">
        <v>73</v>
      </c>
      <c r="R1435" t="s">
        <v>7292</v>
      </c>
      <c r="S1435" t="s">
        <v>238</v>
      </c>
      <c r="T1435" t="s">
        <v>91</v>
      </c>
      <c r="U1435" t="s">
        <v>74</v>
      </c>
      <c r="V1435" t="str">
        <f>"100656007"</f>
        <v>100656007</v>
      </c>
      <c r="AC1435" t="s">
        <v>76</v>
      </c>
      <c r="AD1435" t="s">
        <v>73</v>
      </c>
      <c r="AE1435" t="s">
        <v>97</v>
      </c>
      <c r="AF1435" t="s">
        <v>2234</v>
      </c>
      <c r="AG1435" t="s">
        <v>78</v>
      </c>
    </row>
    <row r="1436" spans="1:33" hidden="1" x14ac:dyDescent="0.25">
      <c r="A1436" t="str">
        <f>"1659383420"</f>
        <v>1659383420</v>
      </c>
      <c r="B1436" t="str">
        <f>"01153117"</f>
        <v>01153117</v>
      </c>
      <c r="C1436" t="s">
        <v>7293</v>
      </c>
      <c r="D1436" t="s">
        <v>7294</v>
      </c>
      <c r="E1436" t="s">
        <v>7295</v>
      </c>
      <c r="L1436" t="s">
        <v>80</v>
      </c>
      <c r="M1436" t="s">
        <v>73</v>
      </c>
      <c r="R1436" t="s">
        <v>7296</v>
      </c>
      <c r="W1436" t="s">
        <v>7295</v>
      </c>
      <c r="X1436" t="s">
        <v>170</v>
      </c>
      <c r="Y1436" t="s">
        <v>91</v>
      </c>
      <c r="Z1436" t="s">
        <v>74</v>
      </c>
      <c r="AA1436" t="str">
        <f>"10065-4870"</f>
        <v>10065-4870</v>
      </c>
      <c r="AB1436" t="s">
        <v>75</v>
      </c>
      <c r="AC1436" t="s">
        <v>76</v>
      </c>
      <c r="AD1436" t="s">
        <v>73</v>
      </c>
      <c r="AE1436" t="s">
        <v>77</v>
      </c>
      <c r="AF1436" t="s">
        <v>2242</v>
      </c>
      <c r="AG1436" t="s">
        <v>78</v>
      </c>
    </row>
    <row r="1437" spans="1:33" hidden="1" x14ac:dyDescent="0.25">
      <c r="A1437" t="str">
        <f>"1902162951"</f>
        <v>1902162951</v>
      </c>
      <c r="C1437" t="s">
        <v>7297</v>
      </c>
      <c r="G1437" t="s">
        <v>2224</v>
      </c>
      <c r="H1437" t="s">
        <v>2312</v>
      </c>
      <c r="J1437" t="s">
        <v>2226</v>
      </c>
      <c r="K1437" t="s">
        <v>171</v>
      </c>
      <c r="L1437" t="s">
        <v>96</v>
      </c>
      <c r="M1437" t="s">
        <v>73</v>
      </c>
      <c r="R1437" t="s">
        <v>7298</v>
      </c>
      <c r="S1437" t="s">
        <v>7299</v>
      </c>
      <c r="T1437" t="s">
        <v>91</v>
      </c>
      <c r="U1437" t="s">
        <v>74</v>
      </c>
      <c r="V1437" t="str">
        <f>"100323725"</f>
        <v>100323725</v>
      </c>
      <c r="AC1437" t="s">
        <v>76</v>
      </c>
      <c r="AD1437" t="s">
        <v>73</v>
      </c>
      <c r="AE1437" t="s">
        <v>97</v>
      </c>
      <c r="AF1437" t="s">
        <v>2228</v>
      </c>
      <c r="AG1437" t="s">
        <v>78</v>
      </c>
    </row>
    <row r="1438" spans="1:33" hidden="1" x14ac:dyDescent="0.25">
      <c r="A1438" t="str">
        <f>"1710285036"</f>
        <v>1710285036</v>
      </c>
      <c r="C1438" t="s">
        <v>7300</v>
      </c>
      <c r="G1438" t="s">
        <v>2224</v>
      </c>
      <c r="H1438" t="s">
        <v>2312</v>
      </c>
      <c r="J1438" t="s">
        <v>2226</v>
      </c>
      <c r="K1438" t="s">
        <v>171</v>
      </c>
      <c r="L1438" t="s">
        <v>96</v>
      </c>
      <c r="M1438" t="s">
        <v>73</v>
      </c>
      <c r="R1438" t="s">
        <v>7301</v>
      </c>
      <c r="S1438" t="s">
        <v>5662</v>
      </c>
      <c r="T1438" t="s">
        <v>91</v>
      </c>
      <c r="U1438" t="s">
        <v>74</v>
      </c>
      <c r="V1438" t="str">
        <f>"100323720"</f>
        <v>100323720</v>
      </c>
      <c r="AC1438" t="s">
        <v>76</v>
      </c>
      <c r="AD1438" t="s">
        <v>73</v>
      </c>
      <c r="AE1438" t="s">
        <v>97</v>
      </c>
      <c r="AF1438" t="s">
        <v>2228</v>
      </c>
      <c r="AG1438" t="s">
        <v>78</v>
      </c>
    </row>
    <row r="1439" spans="1:33" hidden="1" x14ac:dyDescent="0.25">
      <c r="A1439" t="str">
        <f>"1427200195"</f>
        <v>1427200195</v>
      </c>
      <c r="B1439" t="str">
        <f>"03255667"</f>
        <v>03255667</v>
      </c>
      <c r="C1439" t="s">
        <v>7302</v>
      </c>
      <c r="D1439" t="s">
        <v>7303</v>
      </c>
      <c r="E1439" t="s">
        <v>7304</v>
      </c>
      <c r="G1439" t="s">
        <v>2224</v>
      </c>
      <c r="H1439" t="s">
        <v>2225</v>
      </c>
      <c r="J1439" t="s">
        <v>2226</v>
      </c>
      <c r="L1439" t="s">
        <v>72</v>
      </c>
      <c r="M1439" t="s">
        <v>73</v>
      </c>
      <c r="R1439" t="s">
        <v>7305</v>
      </c>
      <c r="W1439" t="s">
        <v>7305</v>
      </c>
      <c r="X1439" t="s">
        <v>167</v>
      </c>
      <c r="Y1439" t="s">
        <v>91</v>
      </c>
      <c r="Z1439" t="s">
        <v>74</v>
      </c>
      <c r="AA1439" t="str">
        <f>"10032-3720"</f>
        <v>10032-3720</v>
      </c>
      <c r="AB1439" t="s">
        <v>75</v>
      </c>
      <c r="AC1439" t="s">
        <v>76</v>
      </c>
      <c r="AD1439" t="s">
        <v>73</v>
      </c>
      <c r="AE1439" t="s">
        <v>77</v>
      </c>
      <c r="AF1439" t="s">
        <v>2228</v>
      </c>
      <c r="AG1439" t="s">
        <v>78</v>
      </c>
    </row>
    <row r="1440" spans="1:33" hidden="1" x14ac:dyDescent="0.25">
      <c r="A1440" t="str">
        <f>"1508023953"</f>
        <v>1508023953</v>
      </c>
      <c r="B1440" t="str">
        <f>"03365919"</f>
        <v>03365919</v>
      </c>
      <c r="C1440" t="s">
        <v>7306</v>
      </c>
      <c r="D1440" t="s">
        <v>7307</v>
      </c>
      <c r="E1440" t="s">
        <v>7308</v>
      </c>
      <c r="G1440" t="s">
        <v>2224</v>
      </c>
      <c r="H1440" t="s">
        <v>2225</v>
      </c>
      <c r="J1440" t="s">
        <v>2226</v>
      </c>
      <c r="L1440" t="s">
        <v>80</v>
      </c>
      <c r="M1440" t="s">
        <v>73</v>
      </c>
      <c r="R1440" t="s">
        <v>7309</v>
      </c>
      <c r="W1440" t="s">
        <v>7310</v>
      </c>
      <c r="X1440" t="s">
        <v>170</v>
      </c>
      <c r="Y1440" t="s">
        <v>91</v>
      </c>
      <c r="Z1440" t="s">
        <v>74</v>
      </c>
      <c r="AA1440" t="str">
        <f>"10065-4870"</f>
        <v>10065-4870</v>
      </c>
      <c r="AB1440" t="s">
        <v>75</v>
      </c>
      <c r="AC1440" t="s">
        <v>76</v>
      </c>
      <c r="AD1440" t="s">
        <v>73</v>
      </c>
      <c r="AE1440" t="s">
        <v>77</v>
      </c>
      <c r="AF1440" t="s">
        <v>2242</v>
      </c>
      <c r="AG1440" t="s">
        <v>78</v>
      </c>
    </row>
    <row r="1441" spans="1:33" hidden="1" x14ac:dyDescent="0.25">
      <c r="A1441" t="str">
        <f>"1831529882"</f>
        <v>1831529882</v>
      </c>
      <c r="C1441" t="s">
        <v>7311</v>
      </c>
      <c r="G1441" t="s">
        <v>2224</v>
      </c>
      <c r="H1441" t="s">
        <v>2312</v>
      </c>
      <c r="J1441" t="s">
        <v>2226</v>
      </c>
      <c r="K1441" t="s">
        <v>171</v>
      </c>
      <c r="L1441" t="s">
        <v>96</v>
      </c>
      <c r="M1441" t="s">
        <v>73</v>
      </c>
      <c r="R1441" t="s">
        <v>7312</v>
      </c>
      <c r="S1441" t="s">
        <v>7313</v>
      </c>
      <c r="T1441" t="s">
        <v>1759</v>
      </c>
      <c r="U1441" t="s">
        <v>569</v>
      </c>
      <c r="V1441" t="str">
        <f>"554073723"</f>
        <v>554073723</v>
      </c>
      <c r="AC1441" t="s">
        <v>76</v>
      </c>
      <c r="AD1441" t="s">
        <v>73</v>
      </c>
      <c r="AE1441" t="s">
        <v>97</v>
      </c>
      <c r="AF1441" t="s">
        <v>2234</v>
      </c>
      <c r="AG1441" t="s">
        <v>78</v>
      </c>
    </row>
    <row r="1442" spans="1:33" hidden="1" x14ac:dyDescent="0.25">
      <c r="A1442" t="str">
        <f>"1952718108"</f>
        <v>1952718108</v>
      </c>
      <c r="C1442" t="s">
        <v>7314</v>
      </c>
      <c r="G1442" t="s">
        <v>2224</v>
      </c>
      <c r="H1442" t="s">
        <v>2312</v>
      </c>
      <c r="J1442" t="s">
        <v>2226</v>
      </c>
      <c r="K1442" t="s">
        <v>171</v>
      </c>
      <c r="L1442" t="s">
        <v>96</v>
      </c>
      <c r="M1442" t="s">
        <v>73</v>
      </c>
      <c r="R1442" t="s">
        <v>7315</v>
      </c>
      <c r="S1442" t="s">
        <v>7316</v>
      </c>
      <c r="T1442" t="s">
        <v>7317</v>
      </c>
      <c r="U1442" t="s">
        <v>139</v>
      </c>
      <c r="V1442" t="str">
        <f>"088543014"</f>
        <v>088543014</v>
      </c>
      <c r="AC1442" t="s">
        <v>76</v>
      </c>
      <c r="AD1442" t="s">
        <v>73</v>
      </c>
      <c r="AE1442" t="s">
        <v>97</v>
      </c>
      <c r="AF1442" t="s">
        <v>2242</v>
      </c>
      <c r="AG1442" t="s">
        <v>78</v>
      </c>
    </row>
    <row r="1443" spans="1:33" hidden="1" x14ac:dyDescent="0.25">
      <c r="A1443" t="str">
        <f>"1871924316"</f>
        <v>1871924316</v>
      </c>
      <c r="C1443" t="s">
        <v>7318</v>
      </c>
      <c r="G1443" t="s">
        <v>2224</v>
      </c>
      <c r="H1443" t="s">
        <v>2312</v>
      </c>
      <c r="J1443" t="s">
        <v>2226</v>
      </c>
      <c r="K1443" t="s">
        <v>171</v>
      </c>
      <c r="L1443" t="s">
        <v>96</v>
      </c>
      <c r="M1443" t="s">
        <v>73</v>
      </c>
      <c r="R1443" t="s">
        <v>7319</v>
      </c>
      <c r="S1443" t="s">
        <v>7320</v>
      </c>
      <c r="T1443" t="s">
        <v>91</v>
      </c>
      <c r="U1443" t="s">
        <v>74</v>
      </c>
      <c r="V1443" t="str">
        <f>"100219800"</f>
        <v>100219800</v>
      </c>
      <c r="AC1443" t="s">
        <v>76</v>
      </c>
      <c r="AD1443" t="s">
        <v>73</v>
      </c>
      <c r="AE1443" t="s">
        <v>97</v>
      </c>
      <c r="AF1443" t="s">
        <v>2234</v>
      </c>
      <c r="AG1443" t="s">
        <v>78</v>
      </c>
    </row>
    <row r="1444" spans="1:33" hidden="1" x14ac:dyDescent="0.25">
      <c r="A1444" t="str">
        <f>"1801161914"</f>
        <v>1801161914</v>
      </c>
      <c r="C1444" t="s">
        <v>7321</v>
      </c>
      <c r="G1444" t="s">
        <v>2224</v>
      </c>
      <c r="H1444" t="s">
        <v>2312</v>
      </c>
      <c r="J1444" t="s">
        <v>2226</v>
      </c>
      <c r="K1444" t="s">
        <v>171</v>
      </c>
      <c r="L1444" t="s">
        <v>96</v>
      </c>
      <c r="M1444" t="s">
        <v>73</v>
      </c>
      <c r="R1444" t="s">
        <v>7322</v>
      </c>
      <c r="S1444" t="s">
        <v>354</v>
      </c>
      <c r="T1444" t="s">
        <v>91</v>
      </c>
      <c r="U1444" t="s">
        <v>74</v>
      </c>
      <c r="V1444" t="str">
        <f>"100323725"</f>
        <v>100323725</v>
      </c>
      <c r="AC1444" t="s">
        <v>76</v>
      </c>
      <c r="AD1444" t="s">
        <v>73</v>
      </c>
      <c r="AE1444" t="s">
        <v>97</v>
      </c>
      <c r="AF1444" t="s">
        <v>2228</v>
      </c>
      <c r="AG1444" t="s">
        <v>78</v>
      </c>
    </row>
    <row r="1445" spans="1:33" hidden="1" x14ac:dyDescent="0.25">
      <c r="A1445" t="str">
        <f>"1326304080"</f>
        <v>1326304080</v>
      </c>
      <c r="C1445" t="s">
        <v>7323</v>
      </c>
      <c r="G1445" t="s">
        <v>2224</v>
      </c>
      <c r="H1445" t="s">
        <v>2312</v>
      </c>
      <c r="J1445" t="s">
        <v>2226</v>
      </c>
      <c r="K1445" t="s">
        <v>171</v>
      </c>
      <c r="L1445" t="s">
        <v>96</v>
      </c>
      <c r="M1445" t="s">
        <v>73</v>
      </c>
      <c r="R1445" t="s">
        <v>7324</v>
      </c>
      <c r="S1445" t="s">
        <v>354</v>
      </c>
      <c r="T1445" t="s">
        <v>91</v>
      </c>
      <c r="U1445" t="s">
        <v>74</v>
      </c>
      <c r="V1445" t="str">
        <f>"100323725"</f>
        <v>100323725</v>
      </c>
      <c r="AC1445" t="s">
        <v>76</v>
      </c>
      <c r="AD1445" t="s">
        <v>73</v>
      </c>
      <c r="AE1445" t="s">
        <v>97</v>
      </c>
      <c r="AF1445" t="s">
        <v>2228</v>
      </c>
      <c r="AG1445" t="s">
        <v>78</v>
      </c>
    </row>
    <row r="1446" spans="1:33" hidden="1" x14ac:dyDescent="0.25">
      <c r="A1446" t="str">
        <f>"1851734024"</f>
        <v>1851734024</v>
      </c>
      <c r="C1446" t="s">
        <v>7325</v>
      </c>
      <c r="G1446" t="s">
        <v>2224</v>
      </c>
      <c r="H1446" t="s">
        <v>2312</v>
      </c>
      <c r="J1446" t="s">
        <v>2226</v>
      </c>
      <c r="K1446" t="s">
        <v>171</v>
      </c>
      <c r="L1446" t="s">
        <v>96</v>
      </c>
      <c r="M1446" t="s">
        <v>73</v>
      </c>
      <c r="R1446" t="s">
        <v>7326</v>
      </c>
      <c r="S1446" t="s">
        <v>354</v>
      </c>
      <c r="T1446" t="s">
        <v>91</v>
      </c>
      <c r="U1446" t="s">
        <v>74</v>
      </c>
      <c r="V1446" t="str">
        <f>"100323725"</f>
        <v>100323725</v>
      </c>
      <c r="AC1446" t="s">
        <v>76</v>
      </c>
      <c r="AD1446" t="s">
        <v>73</v>
      </c>
      <c r="AE1446" t="s">
        <v>97</v>
      </c>
      <c r="AF1446" t="s">
        <v>2228</v>
      </c>
      <c r="AG1446" t="s">
        <v>78</v>
      </c>
    </row>
    <row r="1447" spans="1:33" hidden="1" x14ac:dyDescent="0.25">
      <c r="A1447" t="str">
        <f>"1245335850"</f>
        <v>1245335850</v>
      </c>
      <c r="B1447" t="str">
        <f>"02350383"</f>
        <v>02350383</v>
      </c>
      <c r="C1447" t="s">
        <v>7327</v>
      </c>
      <c r="D1447" t="s">
        <v>7328</v>
      </c>
      <c r="E1447" t="s">
        <v>7329</v>
      </c>
      <c r="G1447" t="s">
        <v>2224</v>
      </c>
      <c r="H1447" t="s">
        <v>2225</v>
      </c>
      <c r="J1447" t="s">
        <v>2226</v>
      </c>
      <c r="L1447" t="s">
        <v>81</v>
      </c>
      <c r="M1447" t="s">
        <v>82</v>
      </c>
      <c r="R1447" t="s">
        <v>7330</v>
      </c>
      <c r="W1447" t="s">
        <v>7329</v>
      </c>
      <c r="X1447" t="s">
        <v>1618</v>
      </c>
      <c r="Y1447" t="s">
        <v>91</v>
      </c>
      <c r="Z1447" t="s">
        <v>74</v>
      </c>
      <c r="AA1447" t="str">
        <f>"10037-1802"</f>
        <v>10037-1802</v>
      </c>
      <c r="AB1447" t="s">
        <v>75</v>
      </c>
      <c r="AC1447" t="s">
        <v>76</v>
      </c>
      <c r="AD1447" t="s">
        <v>73</v>
      </c>
      <c r="AE1447" t="s">
        <v>77</v>
      </c>
      <c r="AF1447" t="s">
        <v>2228</v>
      </c>
      <c r="AG1447" t="s">
        <v>78</v>
      </c>
    </row>
    <row r="1448" spans="1:33" hidden="1" x14ac:dyDescent="0.25">
      <c r="A1448" t="str">
        <f>"1245430537"</f>
        <v>1245430537</v>
      </c>
      <c r="B1448" t="str">
        <f>"03316621"</f>
        <v>03316621</v>
      </c>
      <c r="C1448" t="s">
        <v>7331</v>
      </c>
      <c r="D1448" t="s">
        <v>7332</v>
      </c>
      <c r="E1448" t="s">
        <v>7333</v>
      </c>
      <c r="G1448" t="s">
        <v>2224</v>
      </c>
      <c r="H1448" t="s">
        <v>2225</v>
      </c>
      <c r="J1448" t="s">
        <v>2226</v>
      </c>
      <c r="L1448" t="s">
        <v>81</v>
      </c>
      <c r="M1448" t="s">
        <v>73</v>
      </c>
      <c r="R1448" t="s">
        <v>7334</v>
      </c>
      <c r="W1448" t="s">
        <v>7333</v>
      </c>
      <c r="X1448" t="s">
        <v>239</v>
      </c>
      <c r="Y1448" t="s">
        <v>91</v>
      </c>
      <c r="Z1448" t="s">
        <v>74</v>
      </c>
      <c r="AA1448" t="str">
        <f>"10075-1850"</f>
        <v>10075-1850</v>
      </c>
      <c r="AB1448" t="s">
        <v>75</v>
      </c>
      <c r="AC1448" t="s">
        <v>76</v>
      </c>
      <c r="AD1448" t="s">
        <v>73</v>
      </c>
      <c r="AE1448" t="s">
        <v>77</v>
      </c>
      <c r="AF1448" t="s">
        <v>2242</v>
      </c>
      <c r="AG1448" t="s">
        <v>78</v>
      </c>
    </row>
    <row r="1449" spans="1:33" hidden="1" x14ac:dyDescent="0.25">
      <c r="A1449" t="str">
        <f>"1255421426"</f>
        <v>1255421426</v>
      </c>
      <c r="B1449" t="str">
        <f>"02708161"</f>
        <v>02708161</v>
      </c>
      <c r="C1449" t="s">
        <v>7335</v>
      </c>
      <c r="D1449" t="s">
        <v>7336</v>
      </c>
      <c r="E1449" t="s">
        <v>7337</v>
      </c>
      <c r="G1449" t="s">
        <v>2224</v>
      </c>
      <c r="H1449" t="s">
        <v>2225</v>
      </c>
      <c r="J1449" t="s">
        <v>2226</v>
      </c>
      <c r="L1449" t="s">
        <v>81</v>
      </c>
      <c r="M1449" t="s">
        <v>82</v>
      </c>
      <c r="R1449" t="s">
        <v>7338</v>
      </c>
      <c r="W1449" t="s">
        <v>7337</v>
      </c>
      <c r="X1449" t="s">
        <v>170</v>
      </c>
      <c r="Y1449" t="s">
        <v>91</v>
      </c>
      <c r="Z1449" t="s">
        <v>74</v>
      </c>
      <c r="AA1449" t="str">
        <f>"10065-4870"</f>
        <v>10065-4870</v>
      </c>
      <c r="AB1449" t="s">
        <v>75</v>
      </c>
      <c r="AC1449" t="s">
        <v>76</v>
      </c>
      <c r="AD1449" t="s">
        <v>73</v>
      </c>
      <c r="AE1449" t="s">
        <v>77</v>
      </c>
      <c r="AF1449" t="s">
        <v>2242</v>
      </c>
      <c r="AG1449" t="s">
        <v>78</v>
      </c>
    </row>
    <row r="1450" spans="1:33" hidden="1" x14ac:dyDescent="0.25">
      <c r="A1450" t="str">
        <f>"1932128386"</f>
        <v>1932128386</v>
      </c>
      <c r="B1450" t="str">
        <f>"02578958"</f>
        <v>02578958</v>
      </c>
      <c r="C1450" t="s">
        <v>1921</v>
      </c>
      <c r="D1450" t="s">
        <v>1848</v>
      </c>
      <c r="E1450" t="s">
        <v>1849</v>
      </c>
      <c r="G1450" t="s">
        <v>4137</v>
      </c>
      <c r="H1450" t="s">
        <v>1922</v>
      </c>
      <c r="J1450" t="s">
        <v>1499</v>
      </c>
      <c r="L1450" t="s">
        <v>36</v>
      </c>
      <c r="M1450" t="s">
        <v>82</v>
      </c>
      <c r="R1450" t="s">
        <v>1560</v>
      </c>
      <c r="W1450" t="s">
        <v>1850</v>
      </c>
      <c r="X1450" t="s">
        <v>1851</v>
      </c>
      <c r="Y1450" t="s">
        <v>91</v>
      </c>
      <c r="Z1450" t="s">
        <v>74</v>
      </c>
      <c r="AA1450" t="str">
        <f>"10014-2840"</f>
        <v>10014-2840</v>
      </c>
      <c r="AB1450" t="s">
        <v>92</v>
      </c>
      <c r="AC1450" t="s">
        <v>76</v>
      </c>
      <c r="AD1450" t="s">
        <v>73</v>
      </c>
      <c r="AE1450" t="s">
        <v>77</v>
      </c>
      <c r="AG1450" t="s">
        <v>78</v>
      </c>
    </row>
    <row r="1451" spans="1:33" hidden="1" x14ac:dyDescent="0.25">
      <c r="A1451" t="str">
        <f>"1770740342"</f>
        <v>1770740342</v>
      </c>
      <c r="B1451" t="str">
        <f>"03507288"</f>
        <v>03507288</v>
      </c>
      <c r="C1451" t="s">
        <v>7339</v>
      </c>
      <c r="D1451" t="s">
        <v>7340</v>
      </c>
      <c r="E1451" t="s">
        <v>7341</v>
      </c>
      <c r="G1451" t="s">
        <v>2224</v>
      </c>
      <c r="H1451" t="s">
        <v>2225</v>
      </c>
      <c r="J1451" t="s">
        <v>2226</v>
      </c>
      <c r="L1451" t="s">
        <v>80</v>
      </c>
      <c r="M1451" t="s">
        <v>73</v>
      </c>
      <c r="R1451" t="s">
        <v>7342</v>
      </c>
      <c r="W1451" t="s">
        <v>7341</v>
      </c>
      <c r="X1451" t="s">
        <v>4408</v>
      </c>
      <c r="Y1451" t="s">
        <v>91</v>
      </c>
      <c r="Z1451" t="s">
        <v>74</v>
      </c>
      <c r="AA1451" t="str">
        <f>"10019-6113"</f>
        <v>10019-6113</v>
      </c>
      <c r="AB1451" t="s">
        <v>75</v>
      </c>
      <c r="AC1451" t="s">
        <v>76</v>
      </c>
      <c r="AD1451" t="s">
        <v>73</v>
      </c>
      <c r="AE1451" t="s">
        <v>77</v>
      </c>
      <c r="AF1451" t="s">
        <v>2254</v>
      </c>
      <c r="AG1451" t="s">
        <v>78</v>
      </c>
    </row>
    <row r="1452" spans="1:33" hidden="1" x14ac:dyDescent="0.25">
      <c r="A1452" t="str">
        <f>"1770741589"</f>
        <v>1770741589</v>
      </c>
      <c r="B1452" t="str">
        <f>"03375284"</f>
        <v>03375284</v>
      </c>
      <c r="C1452" t="s">
        <v>7343</v>
      </c>
      <c r="D1452" t="s">
        <v>7344</v>
      </c>
      <c r="E1452" t="s">
        <v>7345</v>
      </c>
      <c r="G1452" t="s">
        <v>2224</v>
      </c>
      <c r="H1452" t="s">
        <v>2225</v>
      </c>
      <c r="J1452" t="s">
        <v>2226</v>
      </c>
      <c r="L1452" t="s">
        <v>72</v>
      </c>
      <c r="M1452" t="s">
        <v>73</v>
      </c>
      <c r="R1452" t="s">
        <v>7346</v>
      </c>
      <c r="W1452" t="s">
        <v>7345</v>
      </c>
      <c r="X1452" t="s">
        <v>410</v>
      </c>
      <c r="Y1452" t="s">
        <v>91</v>
      </c>
      <c r="Z1452" t="s">
        <v>74</v>
      </c>
      <c r="AA1452" t="str">
        <f>"10032-1559"</f>
        <v>10032-1559</v>
      </c>
      <c r="AB1452" t="s">
        <v>75</v>
      </c>
      <c r="AC1452" t="s">
        <v>76</v>
      </c>
      <c r="AD1452" t="s">
        <v>73</v>
      </c>
      <c r="AE1452" t="s">
        <v>77</v>
      </c>
      <c r="AF1452" t="s">
        <v>2228</v>
      </c>
      <c r="AG1452" t="s">
        <v>78</v>
      </c>
    </row>
    <row r="1453" spans="1:33" hidden="1" x14ac:dyDescent="0.25">
      <c r="A1453" t="str">
        <f>"1447314356"</f>
        <v>1447314356</v>
      </c>
      <c r="B1453" t="str">
        <f>"00769219"</f>
        <v>00769219</v>
      </c>
      <c r="C1453" t="s">
        <v>7347</v>
      </c>
      <c r="D1453" t="s">
        <v>7348</v>
      </c>
      <c r="E1453" t="s">
        <v>7349</v>
      </c>
      <c r="G1453" t="s">
        <v>2514</v>
      </c>
      <c r="H1453" t="s">
        <v>3656</v>
      </c>
      <c r="J1453" t="s">
        <v>7350</v>
      </c>
      <c r="L1453" t="s">
        <v>99</v>
      </c>
      <c r="M1453" t="s">
        <v>73</v>
      </c>
      <c r="R1453" t="s">
        <v>98</v>
      </c>
      <c r="W1453" t="s">
        <v>7351</v>
      </c>
      <c r="X1453" t="s">
        <v>1373</v>
      </c>
      <c r="Y1453" t="s">
        <v>91</v>
      </c>
      <c r="Z1453" t="s">
        <v>74</v>
      </c>
      <c r="AA1453" t="str">
        <f>"10032-3727"</f>
        <v>10032-3727</v>
      </c>
      <c r="AB1453" t="s">
        <v>90</v>
      </c>
      <c r="AC1453" t="s">
        <v>76</v>
      </c>
      <c r="AD1453" t="s">
        <v>73</v>
      </c>
      <c r="AE1453" t="s">
        <v>77</v>
      </c>
      <c r="AF1453" t="s">
        <v>2518</v>
      </c>
      <c r="AG1453" t="s">
        <v>78</v>
      </c>
    </row>
    <row r="1454" spans="1:33" hidden="1" x14ac:dyDescent="0.25">
      <c r="A1454" t="str">
        <f>"1184778029"</f>
        <v>1184778029</v>
      </c>
      <c r="B1454" t="str">
        <f>"01704594"</f>
        <v>01704594</v>
      </c>
      <c r="C1454" t="s">
        <v>7352</v>
      </c>
      <c r="D1454" t="s">
        <v>7353</v>
      </c>
      <c r="E1454" t="s">
        <v>7354</v>
      </c>
      <c r="G1454" t="s">
        <v>2224</v>
      </c>
      <c r="H1454" t="s">
        <v>2225</v>
      </c>
      <c r="J1454" t="s">
        <v>2226</v>
      </c>
      <c r="L1454" t="s">
        <v>88</v>
      </c>
      <c r="M1454" t="s">
        <v>82</v>
      </c>
      <c r="R1454" t="s">
        <v>7355</v>
      </c>
      <c r="W1454" t="s">
        <v>7354</v>
      </c>
      <c r="X1454" t="s">
        <v>310</v>
      </c>
      <c r="Y1454" t="s">
        <v>91</v>
      </c>
      <c r="Z1454" t="s">
        <v>74</v>
      </c>
      <c r="AA1454" t="str">
        <f>"10019"</f>
        <v>10019</v>
      </c>
      <c r="AB1454" t="s">
        <v>75</v>
      </c>
      <c r="AC1454" t="s">
        <v>76</v>
      </c>
      <c r="AD1454" t="s">
        <v>73</v>
      </c>
      <c r="AE1454" t="s">
        <v>77</v>
      </c>
      <c r="AF1454" t="s">
        <v>2228</v>
      </c>
      <c r="AG1454" t="s">
        <v>78</v>
      </c>
    </row>
    <row r="1455" spans="1:33" hidden="1" x14ac:dyDescent="0.25">
      <c r="A1455" t="str">
        <f>"1922079623"</f>
        <v>1922079623</v>
      </c>
      <c r="B1455" t="str">
        <f>"01562981"</f>
        <v>01562981</v>
      </c>
      <c r="C1455" t="s">
        <v>7356</v>
      </c>
      <c r="D1455" t="s">
        <v>7357</v>
      </c>
      <c r="E1455" t="s">
        <v>7358</v>
      </c>
      <c r="G1455" t="s">
        <v>2224</v>
      </c>
      <c r="H1455" t="s">
        <v>2225</v>
      </c>
      <c r="J1455" t="s">
        <v>2226</v>
      </c>
      <c r="L1455" t="s">
        <v>81</v>
      </c>
      <c r="M1455" t="s">
        <v>82</v>
      </c>
      <c r="R1455" t="s">
        <v>7359</v>
      </c>
      <c r="W1455" t="s">
        <v>7358</v>
      </c>
      <c r="X1455" t="s">
        <v>410</v>
      </c>
      <c r="Y1455" t="s">
        <v>91</v>
      </c>
      <c r="Z1455" t="s">
        <v>74</v>
      </c>
      <c r="AA1455" t="str">
        <f>"10032-1559"</f>
        <v>10032-1559</v>
      </c>
      <c r="AB1455" t="s">
        <v>75</v>
      </c>
      <c r="AC1455" t="s">
        <v>76</v>
      </c>
      <c r="AD1455" t="s">
        <v>73</v>
      </c>
      <c r="AE1455" t="s">
        <v>77</v>
      </c>
      <c r="AF1455" t="s">
        <v>2228</v>
      </c>
      <c r="AG1455" t="s">
        <v>78</v>
      </c>
    </row>
    <row r="1456" spans="1:33" hidden="1" x14ac:dyDescent="0.25">
      <c r="A1456" t="str">
        <f>"1174725873"</f>
        <v>1174725873</v>
      </c>
      <c r="B1456" t="str">
        <f>"03027281"</f>
        <v>03027281</v>
      </c>
      <c r="C1456" t="s">
        <v>7360</v>
      </c>
      <c r="D1456" t="s">
        <v>7361</v>
      </c>
      <c r="E1456" t="s">
        <v>7362</v>
      </c>
      <c r="G1456" t="s">
        <v>2224</v>
      </c>
      <c r="H1456" t="s">
        <v>2225</v>
      </c>
      <c r="J1456" t="s">
        <v>2226</v>
      </c>
      <c r="L1456" t="s">
        <v>72</v>
      </c>
      <c r="M1456" t="s">
        <v>73</v>
      </c>
      <c r="R1456" t="s">
        <v>7363</v>
      </c>
      <c r="W1456" t="s">
        <v>7364</v>
      </c>
      <c r="X1456" t="s">
        <v>496</v>
      </c>
      <c r="Y1456" t="s">
        <v>91</v>
      </c>
      <c r="Z1456" t="s">
        <v>74</v>
      </c>
      <c r="AA1456" t="str">
        <f>"10032-3726"</f>
        <v>10032-3726</v>
      </c>
      <c r="AB1456" t="s">
        <v>75</v>
      </c>
      <c r="AC1456" t="s">
        <v>76</v>
      </c>
      <c r="AD1456" t="s">
        <v>73</v>
      </c>
      <c r="AE1456" t="s">
        <v>77</v>
      </c>
      <c r="AF1456" t="s">
        <v>2228</v>
      </c>
      <c r="AG1456" t="s">
        <v>78</v>
      </c>
    </row>
    <row r="1457" spans="1:33" hidden="1" x14ac:dyDescent="0.25">
      <c r="A1457" t="str">
        <f>"1447410246"</f>
        <v>1447410246</v>
      </c>
      <c r="B1457" t="str">
        <f>"03602586"</f>
        <v>03602586</v>
      </c>
      <c r="C1457" t="s">
        <v>7365</v>
      </c>
      <c r="D1457" t="s">
        <v>7366</v>
      </c>
      <c r="E1457" t="s">
        <v>7367</v>
      </c>
      <c r="G1457" t="s">
        <v>2224</v>
      </c>
      <c r="H1457" t="s">
        <v>2225</v>
      </c>
      <c r="J1457" t="s">
        <v>2226</v>
      </c>
      <c r="L1457" t="s">
        <v>72</v>
      </c>
      <c r="M1457" t="s">
        <v>73</v>
      </c>
      <c r="R1457" t="s">
        <v>7367</v>
      </c>
      <c r="W1457" t="s">
        <v>7367</v>
      </c>
      <c r="X1457" t="s">
        <v>7368</v>
      </c>
      <c r="Y1457" t="s">
        <v>91</v>
      </c>
      <c r="Z1457" t="s">
        <v>74</v>
      </c>
      <c r="AA1457" t="str">
        <f>"10032-3729"</f>
        <v>10032-3729</v>
      </c>
      <c r="AB1457" t="s">
        <v>75</v>
      </c>
      <c r="AC1457" t="s">
        <v>76</v>
      </c>
      <c r="AD1457" t="s">
        <v>73</v>
      </c>
      <c r="AE1457" t="s">
        <v>77</v>
      </c>
      <c r="AF1457" t="s">
        <v>2228</v>
      </c>
      <c r="AG1457" t="s">
        <v>78</v>
      </c>
    </row>
    <row r="1458" spans="1:33" hidden="1" x14ac:dyDescent="0.25">
      <c r="A1458" t="str">
        <f>"1821210865"</f>
        <v>1821210865</v>
      </c>
      <c r="B1458" t="str">
        <f>"02880422"</f>
        <v>02880422</v>
      </c>
      <c r="C1458" t="s">
        <v>7369</v>
      </c>
      <c r="D1458" t="s">
        <v>7370</v>
      </c>
      <c r="E1458" t="s">
        <v>7371</v>
      </c>
      <c r="G1458" t="s">
        <v>2224</v>
      </c>
      <c r="H1458" t="s">
        <v>2225</v>
      </c>
      <c r="J1458" t="s">
        <v>2226</v>
      </c>
      <c r="L1458" t="s">
        <v>81</v>
      </c>
      <c r="M1458" t="s">
        <v>82</v>
      </c>
      <c r="R1458" t="s">
        <v>7372</v>
      </c>
      <c r="W1458" t="s">
        <v>7371</v>
      </c>
      <c r="X1458" t="s">
        <v>628</v>
      </c>
      <c r="Y1458" t="s">
        <v>91</v>
      </c>
      <c r="Z1458" t="s">
        <v>74</v>
      </c>
      <c r="AA1458" t="str">
        <f>"10021-4872"</f>
        <v>10021-4872</v>
      </c>
      <c r="AB1458" t="s">
        <v>75</v>
      </c>
      <c r="AC1458" t="s">
        <v>76</v>
      </c>
      <c r="AD1458" t="s">
        <v>73</v>
      </c>
      <c r="AE1458" t="s">
        <v>77</v>
      </c>
      <c r="AF1458" t="s">
        <v>2234</v>
      </c>
      <c r="AG1458" t="s">
        <v>78</v>
      </c>
    </row>
    <row r="1459" spans="1:33" hidden="1" x14ac:dyDescent="0.25">
      <c r="A1459" t="str">
        <f>"1235257866"</f>
        <v>1235257866</v>
      </c>
      <c r="B1459" t="str">
        <f>"03715735"</f>
        <v>03715735</v>
      </c>
      <c r="C1459" t="s">
        <v>7373</v>
      </c>
      <c r="D1459" t="s">
        <v>7374</v>
      </c>
      <c r="E1459" t="s">
        <v>7375</v>
      </c>
      <c r="G1459" t="s">
        <v>2224</v>
      </c>
      <c r="H1459" t="s">
        <v>2225</v>
      </c>
      <c r="J1459" t="s">
        <v>2226</v>
      </c>
      <c r="L1459" t="s">
        <v>72</v>
      </c>
      <c r="M1459" t="s">
        <v>73</v>
      </c>
      <c r="R1459" t="s">
        <v>7376</v>
      </c>
      <c r="W1459" t="s">
        <v>7375</v>
      </c>
      <c r="X1459" t="s">
        <v>410</v>
      </c>
      <c r="Y1459" t="s">
        <v>91</v>
      </c>
      <c r="Z1459" t="s">
        <v>74</v>
      </c>
      <c r="AA1459" t="str">
        <f>"10032-1559"</f>
        <v>10032-1559</v>
      </c>
      <c r="AB1459" t="s">
        <v>75</v>
      </c>
      <c r="AC1459" t="s">
        <v>76</v>
      </c>
      <c r="AD1459" t="s">
        <v>73</v>
      </c>
      <c r="AE1459" t="s">
        <v>77</v>
      </c>
      <c r="AF1459" t="s">
        <v>2228</v>
      </c>
      <c r="AG1459" t="s">
        <v>78</v>
      </c>
    </row>
    <row r="1460" spans="1:33" hidden="1" x14ac:dyDescent="0.25">
      <c r="A1460" t="str">
        <f>"1407194749"</f>
        <v>1407194749</v>
      </c>
      <c r="B1460" t="str">
        <f>"03829889"</f>
        <v>03829889</v>
      </c>
      <c r="C1460" t="s">
        <v>7377</v>
      </c>
      <c r="D1460" t="s">
        <v>7378</v>
      </c>
      <c r="E1460" t="s">
        <v>7379</v>
      </c>
      <c r="G1460" t="s">
        <v>2224</v>
      </c>
      <c r="H1460" t="s">
        <v>2225</v>
      </c>
      <c r="J1460" t="s">
        <v>2226</v>
      </c>
      <c r="L1460" t="s">
        <v>72</v>
      </c>
      <c r="M1460" t="s">
        <v>73</v>
      </c>
      <c r="R1460" t="s">
        <v>7380</v>
      </c>
      <c r="W1460" t="s">
        <v>7379</v>
      </c>
      <c r="X1460" t="s">
        <v>410</v>
      </c>
      <c r="Y1460" t="s">
        <v>91</v>
      </c>
      <c r="Z1460" t="s">
        <v>74</v>
      </c>
      <c r="AA1460" t="str">
        <f>"10032-1559"</f>
        <v>10032-1559</v>
      </c>
      <c r="AB1460" t="s">
        <v>113</v>
      </c>
      <c r="AC1460" t="s">
        <v>76</v>
      </c>
      <c r="AD1460" t="s">
        <v>73</v>
      </c>
      <c r="AE1460" t="s">
        <v>77</v>
      </c>
      <c r="AF1460" t="s">
        <v>2228</v>
      </c>
      <c r="AG1460" t="s">
        <v>78</v>
      </c>
    </row>
    <row r="1461" spans="1:33" hidden="1" x14ac:dyDescent="0.25">
      <c r="A1461" t="str">
        <f>"1013906791"</f>
        <v>1013906791</v>
      </c>
      <c r="B1461" t="str">
        <f>"01833825"</f>
        <v>01833825</v>
      </c>
      <c r="C1461" t="s">
        <v>7381</v>
      </c>
      <c r="D1461" t="s">
        <v>7382</v>
      </c>
      <c r="E1461" t="s">
        <v>7383</v>
      </c>
      <c r="G1461" t="s">
        <v>282</v>
      </c>
      <c r="H1461" t="s">
        <v>248</v>
      </c>
      <c r="I1461">
        <v>2604</v>
      </c>
      <c r="J1461" t="s">
        <v>283</v>
      </c>
      <c r="L1461" t="s">
        <v>81</v>
      </c>
      <c r="M1461" t="s">
        <v>82</v>
      </c>
      <c r="R1461" t="s">
        <v>7383</v>
      </c>
      <c r="W1461" t="s">
        <v>7383</v>
      </c>
      <c r="X1461" t="s">
        <v>285</v>
      </c>
      <c r="Y1461" t="s">
        <v>91</v>
      </c>
      <c r="Z1461" t="s">
        <v>74</v>
      </c>
      <c r="AA1461" t="str">
        <f>"10013-4135"</f>
        <v>10013-4135</v>
      </c>
      <c r="AB1461" t="s">
        <v>75</v>
      </c>
      <c r="AC1461" t="s">
        <v>76</v>
      </c>
      <c r="AD1461" t="s">
        <v>73</v>
      </c>
      <c r="AE1461" t="s">
        <v>77</v>
      </c>
      <c r="AF1461" t="s">
        <v>2319</v>
      </c>
      <c r="AG1461" t="s">
        <v>78</v>
      </c>
    </row>
    <row r="1462" spans="1:33" hidden="1" x14ac:dyDescent="0.25">
      <c r="A1462" t="str">
        <f>"1770573727"</f>
        <v>1770573727</v>
      </c>
      <c r="B1462" t="str">
        <f>"01833765"</f>
        <v>01833765</v>
      </c>
      <c r="C1462" t="s">
        <v>7384</v>
      </c>
      <c r="D1462" t="s">
        <v>2119</v>
      </c>
      <c r="E1462" t="s">
        <v>2118</v>
      </c>
      <c r="G1462" t="s">
        <v>282</v>
      </c>
      <c r="H1462" t="s">
        <v>248</v>
      </c>
      <c r="I1462">
        <v>2604</v>
      </c>
      <c r="J1462" t="s">
        <v>283</v>
      </c>
      <c r="L1462" t="s">
        <v>81</v>
      </c>
      <c r="M1462" t="s">
        <v>82</v>
      </c>
      <c r="R1462" t="s">
        <v>2118</v>
      </c>
      <c r="W1462" t="s">
        <v>2120</v>
      </c>
      <c r="X1462" t="s">
        <v>2121</v>
      </c>
      <c r="Y1462" t="s">
        <v>91</v>
      </c>
      <c r="Z1462" t="s">
        <v>74</v>
      </c>
      <c r="AA1462" t="str">
        <f>"10013-4135"</f>
        <v>10013-4135</v>
      </c>
      <c r="AB1462" t="s">
        <v>75</v>
      </c>
      <c r="AC1462" t="s">
        <v>76</v>
      </c>
      <c r="AD1462" t="s">
        <v>73</v>
      </c>
      <c r="AE1462" t="s">
        <v>77</v>
      </c>
      <c r="AF1462" t="s">
        <v>2319</v>
      </c>
      <c r="AG1462" t="s">
        <v>78</v>
      </c>
    </row>
    <row r="1463" spans="1:33" hidden="1" x14ac:dyDescent="0.25">
      <c r="A1463" t="str">
        <f>"1184726457"</f>
        <v>1184726457</v>
      </c>
      <c r="B1463" t="str">
        <f>"00571077"</f>
        <v>00571077</v>
      </c>
      <c r="C1463" t="s">
        <v>1901</v>
      </c>
      <c r="D1463" t="s">
        <v>1318</v>
      </c>
      <c r="E1463" t="s">
        <v>1319</v>
      </c>
      <c r="G1463" t="s">
        <v>2260</v>
      </c>
      <c r="H1463" t="s">
        <v>7385</v>
      </c>
      <c r="J1463" t="s">
        <v>1512</v>
      </c>
      <c r="L1463" t="s">
        <v>81</v>
      </c>
      <c r="M1463" t="s">
        <v>73</v>
      </c>
      <c r="R1463" t="s">
        <v>1320</v>
      </c>
      <c r="W1463" t="s">
        <v>1321</v>
      </c>
      <c r="X1463" t="s">
        <v>1322</v>
      </c>
      <c r="Y1463" t="s">
        <v>91</v>
      </c>
      <c r="Z1463" t="s">
        <v>74</v>
      </c>
      <c r="AA1463" t="str">
        <f>"10023-7008"</f>
        <v>10023-7008</v>
      </c>
      <c r="AB1463" t="s">
        <v>75</v>
      </c>
      <c r="AC1463" t="s">
        <v>76</v>
      </c>
      <c r="AD1463" t="s">
        <v>73</v>
      </c>
      <c r="AE1463" t="s">
        <v>77</v>
      </c>
      <c r="AG1463" t="s">
        <v>78</v>
      </c>
    </row>
    <row r="1464" spans="1:33" hidden="1" x14ac:dyDescent="0.25">
      <c r="A1464" t="str">
        <f>"1558627141"</f>
        <v>1558627141</v>
      </c>
      <c r="B1464" t="str">
        <f>"03461612"</f>
        <v>03461612</v>
      </c>
      <c r="C1464" t="s">
        <v>7386</v>
      </c>
      <c r="D1464" t="s">
        <v>7387</v>
      </c>
      <c r="E1464" t="s">
        <v>7388</v>
      </c>
      <c r="G1464" t="s">
        <v>2224</v>
      </c>
      <c r="H1464" t="s">
        <v>2225</v>
      </c>
      <c r="J1464" t="s">
        <v>2226</v>
      </c>
      <c r="L1464" t="s">
        <v>81</v>
      </c>
      <c r="M1464" t="s">
        <v>73</v>
      </c>
      <c r="R1464" t="s">
        <v>7389</v>
      </c>
      <c r="W1464" t="s">
        <v>7388</v>
      </c>
      <c r="X1464" t="s">
        <v>167</v>
      </c>
      <c r="Y1464" t="s">
        <v>91</v>
      </c>
      <c r="Z1464" t="s">
        <v>74</v>
      </c>
      <c r="AA1464" t="str">
        <f>"10032-3720"</f>
        <v>10032-3720</v>
      </c>
      <c r="AB1464" t="s">
        <v>75</v>
      </c>
      <c r="AC1464" t="s">
        <v>76</v>
      </c>
      <c r="AD1464" t="s">
        <v>73</v>
      </c>
      <c r="AE1464" t="s">
        <v>77</v>
      </c>
      <c r="AF1464" t="s">
        <v>2254</v>
      </c>
      <c r="AG1464" t="s">
        <v>78</v>
      </c>
    </row>
    <row r="1465" spans="1:33" hidden="1" x14ac:dyDescent="0.25">
      <c r="A1465" t="str">
        <f>"1285645051"</f>
        <v>1285645051</v>
      </c>
      <c r="B1465" t="str">
        <f>"02376676"</f>
        <v>02376676</v>
      </c>
      <c r="C1465" t="s">
        <v>7390</v>
      </c>
      <c r="D1465" t="s">
        <v>7391</v>
      </c>
      <c r="E1465" t="s">
        <v>7390</v>
      </c>
      <c r="L1465" t="s">
        <v>16</v>
      </c>
      <c r="M1465" t="s">
        <v>82</v>
      </c>
      <c r="R1465" t="s">
        <v>7390</v>
      </c>
      <c r="W1465" t="s">
        <v>7390</v>
      </c>
      <c r="X1465" t="s">
        <v>7392</v>
      </c>
      <c r="Y1465" t="s">
        <v>91</v>
      </c>
      <c r="Z1465" t="s">
        <v>74</v>
      </c>
      <c r="AA1465" t="str">
        <f>"10033-4731"</f>
        <v>10033-4731</v>
      </c>
      <c r="AB1465" t="s">
        <v>119</v>
      </c>
      <c r="AC1465" t="s">
        <v>76</v>
      </c>
      <c r="AD1465" t="s">
        <v>73</v>
      </c>
      <c r="AE1465" t="s">
        <v>77</v>
      </c>
      <c r="AG1465" t="s">
        <v>78</v>
      </c>
    </row>
    <row r="1466" spans="1:33" hidden="1" x14ac:dyDescent="0.25">
      <c r="A1466" t="str">
        <f>"1326053778"</f>
        <v>1326053778</v>
      </c>
      <c r="B1466" t="str">
        <f>"01463143"</f>
        <v>01463143</v>
      </c>
      <c r="C1466" t="s">
        <v>7393</v>
      </c>
      <c r="D1466" t="s">
        <v>1502</v>
      </c>
      <c r="E1466" t="s">
        <v>1503</v>
      </c>
      <c r="L1466" t="s">
        <v>16</v>
      </c>
      <c r="M1466" t="s">
        <v>82</v>
      </c>
      <c r="R1466" t="s">
        <v>1503</v>
      </c>
      <c r="W1466" t="s">
        <v>1503</v>
      </c>
      <c r="X1466" t="s">
        <v>1504</v>
      </c>
      <c r="Y1466" t="s">
        <v>91</v>
      </c>
      <c r="Z1466" t="s">
        <v>74</v>
      </c>
      <c r="AA1466" t="str">
        <f>"10031-1716"</f>
        <v>10031-1716</v>
      </c>
      <c r="AB1466" t="s">
        <v>119</v>
      </c>
      <c r="AC1466" t="s">
        <v>76</v>
      </c>
      <c r="AD1466" t="s">
        <v>73</v>
      </c>
      <c r="AE1466" t="s">
        <v>77</v>
      </c>
      <c r="AG1466" t="s">
        <v>78</v>
      </c>
    </row>
    <row r="1467" spans="1:33" hidden="1" x14ac:dyDescent="0.25">
      <c r="A1467" t="str">
        <f>"1891839551"</f>
        <v>1891839551</v>
      </c>
      <c r="B1467" t="str">
        <f>"03617690"</f>
        <v>03617690</v>
      </c>
      <c r="C1467" t="s">
        <v>7394</v>
      </c>
      <c r="D1467" t="s">
        <v>7395</v>
      </c>
      <c r="E1467" t="s">
        <v>7396</v>
      </c>
      <c r="L1467" t="s">
        <v>72</v>
      </c>
      <c r="M1467" t="s">
        <v>73</v>
      </c>
      <c r="R1467" t="s">
        <v>7397</v>
      </c>
      <c r="W1467" t="s">
        <v>7396</v>
      </c>
      <c r="X1467" t="s">
        <v>7398</v>
      </c>
      <c r="Y1467" t="s">
        <v>91</v>
      </c>
      <c r="Z1467" t="s">
        <v>74</v>
      </c>
      <c r="AA1467" t="str">
        <f>"10065-4870"</f>
        <v>10065-4870</v>
      </c>
      <c r="AB1467" t="s">
        <v>75</v>
      </c>
      <c r="AC1467" t="s">
        <v>76</v>
      </c>
      <c r="AD1467" t="s">
        <v>73</v>
      </c>
      <c r="AE1467" t="s">
        <v>77</v>
      </c>
      <c r="AF1467" t="s">
        <v>2242</v>
      </c>
      <c r="AG1467" t="s">
        <v>78</v>
      </c>
    </row>
    <row r="1468" spans="1:33" hidden="1" x14ac:dyDescent="0.25">
      <c r="A1468" t="str">
        <f>"1427140805"</f>
        <v>1427140805</v>
      </c>
      <c r="B1468" t="str">
        <f>"01611045"</f>
        <v>01611045</v>
      </c>
      <c r="C1468" t="s">
        <v>7399</v>
      </c>
      <c r="D1468" t="s">
        <v>7400</v>
      </c>
      <c r="E1468" t="s">
        <v>7401</v>
      </c>
      <c r="L1468" t="s">
        <v>80</v>
      </c>
      <c r="M1468" t="s">
        <v>73</v>
      </c>
      <c r="R1468" t="s">
        <v>7402</v>
      </c>
      <c r="W1468" t="s">
        <v>7403</v>
      </c>
      <c r="X1468" t="s">
        <v>236</v>
      </c>
      <c r="Y1468" t="s">
        <v>91</v>
      </c>
      <c r="Z1468" t="s">
        <v>74</v>
      </c>
      <c r="AA1468" t="str">
        <f>"10034-1159"</f>
        <v>10034-1159</v>
      </c>
      <c r="AB1468" t="s">
        <v>75</v>
      </c>
      <c r="AC1468" t="s">
        <v>76</v>
      </c>
      <c r="AD1468" t="s">
        <v>73</v>
      </c>
      <c r="AE1468" t="s">
        <v>77</v>
      </c>
      <c r="AF1468" t="s">
        <v>2254</v>
      </c>
      <c r="AG1468" t="s">
        <v>78</v>
      </c>
    </row>
    <row r="1469" spans="1:33" hidden="1" x14ac:dyDescent="0.25">
      <c r="A1469" t="str">
        <f>"1447539564"</f>
        <v>1447539564</v>
      </c>
      <c r="B1469" t="str">
        <f>"03389806"</f>
        <v>03389806</v>
      </c>
      <c r="C1469" t="s">
        <v>7404</v>
      </c>
      <c r="D1469" t="s">
        <v>2047</v>
      </c>
      <c r="E1469" t="s">
        <v>2048</v>
      </c>
      <c r="L1469" t="s">
        <v>80</v>
      </c>
      <c r="M1469" t="s">
        <v>73</v>
      </c>
      <c r="R1469" t="s">
        <v>2049</v>
      </c>
      <c r="W1469" t="s">
        <v>2048</v>
      </c>
      <c r="X1469" t="s">
        <v>168</v>
      </c>
      <c r="Y1469" t="s">
        <v>84</v>
      </c>
      <c r="Z1469" t="s">
        <v>74</v>
      </c>
      <c r="AA1469" t="str">
        <f>"11237-4006"</f>
        <v>11237-4006</v>
      </c>
      <c r="AB1469" t="s">
        <v>75</v>
      </c>
      <c r="AC1469" t="s">
        <v>76</v>
      </c>
      <c r="AD1469" t="s">
        <v>73</v>
      </c>
      <c r="AE1469" t="s">
        <v>77</v>
      </c>
      <c r="AF1469" t="s">
        <v>2228</v>
      </c>
      <c r="AG1469" t="s">
        <v>78</v>
      </c>
    </row>
    <row r="1470" spans="1:33" hidden="1" x14ac:dyDescent="0.25">
      <c r="A1470" t="str">
        <f>"1154582864"</f>
        <v>1154582864</v>
      </c>
      <c r="B1470" t="str">
        <f>"03522570"</f>
        <v>03522570</v>
      </c>
      <c r="C1470" t="s">
        <v>7405</v>
      </c>
      <c r="D1470" t="s">
        <v>7406</v>
      </c>
      <c r="E1470" t="s">
        <v>7407</v>
      </c>
      <c r="L1470" t="s">
        <v>72</v>
      </c>
      <c r="M1470" t="s">
        <v>73</v>
      </c>
      <c r="R1470" t="s">
        <v>7408</v>
      </c>
      <c r="W1470" t="s">
        <v>7407</v>
      </c>
      <c r="X1470" t="s">
        <v>1379</v>
      </c>
      <c r="Y1470" t="s">
        <v>91</v>
      </c>
      <c r="Z1470" t="s">
        <v>74</v>
      </c>
      <c r="AA1470" t="str">
        <f>"10032-3720"</f>
        <v>10032-3720</v>
      </c>
      <c r="AB1470" t="s">
        <v>75</v>
      </c>
      <c r="AC1470" t="s">
        <v>76</v>
      </c>
      <c r="AD1470" t="s">
        <v>73</v>
      </c>
      <c r="AE1470" t="s">
        <v>77</v>
      </c>
      <c r="AF1470" t="s">
        <v>2228</v>
      </c>
      <c r="AG1470" t="s">
        <v>78</v>
      </c>
    </row>
    <row r="1471" spans="1:33" hidden="1" x14ac:dyDescent="0.25">
      <c r="A1471" t="str">
        <f>"1619250537"</f>
        <v>1619250537</v>
      </c>
      <c r="B1471" t="str">
        <f>"03589791"</f>
        <v>03589791</v>
      </c>
      <c r="C1471" t="s">
        <v>1010</v>
      </c>
      <c r="D1471" t="s">
        <v>1011</v>
      </c>
      <c r="E1471" t="s">
        <v>1012</v>
      </c>
      <c r="G1471" t="s">
        <v>2384</v>
      </c>
      <c r="H1471" t="s">
        <v>7409</v>
      </c>
      <c r="J1471" t="s">
        <v>934</v>
      </c>
      <c r="L1471" t="s">
        <v>100</v>
      </c>
      <c r="M1471" t="s">
        <v>73</v>
      </c>
      <c r="R1471" t="s">
        <v>1012</v>
      </c>
      <c r="W1471" t="s">
        <v>1012</v>
      </c>
      <c r="X1471" t="s">
        <v>973</v>
      </c>
      <c r="Y1471" t="s">
        <v>91</v>
      </c>
      <c r="Z1471" t="s">
        <v>74</v>
      </c>
      <c r="AA1471" t="str">
        <f>"10027-4920"</f>
        <v>10027-4920</v>
      </c>
      <c r="AB1471" t="s">
        <v>106</v>
      </c>
      <c r="AC1471" t="s">
        <v>76</v>
      </c>
      <c r="AD1471" t="s">
        <v>73</v>
      </c>
      <c r="AE1471" t="s">
        <v>77</v>
      </c>
      <c r="AF1471" t="s">
        <v>2385</v>
      </c>
      <c r="AG1471" t="s">
        <v>78</v>
      </c>
    </row>
    <row r="1472" spans="1:33" hidden="1" x14ac:dyDescent="0.25">
      <c r="A1472" t="str">
        <f>"1003120353"</f>
        <v>1003120353</v>
      </c>
      <c r="B1472" t="str">
        <f>"03853821"</f>
        <v>03853821</v>
      </c>
      <c r="C1472" t="s">
        <v>1014</v>
      </c>
      <c r="D1472" t="s">
        <v>1015</v>
      </c>
      <c r="E1472" t="s">
        <v>1016</v>
      </c>
      <c r="G1472" t="s">
        <v>2384</v>
      </c>
      <c r="H1472" t="s">
        <v>1001</v>
      </c>
      <c r="J1472" t="s">
        <v>934</v>
      </c>
      <c r="L1472" t="s">
        <v>100</v>
      </c>
      <c r="M1472" t="s">
        <v>73</v>
      </c>
      <c r="R1472" t="s">
        <v>1016</v>
      </c>
      <c r="W1472" t="s">
        <v>1016</v>
      </c>
      <c r="X1472" t="s">
        <v>1009</v>
      </c>
      <c r="Y1472" t="s">
        <v>91</v>
      </c>
      <c r="Z1472" t="s">
        <v>74</v>
      </c>
      <c r="AA1472" t="str">
        <f>"10029"</f>
        <v>10029</v>
      </c>
      <c r="AB1472" t="s">
        <v>106</v>
      </c>
      <c r="AC1472" t="s">
        <v>76</v>
      </c>
      <c r="AD1472" t="s">
        <v>73</v>
      </c>
      <c r="AE1472" t="s">
        <v>77</v>
      </c>
      <c r="AF1472" t="s">
        <v>2385</v>
      </c>
      <c r="AG1472" t="s">
        <v>78</v>
      </c>
    </row>
    <row r="1473" spans="1:33" hidden="1" x14ac:dyDescent="0.25">
      <c r="A1473" t="str">
        <f>"1275773855"</f>
        <v>1275773855</v>
      </c>
      <c r="C1473" t="s">
        <v>7410</v>
      </c>
      <c r="G1473" t="s">
        <v>2224</v>
      </c>
      <c r="H1473" t="s">
        <v>2312</v>
      </c>
      <c r="J1473" t="s">
        <v>2226</v>
      </c>
      <c r="K1473" t="s">
        <v>171</v>
      </c>
      <c r="L1473" t="s">
        <v>96</v>
      </c>
      <c r="M1473" t="s">
        <v>73</v>
      </c>
      <c r="R1473" t="s">
        <v>7411</v>
      </c>
      <c r="S1473" t="s">
        <v>7412</v>
      </c>
      <c r="T1473" t="s">
        <v>172</v>
      </c>
      <c r="U1473" t="s">
        <v>74</v>
      </c>
      <c r="V1473" t="str">
        <f>"117940001"</f>
        <v>117940001</v>
      </c>
      <c r="AC1473" t="s">
        <v>76</v>
      </c>
      <c r="AD1473" t="s">
        <v>73</v>
      </c>
      <c r="AE1473" t="s">
        <v>97</v>
      </c>
      <c r="AF1473" t="s">
        <v>2234</v>
      </c>
      <c r="AG1473" t="s">
        <v>78</v>
      </c>
    </row>
    <row r="1474" spans="1:33" hidden="1" x14ac:dyDescent="0.25">
      <c r="A1474" t="str">
        <f>"1346330511"</f>
        <v>1346330511</v>
      </c>
      <c r="B1474" t="str">
        <f>"02426020"</f>
        <v>02426020</v>
      </c>
      <c r="C1474" t="s">
        <v>7413</v>
      </c>
      <c r="D1474" t="s">
        <v>7414</v>
      </c>
      <c r="E1474" t="s">
        <v>7415</v>
      </c>
      <c r="L1474" t="s">
        <v>80</v>
      </c>
      <c r="M1474" t="s">
        <v>73</v>
      </c>
      <c r="R1474" t="s">
        <v>7416</v>
      </c>
      <c r="W1474" t="s">
        <v>7415</v>
      </c>
      <c r="X1474" t="s">
        <v>170</v>
      </c>
      <c r="Y1474" t="s">
        <v>91</v>
      </c>
      <c r="Z1474" t="s">
        <v>74</v>
      </c>
      <c r="AA1474" t="str">
        <f>"10065-4870"</f>
        <v>10065-4870</v>
      </c>
      <c r="AB1474" t="s">
        <v>75</v>
      </c>
      <c r="AC1474" t="s">
        <v>76</v>
      </c>
      <c r="AD1474" t="s">
        <v>73</v>
      </c>
      <c r="AE1474" t="s">
        <v>77</v>
      </c>
      <c r="AF1474" t="s">
        <v>2242</v>
      </c>
      <c r="AG1474" t="s">
        <v>78</v>
      </c>
    </row>
    <row r="1475" spans="1:33" hidden="1" x14ac:dyDescent="0.25">
      <c r="A1475" t="str">
        <f>"1912094087"</f>
        <v>1912094087</v>
      </c>
      <c r="B1475" t="str">
        <f>"00374061"</f>
        <v>00374061</v>
      </c>
      <c r="C1475" t="s">
        <v>7417</v>
      </c>
      <c r="D1475" t="s">
        <v>7418</v>
      </c>
      <c r="E1475" t="s">
        <v>7419</v>
      </c>
      <c r="L1475" t="s">
        <v>72</v>
      </c>
      <c r="M1475" t="s">
        <v>73</v>
      </c>
      <c r="R1475" t="s">
        <v>7420</v>
      </c>
      <c r="W1475" t="s">
        <v>7420</v>
      </c>
      <c r="X1475" t="s">
        <v>170</v>
      </c>
      <c r="Y1475" t="s">
        <v>91</v>
      </c>
      <c r="Z1475" t="s">
        <v>74</v>
      </c>
      <c r="AA1475" t="str">
        <f>"10065-4870"</f>
        <v>10065-4870</v>
      </c>
      <c r="AB1475" t="s">
        <v>75</v>
      </c>
      <c r="AC1475" t="s">
        <v>76</v>
      </c>
      <c r="AD1475" t="s">
        <v>73</v>
      </c>
      <c r="AE1475" t="s">
        <v>77</v>
      </c>
      <c r="AF1475" t="s">
        <v>2242</v>
      </c>
      <c r="AG1475" t="s">
        <v>78</v>
      </c>
    </row>
    <row r="1476" spans="1:33" hidden="1" x14ac:dyDescent="0.25">
      <c r="A1476" t="str">
        <f>"1588627988"</f>
        <v>1588627988</v>
      </c>
      <c r="B1476" t="str">
        <f>"00296800"</f>
        <v>00296800</v>
      </c>
      <c r="C1476" t="s">
        <v>7421</v>
      </c>
      <c r="D1476" t="s">
        <v>1989</v>
      </c>
      <c r="E1476" t="s">
        <v>1990</v>
      </c>
      <c r="G1476" t="s">
        <v>2224</v>
      </c>
      <c r="H1476" t="s">
        <v>2225</v>
      </c>
      <c r="J1476" t="s">
        <v>2226</v>
      </c>
      <c r="L1476" t="s">
        <v>80</v>
      </c>
      <c r="M1476" t="s">
        <v>73</v>
      </c>
      <c r="R1476" t="s">
        <v>1991</v>
      </c>
      <c r="W1476" t="s">
        <v>1990</v>
      </c>
      <c r="X1476" t="s">
        <v>1194</v>
      </c>
      <c r="Y1476" t="s">
        <v>178</v>
      </c>
      <c r="Z1476" t="s">
        <v>74</v>
      </c>
      <c r="AA1476" t="str">
        <f>"10550-2686"</f>
        <v>10550-2686</v>
      </c>
      <c r="AB1476" t="s">
        <v>75</v>
      </c>
      <c r="AC1476" t="s">
        <v>76</v>
      </c>
      <c r="AD1476" t="s">
        <v>73</v>
      </c>
      <c r="AE1476" t="s">
        <v>77</v>
      </c>
      <c r="AF1476" t="s">
        <v>2254</v>
      </c>
      <c r="AG1476" t="s">
        <v>78</v>
      </c>
    </row>
    <row r="1477" spans="1:33" hidden="1" x14ac:dyDescent="0.25">
      <c r="A1477" t="str">
        <f>"1588682827"</f>
        <v>1588682827</v>
      </c>
      <c r="B1477" t="str">
        <f>"02379000"</f>
        <v>02379000</v>
      </c>
      <c r="C1477" t="s">
        <v>7422</v>
      </c>
      <c r="D1477" t="s">
        <v>7423</v>
      </c>
      <c r="E1477" t="s">
        <v>7424</v>
      </c>
      <c r="G1477" t="s">
        <v>2224</v>
      </c>
      <c r="H1477" t="s">
        <v>2225</v>
      </c>
      <c r="J1477" t="s">
        <v>2226</v>
      </c>
      <c r="L1477" t="s">
        <v>80</v>
      </c>
      <c r="M1477" t="s">
        <v>73</v>
      </c>
      <c r="R1477" t="s">
        <v>7425</v>
      </c>
      <c r="W1477" t="s">
        <v>7424</v>
      </c>
      <c r="X1477" t="s">
        <v>496</v>
      </c>
      <c r="Y1477" t="s">
        <v>91</v>
      </c>
      <c r="Z1477" t="s">
        <v>74</v>
      </c>
      <c r="AA1477" t="str">
        <f>"10032-3726"</f>
        <v>10032-3726</v>
      </c>
      <c r="AB1477" t="s">
        <v>75</v>
      </c>
      <c r="AC1477" t="s">
        <v>76</v>
      </c>
      <c r="AD1477" t="s">
        <v>73</v>
      </c>
      <c r="AE1477" t="s">
        <v>77</v>
      </c>
      <c r="AF1477" t="s">
        <v>2242</v>
      </c>
      <c r="AG1477" t="s">
        <v>78</v>
      </c>
    </row>
    <row r="1478" spans="1:33" hidden="1" x14ac:dyDescent="0.25">
      <c r="A1478" t="str">
        <f>"1043335581"</f>
        <v>1043335581</v>
      </c>
      <c r="B1478" t="str">
        <f>"01810879"</f>
        <v>01810879</v>
      </c>
      <c r="C1478" t="s">
        <v>7426</v>
      </c>
      <c r="D1478" t="s">
        <v>7427</v>
      </c>
      <c r="E1478" t="s">
        <v>7428</v>
      </c>
      <c r="G1478" t="s">
        <v>2224</v>
      </c>
      <c r="H1478" t="s">
        <v>2225</v>
      </c>
      <c r="J1478" t="s">
        <v>2226</v>
      </c>
      <c r="L1478" t="s">
        <v>96</v>
      </c>
      <c r="M1478" t="s">
        <v>73</v>
      </c>
      <c r="R1478" t="s">
        <v>7429</v>
      </c>
      <c r="W1478" t="s">
        <v>7428</v>
      </c>
      <c r="X1478" t="s">
        <v>7430</v>
      </c>
      <c r="Y1478" t="s">
        <v>91</v>
      </c>
      <c r="Z1478" t="s">
        <v>74</v>
      </c>
      <c r="AA1478" t="str">
        <f>"10040-2101"</f>
        <v>10040-2101</v>
      </c>
      <c r="AB1478" t="s">
        <v>75</v>
      </c>
      <c r="AC1478" t="s">
        <v>76</v>
      </c>
      <c r="AD1478" t="s">
        <v>73</v>
      </c>
      <c r="AE1478" t="s">
        <v>77</v>
      </c>
      <c r="AF1478" t="s">
        <v>2254</v>
      </c>
      <c r="AG1478" t="s">
        <v>78</v>
      </c>
    </row>
    <row r="1479" spans="1:33" hidden="1" x14ac:dyDescent="0.25">
      <c r="A1479" t="str">
        <f>"1801162870"</f>
        <v>1801162870</v>
      </c>
      <c r="B1479" t="str">
        <f>"04231985"</f>
        <v>04231985</v>
      </c>
      <c r="C1479" t="s">
        <v>7431</v>
      </c>
      <c r="D1479" t="s">
        <v>7432</v>
      </c>
      <c r="E1479" t="s">
        <v>7433</v>
      </c>
      <c r="G1479" t="s">
        <v>2224</v>
      </c>
      <c r="H1479" t="s">
        <v>2225</v>
      </c>
      <c r="J1479" t="s">
        <v>2226</v>
      </c>
      <c r="L1479" t="s">
        <v>72</v>
      </c>
      <c r="M1479" t="s">
        <v>73</v>
      </c>
      <c r="R1479" t="s">
        <v>7434</v>
      </c>
      <c r="W1479" t="s">
        <v>7433</v>
      </c>
      <c r="X1479" t="s">
        <v>83</v>
      </c>
      <c r="Y1479" t="s">
        <v>84</v>
      </c>
      <c r="Z1479" t="s">
        <v>74</v>
      </c>
      <c r="AA1479" t="str">
        <f>"11220-2508"</f>
        <v>11220-2508</v>
      </c>
      <c r="AB1479" t="s">
        <v>75</v>
      </c>
      <c r="AC1479" t="s">
        <v>76</v>
      </c>
      <c r="AD1479" t="s">
        <v>73</v>
      </c>
      <c r="AE1479" t="s">
        <v>77</v>
      </c>
      <c r="AF1479" t="s">
        <v>2234</v>
      </c>
      <c r="AG1479" t="s">
        <v>78</v>
      </c>
    </row>
    <row r="1480" spans="1:33" hidden="1" x14ac:dyDescent="0.25">
      <c r="A1480" t="str">
        <f>"1619219466"</f>
        <v>1619219466</v>
      </c>
      <c r="C1480" t="s">
        <v>7435</v>
      </c>
      <c r="G1480" t="s">
        <v>2224</v>
      </c>
      <c r="H1480" t="s">
        <v>2225</v>
      </c>
      <c r="J1480" t="s">
        <v>2226</v>
      </c>
      <c r="K1480" t="s">
        <v>93</v>
      </c>
      <c r="L1480" t="s">
        <v>96</v>
      </c>
      <c r="M1480" t="s">
        <v>73</v>
      </c>
      <c r="R1480" t="s">
        <v>7436</v>
      </c>
      <c r="S1480" t="s">
        <v>410</v>
      </c>
      <c r="T1480" t="s">
        <v>91</v>
      </c>
      <c r="U1480" t="s">
        <v>74</v>
      </c>
      <c r="V1480" t="str">
        <f>"100321559"</f>
        <v>100321559</v>
      </c>
      <c r="AC1480" t="s">
        <v>76</v>
      </c>
      <c r="AD1480" t="s">
        <v>73</v>
      </c>
      <c r="AE1480" t="s">
        <v>97</v>
      </c>
      <c r="AF1480" t="s">
        <v>2228</v>
      </c>
      <c r="AG1480" t="s">
        <v>78</v>
      </c>
    </row>
    <row r="1481" spans="1:33" hidden="1" x14ac:dyDescent="0.25">
      <c r="A1481" t="str">
        <f>"1831533124"</f>
        <v>1831533124</v>
      </c>
      <c r="C1481" t="s">
        <v>7437</v>
      </c>
      <c r="G1481" t="s">
        <v>2224</v>
      </c>
      <c r="H1481" t="s">
        <v>2225</v>
      </c>
      <c r="J1481" t="s">
        <v>2226</v>
      </c>
      <c r="K1481" t="s">
        <v>93</v>
      </c>
      <c r="L1481" t="s">
        <v>96</v>
      </c>
      <c r="M1481" t="s">
        <v>73</v>
      </c>
      <c r="R1481" t="s">
        <v>7438</v>
      </c>
      <c r="S1481" t="s">
        <v>410</v>
      </c>
      <c r="T1481" t="s">
        <v>91</v>
      </c>
      <c r="U1481" t="s">
        <v>74</v>
      </c>
      <c r="V1481" t="str">
        <f>"100321559"</f>
        <v>100321559</v>
      </c>
      <c r="AC1481" t="s">
        <v>76</v>
      </c>
      <c r="AD1481" t="s">
        <v>73</v>
      </c>
      <c r="AE1481" t="s">
        <v>97</v>
      </c>
      <c r="AF1481" t="s">
        <v>2228</v>
      </c>
      <c r="AG1481" t="s">
        <v>78</v>
      </c>
    </row>
    <row r="1482" spans="1:33" hidden="1" x14ac:dyDescent="0.25">
      <c r="A1482" t="str">
        <f>"1295170256"</f>
        <v>1295170256</v>
      </c>
      <c r="B1482" t="str">
        <f>"04377639"</f>
        <v>04377639</v>
      </c>
      <c r="C1482" t="s">
        <v>7439</v>
      </c>
      <c r="D1482" t="s">
        <v>7440</v>
      </c>
      <c r="E1482" t="s">
        <v>7441</v>
      </c>
      <c r="G1482" t="s">
        <v>2224</v>
      </c>
      <c r="H1482" t="s">
        <v>2225</v>
      </c>
      <c r="J1482" t="s">
        <v>2226</v>
      </c>
      <c r="L1482" t="s">
        <v>72</v>
      </c>
      <c r="M1482" t="s">
        <v>73</v>
      </c>
      <c r="R1482" t="s">
        <v>7442</v>
      </c>
      <c r="W1482" t="s">
        <v>7441</v>
      </c>
      <c r="X1482" t="s">
        <v>83</v>
      </c>
      <c r="Y1482" t="s">
        <v>84</v>
      </c>
      <c r="Z1482" t="s">
        <v>74</v>
      </c>
      <c r="AA1482" t="str">
        <f>"11220-2508"</f>
        <v>11220-2508</v>
      </c>
      <c r="AB1482" t="s">
        <v>75</v>
      </c>
      <c r="AC1482" t="s">
        <v>76</v>
      </c>
      <c r="AD1482" t="s">
        <v>73</v>
      </c>
      <c r="AE1482" t="s">
        <v>77</v>
      </c>
      <c r="AF1482" t="s">
        <v>2228</v>
      </c>
      <c r="AG1482" t="s">
        <v>78</v>
      </c>
    </row>
    <row r="1483" spans="1:33" hidden="1" x14ac:dyDescent="0.25">
      <c r="A1483" t="str">
        <f>"1396011540"</f>
        <v>1396011540</v>
      </c>
      <c r="C1483" t="s">
        <v>7443</v>
      </c>
      <c r="G1483" t="s">
        <v>2224</v>
      </c>
      <c r="H1483" t="s">
        <v>2225</v>
      </c>
      <c r="J1483" t="s">
        <v>2226</v>
      </c>
      <c r="K1483" t="s">
        <v>93</v>
      </c>
      <c r="L1483" t="s">
        <v>96</v>
      </c>
      <c r="M1483" t="s">
        <v>73</v>
      </c>
      <c r="R1483" t="s">
        <v>7444</v>
      </c>
      <c r="S1483" t="s">
        <v>167</v>
      </c>
      <c r="T1483" t="s">
        <v>91</v>
      </c>
      <c r="U1483" t="s">
        <v>74</v>
      </c>
      <c r="V1483" t="str">
        <f>"100323720"</f>
        <v>100323720</v>
      </c>
      <c r="AC1483" t="s">
        <v>76</v>
      </c>
      <c r="AD1483" t="s">
        <v>73</v>
      </c>
      <c r="AE1483" t="s">
        <v>97</v>
      </c>
      <c r="AF1483" t="s">
        <v>2234</v>
      </c>
      <c r="AG1483" t="s">
        <v>78</v>
      </c>
    </row>
    <row r="1484" spans="1:33" hidden="1" x14ac:dyDescent="0.25">
      <c r="A1484" t="str">
        <f>"1073879979"</f>
        <v>1073879979</v>
      </c>
      <c r="C1484" t="s">
        <v>7445</v>
      </c>
      <c r="G1484" t="s">
        <v>2224</v>
      </c>
      <c r="H1484" t="s">
        <v>2225</v>
      </c>
      <c r="J1484" t="s">
        <v>2226</v>
      </c>
      <c r="K1484" t="s">
        <v>93</v>
      </c>
      <c r="L1484" t="s">
        <v>96</v>
      </c>
      <c r="M1484" t="s">
        <v>73</v>
      </c>
      <c r="R1484" t="s">
        <v>7446</v>
      </c>
      <c r="S1484" t="s">
        <v>354</v>
      </c>
      <c r="T1484" t="s">
        <v>91</v>
      </c>
      <c r="U1484" t="s">
        <v>74</v>
      </c>
      <c r="V1484" t="str">
        <f>"100323725"</f>
        <v>100323725</v>
      </c>
      <c r="AC1484" t="s">
        <v>76</v>
      </c>
      <c r="AD1484" t="s">
        <v>73</v>
      </c>
      <c r="AE1484" t="s">
        <v>97</v>
      </c>
      <c r="AF1484" t="s">
        <v>2228</v>
      </c>
      <c r="AG1484" t="s">
        <v>78</v>
      </c>
    </row>
    <row r="1485" spans="1:33" hidden="1" x14ac:dyDescent="0.25">
      <c r="A1485" t="str">
        <f>"1740624238"</f>
        <v>1740624238</v>
      </c>
      <c r="B1485" t="str">
        <f>"04428048"</f>
        <v>04428048</v>
      </c>
      <c r="C1485" t="s">
        <v>7447</v>
      </c>
      <c r="D1485" t="s">
        <v>7448</v>
      </c>
      <c r="E1485" t="s">
        <v>7449</v>
      </c>
      <c r="G1485" t="s">
        <v>2224</v>
      </c>
      <c r="H1485" t="s">
        <v>2225</v>
      </c>
      <c r="J1485" t="s">
        <v>2226</v>
      </c>
      <c r="L1485" t="s">
        <v>96</v>
      </c>
      <c r="M1485" t="s">
        <v>73</v>
      </c>
      <c r="R1485" t="s">
        <v>7450</v>
      </c>
      <c r="W1485" t="s">
        <v>7449</v>
      </c>
      <c r="X1485" t="s">
        <v>410</v>
      </c>
      <c r="Y1485" t="s">
        <v>91</v>
      </c>
      <c r="Z1485" t="s">
        <v>74</v>
      </c>
      <c r="AA1485" t="str">
        <f>"10032-1559"</f>
        <v>10032-1559</v>
      </c>
      <c r="AB1485" t="s">
        <v>75</v>
      </c>
      <c r="AC1485" t="s">
        <v>76</v>
      </c>
      <c r="AD1485" t="s">
        <v>73</v>
      </c>
      <c r="AE1485" t="s">
        <v>77</v>
      </c>
      <c r="AF1485" t="s">
        <v>2228</v>
      </c>
      <c r="AG1485" t="s">
        <v>78</v>
      </c>
    </row>
    <row r="1486" spans="1:33" hidden="1" x14ac:dyDescent="0.25">
      <c r="A1486" t="str">
        <f>"1457610875"</f>
        <v>1457610875</v>
      </c>
      <c r="C1486" t="s">
        <v>7451</v>
      </c>
      <c r="G1486" t="s">
        <v>2224</v>
      </c>
      <c r="H1486" t="s">
        <v>2225</v>
      </c>
      <c r="J1486" t="s">
        <v>2226</v>
      </c>
      <c r="K1486" t="s">
        <v>93</v>
      </c>
      <c r="L1486" t="s">
        <v>96</v>
      </c>
      <c r="M1486" t="s">
        <v>73</v>
      </c>
      <c r="R1486" t="s">
        <v>7452</v>
      </c>
      <c r="S1486" t="s">
        <v>7453</v>
      </c>
      <c r="T1486" t="s">
        <v>91</v>
      </c>
      <c r="U1486" t="s">
        <v>74</v>
      </c>
      <c r="V1486" t="str">
        <f>"100322916"</f>
        <v>100322916</v>
      </c>
      <c r="AC1486" t="s">
        <v>76</v>
      </c>
      <c r="AD1486" t="s">
        <v>73</v>
      </c>
      <c r="AE1486" t="s">
        <v>97</v>
      </c>
      <c r="AF1486" t="s">
        <v>2228</v>
      </c>
      <c r="AG1486" t="s">
        <v>78</v>
      </c>
    </row>
    <row r="1487" spans="1:33" hidden="1" x14ac:dyDescent="0.25">
      <c r="A1487" t="str">
        <f>"1548536527"</f>
        <v>1548536527</v>
      </c>
      <c r="C1487" t="s">
        <v>7454</v>
      </c>
      <c r="G1487" t="s">
        <v>2224</v>
      </c>
      <c r="H1487" t="s">
        <v>2225</v>
      </c>
      <c r="J1487" t="s">
        <v>2226</v>
      </c>
      <c r="K1487" t="s">
        <v>93</v>
      </c>
      <c r="L1487" t="s">
        <v>96</v>
      </c>
      <c r="M1487" t="s">
        <v>73</v>
      </c>
      <c r="R1487" t="s">
        <v>7455</v>
      </c>
      <c r="S1487" t="s">
        <v>7456</v>
      </c>
      <c r="T1487" t="s">
        <v>91</v>
      </c>
      <c r="U1487" t="s">
        <v>74</v>
      </c>
      <c r="V1487" t="str">
        <f>"100323725"</f>
        <v>100323725</v>
      </c>
      <c r="AC1487" t="s">
        <v>76</v>
      </c>
      <c r="AD1487" t="s">
        <v>73</v>
      </c>
      <c r="AE1487" t="s">
        <v>97</v>
      </c>
      <c r="AF1487" t="s">
        <v>2234</v>
      </c>
      <c r="AG1487" t="s">
        <v>78</v>
      </c>
    </row>
    <row r="1488" spans="1:33" hidden="1" x14ac:dyDescent="0.25">
      <c r="A1488" t="str">
        <f>"1215356241"</f>
        <v>1215356241</v>
      </c>
      <c r="C1488" t="s">
        <v>7457</v>
      </c>
      <c r="G1488" t="s">
        <v>2224</v>
      </c>
      <c r="H1488" t="s">
        <v>2225</v>
      </c>
      <c r="J1488" t="s">
        <v>2226</v>
      </c>
      <c r="K1488" t="s">
        <v>93</v>
      </c>
      <c r="L1488" t="s">
        <v>96</v>
      </c>
      <c r="M1488" t="s">
        <v>73</v>
      </c>
      <c r="R1488" t="s">
        <v>7458</v>
      </c>
      <c r="S1488" t="s">
        <v>7459</v>
      </c>
      <c r="T1488" t="s">
        <v>91</v>
      </c>
      <c r="U1488" t="s">
        <v>74</v>
      </c>
      <c r="V1488" t="str">
        <f>"100214872"</f>
        <v>100214872</v>
      </c>
      <c r="AC1488" t="s">
        <v>76</v>
      </c>
      <c r="AD1488" t="s">
        <v>73</v>
      </c>
      <c r="AE1488" t="s">
        <v>97</v>
      </c>
      <c r="AF1488" t="s">
        <v>2242</v>
      </c>
      <c r="AG1488" t="s">
        <v>78</v>
      </c>
    </row>
    <row r="1489" spans="1:33" hidden="1" x14ac:dyDescent="0.25">
      <c r="A1489" t="str">
        <f>"1710243779"</f>
        <v>1710243779</v>
      </c>
      <c r="C1489" t="s">
        <v>7460</v>
      </c>
      <c r="G1489" t="s">
        <v>2224</v>
      </c>
      <c r="H1489" t="s">
        <v>2225</v>
      </c>
      <c r="J1489" t="s">
        <v>2226</v>
      </c>
      <c r="K1489" t="s">
        <v>93</v>
      </c>
      <c r="L1489" t="s">
        <v>96</v>
      </c>
      <c r="M1489" t="s">
        <v>73</v>
      </c>
      <c r="R1489" t="s">
        <v>7461</v>
      </c>
      <c r="S1489" t="s">
        <v>1745</v>
      </c>
      <c r="T1489" t="s">
        <v>91</v>
      </c>
      <c r="U1489" t="s">
        <v>74</v>
      </c>
      <c r="V1489" t="str">
        <f>"10021"</f>
        <v>10021</v>
      </c>
      <c r="AC1489" t="s">
        <v>76</v>
      </c>
      <c r="AD1489" t="s">
        <v>73</v>
      </c>
      <c r="AE1489" t="s">
        <v>97</v>
      </c>
      <c r="AF1489" t="s">
        <v>2234</v>
      </c>
      <c r="AG1489" t="s">
        <v>78</v>
      </c>
    </row>
    <row r="1490" spans="1:33" hidden="1" x14ac:dyDescent="0.25">
      <c r="A1490" t="str">
        <f>"1356768253"</f>
        <v>1356768253</v>
      </c>
      <c r="C1490" t="s">
        <v>7462</v>
      </c>
      <c r="G1490" t="s">
        <v>2224</v>
      </c>
      <c r="H1490" t="s">
        <v>2225</v>
      </c>
      <c r="J1490" t="s">
        <v>2226</v>
      </c>
      <c r="K1490" t="s">
        <v>93</v>
      </c>
      <c r="L1490" t="s">
        <v>96</v>
      </c>
      <c r="M1490" t="s">
        <v>73</v>
      </c>
      <c r="R1490" t="s">
        <v>7463</v>
      </c>
      <c r="S1490" t="s">
        <v>7459</v>
      </c>
      <c r="T1490" t="s">
        <v>91</v>
      </c>
      <c r="U1490" t="s">
        <v>74</v>
      </c>
      <c r="V1490" t="str">
        <f>"100214872"</f>
        <v>100214872</v>
      </c>
      <c r="AC1490" t="s">
        <v>76</v>
      </c>
      <c r="AD1490" t="s">
        <v>73</v>
      </c>
      <c r="AE1490" t="s">
        <v>97</v>
      </c>
      <c r="AF1490" t="s">
        <v>2242</v>
      </c>
      <c r="AG1490" t="s">
        <v>78</v>
      </c>
    </row>
    <row r="1491" spans="1:33" hidden="1" x14ac:dyDescent="0.25">
      <c r="A1491" t="str">
        <f>"1497194047"</f>
        <v>1497194047</v>
      </c>
      <c r="C1491" t="s">
        <v>7464</v>
      </c>
      <c r="G1491" t="s">
        <v>2224</v>
      </c>
      <c r="H1491" t="s">
        <v>2225</v>
      </c>
      <c r="J1491" t="s">
        <v>2226</v>
      </c>
      <c r="K1491" t="s">
        <v>93</v>
      </c>
      <c r="L1491" t="s">
        <v>96</v>
      </c>
      <c r="M1491" t="s">
        <v>73</v>
      </c>
      <c r="R1491" t="s">
        <v>7465</v>
      </c>
      <c r="S1491" t="s">
        <v>7459</v>
      </c>
      <c r="T1491" t="s">
        <v>91</v>
      </c>
      <c r="U1491" t="s">
        <v>74</v>
      </c>
      <c r="V1491" t="str">
        <f>"100214872"</f>
        <v>100214872</v>
      </c>
      <c r="AC1491" t="s">
        <v>76</v>
      </c>
      <c r="AD1491" t="s">
        <v>73</v>
      </c>
      <c r="AE1491" t="s">
        <v>97</v>
      </c>
      <c r="AF1491" t="s">
        <v>2242</v>
      </c>
      <c r="AG1491" t="s">
        <v>78</v>
      </c>
    </row>
    <row r="1492" spans="1:33" hidden="1" x14ac:dyDescent="0.25">
      <c r="A1492" t="str">
        <f>"1265795140"</f>
        <v>1265795140</v>
      </c>
      <c r="C1492" t="s">
        <v>7466</v>
      </c>
      <c r="G1492" t="s">
        <v>2224</v>
      </c>
      <c r="H1492" t="s">
        <v>2225</v>
      </c>
      <c r="J1492" t="s">
        <v>2226</v>
      </c>
      <c r="K1492" t="s">
        <v>93</v>
      </c>
      <c r="L1492" t="s">
        <v>96</v>
      </c>
      <c r="M1492" t="s">
        <v>73</v>
      </c>
      <c r="R1492" t="s">
        <v>7467</v>
      </c>
      <c r="S1492" t="s">
        <v>7468</v>
      </c>
      <c r="T1492" t="s">
        <v>91</v>
      </c>
      <c r="U1492" t="s">
        <v>74</v>
      </c>
      <c r="V1492" t="str">
        <f>"100296574"</f>
        <v>100296574</v>
      </c>
      <c r="AC1492" t="s">
        <v>76</v>
      </c>
      <c r="AD1492" t="s">
        <v>73</v>
      </c>
      <c r="AE1492" t="s">
        <v>97</v>
      </c>
      <c r="AF1492" t="s">
        <v>2234</v>
      </c>
      <c r="AG1492" t="s">
        <v>78</v>
      </c>
    </row>
    <row r="1493" spans="1:33" hidden="1" x14ac:dyDescent="0.25">
      <c r="A1493" t="str">
        <f>"1518372754"</f>
        <v>1518372754</v>
      </c>
      <c r="C1493" t="s">
        <v>7469</v>
      </c>
      <c r="G1493" t="s">
        <v>2224</v>
      </c>
      <c r="H1493" t="s">
        <v>2225</v>
      </c>
      <c r="J1493" t="s">
        <v>2226</v>
      </c>
      <c r="K1493" t="s">
        <v>93</v>
      </c>
      <c r="L1493" t="s">
        <v>96</v>
      </c>
      <c r="M1493" t="s">
        <v>73</v>
      </c>
      <c r="R1493" t="s">
        <v>7470</v>
      </c>
      <c r="S1493" t="s">
        <v>7471</v>
      </c>
      <c r="T1493" t="s">
        <v>91</v>
      </c>
      <c r="U1493" t="s">
        <v>74</v>
      </c>
      <c r="V1493" t="str">
        <f>"10021"</f>
        <v>10021</v>
      </c>
      <c r="AC1493" t="s">
        <v>76</v>
      </c>
      <c r="AD1493" t="s">
        <v>73</v>
      </c>
      <c r="AE1493" t="s">
        <v>97</v>
      </c>
      <c r="AF1493" t="s">
        <v>2242</v>
      </c>
      <c r="AG1493" t="s">
        <v>78</v>
      </c>
    </row>
    <row r="1494" spans="1:33" hidden="1" x14ac:dyDescent="0.25">
      <c r="A1494" t="str">
        <f>"1376885905"</f>
        <v>1376885905</v>
      </c>
      <c r="C1494" t="s">
        <v>7472</v>
      </c>
      <c r="G1494" t="s">
        <v>2224</v>
      </c>
      <c r="H1494" t="s">
        <v>2225</v>
      </c>
      <c r="J1494" t="s">
        <v>2226</v>
      </c>
      <c r="K1494" t="s">
        <v>93</v>
      </c>
      <c r="L1494" t="s">
        <v>96</v>
      </c>
      <c r="M1494" t="s">
        <v>73</v>
      </c>
      <c r="R1494" t="s">
        <v>7473</v>
      </c>
      <c r="S1494" t="s">
        <v>1745</v>
      </c>
      <c r="T1494" t="s">
        <v>91</v>
      </c>
      <c r="U1494" t="s">
        <v>74</v>
      </c>
      <c r="V1494" t="str">
        <f>"10021"</f>
        <v>10021</v>
      </c>
      <c r="AC1494" t="s">
        <v>76</v>
      </c>
      <c r="AD1494" t="s">
        <v>73</v>
      </c>
      <c r="AE1494" t="s">
        <v>97</v>
      </c>
      <c r="AF1494" t="s">
        <v>2242</v>
      </c>
      <c r="AG1494" t="s">
        <v>78</v>
      </c>
    </row>
    <row r="1495" spans="1:33" hidden="1" x14ac:dyDescent="0.25">
      <c r="A1495" t="str">
        <f>"1508284217"</f>
        <v>1508284217</v>
      </c>
      <c r="C1495" t="s">
        <v>7474</v>
      </c>
      <c r="G1495" t="s">
        <v>2224</v>
      </c>
      <c r="H1495" t="s">
        <v>2225</v>
      </c>
      <c r="J1495" t="s">
        <v>2226</v>
      </c>
      <c r="K1495" t="s">
        <v>93</v>
      </c>
      <c r="L1495" t="s">
        <v>96</v>
      </c>
      <c r="M1495" t="s">
        <v>73</v>
      </c>
      <c r="R1495" t="s">
        <v>7475</v>
      </c>
      <c r="S1495" t="s">
        <v>7459</v>
      </c>
      <c r="T1495" t="s">
        <v>91</v>
      </c>
      <c r="U1495" t="s">
        <v>74</v>
      </c>
      <c r="V1495" t="str">
        <f>"100214872"</f>
        <v>100214872</v>
      </c>
      <c r="AC1495" t="s">
        <v>76</v>
      </c>
      <c r="AD1495" t="s">
        <v>73</v>
      </c>
      <c r="AE1495" t="s">
        <v>97</v>
      </c>
      <c r="AF1495" t="s">
        <v>2242</v>
      </c>
      <c r="AG1495" t="s">
        <v>78</v>
      </c>
    </row>
    <row r="1496" spans="1:33" hidden="1" x14ac:dyDescent="0.25">
      <c r="A1496" t="str">
        <f>"1619210648"</f>
        <v>1619210648</v>
      </c>
      <c r="B1496" t="str">
        <f>"04508343"</f>
        <v>04508343</v>
      </c>
      <c r="C1496" t="s">
        <v>7476</v>
      </c>
      <c r="D1496" t="s">
        <v>7477</v>
      </c>
      <c r="E1496" t="s">
        <v>7478</v>
      </c>
      <c r="G1496" t="s">
        <v>2224</v>
      </c>
      <c r="H1496" t="s">
        <v>2225</v>
      </c>
      <c r="J1496" t="s">
        <v>2226</v>
      </c>
      <c r="L1496" t="s">
        <v>96</v>
      </c>
      <c r="M1496" t="s">
        <v>73</v>
      </c>
      <c r="R1496" t="s">
        <v>7479</v>
      </c>
      <c r="W1496" t="s">
        <v>7478</v>
      </c>
      <c r="AB1496" t="s">
        <v>75</v>
      </c>
      <c r="AC1496" t="s">
        <v>76</v>
      </c>
      <c r="AD1496" t="s">
        <v>73</v>
      </c>
      <c r="AE1496" t="s">
        <v>77</v>
      </c>
      <c r="AF1496" t="s">
        <v>2242</v>
      </c>
      <c r="AG1496" t="s">
        <v>78</v>
      </c>
    </row>
    <row r="1497" spans="1:33" hidden="1" x14ac:dyDescent="0.25">
      <c r="A1497" t="str">
        <f>"1134461338"</f>
        <v>1134461338</v>
      </c>
      <c r="C1497" t="s">
        <v>7480</v>
      </c>
      <c r="G1497" t="s">
        <v>2224</v>
      </c>
      <c r="H1497" t="s">
        <v>2225</v>
      </c>
      <c r="J1497" t="s">
        <v>2226</v>
      </c>
      <c r="K1497" t="s">
        <v>93</v>
      </c>
      <c r="L1497" t="s">
        <v>96</v>
      </c>
      <c r="M1497" t="s">
        <v>73</v>
      </c>
      <c r="R1497" t="s">
        <v>7481</v>
      </c>
      <c r="S1497" t="s">
        <v>7459</v>
      </c>
      <c r="T1497" t="s">
        <v>91</v>
      </c>
      <c r="U1497" t="s">
        <v>74</v>
      </c>
      <c r="V1497" t="str">
        <f>"100214872"</f>
        <v>100214872</v>
      </c>
      <c r="AC1497" t="s">
        <v>76</v>
      </c>
      <c r="AD1497" t="s">
        <v>73</v>
      </c>
      <c r="AE1497" t="s">
        <v>97</v>
      </c>
      <c r="AF1497" t="s">
        <v>2242</v>
      </c>
      <c r="AG1497" t="s">
        <v>78</v>
      </c>
    </row>
    <row r="1498" spans="1:33" hidden="1" x14ac:dyDescent="0.25">
      <c r="A1498" t="str">
        <f>"1295093508"</f>
        <v>1295093508</v>
      </c>
      <c r="B1498" t="str">
        <f>"04231036"</f>
        <v>04231036</v>
      </c>
      <c r="C1498" t="s">
        <v>7482</v>
      </c>
      <c r="D1498" t="s">
        <v>7483</v>
      </c>
      <c r="E1498" t="s">
        <v>7484</v>
      </c>
      <c r="G1498" t="s">
        <v>2224</v>
      </c>
      <c r="H1498" t="s">
        <v>2225</v>
      </c>
      <c r="J1498" t="s">
        <v>2226</v>
      </c>
      <c r="L1498" t="s">
        <v>72</v>
      </c>
      <c r="M1498" t="s">
        <v>73</v>
      </c>
      <c r="R1498" t="s">
        <v>7484</v>
      </c>
      <c r="W1498" t="s">
        <v>7484</v>
      </c>
      <c r="X1498" t="s">
        <v>7485</v>
      </c>
      <c r="Y1498" t="s">
        <v>91</v>
      </c>
      <c r="Z1498" t="s">
        <v>74</v>
      </c>
      <c r="AA1498" t="str">
        <f>"10065-0000"</f>
        <v>10065-0000</v>
      </c>
      <c r="AB1498" t="s">
        <v>75</v>
      </c>
      <c r="AC1498" t="s">
        <v>76</v>
      </c>
      <c r="AD1498" t="s">
        <v>73</v>
      </c>
      <c r="AE1498" t="s">
        <v>77</v>
      </c>
      <c r="AF1498" t="s">
        <v>2242</v>
      </c>
      <c r="AG1498" t="s">
        <v>78</v>
      </c>
    </row>
    <row r="1499" spans="1:33" hidden="1" x14ac:dyDescent="0.25">
      <c r="A1499" t="str">
        <f>"1689940892"</f>
        <v>1689940892</v>
      </c>
      <c r="B1499" t="str">
        <f>"04210106"</f>
        <v>04210106</v>
      </c>
      <c r="C1499" t="s">
        <v>7486</v>
      </c>
      <c r="D1499" t="s">
        <v>7487</v>
      </c>
      <c r="E1499" t="s">
        <v>7488</v>
      </c>
      <c r="G1499" t="s">
        <v>2224</v>
      </c>
      <c r="H1499" t="s">
        <v>2225</v>
      </c>
      <c r="J1499" t="s">
        <v>2226</v>
      </c>
      <c r="L1499" t="s">
        <v>72</v>
      </c>
      <c r="M1499" t="s">
        <v>73</v>
      </c>
      <c r="R1499" t="s">
        <v>7488</v>
      </c>
      <c r="W1499" t="s">
        <v>7488</v>
      </c>
      <c r="X1499" t="s">
        <v>7489</v>
      </c>
      <c r="Y1499" t="s">
        <v>91</v>
      </c>
      <c r="Z1499" t="s">
        <v>74</v>
      </c>
      <c r="AA1499" t="str">
        <f>"10065-4870"</f>
        <v>10065-4870</v>
      </c>
      <c r="AB1499" t="s">
        <v>75</v>
      </c>
      <c r="AC1499" t="s">
        <v>76</v>
      </c>
      <c r="AD1499" t="s">
        <v>73</v>
      </c>
      <c r="AE1499" t="s">
        <v>77</v>
      </c>
      <c r="AF1499" t="s">
        <v>2242</v>
      </c>
      <c r="AG1499" t="s">
        <v>78</v>
      </c>
    </row>
    <row r="1500" spans="1:33" hidden="1" x14ac:dyDescent="0.25">
      <c r="A1500" t="str">
        <f>"1104168657"</f>
        <v>1104168657</v>
      </c>
      <c r="C1500" t="s">
        <v>7490</v>
      </c>
      <c r="G1500" t="s">
        <v>2224</v>
      </c>
      <c r="H1500" t="s">
        <v>2225</v>
      </c>
      <c r="J1500" t="s">
        <v>2226</v>
      </c>
      <c r="K1500" t="s">
        <v>93</v>
      </c>
      <c r="L1500" t="s">
        <v>96</v>
      </c>
      <c r="M1500" t="s">
        <v>73</v>
      </c>
      <c r="R1500" t="s">
        <v>7491</v>
      </c>
      <c r="S1500" t="s">
        <v>7459</v>
      </c>
      <c r="T1500" t="s">
        <v>91</v>
      </c>
      <c r="U1500" t="s">
        <v>74</v>
      </c>
      <c r="V1500" t="str">
        <f t="shared" ref="V1500:V1506" si="1">"100214872"</f>
        <v>100214872</v>
      </c>
      <c r="AC1500" t="s">
        <v>76</v>
      </c>
      <c r="AD1500" t="s">
        <v>73</v>
      </c>
      <c r="AE1500" t="s">
        <v>97</v>
      </c>
      <c r="AF1500" t="s">
        <v>2242</v>
      </c>
      <c r="AG1500" t="s">
        <v>78</v>
      </c>
    </row>
    <row r="1501" spans="1:33" hidden="1" x14ac:dyDescent="0.25">
      <c r="A1501" t="str">
        <f>"1922364082"</f>
        <v>1922364082</v>
      </c>
      <c r="C1501" t="s">
        <v>7492</v>
      </c>
      <c r="G1501" t="s">
        <v>2224</v>
      </c>
      <c r="H1501" t="s">
        <v>2225</v>
      </c>
      <c r="J1501" t="s">
        <v>2226</v>
      </c>
      <c r="K1501" t="s">
        <v>93</v>
      </c>
      <c r="L1501" t="s">
        <v>96</v>
      </c>
      <c r="M1501" t="s">
        <v>73</v>
      </c>
      <c r="R1501" t="s">
        <v>7493</v>
      </c>
      <c r="S1501" t="s">
        <v>628</v>
      </c>
      <c r="T1501" t="s">
        <v>91</v>
      </c>
      <c r="U1501" t="s">
        <v>74</v>
      </c>
      <c r="V1501" t="str">
        <f t="shared" si="1"/>
        <v>100214872</v>
      </c>
      <c r="AC1501" t="s">
        <v>76</v>
      </c>
      <c r="AD1501" t="s">
        <v>73</v>
      </c>
      <c r="AE1501" t="s">
        <v>97</v>
      </c>
      <c r="AF1501" t="s">
        <v>2234</v>
      </c>
      <c r="AG1501" t="s">
        <v>78</v>
      </c>
    </row>
    <row r="1502" spans="1:33" hidden="1" x14ac:dyDescent="0.25">
      <c r="A1502" t="str">
        <f>"1750709168"</f>
        <v>1750709168</v>
      </c>
      <c r="C1502" t="s">
        <v>7494</v>
      </c>
      <c r="G1502" t="s">
        <v>2224</v>
      </c>
      <c r="H1502" t="s">
        <v>2225</v>
      </c>
      <c r="J1502" t="s">
        <v>2226</v>
      </c>
      <c r="K1502" t="s">
        <v>93</v>
      </c>
      <c r="L1502" t="s">
        <v>96</v>
      </c>
      <c r="M1502" t="s">
        <v>73</v>
      </c>
      <c r="R1502" t="s">
        <v>7495</v>
      </c>
      <c r="S1502" t="s">
        <v>628</v>
      </c>
      <c r="T1502" t="s">
        <v>91</v>
      </c>
      <c r="U1502" t="s">
        <v>74</v>
      </c>
      <c r="V1502" t="str">
        <f t="shared" si="1"/>
        <v>100214872</v>
      </c>
      <c r="AC1502" t="s">
        <v>76</v>
      </c>
      <c r="AD1502" t="s">
        <v>73</v>
      </c>
      <c r="AE1502" t="s">
        <v>97</v>
      </c>
      <c r="AF1502" t="s">
        <v>2242</v>
      </c>
      <c r="AG1502" t="s">
        <v>78</v>
      </c>
    </row>
    <row r="1503" spans="1:33" hidden="1" x14ac:dyDescent="0.25">
      <c r="A1503" t="str">
        <f>"1285052423"</f>
        <v>1285052423</v>
      </c>
      <c r="C1503" t="s">
        <v>7496</v>
      </c>
      <c r="G1503" t="s">
        <v>2224</v>
      </c>
      <c r="H1503" t="s">
        <v>2225</v>
      </c>
      <c r="J1503" t="s">
        <v>2226</v>
      </c>
      <c r="K1503" t="s">
        <v>93</v>
      </c>
      <c r="L1503" t="s">
        <v>96</v>
      </c>
      <c r="M1503" t="s">
        <v>73</v>
      </c>
      <c r="R1503" t="s">
        <v>7497</v>
      </c>
      <c r="S1503" t="s">
        <v>7459</v>
      </c>
      <c r="T1503" t="s">
        <v>91</v>
      </c>
      <c r="U1503" t="s">
        <v>74</v>
      </c>
      <c r="V1503" t="str">
        <f t="shared" si="1"/>
        <v>100214872</v>
      </c>
      <c r="AC1503" t="s">
        <v>76</v>
      </c>
      <c r="AD1503" t="s">
        <v>73</v>
      </c>
      <c r="AE1503" t="s">
        <v>97</v>
      </c>
      <c r="AF1503" t="s">
        <v>2242</v>
      </c>
      <c r="AG1503" t="s">
        <v>78</v>
      </c>
    </row>
    <row r="1504" spans="1:33" hidden="1" x14ac:dyDescent="0.25">
      <c r="A1504" t="str">
        <f>"1104245885"</f>
        <v>1104245885</v>
      </c>
      <c r="C1504" t="s">
        <v>7498</v>
      </c>
      <c r="G1504" t="s">
        <v>2224</v>
      </c>
      <c r="H1504" t="s">
        <v>2225</v>
      </c>
      <c r="J1504" t="s">
        <v>2226</v>
      </c>
      <c r="K1504" t="s">
        <v>93</v>
      </c>
      <c r="L1504" t="s">
        <v>96</v>
      </c>
      <c r="M1504" t="s">
        <v>73</v>
      </c>
      <c r="R1504" t="s">
        <v>600</v>
      </c>
      <c r="S1504" t="s">
        <v>628</v>
      </c>
      <c r="T1504" t="s">
        <v>91</v>
      </c>
      <c r="U1504" t="s">
        <v>74</v>
      </c>
      <c r="V1504" t="str">
        <f t="shared" si="1"/>
        <v>100214872</v>
      </c>
      <c r="AC1504" t="s">
        <v>76</v>
      </c>
      <c r="AD1504" t="s">
        <v>73</v>
      </c>
      <c r="AE1504" t="s">
        <v>97</v>
      </c>
      <c r="AF1504" t="s">
        <v>2242</v>
      </c>
      <c r="AG1504" t="s">
        <v>78</v>
      </c>
    </row>
    <row r="1505" spans="1:33" hidden="1" x14ac:dyDescent="0.25">
      <c r="A1505" t="str">
        <f>"1366860199"</f>
        <v>1366860199</v>
      </c>
      <c r="C1505" t="s">
        <v>7499</v>
      </c>
      <c r="G1505" t="s">
        <v>2224</v>
      </c>
      <c r="H1505" t="s">
        <v>2225</v>
      </c>
      <c r="J1505" t="s">
        <v>2226</v>
      </c>
      <c r="K1505" t="s">
        <v>93</v>
      </c>
      <c r="L1505" t="s">
        <v>96</v>
      </c>
      <c r="M1505" t="s">
        <v>73</v>
      </c>
      <c r="R1505" t="s">
        <v>7500</v>
      </c>
      <c r="S1505" t="s">
        <v>628</v>
      </c>
      <c r="T1505" t="s">
        <v>91</v>
      </c>
      <c r="U1505" t="s">
        <v>74</v>
      </c>
      <c r="V1505" t="str">
        <f t="shared" si="1"/>
        <v>100214872</v>
      </c>
      <c r="AC1505" t="s">
        <v>76</v>
      </c>
      <c r="AD1505" t="s">
        <v>73</v>
      </c>
      <c r="AE1505" t="s">
        <v>97</v>
      </c>
      <c r="AF1505" t="s">
        <v>2242</v>
      </c>
      <c r="AG1505" t="s">
        <v>78</v>
      </c>
    </row>
    <row r="1506" spans="1:33" hidden="1" x14ac:dyDescent="0.25">
      <c r="A1506" t="str">
        <f>"1942566997"</f>
        <v>1942566997</v>
      </c>
      <c r="C1506" t="s">
        <v>7501</v>
      </c>
      <c r="G1506" t="s">
        <v>2224</v>
      </c>
      <c r="H1506" t="s">
        <v>2225</v>
      </c>
      <c r="J1506" t="s">
        <v>2226</v>
      </c>
      <c r="K1506" t="s">
        <v>93</v>
      </c>
      <c r="L1506" t="s">
        <v>96</v>
      </c>
      <c r="M1506" t="s">
        <v>73</v>
      </c>
      <c r="R1506" t="s">
        <v>7502</v>
      </c>
      <c r="S1506" t="s">
        <v>1745</v>
      </c>
      <c r="T1506" t="s">
        <v>91</v>
      </c>
      <c r="U1506" t="s">
        <v>74</v>
      </c>
      <c r="V1506" t="str">
        <f t="shared" si="1"/>
        <v>100214872</v>
      </c>
      <c r="AC1506" t="s">
        <v>76</v>
      </c>
      <c r="AD1506" t="s">
        <v>73</v>
      </c>
      <c r="AE1506" t="s">
        <v>97</v>
      </c>
      <c r="AF1506" t="s">
        <v>2234</v>
      </c>
      <c r="AG1506" t="s">
        <v>78</v>
      </c>
    </row>
    <row r="1507" spans="1:33" hidden="1" x14ac:dyDescent="0.25">
      <c r="A1507" t="str">
        <f>"1326482837"</f>
        <v>1326482837</v>
      </c>
      <c r="B1507" t="str">
        <f>"04499670"</f>
        <v>04499670</v>
      </c>
      <c r="C1507" t="s">
        <v>7503</v>
      </c>
      <c r="D1507" t="s">
        <v>7504</v>
      </c>
      <c r="E1507" t="s">
        <v>7505</v>
      </c>
      <c r="G1507" t="s">
        <v>2224</v>
      </c>
      <c r="H1507" t="s">
        <v>2225</v>
      </c>
      <c r="J1507" t="s">
        <v>2226</v>
      </c>
      <c r="L1507" t="s">
        <v>72</v>
      </c>
      <c r="M1507" t="s">
        <v>73</v>
      </c>
      <c r="R1507" t="s">
        <v>7506</v>
      </c>
      <c r="W1507" t="s">
        <v>7507</v>
      </c>
      <c r="AB1507" t="s">
        <v>75</v>
      </c>
      <c r="AC1507" t="s">
        <v>76</v>
      </c>
      <c r="AD1507" t="s">
        <v>73</v>
      </c>
      <c r="AE1507" t="s">
        <v>77</v>
      </c>
      <c r="AF1507" t="s">
        <v>2242</v>
      </c>
      <c r="AG1507" t="s">
        <v>78</v>
      </c>
    </row>
    <row r="1508" spans="1:33" hidden="1" x14ac:dyDescent="0.25">
      <c r="A1508" t="str">
        <f>"1417222696"</f>
        <v>1417222696</v>
      </c>
      <c r="C1508" t="s">
        <v>7508</v>
      </c>
      <c r="G1508" t="s">
        <v>2224</v>
      </c>
      <c r="H1508" t="s">
        <v>2225</v>
      </c>
      <c r="J1508" t="s">
        <v>2226</v>
      </c>
      <c r="K1508" t="s">
        <v>93</v>
      </c>
      <c r="L1508" t="s">
        <v>96</v>
      </c>
      <c r="M1508" t="s">
        <v>73</v>
      </c>
      <c r="R1508" t="s">
        <v>7509</v>
      </c>
      <c r="S1508" t="s">
        <v>7459</v>
      </c>
      <c r="T1508" t="s">
        <v>91</v>
      </c>
      <c r="U1508" t="s">
        <v>74</v>
      </c>
      <c r="V1508" t="str">
        <f>"100214872"</f>
        <v>100214872</v>
      </c>
      <c r="AC1508" t="s">
        <v>76</v>
      </c>
      <c r="AD1508" t="s">
        <v>73</v>
      </c>
      <c r="AE1508" t="s">
        <v>97</v>
      </c>
      <c r="AF1508" t="s">
        <v>2242</v>
      </c>
      <c r="AG1508" t="s">
        <v>78</v>
      </c>
    </row>
    <row r="1509" spans="1:33" hidden="1" x14ac:dyDescent="0.25">
      <c r="A1509" t="str">
        <f>"1982946778"</f>
        <v>1982946778</v>
      </c>
      <c r="B1509" t="str">
        <f>"04415234"</f>
        <v>04415234</v>
      </c>
      <c r="C1509" t="s">
        <v>7510</v>
      </c>
      <c r="D1509" t="s">
        <v>7511</v>
      </c>
      <c r="E1509" t="s">
        <v>7512</v>
      </c>
      <c r="G1509" t="s">
        <v>2224</v>
      </c>
      <c r="H1509" t="s">
        <v>2225</v>
      </c>
      <c r="J1509" t="s">
        <v>2226</v>
      </c>
      <c r="L1509" t="s">
        <v>96</v>
      </c>
      <c r="M1509" t="s">
        <v>73</v>
      </c>
      <c r="R1509" t="s">
        <v>7512</v>
      </c>
      <c r="W1509" t="s">
        <v>7512</v>
      </c>
      <c r="X1509" t="s">
        <v>7513</v>
      </c>
      <c r="Y1509" t="s">
        <v>91</v>
      </c>
      <c r="Z1509" t="s">
        <v>74</v>
      </c>
      <c r="AA1509" t="str">
        <f>"10065-4870"</f>
        <v>10065-4870</v>
      </c>
      <c r="AB1509" t="s">
        <v>75</v>
      </c>
      <c r="AC1509" t="s">
        <v>76</v>
      </c>
      <c r="AD1509" t="s">
        <v>73</v>
      </c>
      <c r="AE1509" t="s">
        <v>77</v>
      </c>
      <c r="AF1509" t="s">
        <v>2242</v>
      </c>
      <c r="AG1509" t="s">
        <v>78</v>
      </c>
    </row>
    <row r="1510" spans="1:33" hidden="1" x14ac:dyDescent="0.25">
      <c r="A1510" t="str">
        <f>"1669745576"</f>
        <v>1669745576</v>
      </c>
      <c r="C1510" t="s">
        <v>7514</v>
      </c>
      <c r="G1510" t="s">
        <v>2224</v>
      </c>
      <c r="H1510" t="s">
        <v>2312</v>
      </c>
      <c r="J1510" t="s">
        <v>2226</v>
      </c>
      <c r="K1510" t="s">
        <v>171</v>
      </c>
      <c r="L1510" t="s">
        <v>96</v>
      </c>
      <c r="M1510" t="s">
        <v>73</v>
      </c>
      <c r="R1510" t="s">
        <v>7515</v>
      </c>
      <c r="S1510" t="s">
        <v>170</v>
      </c>
      <c r="T1510" t="s">
        <v>91</v>
      </c>
      <c r="U1510" t="s">
        <v>74</v>
      </c>
      <c r="V1510" t="str">
        <f>"100654870"</f>
        <v>100654870</v>
      </c>
      <c r="AC1510" t="s">
        <v>76</v>
      </c>
      <c r="AD1510" t="s">
        <v>73</v>
      </c>
      <c r="AE1510" t="s">
        <v>97</v>
      </c>
      <c r="AF1510" t="s">
        <v>2242</v>
      </c>
      <c r="AG1510" t="s">
        <v>78</v>
      </c>
    </row>
    <row r="1511" spans="1:33" hidden="1" x14ac:dyDescent="0.25">
      <c r="A1511" t="str">
        <f>"1780905794"</f>
        <v>1780905794</v>
      </c>
      <c r="B1511" t="str">
        <f>"04109500"</f>
        <v>04109500</v>
      </c>
      <c r="C1511" t="s">
        <v>7516</v>
      </c>
      <c r="D1511" t="s">
        <v>7517</v>
      </c>
      <c r="E1511" t="s">
        <v>7518</v>
      </c>
      <c r="G1511" t="s">
        <v>2224</v>
      </c>
      <c r="H1511" t="s">
        <v>2312</v>
      </c>
      <c r="J1511" t="s">
        <v>2226</v>
      </c>
      <c r="L1511" t="s">
        <v>80</v>
      </c>
      <c r="M1511" t="s">
        <v>73</v>
      </c>
      <c r="R1511" t="s">
        <v>7519</v>
      </c>
      <c r="W1511" t="s">
        <v>7518</v>
      </c>
      <c r="X1511" t="s">
        <v>170</v>
      </c>
      <c r="Y1511" t="s">
        <v>91</v>
      </c>
      <c r="Z1511" t="s">
        <v>74</v>
      </c>
      <c r="AA1511" t="str">
        <f>"10065-4870"</f>
        <v>10065-4870</v>
      </c>
      <c r="AB1511" t="s">
        <v>75</v>
      </c>
      <c r="AC1511" t="s">
        <v>76</v>
      </c>
      <c r="AD1511" t="s">
        <v>73</v>
      </c>
      <c r="AE1511" t="s">
        <v>77</v>
      </c>
      <c r="AF1511" t="s">
        <v>2242</v>
      </c>
      <c r="AG1511" t="s">
        <v>78</v>
      </c>
    </row>
    <row r="1512" spans="1:33" hidden="1" x14ac:dyDescent="0.25">
      <c r="A1512" t="str">
        <f>"1699935999"</f>
        <v>1699935999</v>
      </c>
      <c r="B1512" t="str">
        <f>"03144281"</f>
        <v>03144281</v>
      </c>
      <c r="C1512" t="s">
        <v>7520</v>
      </c>
      <c r="D1512" t="s">
        <v>7521</v>
      </c>
      <c r="E1512" t="s">
        <v>7522</v>
      </c>
      <c r="G1512" t="s">
        <v>2224</v>
      </c>
      <c r="H1512" t="s">
        <v>2225</v>
      </c>
      <c r="J1512" t="s">
        <v>2226</v>
      </c>
      <c r="L1512" t="s">
        <v>81</v>
      </c>
      <c r="M1512" t="s">
        <v>82</v>
      </c>
      <c r="R1512" t="s">
        <v>7523</v>
      </c>
      <c r="W1512" t="s">
        <v>7524</v>
      </c>
      <c r="X1512" t="s">
        <v>167</v>
      </c>
      <c r="Y1512" t="s">
        <v>91</v>
      </c>
      <c r="Z1512" t="s">
        <v>74</v>
      </c>
      <c r="AA1512" t="str">
        <f>"10032-3720"</f>
        <v>10032-3720</v>
      </c>
      <c r="AB1512" t="s">
        <v>75</v>
      </c>
      <c r="AC1512" t="s">
        <v>76</v>
      </c>
      <c r="AD1512" t="s">
        <v>73</v>
      </c>
      <c r="AE1512" t="s">
        <v>77</v>
      </c>
      <c r="AF1512" t="s">
        <v>2254</v>
      </c>
      <c r="AG1512" t="s">
        <v>78</v>
      </c>
    </row>
    <row r="1513" spans="1:33" hidden="1" x14ac:dyDescent="0.25">
      <c r="A1513" t="str">
        <f>"1356347090"</f>
        <v>1356347090</v>
      </c>
      <c r="B1513" t="str">
        <f>"02885183"</f>
        <v>02885183</v>
      </c>
      <c r="C1513" t="s">
        <v>7525</v>
      </c>
      <c r="D1513" t="s">
        <v>7526</v>
      </c>
      <c r="E1513" t="s">
        <v>7527</v>
      </c>
      <c r="G1513" t="s">
        <v>2224</v>
      </c>
      <c r="H1513" t="s">
        <v>2225</v>
      </c>
      <c r="J1513" t="s">
        <v>2226</v>
      </c>
      <c r="L1513" t="s">
        <v>72</v>
      </c>
      <c r="M1513" t="s">
        <v>73</v>
      </c>
      <c r="R1513" t="s">
        <v>7528</v>
      </c>
      <c r="W1513" t="s">
        <v>7527</v>
      </c>
      <c r="X1513" t="s">
        <v>7529</v>
      </c>
      <c r="Y1513" t="s">
        <v>91</v>
      </c>
      <c r="Z1513" t="s">
        <v>74</v>
      </c>
      <c r="AA1513" t="str">
        <f>"10032"</f>
        <v>10032</v>
      </c>
      <c r="AB1513" t="s">
        <v>122</v>
      </c>
      <c r="AC1513" t="s">
        <v>76</v>
      </c>
      <c r="AD1513" t="s">
        <v>73</v>
      </c>
      <c r="AE1513" t="s">
        <v>77</v>
      </c>
      <c r="AF1513" t="s">
        <v>2228</v>
      </c>
      <c r="AG1513" t="s">
        <v>78</v>
      </c>
    </row>
    <row r="1514" spans="1:33" hidden="1" x14ac:dyDescent="0.25">
      <c r="A1514" t="str">
        <f>"1356357404"</f>
        <v>1356357404</v>
      </c>
      <c r="B1514" t="str">
        <f>"01577848"</f>
        <v>01577848</v>
      </c>
      <c r="C1514" t="s">
        <v>7530</v>
      </c>
      <c r="D1514" t="s">
        <v>7531</v>
      </c>
      <c r="E1514" t="s">
        <v>7532</v>
      </c>
      <c r="G1514" t="s">
        <v>2224</v>
      </c>
      <c r="H1514" t="s">
        <v>2225</v>
      </c>
      <c r="J1514" t="s">
        <v>2226</v>
      </c>
      <c r="L1514" t="s">
        <v>72</v>
      </c>
      <c r="M1514" t="s">
        <v>73</v>
      </c>
      <c r="R1514" t="s">
        <v>7533</v>
      </c>
      <c r="W1514" t="s">
        <v>7532</v>
      </c>
      <c r="X1514" t="s">
        <v>7534</v>
      </c>
      <c r="Y1514" t="s">
        <v>91</v>
      </c>
      <c r="Z1514" t="s">
        <v>74</v>
      </c>
      <c r="AA1514" t="str">
        <f>"10032-3726"</f>
        <v>10032-3726</v>
      </c>
      <c r="AB1514" t="s">
        <v>75</v>
      </c>
      <c r="AC1514" t="s">
        <v>76</v>
      </c>
      <c r="AD1514" t="s">
        <v>73</v>
      </c>
      <c r="AE1514" t="s">
        <v>77</v>
      </c>
      <c r="AF1514" t="s">
        <v>2228</v>
      </c>
      <c r="AG1514" t="s">
        <v>78</v>
      </c>
    </row>
    <row r="1515" spans="1:33" hidden="1" x14ac:dyDescent="0.25">
      <c r="A1515" t="str">
        <f>"1770609851"</f>
        <v>1770609851</v>
      </c>
      <c r="B1515" t="str">
        <f>"03090508"</f>
        <v>03090508</v>
      </c>
      <c r="C1515" t="s">
        <v>7535</v>
      </c>
      <c r="D1515" t="s">
        <v>7536</v>
      </c>
      <c r="E1515" t="s">
        <v>7537</v>
      </c>
      <c r="G1515" t="s">
        <v>2224</v>
      </c>
      <c r="H1515" t="s">
        <v>2225</v>
      </c>
      <c r="J1515" t="s">
        <v>2226</v>
      </c>
      <c r="L1515" t="s">
        <v>80</v>
      </c>
      <c r="M1515" t="s">
        <v>82</v>
      </c>
      <c r="R1515" t="s">
        <v>7538</v>
      </c>
      <c r="W1515" t="s">
        <v>7537</v>
      </c>
      <c r="X1515" t="s">
        <v>170</v>
      </c>
      <c r="Y1515" t="s">
        <v>91</v>
      </c>
      <c r="Z1515" t="s">
        <v>74</v>
      </c>
      <c r="AA1515" t="str">
        <f>"10065-4870"</f>
        <v>10065-4870</v>
      </c>
      <c r="AB1515" t="s">
        <v>107</v>
      </c>
      <c r="AC1515" t="s">
        <v>76</v>
      </c>
      <c r="AD1515" t="s">
        <v>73</v>
      </c>
      <c r="AE1515" t="s">
        <v>77</v>
      </c>
      <c r="AF1515" t="s">
        <v>2228</v>
      </c>
      <c r="AG1515" t="s">
        <v>78</v>
      </c>
    </row>
    <row r="1516" spans="1:33" hidden="1" x14ac:dyDescent="0.25">
      <c r="A1516" t="str">
        <f>"1770653230"</f>
        <v>1770653230</v>
      </c>
      <c r="B1516" t="str">
        <f>"02134265"</f>
        <v>02134265</v>
      </c>
      <c r="C1516" t="s">
        <v>7539</v>
      </c>
      <c r="D1516" t="s">
        <v>7540</v>
      </c>
      <c r="E1516" t="s">
        <v>7541</v>
      </c>
      <c r="G1516" t="s">
        <v>2224</v>
      </c>
      <c r="H1516" t="s">
        <v>2225</v>
      </c>
      <c r="J1516" t="s">
        <v>2226</v>
      </c>
      <c r="L1516" t="s">
        <v>72</v>
      </c>
      <c r="M1516" t="s">
        <v>73</v>
      </c>
      <c r="R1516" t="s">
        <v>7542</v>
      </c>
      <c r="W1516" t="s">
        <v>7541</v>
      </c>
      <c r="X1516" t="s">
        <v>496</v>
      </c>
      <c r="Y1516" t="s">
        <v>91</v>
      </c>
      <c r="Z1516" t="s">
        <v>74</v>
      </c>
      <c r="AA1516" t="str">
        <f>"10032-3726"</f>
        <v>10032-3726</v>
      </c>
      <c r="AB1516" t="s">
        <v>75</v>
      </c>
      <c r="AC1516" t="s">
        <v>76</v>
      </c>
      <c r="AD1516" t="s">
        <v>73</v>
      </c>
      <c r="AE1516" t="s">
        <v>77</v>
      </c>
      <c r="AF1516" t="s">
        <v>2254</v>
      </c>
      <c r="AG1516" t="s">
        <v>78</v>
      </c>
    </row>
    <row r="1517" spans="1:33" hidden="1" x14ac:dyDescent="0.25">
      <c r="A1517" t="str">
        <f>"1336240175"</f>
        <v>1336240175</v>
      </c>
      <c r="B1517" t="str">
        <f>"02245572"</f>
        <v>02245572</v>
      </c>
      <c r="C1517" t="s">
        <v>7543</v>
      </c>
      <c r="D1517" t="s">
        <v>7544</v>
      </c>
      <c r="E1517" t="s">
        <v>7545</v>
      </c>
      <c r="G1517" t="s">
        <v>2224</v>
      </c>
      <c r="H1517" t="s">
        <v>2225</v>
      </c>
      <c r="J1517" t="s">
        <v>2226</v>
      </c>
      <c r="L1517" t="s">
        <v>72</v>
      </c>
      <c r="M1517" t="s">
        <v>73</v>
      </c>
      <c r="R1517" t="s">
        <v>7546</v>
      </c>
      <c r="W1517" t="s">
        <v>7545</v>
      </c>
      <c r="X1517" t="s">
        <v>496</v>
      </c>
      <c r="Y1517" t="s">
        <v>91</v>
      </c>
      <c r="Z1517" t="s">
        <v>74</v>
      </c>
      <c r="AA1517" t="str">
        <f>"10032-3726"</f>
        <v>10032-3726</v>
      </c>
      <c r="AB1517" t="s">
        <v>75</v>
      </c>
      <c r="AC1517" t="s">
        <v>76</v>
      </c>
      <c r="AD1517" t="s">
        <v>73</v>
      </c>
      <c r="AE1517" t="s">
        <v>77</v>
      </c>
      <c r="AF1517" t="s">
        <v>2254</v>
      </c>
      <c r="AG1517" t="s">
        <v>78</v>
      </c>
    </row>
    <row r="1518" spans="1:33" hidden="1" x14ac:dyDescent="0.25">
      <c r="A1518" t="str">
        <f>"1336273002"</f>
        <v>1336273002</v>
      </c>
      <c r="B1518" t="str">
        <f>"03286308"</f>
        <v>03286308</v>
      </c>
      <c r="C1518" t="s">
        <v>7547</v>
      </c>
      <c r="D1518" t="s">
        <v>7548</v>
      </c>
      <c r="E1518" t="s">
        <v>7549</v>
      </c>
      <c r="G1518" t="s">
        <v>2224</v>
      </c>
      <c r="H1518" t="s">
        <v>2225</v>
      </c>
      <c r="J1518" t="s">
        <v>2226</v>
      </c>
      <c r="L1518" t="s">
        <v>96</v>
      </c>
      <c r="M1518" t="s">
        <v>73</v>
      </c>
      <c r="R1518" t="s">
        <v>7550</v>
      </c>
      <c r="W1518" t="s">
        <v>7549</v>
      </c>
      <c r="X1518" t="s">
        <v>5463</v>
      </c>
      <c r="Y1518" t="s">
        <v>91</v>
      </c>
      <c r="Z1518" t="s">
        <v>74</v>
      </c>
      <c r="AA1518" t="str">
        <f>"10040-3401"</f>
        <v>10040-3401</v>
      </c>
      <c r="AB1518" t="s">
        <v>75</v>
      </c>
      <c r="AC1518" t="s">
        <v>76</v>
      </c>
      <c r="AD1518" t="s">
        <v>73</v>
      </c>
      <c r="AE1518" t="s">
        <v>77</v>
      </c>
      <c r="AF1518" t="s">
        <v>2234</v>
      </c>
      <c r="AG1518" t="s">
        <v>78</v>
      </c>
    </row>
    <row r="1519" spans="1:33" hidden="1" x14ac:dyDescent="0.25">
      <c r="A1519" t="str">
        <f>"1962488254"</f>
        <v>1962488254</v>
      </c>
      <c r="B1519" t="str">
        <f>"01629143"</f>
        <v>01629143</v>
      </c>
      <c r="C1519" t="s">
        <v>7551</v>
      </c>
      <c r="D1519" t="s">
        <v>7552</v>
      </c>
      <c r="E1519" t="s">
        <v>7553</v>
      </c>
      <c r="G1519" t="s">
        <v>282</v>
      </c>
      <c r="H1519" t="s">
        <v>248</v>
      </c>
      <c r="I1519">
        <v>2604</v>
      </c>
      <c r="J1519" t="s">
        <v>283</v>
      </c>
      <c r="L1519" t="s">
        <v>81</v>
      </c>
      <c r="M1519" t="s">
        <v>82</v>
      </c>
      <c r="R1519" t="s">
        <v>7554</v>
      </c>
      <c r="W1519" t="s">
        <v>7553</v>
      </c>
      <c r="X1519" t="s">
        <v>117</v>
      </c>
      <c r="Y1519" t="s">
        <v>118</v>
      </c>
      <c r="Z1519" t="s">
        <v>74</v>
      </c>
      <c r="AA1519" t="str">
        <f>"10461-1138"</f>
        <v>10461-1138</v>
      </c>
      <c r="AB1519" t="s">
        <v>75</v>
      </c>
      <c r="AC1519" t="s">
        <v>76</v>
      </c>
      <c r="AD1519" t="s">
        <v>73</v>
      </c>
      <c r="AE1519" t="s">
        <v>77</v>
      </c>
      <c r="AF1519" t="s">
        <v>2319</v>
      </c>
      <c r="AG1519" t="s">
        <v>78</v>
      </c>
    </row>
    <row r="1520" spans="1:33" hidden="1" x14ac:dyDescent="0.25">
      <c r="A1520" t="str">
        <f>"1578551560"</f>
        <v>1578551560</v>
      </c>
      <c r="B1520" t="str">
        <f>"01624271"</f>
        <v>01624271</v>
      </c>
      <c r="C1520" t="s">
        <v>7555</v>
      </c>
      <c r="D1520" t="s">
        <v>7556</v>
      </c>
      <c r="E1520" t="s">
        <v>7557</v>
      </c>
      <c r="G1520" t="s">
        <v>282</v>
      </c>
      <c r="H1520" t="s">
        <v>248</v>
      </c>
      <c r="I1520">
        <v>2604</v>
      </c>
      <c r="J1520" t="s">
        <v>283</v>
      </c>
      <c r="L1520" t="s">
        <v>81</v>
      </c>
      <c r="M1520" t="s">
        <v>82</v>
      </c>
      <c r="R1520" t="s">
        <v>7558</v>
      </c>
      <c r="W1520" t="s">
        <v>7557</v>
      </c>
      <c r="X1520" t="s">
        <v>7559</v>
      </c>
      <c r="Y1520" t="s">
        <v>91</v>
      </c>
      <c r="Z1520" t="s">
        <v>74</v>
      </c>
      <c r="AA1520" t="str">
        <f>"10013-3599"</f>
        <v>10013-3599</v>
      </c>
      <c r="AB1520" t="s">
        <v>75</v>
      </c>
      <c r="AC1520" t="s">
        <v>76</v>
      </c>
      <c r="AD1520" t="s">
        <v>73</v>
      </c>
      <c r="AE1520" t="s">
        <v>77</v>
      </c>
      <c r="AF1520" t="s">
        <v>2319</v>
      </c>
      <c r="AG1520" t="s">
        <v>78</v>
      </c>
    </row>
    <row r="1521" spans="1:33" hidden="1" x14ac:dyDescent="0.25">
      <c r="A1521" t="str">
        <f>"1356379523"</f>
        <v>1356379523</v>
      </c>
      <c r="B1521" t="str">
        <f>"00428280"</f>
        <v>00428280</v>
      </c>
      <c r="C1521" t="s">
        <v>7560</v>
      </c>
      <c r="D1521" t="s">
        <v>7561</v>
      </c>
      <c r="E1521" t="s">
        <v>7562</v>
      </c>
      <c r="L1521" t="s">
        <v>80</v>
      </c>
      <c r="M1521" t="s">
        <v>73</v>
      </c>
      <c r="R1521" t="s">
        <v>7563</v>
      </c>
      <c r="W1521" t="s">
        <v>7562</v>
      </c>
      <c r="Y1521" t="s">
        <v>91</v>
      </c>
      <c r="Z1521" t="s">
        <v>74</v>
      </c>
      <c r="AA1521" t="str">
        <f>"10032-3720"</f>
        <v>10032-3720</v>
      </c>
      <c r="AB1521" t="s">
        <v>75</v>
      </c>
      <c r="AC1521" t="s">
        <v>76</v>
      </c>
      <c r="AD1521" t="s">
        <v>73</v>
      </c>
      <c r="AE1521" t="s">
        <v>77</v>
      </c>
      <c r="AF1521" t="s">
        <v>2228</v>
      </c>
      <c r="AG1521" t="s">
        <v>78</v>
      </c>
    </row>
    <row r="1522" spans="1:33" hidden="1" x14ac:dyDescent="0.25">
      <c r="A1522" t="str">
        <f>"1750342101"</f>
        <v>1750342101</v>
      </c>
      <c r="B1522" t="str">
        <f>"02810713"</f>
        <v>02810713</v>
      </c>
      <c r="C1522" t="s">
        <v>7564</v>
      </c>
      <c r="D1522" t="s">
        <v>7565</v>
      </c>
      <c r="E1522" t="s">
        <v>7566</v>
      </c>
      <c r="L1522" t="s">
        <v>80</v>
      </c>
      <c r="M1522" t="s">
        <v>73</v>
      </c>
      <c r="R1522" t="s">
        <v>7567</v>
      </c>
      <c r="W1522" t="s">
        <v>7566</v>
      </c>
      <c r="X1522" t="s">
        <v>167</v>
      </c>
      <c r="Y1522" t="s">
        <v>91</v>
      </c>
      <c r="Z1522" t="s">
        <v>74</v>
      </c>
      <c r="AA1522" t="str">
        <f>"10032-3720"</f>
        <v>10032-3720</v>
      </c>
      <c r="AB1522" t="s">
        <v>75</v>
      </c>
      <c r="AC1522" t="s">
        <v>76</v>
      </c>
      <c r="AD1522" t="s">
        <v>73</v>
      </c>
      <c r="AE1522" t="s">
        <v>77</v>
      </c>
      <c r="AF1522" t="s">
        <v>2228</v>
      </c>
      <c r="AG1522" t="s">
        <v>78</v>
      </c>
    </row>
    <row r="1523" spans="1:33" hidden="1" x14ac:dyDescent="0.25">
      <c r="A1523" t="str">
        <f>"1104858844"</f>
        <v>1104858844</v>
      </c>
      <c r="B1523" t="str">
        <f>"01759282"</f>
        <v>01759282</v>
      </c>
      <c r="C1523" t="s">
        <v>7568</v>
      </c>
      <c r="D1523" t="s">
        <v>7569</v>
      </c>
      <c r="E1523" t="s">
        <v>7570</v>
      </c>
      <c r="L1523" t="s">
        <v>80</v>
      </c>
      <c r="M1523" t="s">
        <v>73</v>
      </c>
      <c r="R1523" t="s">
        <v>7571</v>
      </c>
      <c r="W1523" t="s">
        <v>7570</v>
      </c>
      <c r="Y1523" t="s">
        <v>91</v>
      </c>
      <c r="Z1523" t="s">
        <v>74</v>
      </c>
      <c r="AA1523" t="str">
        <f>"10032-3720"</f>
        <v>10032-3720</v>
      </c>
      <c r="AB1523" t="s">
        <v>75</v>
      </c>
      <c r="AC1523" t="s">
        <v>76</v>
      </c>
      <c r="AD1523" t="s">
        <v>73</v>
      </c>
      <c r="AE1523" t="s">
        <v>77</v>
      </c>
      <c r="AF1523" t="s">
        <v>2228</v>
      </c>
      <c r="AG1523" t="s">
        <v>78</v>
      </c>
    </row>
    <row r="1524" spans="1:33" hidden="1" x14ac:dyDescent="0.25">
      <c r="A1524" t="str">
        <f>"1538198643"</f>
        <v>1538198643</v>
      </c>
      <c r="B1524" t="str">
        <f>"01591726"</f>
        <v>01591726</v>
      </c>
      <c r="C1524" t="s">
        <v>7572</v>
      </c>
      <c r="D1524" t="s">
        <v>7573</v>
      </c>
      <c r="E1524" t="s">
        <v>7574</v>
      </c>
      <c r="L1524" t="s">
        <v>80</v>
      </c>
      <c r="M1524" t="s">
        <v>73</v>
      </c>
      <c r="R1524" t="s">
        <v>7575</v>
      </c>
      <c r="W1524" t="s">
        <v>7574</v>
      </c>
      <c r="X1524" t="s">
        <v>559</v>
      </c>
      <c r="Y1524" t="s">
        <v>91</v>
      </c>
      <c r="Z1524" t="s">
        <v>74</v>
      </c>
      <c r="AA1524" t="str">
        <f>"10032-3720"</f>
        <v>10032-3720</v>
      </c>
      <c r="AB1524" t="s">
        <v>75</v>
      </c>
      <c r="AC1524" t="s">
        <v>76</v>
      </c>
      <c r="AD1524" t="s">
        <v>73</v>
      </c>
      <c r="AE1524" t="s">
        <v>77</v>
      </c>
      <c r="AF1524" t="s">
        <v>2228</v>
      </c>
      <c r="AG1524" t="s">
        <v>78</v>
      </c>
    </row>
    <row r="1525" spans="1:33" hidden="1" x14ac:dyDescent="0.25">
      <c r="A1525" t="str">
        <f>"1508026881"</f>
        <v>1508026881</v>
      </c>
      <c r="B1525" t="str">
        <f>"03860313"</f>
        <v>03860313</v>
      </c>
      <c r="C1525" t="s">
        <v>7576</v>
      </c>
      <c r="D1525" t="s">
        <v>7577</v>
      </c>
      <c r="E1525" t="s">
        <v>7578</v>
      </c>
      <c r="L1525" t="s">
        <v>80</v>
      </c>
      <c r="M1525" t="s">
        <v>73</v>
      </c>
      <c r="R1525" t="s">
        <v>7579</v>
      </c>
      <c r="W1525" t="s">
        <v>7578</v>
      </c>
      <c r="X1525" t="s">
        <v>167</v>
      </c>
      <c r="Y1525" t="s">
        <v>91</v>
      </c>
      <c r="Z1525" t="s">
        <v>74</v>
      </c>
      <c r="AA1525" t="str">
        <f>"10032-3720"</f>
        <v>10032-3720</v>
      </c>
      <c r="AB1525" t="s">
        <v>75</v>
      </c>
      <c r="AC1525" t="s">
        <v>76</v>
      </c>
      <c r="AD1525" t="s">
        <v>73</v>
      </c>
      <c r="AE1525" t="s">
        <v>77</v>
      </c>
      <c r="AF1525" t="s">
        <v>2228</v>
      </c>
      <c r="AG1525" t="s">
        <v>78</v>
      </c>
    </row>
    <row r="1526" spans="1:33" hidden="1" x14ac:dyDescent="0.25">
      <c r="A1526" t="str">
        <f>"1558604413"</f>
        <v>1558604413</v>
      </c>
      <c r="C1526" t="s">
        <v>7580</v>
      </c>
      <c r="G1526" t="s">
        <v>2224</v>
      </c>
      <c r="H1526" t="s">
        <v>2312</v>
      </c>
      <c r="J1526" t="s">
        <v>2226</v>
      </c>
      <c r="K1526" t="s">
        <v>171</v>
      </c>
      <c r="L1526" t="s">
        <v>96</v>
      </c>
      <c r="M1526" t="s">
        <v>73</v>
      </c>
      <c r="R1526" t="s">
        <v>7581</v>
      </c>
      <c r="S1526" t="s">
        <v>167</v>
      </c>
      <c r="T1526" t="s">
        <v>91</v>
      </c>
      <c r="U1526" t="s">
        <v>74</v>
      </c>
      <c r="V1526" t="str">
        <f>"100323720"</f>
        <v>100323720</v>
      </c>
      <c r="AC1526" t="s">
        <v>76</v>
      </c>
      <c r="AD1526" t="s">
        <v>73</v>
      </c>
      <c r="AE1526" t="s">
        <v>97</v>
      </c>
      <c r="AF1526" t="s">
        <v>2228</v>
      </c>
      <c r="AG1526" t="s">
        <v>78</v>
      </c>
    </row>
    <row r="1527" spans="1:33" hidden="1" x14ac:dyDescent="0.25">
      <c r="A1527" t="str">
        <f>"1639460132"</f>
        <v>1639460132</v>
      </c>
      <c r="C1527" t="s">
        <v>7582</v>
      </c>
      <c r="G1527" t="s">
        <v>2224</v>
      </c>
      <c r="H1527" t="s">
        <v>2312</v>
      </c>
      <c r="J1527" t="s">
        <v>2226</v>
      </c>
      <c r="K1527" t="s">
        <v>171</v>
      </c>
      <c r="L1527" t="s">
        <v>96</v>
      </c>
      <c r="M1527" t="s">
        <v>73</v>
      </c>
      <c r="R1527" t="s">
        <v>7583</v>
      </c>
      <c r="S1527" t="s">
        <v>1195</v>
      </c>
      <c r="T1527" t="s">
        <v>567</v>
      </c>
      <c r="U1527" t="s">
        <v>111</v>
      </c>
      <c r="V1527" t="str">
        <f>"021156110"</f>
        <v>021156110</v>
      </c>
      <c r="AC1527" t="s">
        <v>76</v>
      </c>
      <c r="AD1527" t="s">
        <v>73</v>
      </c>
      <c r="AE1527" t="s">
        <v>97</v>
      </c>
      <c r="AF1527" t="s">
        <v>2234</v>
      </c>
      <c r="AG1527" t="s">
        <v>78</v>
      </c>
    </row>
    <row r="1528" spans="1:33" hidden="1" x14ac:dyDescent="0.25">
      <c r="A1528" t="str">
        <f>"1093814261"</f>
        <v>1093814261</v>
      </c>
      <c r="B1528" t="str">
        <f>"02983911"</f>
        <v>02983911</v>
      </c>
      <c r="C1528" t="s">
        <v>7584</v>
      </c>
      <c r="D1528" t="s">
        <v>7585</v>
      </c>
      <c r="E1528" t="s">
        <v>7586</v>
      </c>
      <c r="L1528" t="s">
        <v>80</v>
      </c>
      <c r="M1528" t="s">
        <v>73</v>
      </c>
      <c r="R1528" t="s">
        <v>7587</v>
      </c>
      <c r="W1528" t="s">
        <v>7588</v>
      </c>
      <c r="X1528" t="s">
        <v>167</v>
      </c>
      <c r="Y1528" t="s">
        <v>91</v>
      </c>
      <c r="Z1528" t="s">
        <v>74</v>
      </c>
      <c r="AA1528" t="str">
        <f>"10032-3720"</f>
        <v>10032-3720</v>
      </c>
      <c r="AB1528" t="s">
        <v>75</v>
      </c>
      <c r="AC1528" t="s">
        <v>76</v>
      </c>
      <c r="AD1528" t="s">
        <v>73</v>
      </c>
      <c r="AE1528" t="s">
        <v>77</v>
      </c>
      <c r="AF1528" t="s">
        <v>2228</v>
      </c>
      <c r="AG1528" t="s">
        <v>78</v>
      </c>
    </row>
    <row r="1529" spans="1:33" hidden="1" x14ac:dyDescent="0.25">
      <c r="A1529" t="str">
        <f>"1467458174"</f>
        <v>1467458174</v>
      </c>
      <c r="B1529" t="str">
        <f>"01598383"</f>
        <v>01598383</v>
      </c>
      <c r="C1529" t="s">
        <v>7589</v>
      </c>
      <c r="D1529" t="s">
        <v>7590</v>
      </c>
      <c r="E1529" t="s">
        <v>7591</v>
      </c>
      <c r="L1529" t="s">
        <v>72</v>
      </c>
      <c r="M1529" t="s">
        <v>73</v>
      </c>
      <c r="R1529" t="s">
        <v>7592</v>
      </c>
      <c r="W1529" t="s">
        <v>7591</v>
      </c>
      <c r="X1529" t="s">
        <v>1936</v>
      </c>
      <c r="Y1529" t="s">
        <v>199</v>
      </c>
      <c r="Z1529" t="s">
        <v>74</v>
      </c>
      <c r="AA1529" t="str">
        <f>"11362-2244"</f>
        <v>11362-2244</v>
      </c>
      <c r="AB1529" t="s">
        <v>75</v>
      </c>
      <c r="AC1529" t="s">
        <v>76</v>
      </c>
      <c r="AD1529" t="s">
        <v>73</v>
      </c>
      <c r="AE1529" t="s">
        <v>77</v>
      </c>
      <c r="AG1529" t="s">
        <v>78</v>
      </c>
    </row>
    <row r="1530" spans="1:33" hidden="1" x14ac:dyDescent="0.25">
      <c r="A1530" t="str">
        <f>"1831199504"</f>
        <v>1831199504</v>
      </c>
      <c r="B1530" t="str">
        <f>"02661085"</f>
        <v>02661085</v>
      </c>
      <c r="C1530" t="s">
        <v>7593</v>
      </c>
      <c r="D1530" t="s">
        <v>7594</v>
      </c>
      <c r="E1530" t="s">
        <v>7595</v>
      </c>
      <c r="L1530" t="s">
        <v>80</v>
      </c>
      <c r="M1530" t="s">
        <v>73</v>
      </c>
      <c r="R1530" t="s">
        <v>7596</v>
      </c>
      <c r="W1530" t="s">
        <v>7595</v>
      </c>
      <c r="X1530" t="s">
        <v>640</v>
      </c>
      <c r="Y1530" t="s">
        <v>91</v>
      </c>
      <c r="Z1530" t="s">
        <v>74</v>
      </c>
      <c r="AA1530" t="str">
        <f>"10003-2674"</f>
        <v>10003-2674</v>
      </c>
      <c r="AB1530" t="s">
        <v>75</v>
      </c>
      <c r="AC1530" t="s">
        <v>76</v>
      </c>
      <c r="AD1530" t="s">
        <v>73</v>
      </c>
      <c r="AE1530" t="s">
        <v>77</v>
      </c>
      <c r="AF1530" t="s">
        <v>2242</v>
      </c>
      <c r="AG1530" t="s">
        <v>78</v>
      </c>
    </row>
    <row r="1531" spans="1:33" hidden="1" x14ac:dyDescent="0.25">
      <c r="A1531" t="str">
        <f>"1619973203"</f>
        <v>1619973203</v>
      </c>
      <c r="C1531" t="s">
        <v>7597</v>
      </c>
      <c r="G1531" t="s">
        <v>2224</v>
      </c>
      <c r="H1531" t="s">
        <v>2312</v>
      </c>
      <c r="J1531" t="s">
        <v>2226</v>
      </c>
      <c r="K1531" t="s">
        <v>171</v>
      </c>
      <c r="L1531" t="s">
        <v>72</v>
      </c>
      <c r="M1531" t="s">
        <v>73</v>
      </c>
      <c r="R1531" t="s">
        <v>7598</v>
      </c>
      <c r="S1531" t="s">
        <v>272</v>
      </c>
      <c r="T1531" t="s">
        <v>91</v>
      </c>
      <c r="U1531" t="s">
        <v>74</v>
      </c>
      <c r="V1531" t="str">
        <f>"100382612"</f>
        <v>100382612</v>
      </c>
      <c r="AC1531" t="s">
        <v>76</v>
      </c>
      <c r="AD1531" t="s">
        <v>73</v>
      </c>
      <c r="AE1531" t="s">
        <v>97</v>
      </c>
      <c r="AF1531" t="s">
        <v>2234</v>
      </c>
      <c r="AG1531" t="s">
        <v>78</v>
      </c>
    </row>
    <row r="1532" spans="1:33" hidden="1" x14ac:dyDescent="0.25">
      <c r="A1532" t="str">
        <f>"1326479239"</f>
        <v>1326479239</v>
      </c>
      <c r="C1532" t="s">
        <v>7599</v>
      </c>
      <c r="G1532" t="s">
        <v>2224</v>
      </c>
      <c r="H1532" t="s">
        <v>2312</v>
      </c>
      <c r="J1532" t="s">
        <v>2226</v>
      </c>
      <c r="K1532" t="s">
        <v>171</v>
      </c>
      <c r="L1532" t="s">
        <v>96</v>
      </c>
      <c r="M1532" t="s">
        <v>73</v>
      </c>
      <c r="R1532" t="s">
        <v>7600</v>
      </c>
      <c r="S1532" t="s">
        <v>272</v>
      </c>
      <c r="T1532" t="s">
        <v>91</v>
      </c>
      <c r="U1532" t="s">
        <v>74</v>
      </c>
      <c r="V1532" t="str">
        <f>"100382612"</f>
        <v>100382612</v>
      </c>
      <c r="AC1532" t="s">
        <v>76</v>
      </c>
      <c r="AD1532" t="s">
        <v>73</v>
      </c>
      <c r="AE1532" t="s">
        <v>97</v>
      </c>
      <c r="AF1532" t="s">
        <v>2234</v>
      </c>
      <c r="AG1532" t="s">
        <v>78</v>
      </c>
    </row>
    <row r="1533" spans="1:33" hidden="1" x14ac:dyDescent="0.25">
      <c r="A1533" t="str">
        <f>"1144641044"</f>
        <v>1144641044</v>
      </c>
      <c r="C1533" t="s">
        <v>7601</v>
      </c>
      <c r="G1533" t="s">
        <v>2224</v>
      </c>
      <c r="H1533" t="s">
        <v>2312</v>
      </c>
      <c r="J1533" t="s">
        <v>2226</v>
      </c>
      <c r="K1533" t="s">
        <v>171</v>
      </c>
      <c r="L1533" t="s">
        <v>72</v>
      </c>
      <c r="M1533" t="s">
        <v>73</v>
      </c>
      <c r="R1533" t="s">
        <v>7602</v>
      </c>
      <c r="S1533" t="s">
        <v>7603</v>
      </c>
      <c r="T1533" t="s">
        <v>1192</v>
      </c>
      <c r="U1533" t="s">
        <v>1186</v>
      </c>
      <c r="V1533" t="str">
        <f>"30039"</f>
        <v>30039</v>
      </c>
      <c r="AC1533" t="s">
        <v>76</v>
      </c>
      <c r="AD1533" t="s">
        <v>73</v>
      </c>
      <c r="AE1533" t="s">
        <v>97</v>
      </c>
      <c r="AF1533" t="s">
        <v>2234</v>
      </c>
      <c r="AG1533" t="s">
        <v>78</v>
      </c>
    </row>
    <row r="1534" spans="1:33" hidden="1" x14ac:dyDescent="0.25">
      <c r="A1534" t="str">
        <f>"1598101016"</f>
        <v>1598101016</v>
      </c>
      <c r="C1534" t="s">
        <v>7604</v>
      </c>
      <c r="G1534" t="s">
        <v>2224</v>
      </c>
      <c r="H1534" t="s">
        <v>2312</v>
      </c>
      <c r="J1534" t="s">
        <v>2226</v>
      </c>
      <c r="K1534" t="s">
        <v>171</v>
      </c>
      <c r="L1534" t="s">
        <v>96</v>
      </c>
      <c r="M1534" t="s">
        <v>73</v>
      </c>
      <c r="R1534" t="s">
        <v>7605</v>
      </c>
      <c r="S1534" t="s">
        <v>147</v>
      </c>
      <c r="T1534" t="s">
        <v>138</v>
      </c>
      <c r="U1534" t="s">
        <v>74</v>
      </c>
      <c r="V1534" t="str">
        <f>"103053436"</f>
        <v>103053436</v>
      </c>
      <c r="AC1534" t="s">
        <v>76</v>
      </c>
      <c r="AD1534" t="s">
        <v>73</v>
      </c>
      <c r="AE1534" t="s">
        <v>97</v>
      </c>
      <c r="AF1534" t="s">
        <v>2234</v>
      </c>
      <c r="AG1534" t="s">
        <v>78</v>
      </c>
    </row>
    <row r="1535" spans="1:33" hidden="1" x14ac:dyDescent="0.25">
      <c r="A1535" t="str">
        <f>"1962827162"</f>
        <v>1962827162</v>
      </c>
      <c r="C1535" t="s">
        <v>7606</v>
      </c>
      <c r="G1535" t="s">
        <v>2224</v>
      </c>
      <c r="H1535" t="s">
        <v>2312</v>
      </c>
      <c r="J1535" t="s">
        <v>2226</v>
      </c>
      <c r="K1535" t="s">
        <v>171</v>
      </c>
      <c r="L1535" t="s">
        <v>96</v>
      </c>
      <c r="M1535" t="s">
        <v>73</v>
      </c>
      <c r="R1535" t="s">
        <v>7607</v>
      </c>
      <c r="S1535" t="s">
        <v>491</v>
      </c>
      <c r="T1535" t="s">
        <v>215</v>
      </c>
      <c r="U1535" t="s">
        <v>74</v>
      </c>
      <c r="V1535" t="str">
        <f>"108015502"</f>
        <v>108015502</v>
      </c>
      <c r="AC1535" t="s">
        <v>76</v>
      </c>
      <c r="AD1535" t="s">
        <v>73</v>
      </c>
      <c r="AE1535" t="s">
        <v>97</v>
      </c>
      <c r="AF1535" t="s">
        <v>2228</v>
      </c>
      <c r="AG1535" t="s">
        <v>78</v>
      </c>
    </row>
    <row r="1536" spans="1:33" hidden="1" x14ac:dyDescent="0.25">
      <c r="A1536" t="str">
        <f>"1346508827"</f>
        <v>1346508827</v>
      </c>
      <c r="C1536" t="s">
        <v>7608</v>
      </c>
      <c r="G1536" t="s">
        <v>2224</v>
      </c>
      <c r="H1536" t="s">
        <v>2312</v>
      </c>
      <c r="J1536" t="s">
        <v>2226</v>
      </c>
      <c r="K1536" t="s">
        <v>171</v>
      </c>
      <c r="L1536" t="s">
        <v>96</v>
      </c>
      <c r="M1536" t="s">
        <v>73</v>
      </c>
      <c r="R1536" t="s">
        <v>7609</v>
      </c>
      <c r="S1536" t="s">
        <v>7610</v>
      </c>
      <c r="T1536" t="s">
        <v>567</v>
      </c>
      <c r="U1536" t="s">
        <v>111</v>
      </c>
      <c r="V1536" t="str">
        <f>"021183451"</f>
        <v>021183451</v>
      </c>
      <c r="AC1536" t="s">
        <v>76</v>
      </c>
      <c r="AD1536" t="s">
        <v>73</v>
      </c>
      <c r="AE1536" t="s">
        <v>97</v>
      </c>
      <c r="AF1536" t="s">
        <v>2228</v>
      </c>
      <c r="AG1536" t="s">
        <v>78</v>
      </c>
    </row>
    <row r="1537" spans="1:33" hidden="1" x14ac:dyDescent="0.25">
      <c r="A1537" t="str">
        <f>"1043469729"</f>
        <v>1043469729</v>
      </c>
      <c r="C1537" t="s">
        <v>7611</v>
      </c>
      <c r="G1537" t="s">
        <v>2224</v>
      </c>
      <c r="H1537" t="s">
        <v>2312</v>
      </c>
      <c r="J1537" t="s">
        <v>2226</v>
      </c>
      <c r="K1537" t="s">
        <v>171</v>
      </c>
      <c r="L1537" t="s">
        <v>96</v>
      </c>
      <c r="M1537" t="s">
        <v>73</v>
      </c>
      <c r="R1537" t="s">
        <v>7612</v>
      </c>
      <c r="S1537" t="s">
        <v>1494</v>
      </c>
      <c r="T1537" t="s">
        <v>1495</v>
      </c>
      <c r="U1537" t="s">
        <v>1185</v>
      </c>
      <c r="V1537" t="str">
        <f>"537920001"</f>
        <v>537920001</v>
      </c>
      <c r="AC1537" t="s">
        <v>76</v>
      </c>
      <c r="AD1537" t="s">
        <v>73</v>
      </c>
      <c r="AE1537" t="s">
        <v>97</v>
      </c>
      <c r="AF1537" t="s">
        <v>2234</v>
      </c>
      <c r="AG1537" t="s">
        <v>78</v>
      </c>
    </row>
    <row r="1538" spans="1:33" hidden="1" x14ac:dyDescent="0.25">
      <c r="A1538" t="str">
        <f>"1023323573"</f>
        <v>1023323573</v>
      </c>
      <c r="C1538" t="s">
        <v>7613</v>
      </c>
      <c r="G1538" t="s">
        <v>2224</v>
      </c>
      <c r="H1538" t="s">
        <v>2312</v>
      </c>
      <c r="J1538" t="s">
        <v>2226</v>
      </c>
      <c r="K1538" t="s">
        <v>171</v>
      </c>
      <c r="L1538" t="s">
        <v>96</v>
      </c>
      <c r="M1538" t="s">
        <v>73</v>
      </c>
      <c r="R1538" t="s">
        <v>7614</v>
      </c>
      <c r="S1538" t="s">
        <v>7615</v>
      </c>
      <c r="T1538" t="s">
        <v>91</v>
      </c>
      <c r="U1538" t="s">
        <v>74</v>
      </c>
      <c r="V1538" t="str">
        <f>"100256825"</f>
        <v>100256825</v>
      </c>
      <c r="AC1538" t="s">
        <v>76</v>
      </c>
      <c r="AD1538" t="s">
        <v>73</v>
      </c>
      <c r="AE1538" t="s">
        <v>97</v>
      </c>
      <c r="AF1538" t="s">
        <v>2234</v>
      </c>
      <c r="AG1538" t="s">
        <v>78</v>
      </c>
    </row>
    <row r="1539" spans="1:33" hidden="1" x14ac:dyDescent="0.25">
      <c r="A1539" t="str">
        <f>"1558551911"</f>
        <v>1558551911</v>
      </c>
      <c r="C1539" t="s">
        <v>7616</v>
      </c>
      <c r="G1539" t="s">
        <v>2224</v>
      </c>
      <c r="H1539" t="s">
        <v>2312</v>
      </c>
      <c r="J1539" t="s">
        <v>2226</v>
      </c>
      <c r="K1539" t="s">
        <v>171</v>
      </c>
      <c r="L1539" t="s">
        <v>96</v>
      </c>
      <c r="M1539" t="s">
        <v>73</v>
      </c>
      <c r="R1539" t="s">
        <v>7617</v>
      </c>
      <c r="S1539" t="s">
        <v>7618</v>
      </c>
      <c r="T1539" t="s">
        <v>185</v>
      </c>
      <c r="U1539" t="s">
        <v>74</v>
      </c>
      <c r="V1539" t="str">
        <f>"111064833"</f>
        <v>111064833</v>
      </c>
      <c r="AC1539" t="s">
        <v>76</v>
      </c>
      <c r="AD1539" t="s">
        <v>73</v>
      </c>
      <c r="AE1539" t="s">
        <v>97</v>
      </c>
      <c r="AF1539" t="s">
        <v>2228</v>
      </c>
      <c r="AG1539" t="s">
        <v>78</v>
      </c>
    </row>
    <row r="1540" spans="1:33" hidden="1" x14ac:dyDescent="0.25">
      <c r="A1540" t="str">
        <f>"1720426562"</f>
        <v>1720426562</v>
      </c>
      <c r="C1540" t="s">
        <v>7619</v>
      </c>
      <c r="G1540" t="s">
        <v>2224</v>
      </c>
      <c r="H1540" t="s">
        <v>2312</v>
      </c>
      <c r="J1540" t="s">
        <v>2226</v>
      </c>
      <c r="K1540" t="s">
        <v>171</v>
      </c>
      <c r="L1540" t="s">
        <v>96</v>
      </c>
      <c r="M1540" t="s">
        <v>73</v>
      </c>
      <c r="R1540" t="s">
        <v>7620</v>
      </c>
      <c r="S1540" t="s">
        <v>7621</v>
      </c>
      <c r="T1540" t="s">
        <v>1715</v>
      </c>
      <c r="U1540" t="s">
        <v>111</v>
      </c>
      <c r="V1540" t="str">
        <f>"021303735"</f>
        <v>021303735</v>
      </c>
      <c r="AC1540" t="s">
        <v>76</v>
      </c>
      <c r="AD1540" t="s">
        <v>73</v>
      </c>
      <c r="AE1540" t="s">
        <v>97</v>
      </c>
      <c r="AF1540" t="s">
        <v>2228</v>
      </c>
      <c r="AG1540" t="s">
        <v>78</v>
      </c>
    </row>
    <row r="1541" spans="1:33" hidden="1" x14ac:dyDescent="0.25">
      <c r="A1541" t="str">
        <f>"1427491083"</f>
        <v>1427491083</v>
      </c>
      <c r="C1541" t="s">
        <v>7622</v>
      </c>
      <c r="G1541" t="s">
        <v>2224</v>
      </c>
      <c r="H1541" t="s">
        <v>2312</v>
      </c>
      <c r="J1541" t="s">
        <v>2226</v>
      </c>
      <c r="K1541" t="s">
        <v>171</v>
      </c>
      <c r="L1541" t="s">
        <v>96</v>
      </c>
      <c r="M1541" t="s">
        <v>73</v>
      </c>
      <c r="R1541" t="s">
        <v>7623</v>
      </c>
      <c r="S1541" t="s">
        <v>124</v>
      </c>
      <c r="T1541" t="s">
        <v>125</v>
      </c>
      <c r="U1541" t="s">
        <v>74</v>
      </c>
      <c r="V1541" t="str">
        <f>"113555045"</f>
        <v>113555045</v>
      </c>
      <c r="AC1541" t="s">
        <v>76</v>
      </c>
      <c r="AD1541" t="s">
        <v>73</v>
      </c>
      <c r="AE1541" t="s">
        <v>97</v>
      </c>
      <c r="AF1541" t="s">
        <v>2228</v>
      </c>
      <c r="AG1541" t="s">
        <v>78</v>
      </c>
    </row>
    <row r="1542" spans="1:33" hidden="1" x14ac:dyDescent="0.25">
      <c r="A1542" t="str">
        <f>"1073855318"</f>
        <v>1073855318</v>
      </c>
      <c r="C1542" t="s">
        <v>7624</v>
      </c>
      <c r="G1542" t="s">
        <v>2224</v>
      </c>
      <c r="H1542" t="s">
        <v>2312</v>
      </c>
      <c r="J1542" t="s">
        <v>2226</v>
      </c>
      <c r="K1542" t="s">
        <v>171</v>
      </c>
      <c r="L1542" t="s">
        <v>96</v>
      </c>
      <c r="M1542" t="s">
        <v>73</v>
      </c>
      <c r="R1542" t="s">
        <v>1459</v>
      </c>
      <c r="S1542" t="s">
        <v>7625</v>
      </c>
      <c r="T1542" t="s">
        <v>520</v>
      </c>
      <c r="U1542" t="s">
        <v>209</v>
      </c>
      <c r="V1542" t="str">
        <f>"606575147"</f>
        <v>606575147</v>
      </c>
      <c r="AC1542" t="s">
        <v>76</v>
      </c>
      <c r="AD1542" t="s">
        <v>73</v>
      </c>
      <c r="AE1542" t="s">
        <v>97</v>
      </c>
      <c r="AF1542" t="s">
        <v>2228</v>
      </c>
      <c r="AG1542" t="s">
        <v>78</v>
      </c>
    </row>
    <row r="1543" spans="1:33" hidden="1" x14ac:dyDescent="0.25">
      <c r="A1543" t="str">
        <f>"1245523299"</f>
        <v>1245523299</v>
      </c>
      <c r="C1543" t="s">
        <v>7626</v>
      </c>
      <c r="G1543" t="s">
        <v>2224</v>
      </c>
      <c r="H1543" t="s">
        <v>2312</v>
      </c>
      <c r="J1543" t="s">
        <v>2226</v>
      </c>
      <c r="K1543" t="s">
        <v>171</v>
      </c>
      <c r="L1543" t="s">
        <v>96</v>
      </c>
      <c r="M1543" t="s">
        <v>73</v>
      </c>
      <c r="R1543" t="s">
        <v>7627</v>
      </c>
      <c r="S1543" t="s">
        <v>7628</v>
      </c>
      <c r="T1543" t="s">
        <v>91</v>
      </c>
      <c r="U1543" t="s">
        <v>74</v>
      </c>
      <c r="V1543" t="str">
        <f>"100323720"</f>
        <v>100323720</v>
      </c>
      <c r="AC1543" t="s">
        <v>76</v>
      </c>
      <c r="AD1543" t="s">
        <v>73</v>
      </c>
      <c r="AE1543" t="s">
        <v>97</v>
      </c>
      <c r="AF1543" t="s">
        <v>2228</v>
      </c>
      <c r="AG1543" t="s">
        <v>78</v>
      </c>
    </row>
    <row r="1544" spans="1:33" hidden="1" x14ac:dyDescent="0.25">
      <c r="A1544" t="str">
        <f>"1790820744"</f>
        <v>1790820744</v>
      </c>
      <c r="B1544" t="str">
        <f>"03339993"</f>
        <v>03339993</v>
      </c>
      <c r="C1544" t="s">
        <v>7629</v>
      </c>
      <c r="D1544" t="s">
        <v>7630</v>
      </c>
      <c r="E1544" t="s">
        <v>7631</v>
      </c>
      <c r="G1544" t="s">
        <v>2224</v>
      </c>
      <c r="H1544" t="s">
        <v>2225</v>
      </c>
      <c r="J1544" t="s">
        <v>2226</v>
      </c>
      <c r="L1544" t="s">
        <v>80</v>
      </c>
      <c r="M1544" t="s">
        <v>73</v>
      </c>
      <c r="R1544" t="s">
        <v>7632</v>
      </c>
      <c r="W1544" t="s">
        <v>7633</v>
      </c>
      <c r="X1544" t="s">
        <v>167</v>
      </c>
      <c r="Y1544" t="s">
        <v>91</v>
      </c>
      <c r="Z1544" t="s">
        <v>74</v>
      </c>
      <c r="AA1544" t="str">
        <f>"10032-3720"</f>
        <v>10032-3720</v>
      </c>
      <c r="AB1544" t="s">
        <v>75</v>
      </c>
      <c r="AC1544" t="s">
        <v>76</v>
      </c>
      <c r="AD1544" t="s">
        <v>73</v>
      </c>
      <c r="AE1544" t="s">
        <v>77</v>
      </c>
      <c r="AF1544" t="s">
        <v>2228</v>
      </c>
      <c r="AG1544" t="s">
        <v>78</v>
      </c>
    </row>
    <row r="1545" spans="1:33" hidden="1" x14ac:dyDescent="0.25">
      <c r="A1545" t="str">
        <f>"1790865012"</f>
        <v>1790865012</v>
      </c>
      <c r="B1545" t="str">
        <f>"00760334"</f>
        <v>00760334</v>
      </c>
      <c r="C1545" t="s">
        <v>7634</v>
      </c>
      <c r="D1545" t="s">
        <v>7635</v>
      </c>
      <c r="E1545" t="s">
        <v>7636</v>
      </c>
      <c r="G1545" t="s">
        <v>2224</v>
      </c>
      <c r="H1545" t="s">
        <v>2225</v>
      </c>
      <c r="J1545" t="s">
        <v>2226</v>
      </c>
      <c r="L1545" t="s">
        <v>72</v>
      </c>
      <c r="M1545" t="s">
        <v>73</v>
      </c>
      <c r="R1545" t="s">
        <v>7637</v>
      </c>
      <c r="W1545" t="s">
        <v>7636</v>
      </c>
      <c r="X1545" t="s">
        <v>354</v>
      </c>
      <c r="Y1545" t="s">
        <v>91</v>
      </c>
      <c r="Z1545" t="s">
        <v>74</v>
      </c>
      <c r="AA1545" t="str">
        <f>"10032-3725"</f>
        <v>10032-3725</v>
      </c>
      <c r="AB1545" t="s">
        <v>75</v>
      </c>
      <c r="AC1545" t="s">
        <v>76</v>
      </c>
      <c r="AD1545" t="s">
        <v>73</v>
      </c>
      <c r="AE1545" t="s">
        <v>77</v>
      </c>
      <c r="AF1545" t="s">
        <v>2228</v>
      </c>
      <c r="AG1545" t="s">
        <v>78</v>
      </c>
    </row>
    <row r="1546" spans="1:33" hidden="1" x14ac:dyDescent="0.25">
      <c r="A1546" t="str">
        <f>"1366598740"</f>
        <v>1366598740</v>
      </c>
      <c r="B1546" t="str">
        <f>"02862040"</f>
        <v>02862040</v>
      </c>
      <c r="C1546" t="s">
        <v>7638</v>
      </c>
      <c r="D1546" t="s">
        <v>7639</v>
      </c>
      <c r="E1546" t="s">
        <v>910</v>
      </c>
      <c r="G1546" t="s">
        <v>2224</v>
      </c>
      <c r="H1546" t="s">
        <v>2225</v>
      </c>
      <c r="J1546" t="s">
        <v>2226</v>
      </c>
      <c r="L1546" t="s">
        <v>72</v>
      </c>
      <c r="M1546" t="s">
        <v>73</v>
      </c>
      <c r="R1546" t="s">
        <v>7640</v>
      </c>
      <c r="W1546" t="s">
        <v>1965</v>
      </c>
      <c r="X1546" t="s">
        <v>252</v>
      </c>
      <c r="Y1546" t="s">
        <v>91</v>
      </c>
      <c r="Z1546" t="s">
        <v>74</v>
      </c>
      <c r="AA1546" t="str">
        <f>"10002-7537"</f>
        <v>10002-7537</v>
      </c>
      <c r="AB1546" t="s">
        <v>104</v>
      </c>
      <c r="AC1546" t="s">
        <v>76</v>
      </c>
      <c r="AD1546" t="s">
        <v>73</v>
      </c>
      <c r="AE1546" t="s">
        <v>77</v>
      </c>
      <c r="AF1546" t="s">
        <v>2234</v>
      </c>
      <c r="AG1546" t="s">
        <v>78</v>
      </c>
    </row>
    <row r="1547" spans="1:33" hidden="1" x14ac:dyDescent="0.25">
      <c r="A1547" t="str">
        <f>"1366598914"</f>
        <v>1366598914</v>
      </c>
      <c r="B1547" t="str">
        <f>"03174729"</f>
        <v>03174729</v>
      </c>
      <c r="C1547" t="s">
        <v>7641</v>
      </c>
      <c r="D1547" t="s">
        <v>7642</v>
      </c>
      <c r="E1547" t="s">
        <v>7643</v>
      </c>
      <c r="G1547" t="s">
        <v>2224</v>
      </c>
      <c r="H1547" t="s">
        <v>2225</v>
      </c>
      <c r="J1547" t="s">
        <v>2226</v>
      </c>
      <c r="L1547" t="s">
        <v>72</v>
      </c>
      <c r="M1547" t="s">
        <v>73</v>
      </c>
      <c r="R1547" t="s">
        <v>7644</v>
      </c>
      <c r="W1547" t="s">
        <v>7645</v>
      </c>
      <c r="X1547" t="s">
        <v>5788</v>
      </c>
      <c r="Y1547" t="s">
        <v>91</v>
      </c>
      <c r="Z1547" t="s">
        <v>74</v>
      </c>
      <c r="AA1547" t="str">
        <f>"10032-1559"</f>
        <v>10032-1559</v>
      </c>
      <c r="AB1547" t="s">
        <v>113</v>
      </c>
      <c r="AC1547" t="s">
        <v>76</v>
      </c>
      <c r="AD1547" t="s">
        <v>73</v>
      </c>
      <c r="AE1547" t="s">
        <v>77</v>
      </c>
      <c r="AF1547" t="s">
        <v>2254</v>
      </c>
      <c r="AG1547" t="s">
        <v>78</v>
      </c>
    </row>
    <row r="1548" spans="1:33" hidden="1" x14ac:dyDescent="0.25">
      <c r="A1548" t="str">
        <f>"1023213477"</f>
        <v>1023213477</v>
      </c>
      <c r="B1548" t="str">
        <f>"03039989"</f>
        <v>03039989</v>
      </c>
      <c r="C1548" t="s">
        <v>7646</v>
      </c>
      <c r="D1548" t="s">
        <v>7647</v>
      </c>
      <c r="E1548" t="s">
        <v>7648</v>
      </c>
      <c r="G1548" t="s">
        <v>2224</v>
      </c>
      <c r="H1548" t="s">
        <v>2225</v>
      </c>
      <c r="J1548" t="s">
        <v>2226</v>
      </c>
      <c r="L1548" t="s">
        <v>100</v>
      </c>
      <c r="M1548" t="s">
        <v>73</v>
      </c>
      <c r="R1548" t="s">
        <v>7649</v>
      </c>
      <c r="W1548" t="s">
        <v>7648</v>
      </c>
      <c r="X1548" t="s">
        <v>4560</v>
      </c>
      <c r="Y1548" t="s">
        <v>91</v>
      </c>
      <c r="Z1548" t="s">
        <v>74</v>
      </c>
      <c r="AA1548" t="str">
        <f>"10065-4870"</f>
        <v>10065-4870</v>
      </c>
      <c r="AB1548" t="s">
        <v>75</v>
      </c>
      <c r="AC1548" t="s">
        <v>76</v>
      </c>
      <c r="AD1548" t="s">
        <v>73</v>
      </c>
      <c r="AE1548" t="s">
        <v>77</v>
      </c>
      <c r="AF1548" t="s">
        <v>2242</v>
      </c>
      <c r="AG1548" t="s">
        <v>78</v>
      </c>
    </row>
    <row r="1549" spans="1:33" hidden="1" x14ac:dyDescent="0.25">
      <c r="A1549" t="str">
        <f>"1023220498"</f>
        <v>1023220498</v>
      </c>
      <c r="B1549" t="str">
        <f>"03087390"</f>
        <v>03087390</v>
      </c>
      <c r="C1549" t="s">
        <v>7650</v>
      </c>
      <c r="D1549" t="s">
        <v>7651</v>
      </c>
      <c r="E1549" t="s">
        <v>7652</v>
      </c>
      <c r="G1549" t="s">
        <v>2224</v>
      </c>
      <c r="H1549" t="s">
        <v>2225</v>
      </c>
      <c r="J1549" t="s">
        <v>2226</v>
      </c>
      <c r="L1549" t="s">
        <v>72</v>
      </c>
      <c r="M1549" t="s">
        <v>73</v>
      </c>
      <c r="R1549" t="s">
        <v>7653</v>
      </c>
      <c r="W1549" t="s">
        <v>7652</v>
      </c>
      <c r="X1549" t="s">
        <v>7654</v>
      </c>
      <c r="Y1549" t="s">
        <v>91</v>
      </c>
      <c r="Z1549" t="s">
        <v>74</v>
      </c>
      <c r="AA1549" t="str">
        <f>"10032-0000"</f>
        <v>10032-0000</v>
      </c>
      <c r="AB1549" t="s">
        <v>75</v>
      </c>
      <c r="AC1549" t="s">
        <v>76</v>
      </c>
      <c r="AD1549" t="s">
        <v>73</v>
      </c>
      <c r="AE1549" t="s">
        <v>77</v>
      </c>
      <c r="AF1549" t="s">
        <v>2228</v>
      </c>
      <c r="AG1549" t="s">
        <v>78</v>
      </c>
    </row>
    <row r="1550" spans="1:33" hidden="1" x14ac:dyDescent="0.25">
      <c r="A1550" t="str">
        <f>"1548357635"</f>
        <v>1548357635</v>
      </c>
      <c r="B1550" t="str">
        <f>"01601481"</f>
        <v>01601481</v>
      </c>
      <c r="C1550" t="s">
        <v>7655</v>
      </c>
      <c r="D1550" t="s">
        <v>7656</v>
      </c>
      <c r="E1550" t="s">
        <v>7657</v>
      </c>
      <c r="G1550" t="s">
        <v>2224</v>
      </c>
      <c r="H1550" t="s">
        <v>2225</v>
      </c>
      <c r="J1550" t="s">
        <v>2226</v>
      </c>
      <c r="L1550" t="s">
        <v>88</v>
      </c>
      <c r="M1550" t="s">
        <v>73</v>
      </c>
      <c r="R1550" t="s">
        <v>7658</v>
      </c>
      <c r="W1550" t="s">
        <v>7657</v>
      </c>
      <c r="X1550" t="s">
        <v>7659</v>
      </c>
      <c r="Y1550" t="s">
        <v>84</v>
      </c>
      <c r="Z1550" t="s">
        <v>74</v>
      </c>
      <c r="AA1550" t="str">
        <f>"11201-3012"</f>
        <v>11201-3012</v>
      </c>
      <c r="AB1550" t="s">
        <v>75</v>
      </c>
      <c r="AC1550" t="s">
        <v>76</v>
      </c>
      <c r="AD1550" t="s">
        <v>73</v>
      </c>
      <c r="AE1550" t="s">
        <v>77</v>
      </c>
      <c r="AF1550" t="s">
        <v>2242</v>
      </c>
      <c r="AG1550" t="s">
        <v>78</v>
      </c>
    </row>
    <row r="1551" spans="1:33" hidden="1" x14ac:dyDescent="0.25">
      <c r="A1551" t="str">
        <f>"1548380884"</f>
        <v>1548380884</v>
      </c>
      <c r="B1551" t="str">
        <f>"01438971"</f>
        <v>01438971</v>
      </c>
      <c r="C1551" t="s">
        <v>7660</v>
      </c>
      <c r="D1551" t="s">
        <v>7661</v>
      </c>
      <c r="E1551" t="s">
        <v>7662</v>
      </c>
      <c r="G1551" t="s">
        <v>2224</v>
      </c>
      <c r="H1551" t="s">
        <v>2225</v>
      </c>
      <c r="J1551" t="s">
        <v>2226</v>
      </c>
      <c r="L1551" t="s">
        <v>88</v>
      </c>
      <c r="M1551" t="s">
        <v>82</v>
      </c>
      <c r="R1551" t="s">
        <v>7663</v>
      </c>
      <c r="W1551" t="s">
        <v>7662</v>
      </c>
      <c r="X1551" t="s">
        <v>559</v>
      </c>
      <c r="Y1551" t="s">
        <v>91</v>
      </c>
      <c r="Z1551" t="s">
        <v>74</v>
      </c>
      <c r="AA1551" t="str">
        <f>"10032-3725"</f>
        <v>10032-3725</v>
      </c>
      <c r="AB1551" t="s">
        <v>75</v>
      </c>
      <c r="AC1551" t="s">
        <v>76</v>
      </c>
      <c r="AD1551" t="s">
        <v>73</v>
      </c>
      <c r="AE1551" t="s">
        <v>77</v>
      </c>
      <c r="AF1551" t="s">
        <v>2254</v>
      </c>
      <c r="AG1551" t="s">
        <v>78</v>
      </c>
    </row>
    <row r="1552" spans="1:33" hidden="1" x14ac:dyDescent="0.25">
      <c r="A1552" t="str">
        <f>"1558414524"</f>
        <v>1558414524</v>
      </c>
      <c r="B1552" t="str">
        <f>"02914198"</f>
        <v>02914198</v>
      </c>
      <c r="C1552" t="s">
        <v>7664</v>
      </c>
      <c r="D1552" t="s">
        <v>7665</v>
      </c>
      <c r="E1552" t="s">
        <v>7666</v>
      </c>
      <c r="G1552" t="s">
        <v>2224</v>
      </c>
      <c r="H1552" t="s">
        <v>2225</v>
      </c>
      <c r="J1552" t="s">
        <v>2226</v>
      </c>
      <c r="L1552" t="s">
        <v>88</v>
      </c>
      <c r="M1552" t="s">
        <v>73</v>
      </c>
      <c r="R1552" t="s">
        <v>7667</v>
      </c>
      <c r="W1552" t="s">
        <v>7666</v>
      </c>
      <c r="X1552" t="s">
        <v>170</v>
      </c>
      <c r="Y1552" t="s">
        <v>91</v>
      </c>
      <c r="Z1552" t="s">
        <v>74</v>
      </c>
      <c r="AA1552" t="str">
        <f>"10065-4870"</f>
        <v>10065-4870</v>
      </c>
      <c r="AB1552" t="s">
        <v>75</v>
      </c>
      <c r="AC1552" t="s">
        <v>76</v>
      </c>
      <c r="AD1552" t="s">
        <v>73</v>
      </c>
      <c r="AE1552" t="s">
        <v>77</v>
      </c>
      <c r="AF1552" t="s">
        <v>2242</v>
      </c>
      <c r="AG1552" t="s">
        <v>78</v>
      </c>
    </row>
    <row r="1553" spans="1:33" hidden="1" x14ac:dyDescent="0.25">
      <c r="A1553" t="str">
        <f>"1164639142"</f>
        <v>1164639142</v>
      </c>
      <c r="B1553" t="str">
        <f>"03302590"</f>
        <v>03302590</v>
      </c>
      <c r="C1553" t="s">
        <v>7668</v>
      </c>
      <c r="D1553" t="s">
        <v>7669</v>
      </c>
      <c r="E1553" t="s">
        <v>7670</v>
      </c>
      <c r="G1553" t="s">
        <v>2224</v>
      </c>
      <c r="H1553" t="s">
        <v>2225</v>
      </c>
      <c r="J1553" t="s">
        <v>2226</v>
      </c>
      <c r="L1553" t="s">
        <v>72</v>
      </c>
      <c r="M1553" t="s">
        <v>82</v>
      </c>
      <c r="R1553" t="s">
        <v>7670</v>
      </c>
      <c r="W1553" t="s">
        <v>7671</v>
      </c>
      <c r="X1553" t="s">
        <v>7672</v>
      </c>
      <c r="Y1553" t="s">
        <v>91</v>
      </c>
      <c r="Z1553" t="s">
        <v>74</v>
      </c>
      <c r="AA1553" t="str">
        <f>"10033-5107"</f>
        <v>10033-5107</v>
      </c>
      <c r="AB1553" t="s">
        <v>75</v>
      </c>
      <c r="AC1553" t="s">
        <v>76</v>
      </c>
      <c r="AD1553" t="s">
        <v>73</v>
      </c>
      <c r="AE1553" t="s">
        <v>77</v>
      </c>
      <c r="AF1553" t="s">
        <v>2228</v>
      </c>
      <c r="AG1553" t="s">
        <v>78</v>
      </c>
    </row>
    <row r="1554" spans="1:33" hidden="1" x14ac:dyDescent="0.25">
      <c r="A1554" t="str">
        <f>"1164673349"</f>
        <v>1164673349</v>
      </c>
      <c r="B1554" t="str">
        <f>"03105548"</f>
        <v>03105548</v>
      </c>
      <c r="C1554" t="s">
        <v>7673</v>
      </c>
      <c r="D1554" t="s">
        <v>7674</v>
      </c>
      <c r="E1554" t="s">
        <v>7675</v>
      </c>
      <c r="G1554" t="s">
        <v>2224</v>
      </c>
      <c r="H1554" t="s">
        <v>2225</v>
      </c>
      <c r="J1554" t="s">
        <v>2226</v>
      </c>
      <c r="L1554" t="s">
        <v>80</v>
      </c>
      <c r="M1554" t="s">
        <v>73</v>
      </c>
      <c r="R1554" t="s">
        <v>7676</v>
      </c>
      <c r="W1554" t="s">
        <v>7675</v>
      </c>
      <c r="X1554" t="s">
        <v>167</v>
      </c>
      <c r="Y1554" t="s">
        <v>91</v>
      </c>
      <c r="Z1554" t="s">
        <v>74</v>
      </c>
      <c r="AA1554" t="str">
        <f>"10032-3720"</f>
        <v>10032-3720</v>
      </c>
      <c r="AB1554" t="s">
        <v>75</v>
      </c>
      <c r="AC1554" t="s">
        <v>76</v>
      </c>
      <c r="AD1554" t="s">
        <v>73</v>
      </c>
      <c r="AE1554" t="s">
        <v>77</v>
      </c>
      <c r="AF1554" t="s">
        <v>2254</v>
      </c>
      <c r="AG1554" t="s">
        <v>78</v>
      </c>
    </row>
    <row r="1555" spans="1:33" hidden="1" x14ac:dyDescent="0.25">
      <c r="A1555" t="str">
        <f>"1174549737"</f>
        <v>1174549737</v>
      </c>
      <c r="B1555" t="str">
        <f>"02177824"</f>
        <v>02177824</v>
      </c>
      <c r="C1555" t="s">
        <v>7677</v>
      </c>
      <c r="D1555" t="s">
        <v>7678</v>
      </c>
      <c r="E1555" t="s">
        <v>7679</v>
      </c>
      <c r="G1555" t="s">
        <v>2224</v>
      </c>
      <c r="H1555" t="s">
        <v>2225</v>
      </c>
      <c r="J1555" t="s">
        <v>2226</v>
      </c>
      <c r="L1555" t="s">
        <v>80</v>
      </c>
      <c r="M1555" t="s">
        <v>82</v>
      </c>
      <c r="R1555" t="s">
        <v>7680</v>
      </c>
      <c r="W1555" t="s">
        <v>7679</v>
      </c>
      <c r="X1555" t="s">
        <v>7681</v>
      </c>
      <c r="Y1555" t="s">
        <v>91</v>
      </c>
      <c r="Z1555" t="s">
        <v>74</v>
      </c>
      <c r="AA1555" t="str">
        <f>"10034-1199"</f>
        <v>10034-1199</v>
      </c>
      <c r="AB1555" t="s">
        <v>75</v>
      </c>
      <c r="AC1555" t="s">
        <v>76</v>
      </c>
      <c r="AD1555" t="s">
        <v>73</v>
      </c>
      <c r="AE1555" t="s">
        <v>77</v>
      </c>
      <c r="AF1555" t="s">
        <v>2228</v>
      </c>
      <c r="AG1555" t="s">
        <v>78</v>
      </c>
    </row>
    <row r="1556" spans="1:33" hidden="1" x14ac:dyDescent="0.25">
      <c r="A1556" t="str">
        <f>"1508860461"</f>
        <v>1508860461</v>
      </c>
      <c r="B1556" t="str">
        <f>"01749366"</f>
        <v>01749366</v>
      </c>
      <c r="C1556" t="s">
        <v>7682</v>
      </c>
      <c r="D1556" t="s">
        <v>2078</v>
      </c>
      <c r="E1556" t="s">
        <v>2079</v>
      </c>
      <c r="G1556" t="s">
        <v>2224</v>
      </c>
      <c r="H1556" t="s">
        <v>2225</v>
      </c>
      <c r="J1556" t="s">
        <v>2226</v>
      </c>
      <c r="L1556" t="s">
        <v>72</v>
      </c>
      <c r="M1556" t="s">
        <v>82</v>
      </c>
      <c r="R1556" t="s">
        <v>2080</v>
      </c>
      <c r="W1556" t="s">
        <v>2079</v>
      </c>
      <c r="X1556" t="s">
        <v>2081</v>
      </c>
      <c r="Y1556" t="s">
        <v>84</v>
      </c>
      <c r="Z1556" t="s">
        <v>74</v>
      </c>
      <c r="AA1556" t="str">
        <f>"11206-5317"</f>
        <v>11206-5317</v>
      </c>
      <c r="AB1556" t="s">
        <v>75</v>
      </c>
      <c r="AC1556" t="s">
        <v>76</v>
      </c>
      <c r="AD1556" t="s">
        <v>73</v>
      </c>
      <c r="AE1556" t="s">
        <v>77</v>
      </c>
      <c r="AF1556" t="s">
        <v>2254</v>
      </c>
      <c r="AG1556" t="s">
        <v>78</v>
      </c>
    </row>
    <row r="1557" spans="1:33" hidden="1" x14ac:dyDescent="0.25">
      <c r="A1557" t="str">
        <f>"1942323944"</f>
        <v>1942323944</v>
      </c>
      <c r="B1557" t="str">
        <f>"03390021"</f>
        <v>03390021</v>
      </c>
      <c r="C1557" t="s">
        <v>7683</v>
      </c>
      <c r="D1557" t="s">
        <v>7684</v>
      </c>
      <c r="E1557" t="s">
        <v>7685</v>
      </c>
      <c r="G1557" t="s">
        <v>2224</v>
      </c>
      <c r="H1557" t="s">
        <v>2225</v>
      </c>
      <c r="J1557" t="s">
        <v>2226</v>
      </c>
      <c r="L1557" t="s">
        <v>80</v>
      </c>
      <c r="M1557" t="s">
        <v>73</v>
      </c>
      <c r="R1557" t="s">
        <v>7686</v>
      </c>
      <c r="W1557" t="s">
        <v>7685</v>
      </c>
      <c r="X1557" t="s">
        <v>167</v>
      </c>
      <c r="Y1557" t="s">
        <v>91</v>
      </c>
      <c r="Z1557" t="s">
        <v>74</v>
      </c>
      <c r="AA1557" t="str">
        <f>"10032-3720"</f>
        <v>10032-3720</v>
      </c>
      <c r="AB1557" t="s">
        <v>75</v>
      </c>
      <c r="AC1557" t="s">
        <v>76</v>
      </c>
      <c r="AD1557" t="s">
        <v>73</v>
      </c>
      <c r="AE1557" t="s">
        <v>77</v>
      </c>
      <c r="AF1557" t="s">
        <v>2228</v>
      </c>
      <c r="AG1557" t="s">
        <v>78</v>
      </c>
    </row>
    <row r="1558" spans="1:33" hidden="1" x14ac:dyDescent="0.25">
      <c r="A1558" t="str">
        <f>"1023088952"</f>
        <v>1023088952</v>
      </c>
      <c r="B1558" t="str">
        <f>"01844908"</f>
        <v>01844908</v>
      </c>
      <c r="C1558" t="s">
        <v>7687</v>
      </c>
      <c r="D1558" t="s">
        <v>7688</v>
      </c>
      <c r="E1558" t="s">
        <v>7689</v>
      </c>
      <c r="G1558" t="s">
        <v>2224</v>
      </c>
      <c r="H1558" t="s">
        <v>2225</v>
      </c>
      <c r="J1558" t="s">
        <v>2226</v>
      </c>
      <c r="L1558" t="s">
        <v>81</v>
      </c>
      <c r="M1558" t="s">
        <v>73</v>
      </c>
      <c r="R1558" t="s">
        <v>7690</v>
      </c>
      <c r="W1558" t="s">
        <v>7689</v>
      </c>
      <c r="X1558" t="s">
        <v>1193</v>
      </c>
      <c r="Y1558" t="s">
        <v>317</v>
      </c>
      <c r="Z1558" t="s">
        <v>74</v>
      </c>
      <c r="AA1558" t="str">
        <f>"10960-1912"</f>
        <v>10960-1912</v>
      </c>
      <c r="AB1558" t="s">
        <v>75</v>
      </c>
      <c r="AC1558" t="s">
        <v>76</v>
      </c>
      <c r="AD1558" t="s">
        <v>73</v>
      </c>
      <c r="AE1558" t="s">
        <v>77</v>
      </c>
      <c r="AF1558" t="s">
        <v>2398</v>
      </c>
      <c r="AG1558" t="s">
        <v>78</v>
      </c>
    </row>
    <row r="1559" spans="1:33" hidden="1" x14ac:dyDescent="0.25">
      <c r="A1559" t="str">
        <f>"1063678332"</f>
        <v>1063678332</v>
      </c>
      <c r="B1559" t="str">
        <f>"03603505"</f>
        <v>03603505</v>
      </c>
      <c r="C1559" t="s">
        <v>7691</v>
      </c>
      <c r="D1559" t="s">
        <v>7692</v>
      </c>
      <c r="E1559" t="s">
        <v>7693</v>
      </c>
      <c r="G1559" t="s">
        <v>2224</v>
      </c>
      <c r="H1559" t="s">
        <v>2225</v>
      </c>
      <c r="J1559" t="s">
        <v>2226</v>
      </c>
      <c r="L1559" t="s">
        <v>80</v>
      </c>
      <c r="M1559" t="s">
        <v>73</v>
      </c>
      <c r="R1559" t="s">
        <v>7693</v>
      </c>
      <c r="W1559" t="s">
        <v>7693</v>
      </c>
      <c r="X1559" t="s">
        <v>7694</v>
      </c>
      <c r="Y1559" t="s">
        <v>91</v>
      </c>
      <c r="Z1559" t="s">
        <v>74</v>
      </c>
      <c r="AA1559" t="str">
        <f>"10032-4724"</f>
        <v>10032-4724</v>
      </c>
      <c r="AB1559" t="s">
        <v>75</v>
      </c>
      <c r="AC1559" t="s">
        <v>76</v>
      </c>
      <c r="AD1559" t="s">
        <v>73</v>
      </c>
      <c r="AE1559" t="s">
        <v>77</v>
      </c>
      <c r="AF1559" t="s">
        <v>2254</v>
      </c>
      <c r="AG1559" t="s">
        <v>78</v>
      </c>
    </row>
    <row r="1560" spans="1:33" hidden="1" x14ac:dyDescent="0.25">
      <c r="A1560" t="str">
        <f>"1073536405"</f>
        <v>1073536405</v>
      </c>
      <c r="B1560" t="str">
        <f>"00433647"</f>
        <v>00433647</v>
      </c>
      <c r="C1560" t="s">
        <v>7695</v>
      </c>
      <c r="D1560" t="s">
        <v>7696</v>
      </c>
      <c r="E1560" t="s">
        <v>7697</v>
      </c>
      <c r="G1560" t="s">
        <v>2224</v>
      </c>
      <c r="H1560" t="s">
        <v>2225</v>
      </c>
      <c r="J1560" t="s">
        <v>2226</v>
      </c>
      <c r="L1560" t="s">
        <v>80</v>
      </c>
      <c r="M1560" t="s">
        <v>73</v>
      </c>
      <c r="R1560" t="s">
        <v>7698</v>
      </c>
      <c r="W1560" t="s">
        <v>7697</v>
      </c>
      <c r="Y1560" t="s">
        <v>91</v>
      </c>
      <c r="Z1560" t="s">
        <v>74</v>
      </c>
      <c r="AA1560" t="str">
        <f>"10032-3720"</f>
        <v>10032-3720</v>
      </c>
      <c r="AB1560" t="s">
        <v>75</v>
      </c>
      <c r="AC1560" t="s">
        <v>76</v>
      </c>
      <c r="AD1560" t="s">
        <v>73</v>
      </c>
      <c r="AE1560" t="s">
        <v>77</v>
      </c>
      <c r="AF1560" t="s">
        <v>2228</v>
      </c>
      <c r="AG1560" t="s">
        <v>78</v>
      </c>
    </row>
    <row r="1561" spans="1:33" hidden="1" x14ac:dyDescent="0.25">
      <c r="A1561" t="str">
        <f>"1073543567"</f>
        <v>1073543567</v>
      </c>
      <c r="B1561" t="str">
        <f>"00416642"</f>
        <v>00416642</v>
      </c>
      <c r="C1561" t="s">
        <v>7699</v>
      </c>
      <c r="D1561" t="s">
        <v>7700</v>
      </c>
      <c r="E1561" t="s">
        <v>7701</v>
      </c>
      <c r="G1561" t="s">
        <v>2224</v>
      </c>
      <c r="H1561" t="s">
        <v>2225</v>
      </c>
      <c r="J1561" t="s">
        <v>2226</v>
      </c>
      <c r="L1561" t="s">
        <v>72</v>
      </c>
      <c r="M1561" t="s">
        <v>73</v>
      </c>
      <c r="R1561" t="s">
        <v>7702</v>
      </c>
      <c r="W1561" t="s">
        <v>7701</v>
      </c>
      <c r="X1561" t="s">
        <v>7703</v>
      </c>
      <c r="Y1561" t="s">
        <v>177</v>
      </c>
      <c r="Z1561" t="s">
        <v>74</v>
      </c>
      <c r="AA1561" t="str">
        <f>"11784-1955"</f>
        <v>11784-1955</v>
      </c>
      <c r="AB1561" t="s">
        <v>75</v>
      </c>
      <c r="AC1561" t="s">
        <v>76</v>
      </c>
      <c r="AD1561" t="s">
        <v>73</v>
      </c>
      <c r="AE1561" t="s">
        <v>77</v>
      </c>
      <c r="AF1561" t="s">
        <v>2228</v>
      </c>
      <c r="AG1561" t="s">
        <v>78</v>
      </c>
    </row>
    <row r="1562" spans="1:33" hidden="1" x14ac:dyDescent="0.25">
      <c r="A1562" t="str">
        <f>"1245201078"</f>
        <v>1245201078</v>
      </c>
      <c r="B1562" t="str">
        <f>"01115580"</f>
        <v>01115580</v>
      </c>
      <c r="C1562" t="s">
        <v>7704</v>
      </c>
      <c r="D1562" t="s">
        <v>7705</v>
      </c>
      <c r="E1562" t="s">
        <v>7706</v>
      </c>
      <c r="G1562" t="s">
        <v>2224</v>
      </c>
      <c r="H1562" t="s">
        <v>2225</v>
      </c>
      <c r="J1562" t="s">
        <v>2226</v>
      </c>
      <c r="L1562" t="s">
        <v>80</v>
      </c>
      <c r="M1562" t="s">
        <v>73</v>
      </c>
      <c r="R1562" t="s">
        <v>7707</v>
      </c>
      <c r="W1562" t="s">
        <v>7706</v>
      </c>
      <c r="Y1562" t="s">
        <v>91</v>
      </c>
      <c r="Z1562" t="s">
        <v>74</v>
      </c>
      <c r="AA1562" t="str">
        <f>"10032-3724"</f>
        <v>10032-3724</v>
      </c>
      <c r="AB1562" t="s">
        <v>75</v>
      </c>
      <c r="AC1562" t="s">
        <v>76</v>
      </c>
      <c r="AD1562" t="s">
        <v>73</v>
      </c>
      <c r="AE1562" t="s">
        <v>77</v>
      </c>
      <c r="AF1562" t="s">
        <v>2228</v>
      </c>
      <c r="AG1562" t="s">
        <v>78</v>
      </c>
    </row>
    <row r="1563" spans="1:33" hidden="1" x14ac:dyDescent="0.25">
      <c r="A1563" t="str">
        <f>"1295703312"</f>
        <v>1295703312</v>
      </c>
      <c r="B1563" t="str">
        <f>"00937926"</f>
        <v>00937926</v>
      </c>
      <c r="C1563" t="s">
        <v>7708</v>
      </c>
      <c r="D1563" t="s">
        <v>7709</v>
      </c>
      <c r="E1563" t="s">
        <v>7710</v>
      </c>
      <c r="G1563" t="s">
        <v>2224</v>
      </c>
      <c r="H1563" t="s">
        <v>2225</v>
      </c>
      <c r="J1563" t="s">
        <v>2226</v>
      </c>
      <c r="L1563" t="s">
        <v>72</v>
      </c>
      <c r="M1563" t="s">
        <v>73</v>
      </c>
      <c r="R1563" t="s">
        <v>7711</v>
      </c>
      <c r="W1563" t="s">
        <v>7710</v>
      </c>
      <c r="X1563" t="s">
        <v>7712</v>
      </c>
      <c r="Y1563" t="s">
        <v>1256</v>
      </c>
      <c r="Z1563" t="s">
        <v>139</v>
      </c>
      <c r="AA1563" t="str">
        <f>"07631-2533"</f>
        <v>07631-2533</v>
      </c>
      <c r="AB1563" t="s">
        <v>75</v>
      </c>
      <c r="AC1563" t="s">
        <v>76</v>
      </c>
      <c r="AD1563" t="s">
        <v>73</v>
      </c>
      <c r="AE1563" t="s">
        <v>77</v>
      </c>
      <c r="AF1563" t="s">
        <v>2234</v>
      </c>
      <c r="AG1563" t="s">
        <v>78</v>
      </c>
    </row>
    <row r="1564" spans="1:33" hidden="1" x14ac:dyDescent="0.25">
      <c r="A1564" t="str">
        <f>"1295707461"</f>
        <v>1295707461</v>
      </c>
      <c r="B1564" t="str">
        <f>"02337346"</f>
        <v>02337346</v>
      </c>
      <c r="C1564" t="s">
        <v>7713</v>
      </c>
      <c r="D1564" t="s">
        <v>7714</v>
      </c>
      <c r="E1564" t="s">
        <v>7715</v>
      </c>
      <c r="G1564" t="s">
        <v>2224</v>
      </c>
      <c r="H1564" t="s">
        <v>2225</v>
      </c>
      <c r="J1564" t="s">
        <v>2226</v>
      </c>
      <c r="L1564" t="s">
        <v>80</v>
      </c>
      <c r="M1564" t="s">
        <v>73</v>
      </c>
      <c r="R1564" t="s">
        <v>7716</v>
      </c>
      <c r="W1564" t="s">
        <v>7715</v>
      </c>
      <c r="X1564" t="s">
        <v>7717</v>
      </c>
      <c r="Y1564" t="s">
        <v>1216</v>
      </c>
      <c r="Z1564" t="s">
        <v>74</v>
      </c>
      <c r="AA1564" t="str">
        <f>"10962-1723"</f>
        <v>10962-1723</v>
      </c>
      <c r="AB1564" t="s">
        <v>75</v>
      </c>
      <c r="AC1564" t="s">
        <v>76</v>
      </c>
      <c r="AD1564" t="s">
        <v>73</v>
      </c>
      <c r="AE1564" t="s">
        <v>77</v>
      </c>
      <c r="AF1564" t="s">
        <v>2254</v>
      </c>
      <c r="AG1564" t="s">
        <v>78</v>
      </c>
    </row>
    <row r="1565" spans="1:33" hidden="1" x14ac:dyDescent="0.25">
      <c r="A1565" t="str">
        <f>"1295725257"</f>
        <v>1295725257</v>
      </c>
      <c r="B1565" t="str">
        <f>"00833972"</f>
        <v>00833972</v>
      </c>
      <c r="C1565" t="s">
        <v>7718</v>
      </c>
      <c r="D1565" t="s">
        <v>7719</v>
      </c>
      <c r="E1565" t="s">
        <v>7720</v>
      </c>
      <c r="G1565" t="s">
        <v>2224</v>
      </c>
      <c r="H1565" t="s">
        <v>2225</v>
      </c>
      <c r="J1565" t="s">
        <v>2226</v>
      </c>
      <c r="L1565" t="s">
        <v>72</v>
      </c>
      <c r="M1565" t="s">
        <v>73</v>
      </c>
      <c r="R1565" t="s">
        <v>7721</v>
      </c>
      <c r="W1565" t="s">
        <v>7720</v>
      </c>
      <c r="X1565" t="s">
        <v>7722</v>
      </c>
      <c r="Y1565" t="s">
        <v>91</v>
      </c>
      <c r="Z1565" t="s">
        <v>74</v>
      </c>
      <c r="AA1565" t="str">
        <f>"10023-3413"</f>
        <v>10023-3413</v>
      </c>
      <c r="AB1565" t="s">
        <v>75</v>
      </c>
      <c r="AC1565" t="s">
        <v>76</v>
      </c>
      <c r="AD1565" t="s">
        <v>73</v>
      </c>
      <c r="AE1565" t="s">
        <v>77</v>
      </c>
      <c r="AF1565" t="s">
        <v>2228</v>
      </c>
      <c r="AG1565" t="s">
        <v>78</v>
      </c>
    </row>
    <row r="1566" spans="1:33" hidden="1" x14ac:dyDescent="0.25">
      <c r="A1566" t="str">
        <f>"1295727808"</f>
        <v>1295727808</v>
      </c>
      <c r="B1566" t="str">
        <f>"01990481"</f>
        <v>01990481</v>
      </c>
      <c r="C1566" t="s">
        <v>7723</v>
      </c>
      <c r="D1566" t="s">
        <v>1245</v>
      </c>
      <c r="E1566" t="s">
        <v>1246</v>
      </c>
      <c r="G1566" t="s">
        <v>2224</v>
      </c>
      <c r="H1566" t="s">
        <v>2225</v>
      </c>
      <c r="J1566" t="s">
        <v>2226</v>
      </c>
      <c r="L1566" t="s">
        <v>80</v>
      </c>
      <c r="M1566" t="s">
        <v>73</v>
      </c>
      <c r="R1566" t="s">
        <v>1247</v>
      </c>
      <c r="W1566" t="s">
        <v>1246</v>
      </c>
      <c r="X1566" t="s">
        <v>1248</v>
      </c>
      <c r="Y1566" t="s">
        <v>118</v>
      </c>
      <c r="Z1566" t="s">
        <v>74</v>
      </c>
      <c r="AA1566" t="str">
        <f>"10465-2038"</f>
        <v>10465-2038</v>
      </c>
      <c r="AB1566" t="s">
        <v>75</v>
      </c>
      <c r="AC1566" t="s">
        <v>76</v>
      </c>
      <c r="AD1566" t="s">
        <v>73</v>
      </c>
      <c r="AE1566" t="s">
        <v>77</v>
      </c>
      <c r="AF1566" t="s">
        <v>2228</v>
      </c>
      <c r="AG1566" t="s">
        <v>78</v>
      </c>
    </row>
    <row r="1567" spans="1:33" hidden="1" x14ac:dyDescent="0.25">
      <c r="A1567" t="str">
        <f>"1760655492"</f>
        <v>1760655492</v>
      </c>
      <c r="B1567" t="str">
        <f>"03102774"</f>
        <v>03102774</v>
      </c>
      <c r="C1567" t="s">
        <v>7724</v>
      </c>
      <c r="D1567" t="s">
        <v>7725</v>
      </c>
      <c r="E1567" t="s">
        <v>7726</v>
      </c>
      <c r="G1567" t="s">
        <v>2224</v>
      </c>
      <c r="H1567" t="s">
        <v>2225</v>
      </c>
      <c r="J1567" t="s">
        <v>2226</v>
      </c>
      <c r="L1567" t="s">
        <v>88</v>
      </c>
      <c r="M1567" t="s">
        <v>73</v>
      </c>
      <c r="R1567" t="s">
        <v>7727</v>
      </c>
      <c r="W1567" t="s">
        <v>7728</v>
      </c>
      <c r="X1567" t="s">
        <v>167</v>
      </c>
      <c r="Y1567" t="s">
        <v>91</v>
      </c>
      <c r="Z1567" t="s">
        <v>74</v>
      </c>
      <c r="AA1567" t="str">
        <f>"10032-3720"</f>
        <v>10032-3720</v>
      </c>
      <c r="AB1567" t="s">
        <v>75</v>
      </c>
      <c r="AC1567" t="s">
        <v>76</v>
      </c>
      <c r="AD1567" t="s">
        <v>73</v>
      </c>
      <c r="AE1567" t="s">
        <v>77</v>
      </c>
      <c r="AF1567" t="s">
        <v>2228</v>
      </c>
      <c r="AG1567" t="s">
        <v>78</v>
      </c>
    </row>
    <row r="1568" spans="1:33" hidden="1" x14ac:dyDescent="0.25">
      <c r="A1568" t="str">
        <f>"1639394067"</f>
        <v>1639394067</v>
      </c>
      <c r="B1568" t="str">
        <f>"03602173"</f>
        <v>03602173</v>
      </c>
      <c r="C1568" t="s">
        <v>7729</v>
      </c>
      <c r="D1568" t="s">
        <v>7730</v>
      </c>
      <c r="E1568" t="s">
        <v>7731</v>
      </c>
      <c r="G1568" t="s">
        <v>2224</v>
      </c>
      <c r="H1568" t="s">
        <v>2225</v>
      </c>
      <c r="J1568" t="s">
        <v>2226</v>
      </c>
      <c r="L1568" t="s">
        <v>72</v>
      </c>
      <c r="M1568" t="s">
        <v>73</v>
      </c>
      <c r="R1568" t="s">
        <v>7731</v>
      </c>
      <c r="W1568" t="s">
        <v>7732</v>
      </c>
      <c r="X1568" t="s">
        <v>410</v>
      </c>
      <c r="Y1568" t="s">
        <v>91</v>
      </c>
      <c r="Z1568" t="s">
        <v>74</v>
      </c>
      <c r="AA1568" t="str">
        <f>"10032-1559"</f>
        <v>10032-1559</v>
      </c>
      <c r="AB1568" t="s">
        <v>75</v>
      </c>
      <c r="AC1568" t="s">
        <v>76</v>
      </c>
      <c r="AD1568" t="s">
        <v>73</v>
      </c>
      <c r="AE1568" t="s">
        <v>77</v>
      </c>
      <c r="AF1568" t="s">
        <v>2228</v>
      </c>
      <c r="AG1568" t="s">
        <v>78</v>
      </c>
    </row>
    <row r="1569" spans="1:33" hidden="1" x14ac:dyDescent="0.25">
      <c r="A1569" t="str">
        <f>"1194732917"</f>
        <v>1194732917</v>
      </c>
      <c r="C1569" t="s">
        <v>7733</v>
      </c>
      <c r="G1569" t="s">
        <v>2224</v>
      </c>
      <c r="H1569" t="s">
        <v>2225</v>
      </c>
      <c r="J1569" t="s">
        <v>2226</v>
      </c>
      <c r="K1569" t="s">
        <v>171</v>
      </c>
      <c r="L1569" t="s">
        <v>96</v>
      </c>
      <c r="M1569" t="s">
        <v>73</v>
      </c>
      <c r="R1569" t="s">
        <v>7734</v>
      </c>
      <c r="S1569" t="s">
        <v>7735</v>
      </c>
      <c r="T1569" t="s">
        <v>1739</v>
      </c>
      <c r="U1569" t="s">
        <v>578</v>
      </c>
      <c r="V1569" t="str">
        <f>"920371205"</f>
        <v>920371205</v>
      </c>
      <c r="AC1569" t="s">
        <v>76</v>
      </c>
      <c r="AD1569" t="s">
        <v>73</v>
      </c>
      <c r="AE1569" t="s">
        <v>97</v>
      </c>
      <c r="AF1569" t="s">
        <v>2234</v>
      </c>
      <c r="AG1569" t="s">
        <v>78</v>
      </c>
    </row>
    <row r="1570" spans="1:33" hidden="1" x14ac:dyDescent="0.25">
      <c r="A1570" t="str">
        <f>"1962728071"</f>
        <v>1962728071</v>
      </c>
      <c r="B1570" t="str">
        <f>"03335971"</f>
        <v>03335971</v>
      </c>
      <c r="C1570" t="s">
        <v>1204</v>
      </c>
      <c r="D1570" t="s">
        <v>1205</v>
      </c>
      <c r="E1570" t="s">
        <v>1206</v>
      </c>
      <c r="G1570" t="s">
        <v>4106</v>
      </c>
      <c r="H1570" t="s">
        <v>274</v>
      </c>
      <c r="J1570" t="s">
        <v>2141</v>
      </c>
      <c r="L1570" t="s">
        <v>36</v>
      </c>
      <c r="M1570" t="s">
        <v>82</v>
      </c>
      <c r="R1570" t="s">
        <v>1206</v>
      </c>
      <c r="W1570" t="s">
        <v>1206</v>
      </c>
      <c r="X1570" t="s">
        <v>227</v>
      </c>
      <c r="Y1570" t="s">
        <v>144</v>
      </c>
      <c r="Z1570" t="s">
        <v>74</v>
      </c>
      <c r="AA1570" t="str">
        <f>"11042-1109"</f>
        <v>11042-1109</v>
      </c>
      <c r="AB1570" t="s">
        <v>92</v>
      </c>
      <c r="AC1570" t="s">
        <v>76</v>
      </c>
      <c r="AD1570" t="s">
        <v>73</v>
      </c>
      <c r="AE1570" t="s">
        <v>77</v>
      </c>
      <c r="AG1570" t="s">
        <v>78</v>
      </c>
    </row>
    <row r="1571" spans="1:33" hidden="1" x14ac:dyDescent="0.25">
      <c r="A1571" t="str">
        <f>"1699827345"</f>
        <v>1699827345</v>
      </c>
      <c r="B1571" t="str">
        <f>"01111302"</f>
        <v>01111302</v>
      </c>
      <c r="C1571" t="s">
        <v>1868</v>
      </c>
      <c r="D1571" t="s">
        <v>464</v>
      </c>
      <c r="E1571" t="s">
        <v>465</v>
      </c>
      <c r="G1571" t="s">
        <v>466</v>
      </c>
      <c r="H1571" t="s">
        <v>467</v>
      </c>
      <c r="J1571" t="s">
        <v>468</v>
      </c>
      <c r="L1571" t="s">
        <v>109</v>
      </c>
      <c r="M1571" t="s">
        <v>82</v>
      </c>
      <c r="R1571" t="s">
        <v>469</v>
      </c>
      <c r="W1571" t="s">
        <v>465</v>
      </c>
      <c r="X1571" t="s">
        <v>470</v>
      </c>
      <c r="Y1571" t="s">
        <v>91</v>
      </c>
      <c r="Z1571" t="s">
        <v>74</v>
      </c>
      <c r="AA1571" t="str">
        <f>"10003-3304"</f>
        <v>10003-3304</v>
      </c>
      <c r="AB1571" t="s">
        <v>110</v>
      </c>
      <c r="AC1571" t="s">
        <v>76</v>
      </c>
      <c r="AD1571" t="s">
        <v>73</v>
      </c>
      <c r="AE1571" t="s">
        <v>77</v>
      </c>
      <c r="AG1571" t="s">
        <v>78</v>
      </c>
    </row>
    <row r="1572" spans="1:33" hidden="1" x14ac:dyDescent="0.25">
      <c r="A1572" t="str">
        <f>"1740334978"</f>
        <v>1740334978</v>
      </c>
      <c r="B1572" t="str">
        <f>"02383860"</f>
        <v>02383860</v>
      </c>
      <c r="C1572" t="s">
        <v>7736</v>
      </c>
      <c r="D1572" t="s">
        <v>7737</v>
      </c>
      <c r="E1572" t="s">
        <v>7738</v>
      </c>
      <c r="G1572" t="s">
        <v>2224</v>
      </c>
      <c r="H1572" t="s">
        <v>2225</v>
      </c>
      <c r="J1572" t="s">
        <v>2226</v>
      </c>
      <c r="L1572" t="s">
        <v>81</v>
      </c>
      <c r="M1572" t="s">
        <v>82</v>
      </c>
      <c r="R1572" t="s">
        <v>7739</v>
      </c>
      <c r="W1572" t="s">
        <v>7738</v>
      </c>
      <c r="X1572" t="s">
        <v>7740</v>
      </c>
      <c r="Y1572" t="s">
        <v>91</v>
      </c>
      <c r="Z1572" t="s">
        <v>74</v>
      </c>
      <c r="AA1572" t="str">
        <f>"10065-4870"</f>
        <v>10065-4870</v>
      </c>
      <c r="AB1572" t="s">
        <v>75</v>
      </c>
      <c r="AC1572" t="s">
        <v>76</v>
      </c>
      <c r="AD1572" t="s">
        <v>73</v>
      </c>
      <c r="AE1572" t="s">
        <v>77</v>
      </c>
      <c r="AF1572" t="s">
        <v>2242</v>
      </c>
      <c r="AG1572" t="s">
        <v>78</v>
      </c>
    </row>
    <row r="1573" spans="1:33" hidden="1" x14ac:dyDescent="0.25">
      <c r="A1573" t="str">
        <f>"1417199050"</f>
        <v>1417199050</v>
      </c>
      <c r="B1573" t="str">
        <f>"03918361"</f>
        <v>03918361</v>
      </c>
      <c r="C1573" t="s">
        <v>7741</v>
      </c>
      <c r="D1573" t="s">
        <v>7742</v>
      </c>
      <c r="E1573" t="s">
        <v>7743</v>
      </c>
      <c r="G1573" t="s">
        <v>2224</v>
      </c>
      <c r="H1573" t="s">
        <v>2225</v>
      </c>
      <c r="J1573" t="s">
        <v>2226</v>
      </c>
      <c r="L1573" t="s">
        <v>72</v>
      </c>
      <c r="M1573" t="s">
        <v>73</v>
      </c>
      <c r="R1573" t="s">
        <v>7744</v>
      </c>
      <c r="W1573" t="s">
        <v>7743</v>
      </c>
      <c r="X1573" t="s">
        <v>183</v>
      </c>
      <c r="Y1573" t="s">
        <v>91</v>
      </c>
      <c r="Z1573" t="s">
        <v>74</v>
      </c>
      <c r="AA1573" t="str">
        <f>"10032-3729"</f>
        <v>10032-3729</v>
      </c>
      <c r="AB1573" t="s">
        <v>75</v>
      </c>
      <c r="AC1573" t="s">
        <v>76</v>
      </c>
      <c r="AD1573" t="s">
        <v>73</v>
      </c>
      <c r="AE1573" t="s">
        <v>77</v>
      </c>
      <c r="AF1573" t="s">
        <v>2254</v>
      </c>
      <c r="AG1573" t="s">
        <v>78</v>
      </c>
    </row>
    <row r="1574" spans="1:33" hidden="1" x14ac:dyDescent="0.25">
      <c r="A1574" t="str">
        <f>"1912094434"</f>
        <v>1912094434</v>
      </c>
      <c r="B1574" t="str">
        <f>"01818780"</f>
        <v>01818780</v>
      </c>
      <c r="C1574" t="s">
        <v>7745</v>
      </c>
      <c r="D1574" t="s">
        <v>7746</v>
      </c>
      <c r="E1574" t="s">
        <v>7747</v>
      </c>
      <c r="G1574" t="s">
        <v>2224</v>
      </c>
      <c r="H1574" t="s">
        <v>2225</v>
      </c>
      <c r="J1574" t="s">
        <v>2226</v>
      </c>
      <c r="L1574" t="s">
        <v>80</v>
      </c>
      <c r="M1574" t="s">
        <v>73</v>
      </c>
      <c r="R1574" t="s">
        <v>7748</v>
      </c>
      <c r="W1574" t="s">
        <v>7747</v>
      </c>
      <c r="Y1574" t="s">
        <v>91</v>
      </c>
      <c r="Z1574" t="s">
        <v>74</v>
      </c>
      <c r="AA1574" t="str">
        <f>"10032-3720"</f>
        <v>10032-3720</v>
      </c>
      <c r="AB1574" t="s">
        <v>75</v>
      </c>
      <c r="AC1574" t="s">
        <v>76</v>
      </c>
      <c r="AD1574" t="s">
        <v>73</v>
      </c>
      <c r="AE1574" t="s">
        <v>77</v>
      </c>
      <c r="AF1574" t="s">
        <v>2228</v>
      </c>
      <c r="AG1574" t="s">
        <v>78</v>
      </c>
    </row>
    <row r="1575" spans="1:33" hidden="1" x14ac:dyDescent="0.25">
      <c r="A1575" t="str">
        <f>"1174628473"</f>
        <v>1174628473</v>
      </c>
      <c r="B1575" t="str">
        <f>"02998621"</f>
        <v>02998621</v>
      </c>
      <c r="C1575" t="s">
        <v>3461</v>
      </c>
      <c r="D1575" t="s">
        <v>3459</v>
      </c>
      <c r="E1575" t="s">
        <v>3460</v>
      </c>
      <c r="G1575" t="s">
        <v>2224</v>
      </c>
      <c r="H1575" t="s">
        <v>2225</v>
      </c>
      <c r="J1575" t="s">
        <v>2226</v>
      </c>
      <c r="L1575" t="s">
        <v>444</v>
      </c>
      <c r="M1575" t="s">
        <v>82</v>
      </c>
      <c r="R1575" t="s">
        <v>3461</v>
      </c>
      <c r="W1575" t="s">
        <v>3460</v>
      </c>
      <c r="X1575" t="s">
        <v>170</v>
      </c>
      <c r="Y1575" t="s">
        <v>91</v>
      </c>
      <c r="Z1575" t="s">
        <v>74</v>
      </c>
      <c r="AA1575" t="str">
        <f>"10065-4870"</f>
        <v>10065-4870</v>
      </c>
      <c r="AB1575" t="s">
        <v>90</v>
      </c>
      <c r="AC1575" t="s">
        <v>76</v>
      </c>
      <c r="AD1575" t="s">
        <v>73</v>
      </c>
      <c r="AE1575" t="s">
        <v>77</v>
      </c>
      <c r="AF1575" t="s">
        <v>2242</v>
      </c>
      <c r="AG1575" t="s">
        <v>78</v>
      </c>
    </row>
    <row r="1576" spans="1:33" hidden="1" x14ac:dyDescent="0.25">
      <c r="A1576" t="str">
        <f>"1942459300"</f>
        <v>1942459300</v>
      </c>
      <c r="B1576" t="str">
        <f>"03348083"</f>
        <v>03348083</v>
      </c>
      <c r="C1576" t="s">
        <v>7749</v>
      </c>
      <c r="D1576" t="s">
        <v>7750</v>
      </c>
      <c r="E1576" t="s">
        <v>7751</v>
      </c>
      <c r="G1576" t="s">
        <v>2224</v>
      </c>
      <c r="H1576" t="s">
        <v>2225</v>
      </c>
      <c r="J1576" t="s">
        <v>2226</v>
      </c>
      <c r="L1576" t="s">
        <v>80</v>
      </c>
      <c r="M1576" t="s">
        <v>73</v>
      </c>
      <c r="R1576" t="s">
        <v>7752</v>
      </c>
      <c r="W1576" t="s">
        <v>7751</v>
      </c>
      <c r="X1576" t="s">
        <v>167</v>
      </c>
      <c r="Y1576" t="s">
        <v>91</v>
      </c>
      <c r="Z1576" t="s">
        <v>74</v>
      </c>
      <c r="AA1576" t="str">
        <f>"10032-3720"</f>
        <v>10032-3720</v>
      </c>
      <c r="AB1576" t="s">
        <v>75</v>
      </c>
      <c r="AC1576" t="s">
        <v>76</v>
      </c>
      <c r="AD1576" t="s">
        <v>73</v>
      </c>
      <c r="AE1576" t="s">
        <v>77</v>
      </c>
      <c r="AF1576" t="s">
        <v>2228</v>
      </c>
      <c r="AG1576" t="s">
        <v>78</v>
      </c>
    </row>
    <row r="1577" spans="1:33" hidden="1" x14ac:dyDescent="0.25">
      <c r="A1577" t="str">
        <f>"1134118706"</f>
        <v>1134118706</v>
      </c>
      <c r="B1577" t="str">
        <f>"02404415"</f>
        <v>02404415</v>
      </c>
      <c r="C1577" t="s">
        <v>7753</v>
      </c>
      <c r="D1577" t="s">
        <v>7754</v>
      </c>
      <c r="E1577" t="s">
        <v>7755</v>
      </c>
      <c r="G1577" t="s">
        <v>282</v>
      </c>
      <c r="H1577" t="s">
        <v>248</v>
      </c>
      <c r="I1577">
        <v>2604</v>
      </c>
      <c r="J1577" t="s">
        <v>283</v>
      </c>
      <c r="L1577" t="s">
        <v>81</v>
      </c>
      <c r="M1577" t="s">
        <v>82</v>
      </c>
      <c r="R1577" t="s">
        <v>7756</v>
      </c>
      <c r="W1577" t="s">
        <v>7755</v>
      </c>
      <c r="X1577" t="s">
        <v>249</v>
      </c>
      <c r="Y1577" t="s">
        <v>91</v>
      </c>
      <c r="Z1577" t="s">
        <v>74</v>
      </c>
      <c r="AA1577" t="str">
        <f>"10013-3599"</f>
        <v>10013-3599</v>
      </c>
      <c r="AB1577" t="s">
        <v>75</v>
      </c>
      <c r="AC1577" t="s">
        <v>76</v>
      </c>
      <c r="AD1577" t="s">
        <v>73</v>
      </c>
      <c r="AE1577" t="s">
        <v>77</v>
      </c>
      <c r="AF1577" t="s">
        <v>2319</v>
      </c>
      <c r="AG1577" t="s">
        <v>78</v>
      </c>
    </row>
    <row r="1578" spans="1:33" hidden="1" x14ac:dyDescent="0.25">
      <c r="A1578" t="str">
        <f>"1245223049"</f>
        <v>1245223049</v>
      </c>
      <c r="B1578" t="str">
        <f>"02607050"</f>
        <v>02607050</v>
      </c>
      <c r="C1578" t="s">
        <v>7757</v>
      </c>
      <c r="D1578" t="s">
        <v>7758</v>
      </c>
      <c r="E1578" t="s">
        <v>7759</v>
      </c>
      <c r="G1578" t="s">
        <v>282</v>
      </c>
      <c r="H1578" t="s">
        <v>248</v>
      </c>
      <c r="I1578">
        <v>2604</v>
      </c>
      <c r="J1578" t="s">
        <v>283</v>
      </c>
      <c r="L1578" t="s">
        <v>81</v>
      </c>
      <c r="M1578" t="s">
        <v>82</v>
      </c>
      <c r="R1578" t="s">
        <v>7759</v>
      </c>
      <c r="W1578" t="s">
        <v>7759</v>
      </c>
      <c r="X1578" t="s">
        <v>249</v>
      </c>
      <c r="Y1578" t="s">
        <v>91</v>
      </c>
      <c r="Z1578" t="s">
        <v>74</v>
      </c>
      <c r="AA1578" t="str">
        <f>"10013-3599"</f>
        <v>10013-3599</v>
      </c>
      <c r="AB1578" t="s">
        <v>75</v>
      </c>
      <c r="AC1578" t="s">
        <v>76</v>
      </c>
      <c r="AD1578" t="s">
        <v>73</v>
      </c>
      <c r="AE1578" t="s">
        <v>77</v>
      </c>
      <c r="AF1578" t="s">
        <v>2319</v>
      </c>
      <c r="AG1578" t="s">
        <v>78</v>
      </c>
    </row>
    <row r="1579" spans="1:33" hidden="1" x14ac:dyDescent="0.25">
      <c r="A1579" t="str">
        <f>"1033397187"</f>
        <v>1033397187</v>
      </c>
      <c r="B1579" t="str">
        <f>"03017558"</f>
        <v>03017558</v>
      </c>
      <c r="C1579" t="s">
        <v>7760</v>
      </c>
      <c r="D1579" t="s">
        <v>7761</v>
      </c>
      <c r="E1579" t="s">
        <v>7762</v>
      </c>
      <c r="G1579" t="s">
        <v>282</v>
      </c>
      <c r="H1579" t="s">
        <v>248</v>
      </c>
      <c r="I1579">
        <v>2604</v>
      </c>
      <c r="J1579" t="s">
        <v>283</v>
      </c>
      <c r="L1579" t="s">
        <v>81</v>
      </c>
      <c r="M1579" t="s">
        <v>82</v>
      </c>
      <c r="R1579" t="s">
        <v>7763</v>
      </c>
      <c r="W1579" t="s">
        <v>7764</v>
      </c>
      <c r="X1579" t="s">
        <v>7765</v>
      </c>
      <c r="Y1579" t="s">
        <v>91</v>
      </c>
      <c r="Z1579" t="s">
        <v>74</v>
      </c>
      <c r="AA1579" t="str">
        <f>"10013-3599"</f>
        <v>10013-3599</v>
      </c>
      <c r="AB1579" t="s">
        <v>75</v>
      </c>
      <c r="AC1579" t="s">
        <v>76</v>
      </c>
      <c r="AD1579" t="s">
        <v>73</v>
      </c>
      <c r="AE1579" t="s">
        <v>77</v>
      </c>
      <c r="AF1579" t="s">
        <v>2319</v>
      </c>
      <c r="AG1579" t="s">
        <v>78</v>
      </c>
    </row>
    <row r="1580" spans="1:33" hidden="1" x14ac:dyDescent="0.25">
      <c r="A1580" t="str">
        <f>"1831303734"</f>
        <v>1831303734</v>
      </c>
      <c r="B1580" t="str">
        <f>"03493221"</f>
        <v>03493221</v>
      </c>
      <c r="C1580" t="s">
        <v>7766</v>
      </c>
      <c r="D1580" t="s">
        <v>7767</v>
      </c>
      <c r="E1580" t="s">
        <v>7768</v>
      </c>
      <c r="L1580" t="s">
        <v>80</v>
      </c>
      <c r="M1580" t="s">
        <v>73</v>
      </c>
      <c r="R1580" t="s">
        <v>7769</v>
      </c>
      <c r="W1580" t="s">
        <v>7768</v>
      </c>
      <c r="X1580" t="s">
        <v>7079</v>
      </c>
      <c r="Y1580" t="s">
        <v>91</v>
      </c>
      <c r="Z1580" t="s">
        <v>74</v>
      </c>
      <c r="AA1580" t="str">
        <f>"10065-4885"</f>
        <v>10065-4885</v>
      </c>
      <c r="AB1580" t="s">
        <v>75</v>
      </c>
      <c r="AC1580" t="s">
        <v>76</v>
      </c>
      <c r="AD1580" t="s">
        <v>73</v>
      </c>
      <c r="AE1580" t="s">
        <v>77</v>
      </c>
      <c r="AF1580" t="s">
        <v>2242</v>
      </c>
      <c r="AG1580" t="s">
        <v>78</v>
      </c>
    </row>
    <row r="1581" spans="1:33" hidden="1" x14ac:dyDescent="0.25">
      <c r="A1581" t="str">
        <f>"1114155934"</f>
        <v>1114155934</v>
      </c>
      <c r="B1581" t="str">
        <f>"03951246"</f>
        <v>03951246</v>
      </c>
      <c r="C1581" t="s">
        <v>7770</v>
      </c>
      <c r="D1581" t="s">
        <v>7771</v>
      </c>
      <c r="E1581" t="s">
        <v>7772</v>
      </c>
      <c r="G1581" t="s">
        <v>2224</v>
      </c>
      <c r="H1581" t="s">
        <v>2312</v>
      </c>
      <c r="J1581" t="s">
        <v>2226</v>
      </c>
      <c r="L1581" t="s">
        <v>80</v>
      </c>
      <c r="M1581" t="s">
        <v>73</v>
      </c>
      <c r="R1581" t="s">
        <v>7773</v>
      </c>
      <c r="W1581" t="s">
        <v>7772</v>
      </c>
      <c r="X1581" t="s">
        <v>1149</v>
      </c>
      <c r="Y1581" t="s">
        <v>1150</v>
      </c>
      <c r="Z1581" t="s">
        <v>74</v>
      </c>
      <c r="AA1581" t="str">
        <f>"10708-3403"</f>
        <v>10708-3403</v>
      </c>
      <c r="AB1581" t="s">
        <v>75</v>
      </c>
      <c r="AC1581" t="s">
        <v>76</v>
      </c>
      <c r="AD1581" t="s">
        <v>73</v>
      </c>
      <c r="AE1581" t="s">
        <v>77</v>
      </c>
      <c r="AF1581" t="s">
        <v>2228</v>
      </c>
      <c r="AG1581" t="s">
        <v>78</v>
      </c>
    </row>
    <row r="1582" spans="1:33" hidden="1" x14ac:dyDescent="0.25">
      <c r="A1582" t="str">
        <f>"1083922728"</f>
        <v>1083922728</v>
      </c>
      <c r="B1582" t="str">
        <f>"03337542"</f>
        <v>03337542</v>
      </c>
      <c r="C1582" t="s">
        <v>7774</v>
      </c>
      <c r="D1582" t="s">
        <v>7775</v>
      </c>
      <c r="E1582" t="s">
        <v>7776</v>
      </c>
      <c r="G1582" t="s">
        <v>2224</v>
      </c>
      <c r="H1582" t="s">
        <v>2225</v>
      </c>
      <c r="J1582" t="s">
        <v>2226</v>
      </c>
      <c r="L1582" t="s">
        <v>96</v>
      </c>
      <c r="M1582" t="s">
        <v>73</v>
      </c>
      <c r="R1582" t="s">
        <v>7777</v>
      </c>
      <c r="W1582" t="s">
        <v>7776</v>
      </c>
      <c r="X1582" t="s">
        <v>2131</v>
      </c>
      <c r="Y1582" t="s">
        <v>91</v>
      </c>
      <c r="Z1582" t="s">
        <v>74</v>
      </c>
      <c r="AA1582" t="str">
        <f>"10010-4237"</f>
        <v>10010-4237</v>
      </c>
      <c r="AB1582" t="s">
        <v>106</v>
      </c>
      <c r="AC1582" t="s">
        <v>76</v>
      </c>
      <c r="AD1582" t="s">
        <v>73</v>
      </c>
      <c r="AE1582" t="s">
        <v>77</v>
      </c>
      <c r="AF1582" t="s">
        <v>2234</v>
      </c>
      <c r="AG1582" t="s">
        <v>78</v>
      </c>
    </row>
    <row r="1583" spans="1:33" hidden="1" x14ac:dyDescent="0.25">
      <c r="A1583" t="str">
        <f>"1043565559"</f>
        <v>1043565559</v>
      </c>
      <c r="B1583" t="str">
        <f>"03878746"</f>
        <v>03878746</v>
      </c>
      <c r="C1583" t="s">
        <v>7778</v>
      </c>
      <c r="D1583" t="s">
        <v>7779</v>
      </c>
      <c r="E1583" t="s">
        <v>7780</v>
      </c>
      <c r="G1583" t="s">
        <v>2224</v>
      </c>
      <c r="H1583" t="s">
        <v>2225</v>
      </c>
      <c r="J1583" t="s">
        <v>2226</v>
      </c>
      <c r="L1583" t="s">
        <v>96</v>
      </c>
      <c r="M1583" t="s">
        <v>73</v>
      </c>
      <c r="R1583" t="s">
        <v>7781</v>
      </c>
      <c r="W1583" t="s">
        <v>7780</v>
      </c>
      <c r="X1583" t="s">
        <v>7782</v>
      </c>
      <c r="Y1583" t="s">
        <v>91</v>
      </c>
      <c r="Z1583" t="s">
        <v>74</v>
      </c>
      <c r="AA1583" t="str">
        <f>"10033-5002"</f>
        <v>10033-5002</v>
      </c>
      <c r="AB1583" t="s">
        <v>106</v>
      </c>
      <c r="AC1583" t="s">
        <v>76</v>
      </c>
      <c r="AD1583" t="s">
        <v>73</v>
      </c>
      <c r="AE1583" t="s">
        <v>77</v>
      </c>
      <c r="AF1583" t="s">
        <v>2234</v>
      </c>
      <c r="AG1583" t="s">
        <v>78</v>
      </c>
    </row>
    <row r="1584" spans="1:33" hidden="1" x14ac:dyDescent="0.25">
      <c r="A1584" t="str">
        <f>"1942340724"</f>
        <v>1942340724</v>
      </c>
      <c r="C1584" t="s">
        <v>7783</v>
      </c>
      <c r="G1584" t="s">
        <v>2224</v>
      </c>
      <c r="H1584" t="s">
        <v>2225</v>
      </c>
      <c r="J1584" t="s">
        <v>2226</v>
      </c>
      <c r="K1584" t="s">
        <v>93</v>
      </c>
      <c r="L1584" t="s">
        <v>96</v>
      </c>
      <c r="M1584" t="s">
        <v>73</v>
      </c>
      <c r="R1584" t="s">
        <v>7784</v>
      </c>
      <c r="S1584" t="s">
        <v>7785</v>
      </c>
      <c r="T1584" t="s">
        <v>91</v>
      </c>
      <c r="U1584" t="s">
        <v>74</v>
      </c>
      <c r="V1584" t="str">
        <f>"100751740"</f>
        <v>100751740</v>
      </c>
      <c r="AC1584" t="s">
        <v>76</v>
      </c>
      <c r="AD1584" t="s">
        <v>73</v>
      </c>
      <c r="AE1584" t="s">
        <v>97</v>
      </c>
      <c r="AF1584" t="s">
        <v>2234</v>
      </c>
      <c r="AG1584" t="s">
        <v>78</v>
      </c>
    </row>
    <row r="1585" spans="1:33" hidden="1" x14ac:dyDescent="0.25">
      <c r="A1585" t="str">
        <f>"1174836589"</f>
        <v>1174836589</v>
      </c>
      <c r="B1585" t="str">
        <f>"03285669"</f>
        <v>03285669</v>
      </c>
      <c r="C1585" t="s">
        <v>7786</v>
      </c>
      <c r="D1585" t="s">
        <v>7787</v>
      </c>
      <c r="E1585" t="s">
        <v>7788</v>
      </c>
      <c r="G1585" t="s">
        <v>2224</v>
      </c>
      <c r="H1585" t="s">
        <v>2225</v>
      </c>
      <c r="J1585" t="s">
        <v>2226</v>
      </c>
      <c r="L1585" t="s">
        <v>96</v>
      </c>
      <c r="M1585" t="s">
        <v>73</v>
      </c>
      <c r="R1585" t="s">
        <v>7789</v>
      </c>
      <c r="W1585" t="s">
        <v>7789</v>
      </c>
      <c r="X1585" t="s">
        <v>7790</v>
      </c>
      <c r="Y1585" t="s">
        <v>91</v>
      </c>
      <c r="Z1585" t="s">
        <v>74</v>
      </c>
      <c r="AA1585" t="str">
        <f>"10021-0000"</f>
        <v>10021-0000</v>
      </c>
      <c r="AB1585" t="s">
        <v>106</v>
      </c>
      <c r="AC1585" t="s">
        <v>76</v>
      </c>
      <c r="AD1585" t="s">
        <v>73</v>
      </c>
      <c r="AE1585" t="s">
        <v>77</v>
      </c>
      <c r="AF1585" t="s">
        <v>2234</v>
      </c>
      <c r="AG1585" t="s">
        <v>78</v>
      </c>
    </row>
    <row r="1586" spans="1:33" hidden="1" x14ac:dyDescent="0.25">
      <c r="A1586" t="str">
        <f>"1053418491"</f>
        <v>1053418491</v>
      </c>
      <c r="B1586" t="str">
        <f>"02124789"</f>
        <v>02124789</v>
      </c>
      <c r="C1586" t="s">
        <v>7791</v>
      </c>
      <c r="D1586" t="s">
        <v>2127</v>
      </c>
      <c r="E1586" t="s">
        <v>2128</v>
      </c>
      <c r="G1586" t="s">
        <v>2224</v>
      </c>
      <c r="H1586" t="s">
        <v>2225</v>
      </c>
      <c r="J1586" t="s">
        <v>2226</v>
      </c>
      <c r="L1586" t="s">
        <v>72</v>
      </c>
      <c r="M1586" t="s">
        <v>73</v>
      </c>
      <c r="R1586" t="s">
        <v>2129</v>
      </c>
      <c r="W1586" t="s">
        <v>2130</v>
      </c>
      <c r="X1586" t="s">
        <v>2131</v>
      </c>
      <c r="Y1586" t="s">
        <v>91</v>
      </c>
      <c r="Z1586" t="s">
        <v>74</v>
      </c>
      <c r="AA1586" t="str">
        <f>"10010-4237"</f>
        <v>10010-4237</v>
      </c>
      <c r="AB1586" t="s">
        <v>106</v>
      </c>
      <c r="AC1586" t="s">
        <v>76</v>
      </c>
      <c r="AD1586" t="s">
        <v>73</v>
      </c>
      <c r="AE1586" t="s">
        <v>77</v>
      </c>
      <c r="AF1586" t="s">
        <v>2234</v>
      </c>
      <c r="AG1586" t="s">
        <v>78</v>
      </c>
    </row>
    <row r="1587" spans="1:33" hidden="1" x14ac:dyDescent="0.25">
      <c r="A1587" t="str">
        <f>"1336275601"</f>
        <v>1336275601</v>
      </c>
      <c r="B1587" t="str">
        <f>"02885409"</f>
        <v>02885409</v>
      </c>
      <c r="C1587" t="s">
        <v>7792</v>
      </c>
      <c r="D1587" t="s">
        <v>7793</v>
      </c>
      <c r="E1587" t="s">
        <v>7794</v>
      </c>
      <c r="G1587" t="s">
        <v>2224</v>
      </c>
      <c r="H1587" t="s">
        <v>2225</v>
      </c>
      <c r="J1587" t="s">
        <v>2226</v>
      </c>
      <c r="L1587" t="s">
        <v>72</v>
      </c>
      <c r="M1587" t="s">
        <v>73</v>
      </c>
      <c r="R1587" t="s">
        <v>7795</v>
      </c>
      <c r="W1587" t="s">
        <v>7796</v>
      </c>
      <c r="X1587" t="s">
        <v>7529</v>
      </c>
      <c r="Y1587" t="s">
        <v>91</v>
      </c>
      <c r="Z1587" t="s">
        <v>74</v>
      </c>
      <c r="AA1587" t="str">
        <f>"10032"</f>
        <v>10032</v>
      </c>
      <c r="AB1587" t="s">
        <v>122</v>
      </c>
      <c r="AC1587" t="s">
        <v>76</v>
      </c>
      <c r="AD1587" t="s">
        <v>73</v>
      </c>
      <c r="AE1587" t="s">
        <v>77</v>
      </c>
      <c r="AF1587" t="s">
        <v>2228</v>
      </c>
      <c r="AG1587" t="s">
        <v>78</v>
      </c>
    </row>
    <row r="1588" spans="1:33" hidden="1" x14ac:dyDescent="0.25">
      <c r="A1588" t="str">
        <f>"1336275916"</f>
        <v>1336275916</v>
      </c>
      <c r="B1588" t="str">
        <f>"03013843"</f>
        <v>03013843</v>
      </c>
      <c r="C1588" t="s">
        <v>7797</v>
      </c>
      <c r="D1588" t="s">
        <v>7798</v>
      </c>
      <c r="E1588" t="s">
        <v>7799</v>
      </c>
      <c r="G1588" t="s">
        <v>2224</v>
      </c>
      <c r="H1588" t="s">
        <v>2225</v>
      </c>
      <c r="J1588" t="s">
        <v>2226</v>
      </c>
      <c r="L1588" t="s">
        <v>72</v>
      </c>
      <c r="M1588" t="s">
        <v>73</v>
      </c>
      <c r="R1588" t="s">
        <v>7800</v>
      </c>
      <c r="W1588" t="s">
        <v>7799</v>
      </c>
      <c r="X1588" t="s">
        <v>167</v>
      </c>
      <c r="Y1588" t="s">
        <v>91</v>
      </c>
      <c r="Z1588" t="s">
        <v>74</v>
      </c>
      <c r="AA1588" t="str">
        <f>"10032-3720"</f>
        <v>10032-3720</v>
      </c>
      <c r="AB1588" t="s">
        <v>75</v>
      </c>
      <c r="AC1588" t="s">
        <v>76</v>
      </c>
      <c r="AD1588" t="s">
        <v>73</v>
      </c>
      <c r="AE1588" t="s">
        <v>77</v>
      </c>
      <c r="AF1588" t="s">
        <v>2228</v>
      </c>
      <c r="AG1588" t="s">
        <v>78</v>
      </c>
    </row>
    <row r="1589" spans="1:33" hidden="1" x14ac:dyDescent="0.25">
      <c r="A1589" t="str">
        <f>"1760586457"</f>
        <v>1760586457</v>
      </c>
      <c r="B1589" t="str">
        <f>"02774298"</f>
        <v>02774298</v>
      </c>
      <c r="C1589" t="s">
        <v>7801</v>
      </c>
      <c r="D1589" t="s">
        <v>7802</v>
      </c>
      <c r="E1589" t="s">
        <v>7803</v>
      </c>
      <c r="G1589" t="s">
        <v>2224</v>
      </c>
      <c r="H1589" t="s">
        <v>2225</v>
      </c>
      <c r="J1589" t="s">
        <v>2226</v>
      </c>
      <c r="L1589" t="s">
        <v>72</v>
      </c>
      <c r="M1589" t="s">
        <v>82</v>
      </c>
      <c r="R1589" t="s">
        <v>7804</v>
      </c>
      <c r="W1589" t="s">
        <v>7803</v>
      </c>
      <c r="X1589" t="s">
        <v>383</v>
      </c>
      <c r="Y1589" t="s">
        <v>91</v>
      </c>
      <c r="Z1589" t="s">
        <v>74</v>
      </c>
      <c r="AA1589" t="str">
        <f>"10031-2428"</f>
        <v>10031-2428</v>
      </c>
      <c r="AB1589" t="s">
        <v>75</v>
      </c>
      <c r="AC1589" t="s">
        <v>76</v>
      </c>
      <c r="AD1589" t="s">
        <v>73</v>
      </c>
      <c r="AE1589" t="s">
        <v>77</v>
      </c>
      <c r="AF1589" t="s">
        <v>2228</v>
      </c>
      <c r="AG1589" t="s">
        <v>78</v>
      </c>
    </row>
    <row r="1590" spans="1:33" hidden="1" x14ac:dyDescent="0.25">
      <c r="A1590" t="str">
        <f>"1588796866"</f>
        <v>1588796866</v>
      </c>
      <c r="B1590" t="str">
        <f>"02313537"</f>
        <v>02313537</v>
      </c>
      <c r="C1590" t="s">
        <v>7805</v>
      </c>
      <c r="D1590" t="s">
        <v>7806</v>
      </c>
      <c r="E1590" t="s">
        <v>7807</v>
      </c>
      <c r="G1590" t="s">
        <v>2224</v>
      </c>
      <c r="H1590" t="s">
        <v>2225</v>
      </c>
      <c r="J1590" t="s">
        <v>2226</v>
      </c>
      <c r="L1590" t="s">
        <v>72</v>
      </c>
      <c r="M1590" t="s">
        <v>73</v>
      </c>
      <c r="R1590" t="s">
        <v>7808</v>
      </c>
      <c r="W1590" t="s">
        <v>7807</v>
      </c>
      <c r="X1590" t="s">
        <v>160</v>
      </c>
      <c r="Y1590" t="s">
        <v>144</v>
      </c>
      <c r="Z1590" t="s">
        <v>74</v>
      </c>
      <c r="AA1590" t="str">
        <f>"11040-1402"</f>
        <v>11040-1402</v>
      </c>
      <c r="AB1590" t="s">
        <v>79</v>
      </c>
      <c r="AC1590" t="s">
        <v>76</v>
      </c>
      <c r="AD1590" t="s">
        <v>73</v>
      </c>
      <c r="AE1590" t="s">
        <v>77</v>
      </c>
      <c r="AF1590" t="s">
        <v>2242</v>
      </c>
      <c r="AG1590" t="s">
        <v>78</v>
      </c>
    </row>
    <row r="1591" spans="1:33" hidden="1" x14ac:dyDescent="0.25">
      <c r="A1591" t="str">
        <f>"1154632495"</f>
        <v>1154632495</v>
      </c>
      <c r="B1591" t="str">
        <f>"03276937"</f>
        <v>03276937</v>
      </c>
      <c r="C1591" t="s">
        <v>7809</v>
      </c>
      <c r="D1591" t="s">
        <v>7810</v>
      </c>
      <c r="E1591" t="s">
        <v>7811</v>
      </c>
      <c r="G1591" t="s">
        <v>2224</v>
      </c>
      <c r="H1591" t="s">
        <v>2225</v>
      </c>
      <c r="J1591" t="s">
        <v>2226</v>
      </c>
      <c r="L1591" t="s">
        <v>80</v>
      </c>
      <c r="M1591" t="s">
        <v>82</v>
      </c>
      <c r="R1591" t="s">
        <v>7811</v>
      </c>
      <c r="W1591" t="s">
        <v>7811</v>
      </c>
      <c r="X1591" t="s">
        <v>3433</v>
      </c>
      <c r="Y1591" t="s">
        <v>91</v>
      </c>
      <c r="Z1591" t="s">
        <v>74</v>
      </c>
      <c r="AA1591" t="str">
        <f>"10032-0000"</f>
        <v>10032-0000</v>
      </c>
      <c r="AB1591" t="s">
        <v>75</v>
      </c>
      <c r="AC1591" t="s">
        <v>76</v>
      </c>
      <c r="AD1591" t="s">
        <v>73</v>
      </c>
      <c r="AE1591" t="s">
        <v>77</v>
      </c>
      <c r="AF1591" t="s">
        <v>2228</v>
      </c>
      <c r="AG1591" t="s">
        <v>78</v>
      </c>
    </row>
    <row r="1592" spans="1:33" hidden="1" x14ac:dyDescent="0.25">
      <c r="A1592" t="str">
        <f>"1770597684"</f>
        <v>1770597684</v>
      </c>
      <c r="B1592" t="str">
        <f>"01165879"</f>
        <v>01165879</v>
      </c>
      <c r="C1592" t="s">
        <v>7812</v>
      </c>
      <c r="D1592" t="s">
        <v>7813</v>
      </c>
      <c r="E1592" t="s">
        <v>7814</v>
      </c>
      <c r="G1592" t="s">
        <v>2224</v>
      </c>
      <c r="H1592" t="s">
        <v>2312</v>
      </c>
      <c r="J1592" t="s">
        <v>2226</v>
      </c>
      <c r="L1592" t="s">
        <v>80</v>
      </c>
      <c r="M1592" t="s">
        <v>73</v>
      </c>
      <c r="R1592" t="s">
        <v>7815</v>
      </c>
      <c r="W1592" t="s">
        <v>7814</v>
      </c>
      <c r="X1592" t="s">
        <v>1167</v>
      </c>
      <c r="Y1592" t="s">
        <v>91</v>
      </c>
      <c r="Z1592" t="s">
        <v>74</v>
      </c>
      <c r="AA1592" t="str">
        <f>"10065-4870"</f>
        <v>10065-4870</v>
      </c>
      <c r="AB1592" t="s">
        <v>75</v>
      </c>
      <c r="AC1592" t="s">
        <v>76</v>
      </c>
      <c r="AD1592" t="s">
        <v>73</v>
      </c>
      <c r="AE1592" t="s">
        <v>77</v>
      </c>
      <c r="AF1592" t="s">
        <v>2242</v>
      </c>
      <c r="AG1592" t="s">
        <v>78</v>
      </c>
    </row>
    <row r="1593" spans="1:33" hidden="1" x14ac:dyDescent="0.25">
      <c r="A1593" t="str">
        <f>"1427000710"</f>
        <v>1427000710</v>
      </c>
      <c r="B1593" t="str">
        <f>"03473787"</f>
        <v>03473787</v>
      </c>
      <c r="C1593" t="s">
        <v>7816</v>
      </c>
      <c r="D1593" t="s">
        <v>7817</v>
      </c>
      <c r="E1593" t="s">
        <v>7818</v>
      </c>
      <c r="G1593" t="s">
        <v>2224</v>
      </c>
      <c r="H1593" t="s">
        <v>2225</v>
      </c>
      <c r="J1593" t="s">
        <v>2226</v>
      </c>
      <c r="L1593" t="s">
        <v>72</v>
      </c>
      <c r="M1593" t="s">
        <v>73</v>
      </c>
      <c r="R1593" t="s">
        <v>7818</v>
      </c>
      <c r="W1593" t="s">
        <v>7818</v>
      </c>
      <c r="X1593" t="s">
        <v>167</v>
      </c>
      <c r="Y1593" t="s">
        <v>91</v>
      </c>
      <c r="Z1593" t="s">
        <v>74</v>
      </c>
      <c r="AA1593" t="str">
        <f>"10032-3720"</f>
        <v>10032-3720</v>
      </c>
      <c r="AB1593" t="s">
        <v>75</v>
      </c>
      <c r="AC1593" t="s">
        <v>76</v>
      </c>
      <c r="AD1593" t="s">
        <v>73</v>
      </c>
      <c r="AE1593" t="s">
        <v>77</v>
      </c>
      <c r="AF1593" t="s">
        <v>2234</v>
      </c>
      <c r="AG1593" t="s">
        <v>78</v>
      </c>
    </row>
    <row r="1594" spans="1:33" hidden="1" x14ac:dyDescent="0.25">
      <c r="A1594" t="str">
        <f>"1366608424"</f>
        <v>1366608424</v>
      </c>
      <c r="B1594" t="str">
        <f>"03093189"</f>
        <v>03093189</v>
      </c>
      <c r="C1594" t="s">
        <v>7819</v>
      </c>
      <c r="D1594" t="s">
        <v>7820</v>
      </c>
      <c r="E1594" t="s">
        <v>7821</v>
      </c>
      <c r="G1594" t="s">
        <v>2224</v>
      </c>
      <c r="H1594" t="s">
        <v>2225</v>
      </c>
      <c r="J1594" t="s">
        <v>2226</v>
      </c>
      <c r="L1594" t="s">
        <v>72</v>
      </c>
      <c r="M1594" t="s">
        <v>73</v>
      </c>
      <c r="R1594" t="s">
        <v>7822</v>
      </c>
      <c r="W1594" t="s">
        <v>7821</v>
      </c>
      <c r="X1594" t="s">
        <v>628</v>
      </c>
      <c r="Y1594" t="s">
        <v>91</v>
      </c>
      <c r="Z1594" t="s">
        <v>74</v>
      </c>
      <c r="AA1594" t="str">
        <f>"10021-9800"</f>
        <v>10021-9800</v>
      </c>
      <c r="AB1594" t="s">
        <v>75</v>
      </c>
      <c r="AC1594" t="s">
        <v>76</v>
      </c>
      <c r="AD1594" t="s">
        <v>73</v>
      </c>
      <c r="AE1594" t="s">
        <v>77</v>
      </c>
      <c r="AF1594" t="s">
        <v>2242</v>
      </c>
      <c r="AG1594" t="s">
        <v>78</v>
      </c>
    </row>
    <row r="1595" spans="1:33" hidden="1" x14ac:dyDescent="0.25">
      <c r="A1595" t="str">
        <f>"1023091162"</f>
        <v>1023091162</v>
      </c>
      <c r="B1595" t="str">
        <f>"01891047"</f>
        <v>01891047</v>
      </c>
      <c r="C1595" t="s">
        <v>7823</v>
      </c>
      <c r="D1595" t="s">
        <v>7824</v>
      </c>
      <c r="E1595" t="s">
        <v>7825</v>
      </c>
      <c r="G1595" t="s">
        <v>2224</v>
      </c>
      <c r="H1595" t="s">
        <v>2225</v>
      </c>
      <c r="J1595" t="s">
        <v>2226</v>
      </c>
      <c r="L1595" t="s">
        <v>81</v>
      </c>
      <c r="M1595" t="s">
        <v>82</v>
      </c>
      <c r="R1595" t="s">
        <v>7826</v>
      </c>
      <c r="W1595" t="s">
        <v>7825</v>
      </c>
      <c r="X1595" t="s">
        <v>7827</v>
      </c>
      <c r="Y1595" t="s">
        <v>91</v>
      </c>
      <c r="Z1595" t="s">
        <v>74</v>
      </c>
      <c r="AA1595" t="str">
        <f>"10032-1559"</f>
        <v>10032-1559</v>
      </c>
      <c r="AB1595" t="s">
        <v>75</v>
      </c>
      <c r="AC1595" t="s">
        <v>76</v>
      </c>
      <c r="AD1595" t="s">
        <v>73</v>
      </c>
      <c r="AE1595" t="s">
        <v>77</v>
      </c>
      <c r="AF1595" t="s">
        <v>2228</v>
      </c>
      <c r="AG1595" t="s">
        <v>78</v>
      </c>
    </row>
    <row r="1596" spans="1:33" hidden="1" x14ac:dyDescent="0.25">
      <c r="A1596" t="str">
        <f>"1922348853"</f>
        <v>1922348853</v>
      </c>
      <c r="C1596" t="s">
        <v>7828</v>
      </c>
      <c r="G1596" t="s">
        <v>2224</v>
      </c>
      <c r="H1596" t="s">
        <v>2225</v>
      </c>
      <c r="J1596" t="s">
        <v>2226</v>
      </c>
      <c r="K1596" t="s">
        <v>171</v>
      </c>
      <c r="L1596" t="s">
        <v>96</v>
      </c>
      <c r="M1596" t="s">
        <v>73</v>
      </c>
      <c r="R1596" t="s">
        <v>7829</v>
      </c>
      <c r="S1596" t="s">
        <v>7830</v>
      </c>
      <c r="T1596" t="s">
        <v>91</v>
      </c>
      <c r="U1596" t="s">
        <v>74</v>
      </c>
      <c r="V1596" t="str">
        <f>"100191654"</f>
        <v>100191654</v>
      </c>
      <c r="AC1596" t="s">
        <v>76</v>
      </c>
      <c r="AD1596" t="s">
        <v>73</v>
      </c>
      <c r="AE1596" t="s">
        <v>97</v>
      </c>
      <c r="AF1596" t="s">
        <v>2234</v>
      </c>
      <c r="AG1596" t="s">
        <v>78</v>
      </c>
    </row>
    <row r="1597" spans="1:33" x14ac:dyDescent="0.25">
      <c r="A1597" t="str">
        <f>"1205013646"</f>
        <v>1205013646</v>
      </c>
      <c r="C1597" t="s">
        <v>7831</v>
      </c>
      <c r="K1597" t="s">
        <v>202</v>
      </c>
      <c r="L1597" t="s">
        <v>96</v>
      </c>
      <c r="M1597" t="s">
        <v>73</v>
      </c>
      <c r="R1597" t="s">
        <v>7831</v>
      </c>
      <c r="S1597" t="s">
        <v>7832</v>
      </c>
      <c r="T1597" t="s">
        <v>91</v>
      </c>
      <c r="U1597" t="s">
        <v>74</v>
      </c>
      <c r="V1597" t="str">
        <f>"100219800"</f>
        <v>100219800</v>
      </c>
      <c r="AC1597" t="s">
        <v>76</v>
      </c>
      <c r="AD1597" t="s">
        <v>73</v>
      </c>
      <c r="AE1597" t="s">
        <v>97</v>
      </c>
      <c r="AG1597" t="s">
        <v>78</v>
      </c>
    </row>
    <row r="1598" spans="1:33" hidden="1" x14ac:dyDescent="0.25">
      <c r="A1598" t="str">
        <f>"1528145075"</f>
        <v>1528145075</v>
      </c>
      <c r="B1598" t="str">
        <f>"00335502"</f>
        <v>00335502</v>
      </c>
      <c r="C1598" t="s">
        <v>7833</v>
      </c>
      <c r="D1598" t="s">
        <v>7834</v>
      </c>
      <c r="E1598" t="s">
        <v>7835</v>
      </c>
      <c r="G1598" t="s">
        <v>2224</v>
      </c>
      <c r="H1598" t="s">
        <v>2225</v>
      </c>
      <c r="J1598" t="s">
        <v>2226</v>
      </c>
      <c r="L1598" t="s">
        <v>80</v>
      </c>
      <c r="M1598" t="s">
        <v>82</v>
      </c>
      <c r="R1598" t="s">
        <v>7836</v>
      </c>
      <c r="W1598" t="s">
        <v>7835</v>
      </c>
      <c r="X1598" t="s">
        <v>354</v>
      </c>
      <c r="Y1598" t="s">
        <v>91</v>
      </c>
      <c r="Z1598" t="s">
        <v>74</v>
      </c>
      <c r="AA1598" t="str">
        <f>"10032-3725"</f>
        <v>10032-3725</v>
      </c>
      <c r="AB1598" t="s">
        <v>75</v>
      </c>
      <c r="AC1598" t="s">
        <v>76</v>
      </c>
      <c r="AD1598" t="s">
        <v>73</v>
      </c>
      <c r="AE1598" t="s">
        <v>77</v>
      </c>
      <c r="AF1598" t="s">
        <v>2254</v>
      </c>
      <c r="AG1598" t="s">
        <v>78</v>
      </c>
    </row>
    <row r="1599" spans="1:33" hidden="1" x14ac:dyDescent="0.25">
      <c r="A1599" t="str">
        <f>"1194978460"</f>
        <v>1194978460</v>
      </c>
      <c r="B1599" t="str">
        <f>"03068724"</f>
        <v>03068724</v>
      </c>
      <c r="C1599" t="s">
        <v>7837</v>
      </c>
      <c r="D1599" t="s">
        <v>1703</v>
      </c>
      <c r="E1599" t="s">
        <v>1704</v>
      </c>
      <c r="G1599" t="s">
        <v>2224</v>
      </c>
      <c r="H1599" t="s">
        <v>2225</v>
      </c>
      <c r="J1599" t="s">
        <v>2226</v>
      </c>
      <c r="L1599" t="s">
        <v>81</v>
      </c>
      <c r="M1599" t="s">
        <v>73</v>
      </c>
      <c r="R1599" t="s">
        <v>1705</v>
      </c>
      <c r="W1599" t="s">
        <v>1706</v>
      </c>
      <c r="X1599" t="s">
        <v>1707</v>
      </c>
      <c r="Y1599" t="s">
        <v>91</v>
      </c>
      <c r="Z1599" t="s">
        <v>74</v>
      </c>
      <c r="AA1599" t="str">
        <f>"10032-3720"</f>
        <v>10032-3720</v>
      </c>
      <c r="AB1599" t="s">
        <v>75</v>
      </c>
      <c r="AC1599" t="s">
        <v>76</v>
      </c>
      <c r="AD1599" t="s">
        <v>73</v>
      </c>
      <c r="AE1599" t="s">
        <v>77</v>
      </c>
      <c r="AF1599" t="s">
        <v>2234</v>
      </c>
      <c r="AG1599" t="s">
        <v>78</v>
      </c>
    </row>
    <row r="1600" spans="1:33" hidden="1" x14ac:dyDescent="0.25">
      <c r="A1600" t="str">
        <f>"1891012241"</f>
        <v>1891012241</v>
      </c>
      <c r="B1600" t="str">
        <f>"03233658"</f>
        <v>03233658</v>
      </c>
      <c r="C1600" t="s">
        <v>7838</v>
      </c>
      <c r="D1600" t="s">
        <v>7839</v>
      </c>
      <c r="E1600" t="s">
        <v>1168</v>
      </c>
      <c r="G1600" t="s">
        <v>2224</v>
      </c>
      <c r="H1600" t="s">
        <v>2225</v>
      </c>
      <c r="J1600" t="s">
        <v>2226</v>
      </c>
      <c r="L1600" t="s">
        <v>72</v>
      </c>
      <c r="M1600" t="s">
        <v>73</v>
      </c>
      <c r="R1600" t="s">
        <v>7840</v>
      </c>
      <c r="W1600" t="s">
        <v>1168</v>
      </c>
      <c r="X1600" t="s">
        <v>5266</v>
      </c>
      <c r="Y1600" t="s">
        <v>91</v>
      </c>
      <c r="Z1600" t="s">
        <v>74</v>
      </c>
      <c r="AA1600" t="str">
        <f>"10040-2101"</f>
        <v>10040-2101</v>
      </c>
      <c r="AB1600" t="s">
        <v>106</v>
      </c>
      <c r="AC1600" t="s">
        <v>76</v>
      </c>
      <c r="AD1600" t="s">
        <v>73</v>
      </c>
      <c r="AE1600" t="s">
        <v>77</v>
      </c>
      <c r="AF1600" t="s">
        <v>2234</v>
      </c>
      <c r="AG1600" t="s">
        <v>78</v>
      </c>
    </row>
    <row r="1601" spans="1:33" hidden="1" x14ac:dyDescent="0.25">
      <c r="A1601" t="str">
        <f>"1891706149"</f>
        <v>1891706149</v>
      </c>
      <c r="B1601" t="str">
        <f>"01591799"</f>
        <v>01591799</v>
      </c>
      <c r="C1601" t="s">
        <v>7841</v>
      </c>
      <c r="D1601" t="s">
        <v>7842</v>
      </c>
      <c r="E1601" t="s">
        <v>7843</v>
      </c>
      <c r="G1601" t="s">
        <v>2224</v>
      </c>
      <c r="H1601" t="s">
        <v>2225</v>
      </c>
      <c r="J1601" t="s">
        <v>2226</v>
      </c>
      <c r="L1601" t="s">
        <v>80</v>
      </c>
      <c r="M1601" t="s">
        <v>73</v>
      </c>
      <c r="R1601" t="s">
        <v>7844</v>
      </c>
      <c r="W1601" t="s">
        <v>7843</v>
      </c>
      <c r="X1601" t="s">
        <v>220</v>
      </c>
      <c r="Y1601" t="s">
        <v>91</v>
      </c>
      <c r="Z1601" t="s">
        <v>74</v>
      </c>
      <c r="AA1601" t="str">
        <f>"10029-6500"</f>
        <v>10029-6500</v>
      </c>
      <c r="AB1601" t="s">
        <v>75</v>
      </c>
      <c r="AC1601" t="s">
        <v>76</v>
      </c>
      <c r="AD1601" t="s">
        <v>73</v>
      </c>
      <c r="AE1601" t="s">
        <v>77</v>
      </c>
      <c r="AF1601" t="s">
        <v>2254</v>
      </c>
      <c r="AG1601" t="s">
        <v>78</v>
      </c>
    </row>
    <row r="1602" spans="1:33" hidden="1" x14ac:dyDescent="0.25">
      <c r="A1602" t="str">
        <f>"1396974598"</f>
        <v>1396974598</v>
      </c>
      <c r="B1602" t="str">
        <f>"03547913"</f>
        <v>03547913</v>
      </c>
      <c r="C1602" t="s">
        <v>7845</v>
      </c>
      <c r="D1602" t="s">
        <v>7846</v>
      </c>
      <c r="E1602" t="s">
        <v>7847</v>
      </c>
      <c r="G1602" t="s">
        <v>2224</v>
      </c>
      <c r="H1602" t="s">
        <v>7848</v>
      </c>
      <c r="J1602" t="s">
        <v>2226</v>
      </c>
      <c r="L1602" t="s">
        <v>80</v>
      </c>
      <c r="M1602" t="s">
        <v>73</v>
      </c>
      <c r="R1602" t="s">
        <v>7849</v>
      </c>
      <c r="W1602" t="s">
        <v>7847</v>
      </c>
      <c r="X1602" t="s">
        <v>170</v>
      </c>
      <c r="Y1602" t="s">
        <v>91</v>
      </c>
      <c r="Z1602" t="s">
        <v>74</v>
      </c>
      <c r="AA1602" t="str">
        <f>"10065-4870"</f>
        <v>10065-4870</v>
      </c>
      <c r="AB1602" t="s">
        <v>75</v>
      </c>
      <c r="AC1602" t="s">
        <v>76</v>
      </c>
      <c r="AD1602" t="s">
        <v>73</v>
      </c>
      <c r="AE1602" t="s">
        <v>77</v>
      </c>
      <c r="AF1602" t="s">
        <v>2242</v>
      </c>
      <c r="AG1602" t="s">
        <v>78</v>
      </c>
    </row>
    <row r="1603" spans="1:33" hidden="1" x14ac:dyDescent="0.25">
      <c r="A1603" t="str">
        <f>"1760800445"</f>
        <v>1760800445</v>
      </c>
      <c r="C1603" t="s">
        <v>7850</v>
      </c>
      <c r="G1603" t="s">
        <v>2224</v>
      </c>
      <c r="H1603" t="s">
        <v>2312</v>
      </c>
      <c r="J1603" t="s">
        <v>2226</v>
      </c>
      <c r="K1603" t="s">
        <v>171</v>
      </c>
      <c r="L1603" t="s">
        <v>96</v>
      </c>
      <c r="M1603" t="s">
        <v>73</v>
      </c>
      <c r="R1603" t="s">
        <v>7851</v>
      </c>
      <c r="S1603" t="s">
        <v>3925</v>
      </c>
      <c r="T1603" t="s">
        <v>91</v>
      </c>
      <c r="U1603" t="s">
        <v>74</v>
      </c>
      <c r="V1603" t="str">
        <f>"100323720"</f>
        <v>100323720</v>
      </c>
      <c r="AC1603" t="s">
        <v>76</v>
      </c>
      <c r="AD1603" t="s">
        <v>73</v>
      </c>
      <c r="AE1603" t="s">
        <v>97</v>
      </c>
      <c r="AF1603" t="s">
        <v>2228</v>
      </c>
      <c r="AG1603" t="s">
        <v>78</v>
      </c>
    </row>
    <row r="1604" spans="1:33" hidden="1" x14ac:dyDescent="0.25">
      <c r="A1604" t="str">
        <f>"1932216512"</f>
        <v>1932216512</v>
      </c>
      <c r="B1604" t="str">
        <f>"00787242"</f>
        <v>00787242</v>
      </c>
      <c r="C1604" t="s">
        <v>7852</v>
      </c>
      <c r="D1604" t="s">
        <v>1414</v>
      </c>
      <c r="E1604" t="s">
        <v>1415</v>
      </c>
      <c r="L1604" t="s">
        <v>81</v>
      </c>
      <c r="M1604" t="s">
        <v>73</v>
      </c>
      <c r="R1604" t="s">
        <v>1416</v>
      </c>
      <c r="W1604" t="s">
        <v>1415</v>
      </c>
      <c r="X1604" t="s">
        <v>1417</v>
      </c>
      <c r="Y1604" t="s">
        <v>155</v>
      </c>
      <c r="Z1604" t="s">
        <v>74</v>
      </c>
      <c r="AA1604" t="str">
        <f>"10701-1309"</f>
        <v>10701-1309</v>
      </c>
      <c r="AB1604" t="s">
        <v>75</v>
      </c>
      <c r="AC1604" t="s">
        <v>76</v>
      </c>
      <c r="AD1604" t="s">
        <v>73</v>
      </c>
      <c r="AE1604" t="s">
        <v>77</v>
      </c>
      <c r="AF1604" t="s">
        <v>2228</v>
      </c>
      <c r="AG1604" t="s">
        <v>78</v>
      </c>
    </row>
    <row r="1605" spans="1:33" hidden="1" x14ac:dyDescent="0.25">
      <c r="A1605" t="str">
        <f>"1710244009"</f>
        <v>1710244009</v>
      </c>
      <c r="C1605" t="s">
        <v>7853</v>
      </c>
      <c r="G1605" t="s">
        <v>2224</v>
      </c>
      <c r="H1605" t="s">
        <v>2312</v>
      </c>
      <c r="J1605" t="s">
        <v>2226</v>
      </c>
      <c r="K1605" t="s">
        <v>171</v>
      </c>
      <c r="L1605" t="s">
        <v>96</v>
      </c>
      <c r="M1605" t="s">
        <v>73</v>
      </c>
      <c r="R1605" t="s">
        <v>7854</v>
      </c>
      <c r="S1605" t="s">
        <v>170</v>
      </c>
      <c r="T1605" t="s">
        <v>91</v>
      </c>
      <c r="U1605" t="s">
        <v>74</v>
      </c>
      <c r="V1605" t="str">
        <f>"100654870"</f>
        <v>100654870</v>
      </c>
      <c r="AC1605" t="s">
        <v>76</v>
      </c>
      <c r="AD1605" t="s">
        <v>73</v>
      </c>
      <c r="AE1605" t="s">
        <v>97</v>
      </c>
      <c r="AF1605" t="s">
        <v>2242</v>
      </c>
      <c r="AG1605" t="s">
        <v>78</v>
      </c>
    </row>
    <row r="1606" spans="1:33" hidden="1" x14ac:dyDescent="0.25">
      <c r="A1606" t="str">
        <f>"1154636090"</f>
        <v>1154636090</v>
      </c>
      <c r="C1606" t="s">
        <v>7855</v>
      </c>
      <c r="G1606" t="s">
        <v>2224</v>
      </c>
      <c r="H1606" t="s">
        <v>2312</v>
      </c>
      <c r="J1606" t="s">
        <v>2226</v>
      </c>
      <c r="K1606" t="s">
        <v>171</v>
      </c>
      <c r="L1606" t="s">
        <v>96</v>
      </c>
      <c r="M1606" t="s">
        <v>73</v>
      </c>
      <c r="R1606" t="s">
        <v>7856</v>
      </c>
      <c r="S1606" t="s">
        <v>7857</v>
      </c>
      <c r="T1606" t="s">
        <v>1701</v>
      </c>
      <c r="U1606" t="s">
        <v>578</v>
      </c>
      <c r="V1606" t="str">
        <f>"943052200"</f>
        <v>943052200</v>
      </c>
      <c r="AC1606" t="s">
        <v>76</v>
      </c>
      <c r="AD1606" t="s">
        <v>73</v>
      </c>
      <c r="AE1606" t="s">
        <v>97</v>
      </c>
      <c r="AF1606" t="s">
        <v>2234</v>
      </c>
      <c r="AG1606" t="s">
        <v>78</v>
      </c>
    </row>
    <row r="1607" spans="1:33" hidden="1" x14ac:dyDescent="0.25">
      <c r="A1607" t="str">
        <f>"1073879664"</f>
        <v>1073879664</v>
      </c>
      <c r="C1607" t="s">
        <v>7858</v>
      </c>
      <c r="G1607" t="s">
        <v>2224</v>
      </c>
      <c r="H1607" t="s">
        <v>2312</v>
      </c>
      <c r="J1607" t="s">
        <v>2226</v>
      </c>
      <c r="K1607" t="s">
        <v>171</v>
      </c>
      <c r="L1607" t="s">
        <v>96</v>
      </c>
      <c r="M1607" t="s">
        <v>73</v>
      </c>
      <c r="R1607" t="s">
        <v>7859</v>
      </c>
      <c r="S1607" t="s">
        <v>3032</v>
      </c>
      <c r="T1607" t="s">
        <v>91</v>
      </c>
      <c r="U1607" t="s">
        <v>74</v>
      </c>
      <c r="V1607" t="str">
        <f>"100654870"</f>
        <v>100654870</v>
      </c>
      <c r="AC1607" t="s">
        <v>76</v>
      </c>
      <c r="AD1607" t="s">
        <v>73</v>
      </c>
      <c r="AE1607" t="s">
        <v>97</v>
      </c>
      <c r="AF1607" t="s">
        <v>2242</v>
      </c>
      <c r="AG1607" t="s">
        <v>78</v>
      </c>
    </row>
    <row r="1608" spans="1:33" hidden="1" x14ac:dyDescent="0.25">
      <c r="A1608" t="str">
        <f>"1821356494"</f>
        <v>1821356494</v>
      </c>
      <c r="B1608" t="str">
        <f>"03484026"</f>
        <v>03484026</v>
      </c>
      <c r="C1608" t="s">
        <v>7860</v>
      </c>
      <c r="D1608" t="s">
        <v>621</v>
      </c>
      <c r="E1608" t="s">
        <v>622</v>
      </c>
      <c r="G1608" t="s">
        <v>749</v>
      </c>
      <c r="H1608" t="s">
        <v>320</v>
      </c>
      <c r="J1608" t="s">
        <v>750</v>
      </c>
      <c r="L1608" t="s">
        <v>81</v>
      </c>
      <c r="M1608" t="s">
        <v>82</v>
      </c>
      <c r="R1608" t="s">
        <v>623</v>
      </c>
      <c r="W1608" t="s">
        <v>623</v>
      </c>
      <c r="X1608" t="s">
        <v>624</v>
      </c>
      <c r="Y1608" t="s">
        <v>91</v>
      </c>
      <c r="Z1608" t="s">
        <v>74</v>
      </c>
      <c r="AA1608" t="str">
        <f>"10032-5058"</f>
        <v>10032-5058</v>
      </c>
      <c r="AB1608" t="s">
        <v>75</v>
      </c>
      <c r="AC1608" t="s">
        <v>76</v>
      </c>
      <c r="AD1608" t="s">
        <v>73</v>
      </c>
      <c r="AE1608" t="s">
        <v>77</v>
      </c>
      <c r="AF1608" t="s">
        <v>2445</v>
      </c>
      <c r="AG1608" t="s">
        <v>78</v>
      </c>
    </row>
    <row r="1609" spans="1:33" hidden="1" x14ac:dyDescent="0.25">
      <c r="A1609" t="str">
        <f>"1952518078"</f>
        <v>1952518078</v>
      </c>
      <c r="B1609" t="str">
        <f>"01102441"</f>
        <v>01102441</v>
      </c>
      <c r="C1609" t="s">
        <v>7861</v>
      </c>
      <c r="D1609" t="s">
        <v>1081</v>
      </c>
      <c r="E1609" t="s">
        <v>1082</v>
      </c>
      <c r="G1609" t="s">
        <v>749</v>
      </c>
      <c r="H1609" t="s">
        <v>320</v>
      </c>
      <c r="J1609" t="s">
        <v>750</v>
      </c>
      <c r="L1609" t="s">
        <v>34</v>
      </c>
      <c r="M1609" t="s">
        <v>82</v>
      </c>
      <c r="R1609" t="s">
        <v>656</v>
      </c>
      <c r="W1609" t="s">
        <v>1082</v>
      </c>
      <c r="X1609" t="s">
        <v>683</v>
      </c>
      <c r="Y1609" t="s">
        <v>118</v>
      </c>
      <c r="Z1609" t="s">
        <v>74</v>
      </c>
      <c r="AA1609" t="str">
        <f>"10459-3204"</f>
        <v>10459-3204</v>
      </c>
      <c r="AB1609" t="s">
        <v>92</v>
      </c>
      <c r="AC1609" t="s">
        <v>76</v>
      </c>
      <c r="AD1609" t="s">
        <v>73</v>
      </c>
      <c r="AE1609" t="s">
        <v>77</v>
      </c>
      <c r="AF1609" t="s">
        <v>2445</v>
      </c>
      <c r="AG1609" t="s">
        <v>78</v>
      </c>
    </row>
    <row r="1610" spans="1:33" hidden="1" x14ac:dyDescent="0.25">
      <c r="A1610" t="str">
        <f>"1356395446"</f>
        <v>1356395446</v>
      </c>
      <c r="B1610" t="str">
        <f>"01993948"</f>
        <v>01993948</v>
      </c>
      <c r="C1610" t="s">
        <v>7862</v>
      </c>
      <c r="D1610" t="s">
        <v>7863</v>
      </c>
      <c r="E1610" t="s">
        <v>7864</v>
      </c>
      <c r="G1610" t="s">
        <v>2224</v>
      </c>
      <c r="H1610" t="s">
        <v>2225</v>
      </c>
      <c r="J1610" t="s">
        <v>2226</v>
      </c>
      <c r="L1610" t="s">
        <v>72</v>
      </c>
      <c r="M1610" t="s">
        <v>73</v>
      </c>
      <c r="R1610" t="s">
        <v>7865</v>
      </c>
      <c r="W1610" t="s">
        <v>7864</v>
      </c>
      <c r="X1610" t="s">
        <v>496</v>
      </c>
      <c r="Y1610" t="s">
        <v>91</v>
      </c>
      <c r="Z1610" t="s">
        <v>74</v>
      </c>
      <c r="AA1610" t="str">
        <f>"10032-3726"</f>
        <v>10032-3726</v>
      </c>
      <c r="AB1610" t="s">
        <v>75</v>
      </c>
      <c r="AC1610" t="s">
        <v>76</v>
      </c>
      <c r="AD1610" t="s">
        <v>73</v>
      </c>
      <c r="AE1610" t="s">
        <v>77</v>
      </c>
      <c r="AF1610" t="s">
        <v>2228</v>
      </c>
      <c r="AG1610" t="s">
        <v>78</v>
      </c>
    </row>
    <row r="1611" spans="1:33" hidden="1" x14ac:dyDescent="0.25">
      <c r="A1611" t="str">
        <f>"1053422998"</f>
        <v>1053422998</v>
      </c>
      <c r="B1611" t="str">
        <f>"02155411"</f>
        <v>02155411</v>
      </c>
      <c r="C1611" t="s">
        <v>7866</v>
      </c>
      <c r="D1611" t="s">
        <v>7867</v>
      </c>
      <c r="E1611" t="s">
        <v>7868</v>
      </c>
      <c r="G1611" t="s">
        <v>2224</v>
      </c>
      <c r="H1611" t="s">
        <v>2225</v>
      </c>
      <c r="J1611" t="s">
        <v>2226</v>
      </c>
      <c r="L1611" t="s">
        <v>72</v>
      </c>
      <c r="M1611" t="s">
        <v>73</v>
      </c>
      <c r="R1611" t="s">
        <v>1180</v>
      </c>
      <c r="W1611" t="s">
        <v>7868</v>
      </c>
      <c r="X1611" t="s">
        <v>1679</v>
      </c>
      <c r="Y1611" t="s">
        <v>91</v>
      </c>
      <c r="Z1611" t="s">
        <v>74</v>
      </c>
      <c r="AA1611" t="str">
        <f>"10032-3720"</f>
        <v>10032-3720</v>
      </c>
      <c r="AB1611" t="s">
        <v>75</v>
      </c>
      <c r="AC1611" t="s">
        <v>76</v>
      </c>
      <c r="AD1611" t="s">
        <v>73</v>
      </c>
      <c r="AE1611" t="s">
        <v>77</v>
      </c>
      <c r="AF1611" t="s">
        <v>2228</v>
      </c>
      <c r="AG1611" t="s">
        <v>78</v>
      </c>
    </row>
    <row r="1612" spans="1:33" hidden="1" x14ac:dyDescent="0.25">
      <c r="A1612" t="str">
        <f>"1902059207"</f>
        <v>1902059207</v>
      </c>
      <c r="B1612" t="str">
        <f>"03236862"</f>
        <v>03236862</v>
      </c>
      <c r="C1612" t="s">
        <v>7869</v>
      </c>
      <c r="D1612" t="s">
        <v>7870</v>
      </c>
      <c r="E1612" t="s">
        <v>7871</v>
      </c>
      <c r="G1612" t="s">
        <v>2224</v>
      </c>
      <c r="H1612" t="s">
        <v>2225</v>
      </c>
      <c r="J1612" t="s">
        <v>2226</v>
      </c>
      <c r="L1612" t="s">
        <v>80</v>
      </c>
      <c r="M1612" t="s">
        <v>73</v>
      </c>
      <c r="R1612" t="s">
        <v>7872</v>
      </c>
      <c r="W1612" t="s">
        <v>7871</v>
      </c>
      <c r="X1612" t="s">
        <v>7873</v>
      </c>
      <c r="Y1612" t="s">
        <v>91</v>
      </c>
      <c r="Z1612" t="s">
        <v>74</v>
      </c>
      <c r="AA1612" t="str">
        <f>"10021-0000"</f>
        <v>10021-0000</v>
      </c>
      <c r="AB1612" t="s">
        <v>75</v>
      </c>
      <c r="AC1612" t="s">
        <v>76</v>
      </c>
      <c r="AD1612" t="s">
        <v>73</v>
      </c>
      <c r="AE1612" t="s">
        <v>77</v>
      </c>
      <c r="AF1612" t="s">
        <v>2242</v>
      </c>
      <c r="AG1612" t="s">
        <v>78</v>
      </c>
    </row>
    <row r="1613" spans="1:33" hidden="1" x14ac:dyDescent="0.25">
      <c r="A1613" t="str">
        <f>"1346405255"</f>
        <v>1346405255</v>
      </c>
      <c r="B1613" t="str">
        <f>"03347477"</f>
        <v>03347477</v>
      </c>
      <c r="C1613" t="s">
        <v>7874</v>
      </c>
      <c r="D1613" t="s">
        <v>7875</v>
      </c>
      <c r="E1613" t="s">
        <v>7876</v>
      </c>
      <c r="G1613" t="s">
        <v>2224</v>
      </c>
      <c r="H1613" t="s">
        <v>2225</v>
      </c>
      <c r="J1613" t="s">
        <v>2226</v>
      </c>
      <c r="L1613" t="s">
        <v>88</v>
      </c>
      <c r="M1613" t="s">
        <v>82</v>
      </c>
      <c r="R1613" t="s">
        <v>7877</v>
      </c>
      <c r="W1613" t="s">
        <v>7878</v>
      </c>
      <c r="X1613" t="s">
        <v>167</v>
      </c>
      <c r="Y1613" t="s">
        <v>91</v>
      </c>
      <c r="Z1613" t="s">
        <v>74</v>
      </c>
      <c r="AA1613" t="str">
        <f>"10032-3720"</f>
        <v>10032-3720</v>
      </c>
      <c r="AB1613" t="s">
        <v>75</v>
      </c>
      <c r="AC1613" t="s">
        <v>76</v>
      </c>
      <c r="AD1613" t="s">
        <v>73</v>
      </c>
      <c r="AE1613" t="s">
        <v>77</v>
      </c>
      <c r="AF1613" t="s">
        <v>2228</v>
      </c>
      <c r="AG1613" t="s">
        <v>78</v>
      </c>
    </row>
    <row r="1614" spans="1:33" hidden="1" x14ac:dyDescent="0.25">
      <c r="A1614" t="str">
        <f>"1902059074"</f>
        <v>1902059074</v>
      </c>
      <c r="B1614" t="str">
        <f>"03470037"</f>
        <v>03470037</v>
      </c>
      <c r="C1614" t="s">
        <v>7879</v>
      </c>
      <c r="D1614" t="s">
        <v>7880</v>
      </c>
      <c r="E1614" t="s">
        <v>7881</v>
      </c>
      <c r="G1614" t="s">
        <v>2224</v>
      </c>
      <c r="H1614" t="s">
        <v>2225</v>
      </c>
      <c r="J1614" t="s">
        <v>2226</v>
      </c>
      <c r="L1614" t="s">
        <v>80</v>
      </c>
      <c r="M1614" t="s">
        <v>73</v>
      </c>
      <c r="R1614" t="s">
        <v>7882</v>
      </c>
      <c r="W1614" t="s">
        <v>7881</v>
      </c>
      <c r="X1614" t="s">
        <v>167</v>
      </c>
      <c r="Y1614" t="s">
        <v>91</v>
      </c>
      <c r="Z1614" t="s">
        <v>74</v>
      </c>
      <c r="AA1614" t="str">
        <f>"10032-3720"</f>
        <v>10032-3720</v>
      </c>
      <c r="AB1614" t="s">
        <v>75</v>
      </c>
      <c r="AC1614" t="s">
        <v>76</v>
      </c>
      <c r="AD1614" t="s">
        <v>73</v>
      </c>
      <c r="AE1614" t="s">
        <v>77</v>
      </c>
      <c r="AF1614" t="s">
        <v>2254</v>
      </c>
      <c r="AG1614" t="s">
        <v>78</v>
      </c>
    </row>
    <row r="1615" spans="1:33" hidden="1" x14ac:dyDescent="0.25">
      <c r="A1615" t="str">
        <f>"1285721373"</f>
        <v>1285721373</v>
      </c>
      <c r="B1615" t="str">
        <f>"00915839"</f>
        <v>00915839</v>
      </c>
      <c r="C1615" t="s">
        <v>7883</v>
      </c>
      <c r="D1615" t="s">
        <v>7884</v>
      </c>
      <c r="E1615" t="s">
        <v>7885</v>
      </c>
      <c r="G1615" t="s">
        <v>2224</v>
      </c>
      <c r="H1615" t="s">
        <v>7886</v>
      </c>
      <c r="J1615" t="s">
        <v>2226</v>
      </c>
      <c r="L1615" t="s">
        <v>72</v>
      </c>
      <c r="M1615" t="s">
        <v>73</v>
      </c>
      <c r="R1615" t="s">
        <v>7887</v>
      </c>
      <c r="W1615" t="s">
        <v>7885</v>
      </c>
      <c r="X1615" t="s">
        <v>1583</v>
      </c>
      <c r="Y1615" t="s">
        <v>91</v>
      </c>
      <c r="Z1615" t="s">
        <v>74</v>
      </c>
      <c r="AA1615" t="str">
        <f>"10021-9800"</f>
        <v>10021-9800</v>
      </c>
      <c r="AB1615" t="s">
        <v>75</v>
      </c>
      <c r="AC1615" t="s">
        <v>76</v>
      </c>
      <c r="AD1615" t="s">
        <v>73</v>
      </c>
      <c r="AE1615" t="s">
        <v>77</v>
      </c>
      <c r="AF1615" t="s">
        <v>2242</v>
      </c>
      <c r="AG1615" t="s">
        <v>78</v>
      </c>
    </row>
    <row r="1616" spans="1:33" hidden="1" x14ac:dyDescent="0.25">
      <c r="A1616" t="str">
        <f>"1669814588"</f>
        <v>1669814588</v>
      </c>
      <c r="C1616" t="s">
        <v>7888</v>
      </c>
      <c r="G1616" t="s">
        <v>2224</v>
      </c>
      <c r="H1616" t="s">
        <v>7889</v>
      </c>
      <c r="J1616" t="s">
        <v>2226</v>
      </c>
      <c r="K1616" t="s">
        <v>171</v>
      </c>
      <c r="L1616" t="s">
        <v>96</v>
      </c>
      <c r="M1616" t="s">
        <v>73</v>
      </c>
      <c r="R1616" t="s">
        <v>7890</v>
      </c>
      <c r="S1616" t="s">
        <v>7891</v>
      </c>
      <c r="T1616" t="s">
        <v>7892</v>
      </c>
      <c r="U1616" t="s">
        <v>139</v>
      </c>
      <c r="V1616" t="str">
        <f>"074702932"</f>
        <v>074702932</v>
      </c>
      <c r="AC1616" t="s">
        <v>76</v>
      </c>
      <c r="AD1616" t="s">
        <v>73</v>
      </c>
      <c r="AE1616" t="s">
        <v>97</v>
      </c>
      <c r="AF1616" t="s">
        <v>2242</v>
      </c>
      <c r="AG1616" t="s">
        <v>78</v>
      </c>
    </row>
    <row r="1617" spans="1:33" hidden="1" x14ac:dyDescent="0.25">
      <c r="A1617" t="str">
        <f>"1750575148"</f>
        <v>1750575148</v>
      </c>
      <c r="B1617" t="str">
        <f>"03784163"</f>
        <v>03784163</v>
      </c>
      <c r="C1617" t="s">
        <v>7893</v>
      </c>
      <c r="D1617" t="s">
        <v>7894</v>
      </c>
      <c r="E1617" t="s">
        <v>7895</v>
      </c>
      <c r="G1617" t="s">
        <v>2224</v>
      </c>
      <c r="H1617" t="s">
        <v>7896</v>
      </c>
      <c r="J1617" t="s">
        <v>2226</v>
      </c>
      <c r="L1617" t="s">
        <v>80</v>
      </c>
      <c r="M1617" t="s">
        <v>73</v>
      </c>
      <c r="R1617" t="s">
        <v>7897</v>
      </c>
      <c r="W1617" t="s">
        <v>7895</v>
      </c>
      <c r="X1617" t="s">
        <v>170</v>
      </c>
      <c r="Y1617" t="s">
        <v>91</v>
      </c>
      <c r="Z1617" t="s">
        <v>74</v>
      </c>
      <c r="AA1617" t="str">
        <f>"10065-4870"</f>
        <v>10065-4870</v>
      </c>
      <c r="AB1617" t="s">
        <v>75</v>
      </c>
      <c r="AC1617" t="s">
        <v>76</v>
      </c>
      <c r="AD1617" t="s">
        <v>73</v>
      </c>
      <c r="AE1617" t="s">
        <v>77</v>
      </c>
      <c r="AF1617" t="s">
        <v>2242</v>
      </c>
      <c r="AG1617" t="s">
        <v>78</v>
      </c>
    </row>
    <row r="1618" spans="1:33" hidden="1" x14ac:dyDescent="0.25">
      <c r="A1618" t="str">
        <f>"1174555874"</f>
        <v>1174555874</v>
      </c>
      <c r="B1618" t="str">
        <f>"01378601"</f>
        <v>01378601</v>
      </c>
      <c r="C1618" t="s">
        <v>7898</v>
      </c>
      <c r="D1618" t="s">
        <v>7899</v>
      </c>
      <c r="E1618" t="s">
        <v>7900</v>
      </c>
      <c r="G1618" t="s">
        <v>2224</v>
      </c>
      <c r="H1618" t="s">
        <v>7901</v>
      </c>
      <c r="J1618" t="s">
        <v>2226</v>
      </c>
      <c r="L1618" t="s">
        <v>80</v>
      </c>
      <c r="M1618" t="s">
        <v>73</v>
      </c>
      <c r="R1618" t="s">
        <v>7902</v>
      </c>
      <c r="W1618" t="s">
        <v>7900</v>
      </c>
      <c r="X1618" t="s">
        <v>167</v>
      </c>
      <c r="Y1618" t="s">
        <v>91</v>
      </c>
      <c r="Z1618" t="s">
        <v>74</v>
      </c>
      <c r="AA1618" t="str">
        <f>"10032-3720"</f>
        <v>10032-3720</v>
      </c>
      <c r="AB1618" t="s">
        <v>75</v>
      </c>
      <c r="AC1618" t="s">
        <v>76</v>
      </c>
      <c r="AD1618" t="s">
        <v>73</v>
      </c>
      <c r="AE1618" t="s">
        <v>77</v>
      </c>
      <c r="AF1618" t="s">
        <v>2228</v>
      </c>
      <c r="AG1618" t="s">
        <v>78</v>
      </c>
    </row>
    <row r="1619" spans="1:33" hidden="1" x14ac:dyDescent="0.25">
      <c r="A1619" t="str">
        <f>"1396870309"</f>
        <v>1396870309</v>
      </c>
      <c r="B1619" t="str">
        <f>"03346009"</f>
        <v>03346009</v>
      </c>
      <c r="C1619" t="s">
        <v>7903</v>
      </c>
      <c r="D1619" t="s">
        <v>1062</v>
      </c>
      <c r="E1619" t="s">
        <v>1063</v>
      </c>
      <c r="G1619" t="s">
        <v>749</v>
      </c>
      <c r="H1619" t="s">
        <v>320</v>
      </c>
      <c r="J1619" t="s">
        <v>750</v>
      </c>
      <c r="L1619" t="s">
        <v>81</v>
      </c>
      <c r="M1619" t="s">
        <v>73</v>
      </c>
      <c r="R1619" t="s">
        <v>1063</v>
      </c>
      <c r="W1619" t="s">
        <v>1063</v>
      </c>
      <c r="X1619" t="s">
        <v>1064</v>
      </c>
      <c r="Y1619" t="s">
        <v>84</v>
      </c>
      <c r="Z1619" t="s">
        <v>74</v>
      </c>
      <c r="AA1619" t="str">
        <f>"11206-2501"</f>
        <v>11206-2501</v>
      </c>
      <c r="AB1619" t="s">
        <v>75</v>
      </c>
      <c r="AC1619" t="s">
        <v>76</v>
      </c>
      <c r="AD1619" t="s">
        <v>73</v>
      </c>
      <c r="AE1619" t="s">
        <v>77</v>
      </c>
      <c r="AF1619" t="s">
        <v>2445</v>
      </c>
      <c r="AG1619" t="s">
        <v>78</v>
      </c>
    </row>
    <row r="1620" spans="1:33" hidden="1" x14ac:dyDescent="0.25">
      <c r="A1620" t="str">
        <f>"1194741819"</f>
        <v>1194741819</v>
      </c>
      <c r="B1620" t="str">
        <f>"01369626"</f>
        <v>01369626</v>
      </c>
      <c r="C1620" t="s">
        <v>7904</v>
      </c>
      <c r="D1620" t="s">
        <v>666</v>
      </c>
      <c r="E1620" t="s">
        <v>667</v>
      </c>
      <c r="G1620" t="s">
        <v>749</v>
      </c>
      <c r="H1620" t="s">
        <v>320</v>
      </c>
      <c r="J1620" t="s">
        <v>750</v>
      </c>
      <c r="L1620" t="s">
        <v>81</v>
      </c>
      <c r="M1620" t="s">
        <v>73</v>
      </c>
      <c r="R1620" t="s">
        <v>668</v>
      </c>
      <c r="W1620" t="s">
        <v>667</v>
      </c>
      <c r="X1620" t="s">
        <v>669</v>
      </c>
      <c r="Y1620" t="s">
        <v>149</v>
      </c>
      <c r="Z1620" t="s">
        <v>74</v>
      </c>
      <c r="AA1620" t="str">
        <f>"11432-3730"</f>
        <v>11432-3730</v>
      </c>
      <c r="AB1620" t="s">
        <v>75</v>
      </c>
      <c r="AC1620" t="s">
        <v>76</v>
      </c>
      <c r="AD1620" t="s">
        <v>73</v>
      </c>
      <c r="AE1620" t="s">
        <v>77</v>
      </c>
      <c r="AF1620" t="s">
        <v>2445</v>
      </c>
      <c r="AG1620" t="s">
        <v>78</v>
      </c>
    </row>
    <row r="1621" spans="1:33" hidden="1" x14ac:dyDescent="0.25">
      <c r="A1621" t="str">
        <f>"1265570451"</f>
        <v>1265570451</v>
      </c>
      <c r="B1621" t="str">
        <f>"03078026"</f>
        <v>03078026</v>
      </c>
      <c r="C1621" t="s">
        <v>1852</v>
      </c>
      <c r="D1621" t="s">
        <v>834</v>
      </c>
      <c r="E1621" t="s">
        <v>835</v>
      </c>
      <c r="G1621" t="s">
        <v>749</v>
      </c>
      <c r="H1621" t="s">
        <v>320</v>
      </c>
      <c r="J1621" t="s">
        <v>750</v>
      </c>
      <c r="L1621" t="s">
        <v>80</v>
      </c>
      <c r="M1621" t="s">
        <v>82</v>
      </c>
      <c r="R1621" t="s">
        <v>835</v>
      </c>
      <c r="W1621" t="s">
        <v>836</v>
      </c>
      <c r="X1621" t="s">
        <v>210</v>
      </c>
      <c r="Y1621" t="s">
        <v>208</v>
      </c>
      <c r="Z1621" t="s">
        <v>74</v>
      </c>
      <c r="AA1621" t="str">
        <f>"11418-2618"</f>
        <v>11418-2618</v>
      </c>
      <c r="AB1621" t="s">
        <v>107</v>
      </c>
      <c r="AC1621" t="s">
        <v>76</v>
      </c>
      <c r="AD1621" t="s">
        <v>73</v>
      </c>
      <c r="AE1621" t="s">
        <v>77</v>
      </c>
      <c r="AF1621" t="s">
        <v>2445</v>
      </c>
      <c r="AG1621" t="s">
        <v>78</v>
      </c>
    </row>
    <row r="1622" spans="1:33" hidden="1" x14ac:dyDescent="0.25">
      <c r="A1622" t="str">
        <f>"1750489423"</f>
        <v>1750489423</v>
      </c>
      <c r="B1622" t="str">
        <f>"00843123"</f>
        <v>00843123</v>
      </c>
      <c r="C1622" t="s">
        <v>2210</v>
      </c>
      <c r="D1622" t="s">
        <v>720</v>
      </c>
      <c r="E1622" t="s">
        <v>721</v>
      </c>
      <c r="G1622" t="s">
        <v>749</v>
      </c>
      <c r="H1622" t="s">
        <v>320</v>
      </c>
      <c r="J1622" t="s">
        <v>750</v>
      </c>
      <c r="L1622" t="s">
        <v>80</v>
      </c>
      <c r="M1622" t="s">
        <v>82</v>
      </c>
      <c r="R1622" t="s">
        <v>722</v>
      </c>
      <c r="W1622" t="s">
        <v>721</v>
      </c>
      <c r="X1622" t="s">
        <v>723</v>
      </c>
      <c r="Y1622" t="s">
        <v>192</v>
      </c>
      <c r="Z1622" t="s">
        <v>74</v>
      </c>
      <c r="AA1622" t="str">
        <f>"11374-3335"</f>
        <v>11374-3335</v>
      </c>
      <c r="AB1622" t="s">
        <v>75</v>
      </c>
      <c r="AC1622" t="s">
        <v>76</v>
      </c>
      <c r="AD1622" t="s">
        <v>73</v>
      </c>
      <c r="AE1622" t="s">
        <v>77</v>
      </c>
      <c r="AF1622" t="s">
        <v>2445</v>
      </c>
      <c r="AG1622" t="s">
        <v>78</v>
      </c>
    </row>
    <row r="1623" spans="1:33" hidden="1" x14ac:dyDescent="0.25">
      <c r="A1623" t="str">
        <f>"1538302062"</f>
        <v>1538302062</v>
      </c>
      <c r="B1623" t="str">
        <f>"03944910"</f>
        <v>03944910</v>
      </c>
      <c r="C1623" t="s">
        <v>7905</v>
      </c>
      <c r="D1623" t="s">
        <v>7906</v>
      </c>
      <c r="E1623" t="s">
        <v>7907</v>
      </c>
      <c r="G1623" t="s">
        <v>2224</v>
      </c>
      <c r="H1623" t="s">
        <v>2312</v>
      </c>
      <c r="J1623" t="s">
        <v>2226</v>
      </c>
      <c r="L1623" t="s">
        <v>80</v>
      </c>
      <c r="M1623" t="s">
        <v>73</v>
      </c>
      <c r="R1623" t="s">
        <v>7908</v>
      </c>
      <c r="W1623" t="s">
        <v>7907</v>
      </c>
      <c r="X1623" t="s">
        <v>167</v>
      </c>
      <c r="Y1623" t="s">
        <v>91</v>
      </c>
      <c r="Z1623" t="s">
        <v>74</v>
      </c>
      <c r="AA1623" t="str">
        <f>"10032-3720"</f>
        <v>10032-3720</v>
      </c>
      <c r="AB1623" t="s">
        <v>75</v>
      </c>
      <c r="AC1623" t="s">
        <v>76</v>
      </c>
      <c r="AD1623" t="s">
        <v>73</v>
      </c>
      <c r="AE1623" t="s">
        <v>77</v>
      </c>
      <c r="AF1623" t="s">
        <v>2228</v>
      </c>
      <c r="AG1623" t="s">
        <v>78</v>
      </c>
    </row>
    <row r="1624" spans="1:33" hidden="1" x14ac:dyDescent="0.25">
      <c r="A1624" t="str">
        <f>"1356357685"</f>
        <v>1356357685</v>
      </c>
      <c r="B1624" t="str">
        <f>"01574652"</f>
        <v>01574652</v>
      </c>
      <c r="C1624" t="s">
        <v>7909</v>
      </c>
      <c r="D1624" t="s">
        <v>7910</v>
      </c>
      <c r="E1624" t="s">
        <v>7909</v>
      </c>
      <c r="L1624" t="s">
        <v>16</v>
      </c>
      <c r="M1624" t="s">
        <v>82</v>
      </c>
      <c r="R1624" t="s">
        <v>7909</v>
      </c>
      <c r="W1624" t="s">
        <v>7909</v>
      </c>
      <c r="X1624" t="s">
        <v>7911</v>
      </c>
      <c r="Y1624" t="s">
        <v>91</v>
      </c>
      <c r="Z1624" t="s">
        <v>74</v>
      </c>
      <c r="AA1624" t="str">
        <f>"10032-5007"</f>
        <v>10032-5007</v>
      </c>
      <c r="AB1624" t="s">
        <v>119</v>
      </c>
      <c r="AC1624" t="s">
        <v>76</v>
      </c>
      <c r="AD1624" t="s">
        <v>73</v>
      </c>
      <c r="AE1624" t="s">
        <v>77</v>
      </c>
      <c r="AG1624" t="s">
        <v>78</v>
      </c>
    </row>
    <row r="1625" spans="1:33" hidden="1" x14ac:dyDescent="0.25">
      <c r="A1625" t="str">
        <f>"1366559551"</f>
        <v>1366559551</v>
      </c>
      <c r="B1625" t="str">
        <f>"02144498"</f>
        <v>02144498</v>
      </c>
      <c r="C1625" t="s">
        <v>1873</v>
      </c>
      <c r="D1625" t="s">
        <v>1871</v>
      </c>
      <c r="E1625" t="s">
        <v>1872</v>
      </c>
      <c r="L1625" t="s">
        <v>16</v>
      </c>
      <c r="M1625" t="s">
        <v>82</v>
      </c>
      <c r="R1625" t="s">
        <v>1873</v>
      </c>
      <c r="W1625" t="s">
        <v>1872</v>
      </c>
      <c r="X1625" t="s">
        <v>1874</v>
      </c>
      <c r="Y1625" t="s">
        <v>91</v>
      </c>
      <c r="Z1625" t="s">
        <v>74</v>
      </c>
      <c r="AA1625" t="str">
        <f>"10032"</f>
        <v>10032</v>
      </c>
      <c r="AB1625" t="s">
        <v>119</v>
      </c>
      <c r="AC1625" t="s">
        <v>76</v>
      </c>
      <c r="AD1625" t="s">
        <v>73</v>
      </c>
      <c r="AE1625" t="s">
        <v>77</v>
      </c>
      <c r="AG1625" t="s">
        <v>78</v>
      </c>
    </row>
    <row r="1626" spans="1:33" hidden="1" x14ac:dyDescent="0.25">
      <c r="A1626" t="str">
        <f>"1801922679"</f>
        <v>1801922679</v>
      </c>
      <c r="B1626" t="str">
        <f>"03835903"</f>
        <v>03835903</v>
      </c>
      <c r="C1626" t="s">
        <v>7912</v>
      </c>
      <c r="D1626" t="s">
        <v>7913</v>
      </c>
      <c r="E1626" t="s">
        <v>7914</v>
      </c>
      <c r="G1626" t="s">
        <v>2224</v>
      </c>
      <c r="H1626" t="s">
        <v>7915</v>
      </c>
      <c r="J1626" t="s">
        <v>2226</v>
      </c>
      <c r="L1626" t="s">
        <v>80</v>
      </c>
      <c r="M1626" t="s">
        <v>73</v>
      </c>
      <c r="R1626" t="s">
        <v>7914</v>
      </c>
      <c r="W1626" t="s">
        <v>7914</v>
      </c>
      <c r="X1626" t="s">
        <v>170</v>
      </c>
      <c r="Y1626" t="s">
        <v>91</v>
      </c>
      <c r="Z1626" t="s">
        <v>74</v>
      </c>
      <c r="AA1626" t="str">
        <f>"10065-4870"</f>
        <v>10065-4870</v>
      </c>
      <c r="AB1626" t="s">
        <v>75</v>
      </c>
      <c r="AC1626" t="s">
        <v>76</v>
      </c>
      <c r="AD1626" t="s">
        <v>73</v>
      </c>
      <c r="AE1626" t="s">
        <v>77</v>
      </c>
      <c r="AF1626" t="s">
        <v>2242</v>
      </c>
      <c r="AG1626" t="s">
        <v>78</v>
      </c>
    </row>
    <row r="1627" spans="1:33" hidden="1" x14ac:dyDescent="0.25">
      <c r="A1627" t="str">
        <f>"1922049139"</f>
        <v>1922049139</v>
      </c>
      <c r="C1627" t="s">
        <v>7916</v>
      </c>
      <c r="G1627" t="s">
        <v>2224</v>
      </c>
      <c r="H1627" t="s">
        <v>7917</v>
      </c>
      <c r="J1627" t="s">
        <v>2226</v>
      </c>
      <c r="K1627" t="s">
        <v>171</v>
      </c>
      <c r="L1627" t="s">
        <v>96</v>
      </c>
      <c r="M1627" t="s">
        <v>73</v>
      </c>
      <c r="R1627" t="s">
        <v>7918</v>
      </c>
      <c r="S1627" t="s">
        <v>3321</v>
      </c>
      <c r="T1627" t="s">
        <v>91</v>
      </c>
      <c r="U1627" t="s">
        <v>74</v>
      </c>
      <c r="V1627" t="str">
        <f>"100654870"</f>
        <v>100654870</v>
      </c>
      <c r="AC1627" t="s">
        <v>76</v>
      </c>
      <c r="AD1627" t="s">
        <v>73</v>
      </c>
      <c r="AE1627" t="s">
        <v>97</v>
      </c>
      <c r="AF1627" t="s">
        <v>2242</v>
      </c>
      <c r="AG1627" t="s">
        <v>78</v>
      </c>
    </row>
    <row r="1628" spans="1:33" hidden="1" x14ac:dyDescent="0.25">
      <c r="A1628" t="str">
        <f>"1962600064"</f>
        <v>1962600064</v>
      </c>
      <c r="B1628" t="str">
        <f>"02944530"</f>
        <v>02944530</v>
      </c>
      <c r="C1628" t="s">
        <v>7919</v>
      </c>
      <c r="D1628" t="s">
        <v>7920</v>
      </c>
      <c r="E1628" t="s">
        <v>7921</v>
      </c>
      <c r="G1628" t="s">
        <v>2224</v>
      </c>
      <c r="H1628" t="s">
        <v>7922</v>
      </c>
      <c r="J1628" t="s">
        <v>2226</v>
      </c>
      <c r="L1628" t="s">
        <v>80</v>
      </c>
      <c r="M1628" t="s">
        <v>73</v>
      </c>
      <c r="R1628" t="s">
        <v>7923</v>
      </c>
      <c r="W1628" t="s">
        <v>7921</v>
      </c>
      <c r="X1628" t="s">
        <v>170</v>
      </c>
      <c r="Y1628" t="s">
        <v>91</v>
      </c>
      <c r="Z1628" t="s">
        <v>74</v>
      </c>
      <c r="AA1628" t="str">
        <f>"10065-4870"</f>
        <v>10065-4870</v>
      </c>
      <c r="AB1628" t="s">
        <v>75</v>
      </c>
      <c r="AC1628" t="s">
        <v>76</v>
      </c>
      <c r="AD1628" t="s">
        <v>73</v>
      </c>
      <c r="AE1628" t="s">
        <v>77</v>
      </c>
      <c r="AF1628" t="s">
        <v>2242</v>
      </c>
      <c r="AG1628" t="s">
        <v>78</v>
      </c>
    </row>
    <row r="1629" spans="1:33" hidden="1" x14ac:dyDescent="0.25">
      <c r="A1629" t="str">
        <f>"1245495894"</f>
        <v>1245495894</v>
      </c>
      <c r="C1629" t="s">
        <v>7924</v>
      </c>
      <c r="G1629" t="s">
        <v>2224</v>
      </c>
      <c r="H1629" t="s">
        <v>3869</v>
      </c>
      <c r="J1629" t="s">
        <v>2226</v>
      </c>
      <c r="K1629" t="s">
        <v>171</v>
      </c>
      <c r="L1629" t="s">
        <v>96</v>
      </c>
      <c r="M1629" t="s">
        <v>73</v>
      </c>
      <c r="R1629" t="s">
        <v>7925</v>
      </c>
      <c r="S1629" t="s">
        <v>3321</v>
      </c>
      <c r="T1629" t="s">
        <v>91</v>
      </c>
      <c r="U1629" t="s">
        <v>74</v>
      </c>
      <c r="V1629" t="str">
        <f>"100654870"</f>
        <v>100654870</v>
      </c>
      <c r="AC1629" t="s">
        <v>76</v>
      </c>
      <c r="AD1629" t="s">
        <v>73</v>
      </c>
      <c r="AE1629" t="s">
        <v>97</v>
      </c>
      <c r="AF1629" t="s">
        <v>2234</v>
      </c>
      <c r="AG1629" t="s">
        <v>78</v>
      </c>
    </row>
    <row r="1630" spans="1:33" hidden="1" x14ac:dyDescent="0.25">
      <c r="A1630" t="str">
        <f>"1891844700"</f>
        <v>1891844700</v>
      </c>
      <c r="B1630" t="str">
        <f>"03579559"</f>
        <v>03579559</v>
      </c>
      <c r="C1630" t="s">
        <v>7926</v>
      </c>
      <c r="D1630" t="s">
        <v>7927</v>
      </c>
      <c r="E1630" t="s">
        <v>7928</v>
      </c>
      <c r="L1630" t="s">
        <v>80</v>
      </c>
      <c r="M1630" t="s">
        <v>73</v>
      </c>
      <c r="R1630" t="s">
        <v>7928</v>
      </c>
      <c r="W1630" t="s">
        <v>7928</v>
      </c>
      <c r="X1630" t="s">
        <v>2693</v>
      </c>
      <c r="Y1630" t="s">
        <v>91</v>
      </c>
      <c r="Z1630" t="s">
        <v>74</v>
      </c>
      <c r="AA1630" t="str">
        <f>"10065-4870"</f>
        <v>10065-4870</v>
      </c>
      <c r="AB1630" t="s">
        <v>75</v>
      </c>
      <c r="AC1630" t="s">
        <v>76</v>
      </c>
      <c r="AD1630" t="s">
        <v>73</v>
      </c>
      <c r="AE1630" t="s">
        <v>77</v>
      </c>
      <c r="AF1630" t="s">
        <v>2242</v>
      </c>
      <c r="AG1630" t="s">
        <v>78</v>
      </c>
    </row>
    <row r="1631" spans="1:33" hidden="1" x14ac:dyDescent="0.25">
      <c r="A1631" t="str">
        <f>"1245475359"</f>
        <v>1245475359</v>
      </c>
      <c r="B1631" t="str">
        <f>"03099869"</f>
        <v>03099869</v>
      </c>
      <c r="C1631" t="s">
        <v>7929</v>
      </c>
      <c r="D1631" t="s">
        <v>7930</v>
      </c>
      <c r="E1631" t="s">
        <v>7931</v>
      </c>
      <c r="G1631" t="s">
        <v>2224</v>
      </c>
      <c r="H1631" t="s">
        <v>2225</v>
      </c>
      <c r="J1631" t="s">
        <v>2226</v>
      </c>
      <c r="L1631" t="s">
        <v>72</v>
      </c>
      <c r="M1631" t="s">
        <v>73</v>
      </c>
      <c r="R1631" t="s">
        <v>7931</v>
      </c>
      <c r="W1631" t="s">
        <v>7931</v>
      </c>
      <c r="X1631" t="s">
        <v>2116</v>
      </c>
      <c r="Y1631" t="s">
        <v>91</v>
      </c>
      <c r="Z1631" t="s">
        <v>74</v>
      </c>
      <c r="AA1631" t="str">
        <f>"10034-4915"</f>
        <v>10034-4915</v>
      </c>
      <c r="AB1631" t="s">
        <v>106</v>
      </c>
      <c r="AC1631" t="s">
        <v>76</v>
      </c>
      <c r="AD1631" t="s">
        <v>73</v>
      </c>
      <c r="AE1631" t="s">
        <v>77</v>
      </c>
      <c r="AF1631" t="s">
        <v>2254</v>
      </c>
      <c r="AG1631" t="s">
        <v>78</v>
      </c>
    </row>
    <row r="1632" spans="1:33" hidden="1" x14ac:dyDescent="0.25">
      <c r="A1632" t="str">
        <f>"1831162981"</f>
        <v>1831162981</v>
      </c>
      <c r="B1632" t="str">
        <f>"01099238"</f>
        <v>01099238</v>
      </c>
      <c r="C1632" t="s">
        <v>7932</v>
      </c>
      <c r="D1632" t="s">
        <v>7933</v>
      </c>
      <c r="E1632" t="s">
        <v>7934</v>
      </c>
      <c r="G1632" t="s">
        <v>2224</v>
      </c>
      <c r="H1632" t="s">
        <v>2225</v>
      </c>
      <c r="J1632" t="s">
        <v>2226</v>
      </c>
      <c r="L1632" t="s">
        <v>81</v>
      </c>
      <c r="M1632" t="s">
        <v>82</v>
      </c>
      <c r="R1632" t="s">
        <v>7935</v>
      </c>
      <c r="W1632" t="s">
        <v>7934</v>
      </c>
      <c r="X1632" t="s">
        <v>1366</v>
      </c>
      <c r="Y1632" t="s">
        <v>91</v>
      </c>
      <c r="Z1632" t="s">
        <v>74</v>
      </c>
      <c r="AA1632" t="str">
        <f>"10032-3720"</f>
        <v>10032-3720</v>
      </c>
      <c r="AB1632" t="s">
        <v>75</v>
      </c>
      <c r="AC1632" t="s">
        <v>76</v>
      </c>
      <c r="AD1632" t="s">
        <v>73</v>
      </c>
      <c r="AE1632" t="s">
        <v>77</v>
      </c>
      <c r="AF1632" t="s">
        <v>2228</v>
      </c>
      <c r="AG1632" t="s">
        <v>78</v>
      </c>
    </row>
    <row r="1633" spans="1:33" hidden="1" x14ac:dyDescent="0.25">
      <c r="A1633" t="str">
        <f>"1831254721"</f>
        <v>1831254721</v>
      </c>
      <c r="B1633" t="str">
        <f>"01059705"</f>
        <v>01059705</v>
      </c>
      <c r="C1633" t="s">
        <v>7936</v>
      </c>
      <c r="D1633" t="s">
        <v>7937</v>
      </c>
      <c r="E1633" t="s">
        <v>7938</v>
      </c>
      <c r="G1633" t="s">
        <v>2224</v>
      </c>
      <c r="H1633" t="s">
        <v>2225</v>
      </c>
      <c r="J1633" t="s">
        <v>2226</v>
      </c>
      <c r="L1633" t="s">
        <v>81</v>
      </c>
      <c r="M1633" t="s">
        <v>82</v>
      </c>
      <c r="R1633" t="s">
        <v>7939</v>
      </c>
      <c r="W1633" t="s">
        <v>7938</v>
      </c>
      <c r="Y1633" t="s">
        <v>91</v>
      </c>
      <c r="Z1633" t="s">
        <v>74</v>
      </c>
      <c r="AA1633" t="str">
        <f>"10032-3720"</f>
        <v>10032-3720</v>
      </c>
      <c r="AB1633" t="s">
        <v>75</v>
      </c>
      <c r="AC1633" t="s">
        <v>76</v>
      </c>
      <c r="AD1633" t="s">
        <v>73</v>
      </c>
      <c r="AE1633" t="s">
        <v>77</v>
      </c>
      <c r="AF1633" t="s">
        <v>2254</v>
      </c>
      <c r="AG1633" t="s">
        <v>78</v>
      </c>
    </row>
    <row r="1634" spans="1:33" hidden="1" x14ac:dyDescent="0.25">
      <c r="A1634" t="str">
        <f>"1679507594"</f>
        <v>1679507594</v>
      </c>
      <c r="C1634" t="s">
        <v>7940</v>
      </c>
      <c r="K1634" t="s">
        <v>36</v>
      </c>
      <c r="L1634" t="s">
        <v>96</v>
      </c>
      <c r="M1634" t="s">
        <v>73</v>
      </c>
      <c r="R1634" t="s">
        <v>7941</v>
      </c>
      <c r="S1634" t="s">
        <v>7942</v>
      </c>
      <c r="T1634" t="s">
        <v>91</v>
      </c>
      <c r="U1634" t="s">
        <v>74</v>
      </c>
      <c r="V1634" t="str">
        <f>"100323720"</f>
        <v>100323720</v>
      </c>
      <c r="AC1634" t="s">
        <v>76</v>
      </c>
      <c r="AD1634" t="s">
        <v>73</v>
      </c>
      <c r="AE1634" t="s">
        <v>97</v>
      </c>
      <c r="AG1634" t="s">
        <v>78</v>
      </c>
    </row>
    <row r="1635" spans="1:33" hidden="1" x14ac:dyDescent="0.25">
      <c r="A1635" t="str">
        <f>"1497894703"</f>
        <v>1497894703</v>
      </c>
      <c r="C1635" t="s">
        <v>7943</v>
      </c>
      <c r="K1635" t="s">
        <v>36</v>
      </c>
      <c r="L1635" t="s">
        <v>96</v>
      </c>
      <c r="M1635" t="s">
        <v>73</v>
      </c>
      <c r="R1635" t="s">
        <v>7943</v>
      </c>
      <c r="S1635" t="s">
        <v>7944</v>
      </c>
      <c r="T1635" t="s">
        <v>91</v>
      </c>
      <c r="U1635" t="s">
        <v>74</v>
      </c>
      <c r="V1635" t="str">
        <f>"100323729"</f>
        <v>100323729</v>
      </c>
      <c r="AC1635" t="s">
        <v>76</v>
      </c>
      <c r="AD1635" t="s">
        <v>73</v>
      </c>
      <c r="AE1635" t="s">
        <v>97</v>
      </c>
      <c r="AG1635" t="s">
        <v>78</v>
      </c>
    </row>
    <row r="1636" spans="1:33" hidden="1" x14ac:dyDescent="0.25">
      <c r="A1636" t="str">
        <f>"1306069315"</f>
        <v>1306069315</v>
      </c>
      <c r="B1636" t="str">
        <f>"02916925"</f>
        <v>02916925</v>
      </c>
      <c r="C1636" t="s">
        <v>7945</v>
      </c>
      <c r="D1636" t="s">
        <v>7946</v>
      </c>
      <c r="E1636" t="s">
        <v>7947</v>
      </c>
      <c r="L1636" t="s">
        <v>36</v>
      </c>
      <c r="M1636" t="s">
        <v>73</v>
      </c>
      <c r="R1636" t="s">
        <v>7945</v>
      </c>
      <c r="W1636" t="s">
        <v>7947</v>
      </c>
      <c r="X1636" t="s">
        <v>183</v>
      </c>
      <c r="Y1636" t="s">
        <v>91</v>
      </c>
      <c r="Z1636" t="s">
        <v>74</v>
      </c>
      <c r="AA1636" t="str">
        <f>"10032-3729"</f>
        <v>10032-3729</v>
      </c>
      <c r="AB1636" t="s">
        <v>114</v>
      </c>
      <c r="AC1636" t="s">
        <v>76</v>
      </c>
      <c r="AD1636" t="s">
        <v>73</v>
      </c>
      <c r="AE1636" t="s">
        <v>77</v>
      </c>
      <c r="AG1636" t="s">
        <v>78</v>
      </c>
    </row>
    <row r="1637" spans="1:33" hidden="1" x14ac:dyDescent="0.25">
      <c r="A1637" t="str">
        <f>"1205886447"</f>
        <v>1205886447</v>
      </c>
      <c r="B1637" t="str">
        <f>"02953813"</f>
        <v>02953813</v>
      </c>
      <c r="C1637" t="s">
        <v>7948</v>
      </c>
      <c r="D1637" t="s">
        <v>7949</v>
      </c>
      <c r="E1637" t="s">
        <v>7950</v>
      </c>
      <c r="G1637" t="s">
        <v>2224</v>
      </c>
      <c r="H1637" t="s">
        <v>2225</v>
      </c>
      <c r="J1637" t="s">
        <v>2226</v>
      </c>
      <c r="L1637" t="s">
        <v>72</v>
      </c>
      <c r="M1637" t="s">
        <v>73</v>
      </c>
      <c r="R1637" t="s">
        <v>7950</v>
      </c>
      <c r="W1637" t="s">
        <v>7951</v>
      </c>
      <c r="X1637" t="s">
        <v>911</v>
      </c>
      <c r="Y1637" t="s">
        <v>185</v>
      </c>
      <c r="Z1637" t="s">
        <v>74</v>
      </c>
      <c r="AA1637" t="str">
        <f>"11106-4520"</f>
        <v>11106-4520</v>
      </c>
      <c r="AB1637" t="s">
        <v>75</v>
      </c>
      <c r="AC1637" t="s">
        <v>76</v>
      </c>
      <c r="AD1637" t="s">
        <v>73</v>
      </c>
      <c r="AE1637" t="s">
        <v>77</v>
      </c>
      <c r="AF1637" t="s">
        <v>2398</v>
      </c>
      <c r="AG1637" t="s">
        <v>78</v>
      </c>
    </row>
    <row r="1638" spans="1:33" hidden="1" x14ac:dyDescent="0.25">
      <c r="A1638" t="str">
        <f>"1083041131"</f>
        <v>1083041131</v>
      </c>
      <c r="B1638" t="str">
        <f>"03757595"</f>
        <v>03757595</v>
      </c>
      <c r="C1638" t="s">
        <v>7952</v>
      </c>
      <c r="D1638" t="s">
        <v>7953</v>
      </c>
      <c r="E1638" t="s">
        <v>7954</v>
      </c>
      <c r="G1638" t="s">
        <v>2224</v>
      </c>
      <c r="H1638" t="s">
        <v>2225</v>
      </c>
      <c r="J1638" t="s">
        <v>2226</v>
      </c>
      <c r="L1638" t="s">
        <v>72</v>
      </c>
      <c r="M1638" t="s">
        <v>73</v>
      </c>
      <c r="R1638" t="s">
        <v>7955</v>
      </c>
      <c r="W1638" t="s">
        <v>7954</v>
      </c>
      <c r="X1638" t="s">
        <v>3851</v>
      </c>
      <c r="Y1638" t="s">
        <v>91</v>
      </c>
      <c r="Z1638" t="s">
        <v>74</v>
      </c>
      <c r="AA1638" t="str">
        <f>"10032-0000"</f>
        <v>10032-0000</v>
      </c>
      <c r="AB1638" t="s">
        <v>75</v>
      </c>
      <c r="AC1638" t="s">
        <v>76</v>
      </c>
      <c r="AD1638" t="s">
        <v>73</v>
      </c>
      <c r="AE1638" t="s">
        <v>77</v>
      </c>
      <c r="AF1638" t="s">
        <v>2228</v>
      </c>
      <c r="AG1638" t="s">
        <v>78</v>
      </c>
    </row>
    <row r="1639" spans="1:33" hidden="1" x14ac:dyDescent="0.25">
      <c r="A1639" t="str">
        <f>"1851534671"</f>
        <v>1851534671</v>
      </c>
      <c r="B1639" t="str">
        <f>"03441756"</f>
        <v>03441756</v>
      </c>
      <c r="C1639" t="s">
        <v>7956</v>
      </c>
      <c r="D1639" t="s">
        <v>7957</v>
      </c>
      <c r="E1639" t="s">
        <v>7958</v>
      </c>
      <c r="G1639" t="s">
        <v>2224</v>
      </c>
      <c r="H1639" t="s">
        <v>5689</v>
      </c>
      <c r="J1639" t="s">
        <v>2226</v>
      </c>
      <c r="L1639" t="s">
        <v>72</v>
      </c>
      <c r="M1639" t="s">
        <v>73</v>
      </c>
      <c r="R1639" t="s">
        <v>7959</v>
      </c>
      <c r="W1639" t="s">
        <v>7958</v>
      </c>
      <c r="X1639" t="s">
        <v>167</v>
      </c>
      <c r="Y1639" t="s">
        <v>91</v>
      </c>
      <c r="Z1639" t="s">
        <v>74</v>
      </c>
      <c r="AA1639" t="str">
        <f>"10032-3720"</f>
        <v>10032-3720</v>
      </c>
      <c r="AB1639" t="s">
        <v>75</v>
      </c>
      <c r="AC1639" t="s">
        <v>76</v>
      </c>
      <c r="AD1639" t="s">
        <v>73</v>
      </c>
      <c r="AE1639" t="s">
        <v>77</v>
      </c>
      <c r="AF1639" t="s">
        <v>2228</v>
      </c>
      <c r="AG1639" t="s">
        <v>78</v>
      </c>
    </row>
    <row r="1640" spans="1:33" hidden="1" x14ac:dyDescent="0.25">
      <c r="A1640" t="str">
        <f>"1154436855"</f>
        <v>1154436855</v>
      </c>
      <c r="B1640" t="str">
        <f>"01757051"</f>
        <v>01757051</v>
      </c>
      <c r="C1640" t="s">
        <v>7960</v>
      </c>
      <c r="D1640" t="s">
        <v>7961</v>
      </c>
      <c r="E1640" t="s">
        <v>7962</v>
      </c>
      <c r="L1640" t="s">
        <v>108</v>
      </c>
      <c r="M1640" t="s">
        <v>82</v>
      </c>
      <c r="R1640" t="s">
        <v>7960</v>
      </c>
      <c r="W1640" t="s">
        <v>7962</v>
      </c>
      <c r="X1640" t="s">
        <v>354</v>
      </c>
      <c r="Y1640" t="s">
        <v>91</v>
      </c>
      <c r="Z1640" t="s">
        <v>74</v>
      </c>
      <c r="AA1640" t="str">
        <f>"10032-3725"</f>
        <v>10032-3725</v>
      </c>
      <c r="AB1640" t="s">
        <v>110</v>
      </c>
      <c r="AC1640" t="s">
        <v>76</v>
      </c>
      <c r="AD1640" t="s">
        <v>73</v>
      </c>
      <c r="AE1640" t="s">
        <v>77</v>
      </c>
      <c r="AG1640" t="s">
        <v>78</v>
      </c>
    </row>
    <row r="1641" spans="1:33" hidden="1" x14ac:dyDescent="0.25">
      <c r="A1641" t="str">
        <f>"1275863763"</f>
        <v>1275863763</v>
      </c>
      <c r="B1641" t="str">
        <f>"03302605"</f>
        <v>03302605</v>
      </c>
      <c r="C1641" t="s">
        <v>7963</v>
      </c>
      <c r="D1641" t="s">
        <v>7964</v>
      </c>
      <c r="E1641" t="s">
        <v>7965</v>
      </c>
      <c r="G1641" t="s">
        <v>2224</v>
      </c>
      <c r="H1641" t="s">
        <v>2225</v>
      </c>
      <c r="J1641" t="s">
        <v>2226</v>
      </c>
      <c r="L1641" t="s">
        <v>72</v>
      </c>
      <c r="M1641" t="s">
        <v>73</v>
      </c>
      <c r="R1641" t="s">
        <v>7965</v>
      </c>
      <c r="W1641" t="s">
        <v>7966</v>
      </c>
      <c r="X1641" t="s">
        <v>1695</v>
      </c>
      <c r="Y1641" t="s">
        <v>91</v>
      </c>
      <c r="Z1641" t="s">
        <v>74</v>
      </c>
      <c r="AA1641" t="str">
        <f>"10032-3720"</f>
        <v>10032-3720</v>
      </c>
      <c r="AB1641" t="s">
        <v>106</v>
      </c>
      <c r="AC1641" t="s">
        <v>76</v>
      </c>
      <c r="AD1641" t="s">
        <v>73</v>
      </c>
      <c r="AE1641" t="s">
        <v>77</v>
      </c>
      <c r="AF1641" t="s">
        <v>2254</v>
      </c>
      <c r="AG1641" t="s">
        <v>78</v>
      </c>
    </row>
    <row r="1642" spans="1:33" hidden="1" x14ac:dyDescent="0.25">
      <c r="A1642" t="str">
        <f>"1194959528"</f>
        <v>1194959528</v>
      </c>
      <c r="C1642" t="s">
        <v>7967</v>
      </c>
      <c r="G1642" t="s">
        <v>2224</v>
      </c>
      <c r="H1642" t="s">
        <v>2225</v>
      </c>
      <c r="J1642" t="s">
        <v>2226</v>
      </c>
      <c r="K1642" t="s">
        <v>93</v>
      </c>
      <c r="L1642" t="s">
        <v>72</v>
      </c>
      <c r="M1642" t="s">
        <v>73</v>
      </c>
      <c r="R1642" t="s">
        <v>7968</v>
      </c>
      <c r="S1642" t="s">
        <v>7969</v>
      </c>
      <c r="T1642" t="s">
        <v>155</v>
      </c>
      <c r="U1642" t="s">
        <v>74</v>
      </c>
      <c r="V1642" t="str">
        <f>"107103941"</f>
        <v>107103941</v>
      </c>
      <c r="AC1642" t="s">
        <v>76</v>
      </c>
      <c r="AD1642" t="s">
        <v>73</v>
      </c>
      <c r="AE1642" t="s">
        <v>97</v>
      </c>
      <c r="AF1642" t="s">
        <v>2234</v>
      </c>
      <c r="AG1642" t="s">
        <v>78</v>
      </c>
    </row>
    <row r="1643" spans="1:33" hidden="1" x14ac:dyDescent="0.25">
      <c r="A1643" t="str">
        <f>"1326350836"</f>
        <v>1326350836</v>
      </c>
      <c r="C1643" t="s">
        <v>7970</v>
      </c>
      <c r="G1643" t="s">
        <v>2224</v>
      </c>
      <c r="H1643" t="s">
        <v>2225</v>
      </c>
      <c r="J1643" t="s">
        <v>2226</v>
      </c>
      <c r="K1643" t="s">
        <v>93</v>
      </c>
      <c r="L1643" t="s">
        <v>72</v>
      </c>
      <c r="M1643" t="s">
        <v>73</v>
      </c>
      <c r="R1643" t="s">
        <v>7971</v>
      </c>
      <c r="S1643" t="s">
        <v>2131</v>
      </c>
      <c r="T1643" t="s">
        <v>91</v>
      </c>
      <c r="U1643" t="s">
        <v>74</v>
      </c>
      <c r="V1643" t="str">
        <f>"100104237"</f>
        <v>100104237</v>
      </c>
      <c r="AC1643" t="s">
        <v>76</v>
      </c>
      <c r="AD1643" t="s">
        <v>73</v>
      </c>
      <c r="AE1643" t="s">
        <v>97</v>
      </c>
      <c r="AF1643" t="s">
        <v>2234</v>
      </c>
      <c r="AG1643" t="s">
        <v>78</v>
      </c>
    </row>
    <row r="1644" spans="1:33" hidden="1" x14ac:dyDescent="0.25">
      <c r="A1644" t="str">
        <f>"1083859284"</f>
        <v>1083859284</v>
      </c>
      <c r="B1644" t="str">
        <f>"03100254"</f>
        <v>03100254</v>
      </c>
      <c r="C1644" t="s">
        <v>7972</v>
      </c>
      <c r="D1644" t="s">
        <v>7973</v>
      </c>
      <c r="E1644" t="s">
        <v>7974</v>
      </c>
      <c r="G1644" t="s">
        <v>2224</v>
      </c>
      <c r="H1644" t="s">
        <v>2225</v>
      </c>
      <c r="J1644" t="s">
        <v>2226</v>
      </c>
      <c r="L1644" t="s">
        <v>72</v>
      </c>
      <c r="M1644" t="s">
        <v>73</v>
      </c>
      <c r="R1644" t="s">
        <v>7975</v>
      </c>
      <c r="W1644" t="s">
        <v>7974</v>
      </c>
      <c r="X1644" t="s">
        <v>7782</v>
      </c>
      <c r="Y1644" t="s">
        <v>91</v>
      </c>
      <c r="Z1644" t="s">
        <v>74</v>
      </c>
      <c r="AA1644" t="str">
        <f>"10033-5002"</f>
        <v>10033-5002</v>
      </c>
      <c r="AB1644" t="s">
        <v>106</v>
      </c>
      <c r="AC1644" t="s">
        <v>76</v>
      </c>
      <c r="AD1644" t="s">
        <v>73</v>
      </c>
      <c r="AE1644" t="s">
        <v>77</v>
      </c>
      <c r="AF1644" t="s">
        <v>2234</v>
      </c>
      <c r="AG1644" t="s">
        <v>78</v>
      </c>
    </row>
    <row r="1645" spans="1:33" hidden="1" x14ac:dyDescent="0.25">
      <c r="A1645" t="str">
        <f>"1659512432"</f>
        <v>1659512432</v>
      </c>
      <c r="B1645" t="str">
        <f>"03099850"</f>
        <v>03099850</v>
      </c>
      <c r="C1645" t="s">
        <v>7976</v>
      </c>
      <c r="D1645" t="s">
        <v>7977</v>
      </c>
      <c r="E1645" t="s">
        <v>7978</v>
      </c>
      <c r="G1645" t="s">
        <v>2224</v>
      </c>
      <c r="H1645" t="s">
        <v>2225</v>
      </c>
      <c r="J1645" t="s">
        <v>2226</v>
      </c>
      <c r="L1645" t="s">
        <v>72</v>
      </c>
      <c r="M1645" t="s">
        <v>73</v>
      </c>
      <c r="R1645" t="s">
        <v>7979</v>
      </c>
      <c r="W1645" t="s">
        <v>7978</v>
      </c>
      <c r="X1645" t="s">
        <v>3407</v>
      </c>
      <c r="Y1645" t="s">
        <v>91</v>
      </c>
      <c r="Z1645" t="s">
        <v>74</v>
      </c>
      <c r="AA1645" t="str">
        <f>"10032-3720"</f>
        <v>10032-3720</v>
      </c>
      <c r="AB1645" t="s">
        <v>106</v>
      </c>
      <c r="AC1645" t="s">
        <v>76</v>
      </c>
      <c r="AD1645" t="s">
        <v>73</v>
      </c>
      <c r="AE1645" t="s">
        <v>77</v>
      </c>
      <c r="AF1645" t="s">
        <v>2234</v>
      </c>
      <c r="AG1645" t="s">
        <v>78</v>
      </c>
    </row>
    <row r="1646" spans="1:33" hidden="1" x14ac:dyDescent="0.25">
      <c r="A1646" t="str">
        <f>"1740414655"</f>
        <v>1740414655</v>
      </c>
      <c r="B1646" t="str">
        <f>"04502618"</f>
        <v>04502618</v>
      </c>
      <c r="C1646" t="s">
        <v>7980</v>
      </c>
      <c r="D1646" t="s">
        <v>7981</v>
      </c>
      <c r="E1646" t="s">
        <v>7982</v>
      </c>
      <c r="G1646" t="s">
        <v>2224</v>
      </c>
      <c r="H1646" t="s">
        <v>2225</v>
      </c>
      <c r="J1646" t="s">
        <v>2226</v>
      </c>
      <c r="L1646" t="s">
        <v>72</v>
      </c>
      <c r="M1646" t="s">
        <v>73</v>
      </c>
      <c r="R1646" t="s">
        <v>7983</v>
      </c>
      <c r="W1646" t="s">
        <v>7982</v>
      </c>
      <c r="AB1646" t="s">
        <v>106</v>
      </c>
      <c r="AC1646" t="s">
        <v>76</v>
      </c>
      <c r="AD1646" t="s">
        <v>73</v>
      </c>
      <c r="AE1646" t="s">
        <v>77</v>
      </c>
      <c r="AF1646" t="s">
        <v>2234</v>
      </c>
      <c r="AG1646" t="s">
        <v>78</v>
      </c>
    </row>
    <row r="1647" spans="1:33" hidden="1" x14ac:dyDescent="0.25">
      <c r="A1647" t="str">
        <f>"1447384946"</f>
        <v>1447384946</v>
      </c>
      <c r="B1647" t="str">
        <f>"03100305"</f>
        <v>03100305</v>
      </c>
      <c r="C1647" t="s">
        <v>7984</v>
      </c>
      <c r="D1647" t="s">
        <v>7985</v>
      </c>
      <c r="E1647" t="s">
        <v>7986</v>
      </c>
      <c r="G1647" t="s">
        <v>2224</v>
      </c>
      <c r="H1647" t="s">
        <v>2225</v>
      </c>
      <c r="J1647" t="s">
        <v>2226</v>
      </c>
      <c r="L1647" t="s">
        <v>72</v>
      </c>
      <c r="M1647" t="s">
        <v>73</v>
      </c>
      <c r="R1647" t="s">
        <v>7987</v>
      </c>
      <c r="W1647" t="s">
        <v>7986</v>
      </c>
      <c r="X1647" t="s">
        <v>170</v>
      </c>
      <c r="Y1647" t="s">
        <v>91</v>
      </c>
      <c r="Z1647" t="s">
        <v>74</v>
      </c>
      <c r="AA1647" t="str">
        <f>"10065-4870"</f>
        <v>10065-4870</v>
      </c>
      <c r="AB1647" t="s">
        <v>75</v>
      </c>
      <c r="AC1647" t="s">
        <v>76</v>
      </c>
      <c r="AD1647" t="s">
        <v>73</v>
      </c>
      <c r="AE1647" t="s">
        <v>77</v>
      </c>
      <c r="AF1647" t="s">
        <v>2242</v>
      </c>
      <c r="AG1647" t="s">
        <v>78</v>
      </c>
    </row>
    <row r="1648" spans="1:33" hidden="1" x14ac:dyDescent="0.25">
      <c r="A1648" t="str">
        <f>"1558608794"</f>
        <v>1558608794</v>
      </c>
      <c r="B1648" t="str">
        <f>"03535971"</f>
        <v>03535971</v>
      </c>
      <c r="C1648" t="s">
        <v>7988</v>
      </c>
      <c r="D1648" t="s">
        <v>7989</v>
      </c>
      <c r="E1648" t="s">
        <v>7990</v>
      </c>
      <c r="G1648" t="s">
        <v>2224</v>
      </c>
      <c r="H1648" t="s">
        <v>2225</v>
      </c>
      <c r="J1648" t="s">
        <v>2226</v>
      </c>
      <c r="L1648" t="s">
        <v>81</v>
      </c>
      <c r="M1648" t="s">
        <v>73</v>
      </c>
      <c r="R1648" t="s">
        <v>7990</v>
      </c>
      <c r="W1648" t="s">
        <v>7990</v>
      </c>
      <c r="X1648" t="s">
        <v>1539</v>
      </c>
      <c r="Y1648" t="s">
        <v>91</v>
      </c>
      <c r="Z1648" t="s">
        <v>74</v>
      </c>
      <c r="AA1648" t="str">
        <f>"10009-7813"</f>
        <v>10009-7813</v>
      </c>
      <c r="AB1648" t="s">
        <v>75</v>
      </c>
      <c r="AC1648" t="s">
        <v>76</v>
      </c>
      <c r="AD1648" t="s">
        <v>73</v>
      </c>
      <c r="AE1648" t="s">
        <v>77</v>
      </c>
      <c r="AF1648" t="s">
        <v>2228</v>
      </c>
      <c r="AG1648" t="s">
        <v>78</v>
      </c>
    </row>
    <row r="1649" spans="1:33" hidden="1" x14ac:dyDescent="0.25">
      <c r="A1649" t="str">
        <f>"1295097756"</f>
        <v>1295097756</v>
      </c>
      <c r="C1649" t="s">
        <v>7991</v>
      </c>
      <c r="G1649" t="s">
        <v>2224</v>
      </c>
      <c r="H1649" t="s">
        <v>2225</v>
      </c>
      <c r="J1649" t="s">
        <v>2226</v>
      </c>
      <c r="K1649" t="s">
        <v>93</v>
      </c>
      <c r="L1649" t="s">
        <v>96</v>
      </c>
      <c r="M1649" t="s">
        <v>73</v>
      </c>
      <c r="R1649" t="s">
        <v>7992</v>
      </c>
      <c r="S1649" t="s">
        <v>170</v>
      </c>
      <c r="T1649" t="s">
        <v>91</v>
      </c>
      <c r="U1649" t="s">
        <v>74</v>
      </c>
      <c r="V1649" t="str">
        <f>"100654870"</f>
        <v>100654870</v>
      </c>
      <c r="AC1649" t="s">
        <v>76</v>
      </c>
      <c r="AD1649" t="s">
        <v>73</v>
      </c>
      <c r="AE1649" t="s">
        <v>97</v>
      </c>
      <c r="AF1649" t="s">
        <v>2234</v>
      </c>
      <c r="AG1649" t="s">
        <v>78</v>
      </c>
    </row>
    <row r="1650" spans="1:33" hidden="1" x14ac:dyDescent="0.25">
      <c r="C1650" t="s">
        <v>7993</v>
      </c>
      <c r="G1650" t="s">
        <v>2224</v>
      </c>
      <c r="H1650" t="s">
        <v>2225</v>
      </c>
      <c r="J1650" t="s">
        <v>2226</v>
      </c>
      <c r="K1650" t="s">
        <v>93</v>
      </c>
      <c r="L1650" t="s">
        <v>94</v>
      </c>
      <c r="M1650" t="s">
        <v>73</v>
      </c>
      <c r="N1650" t="s">
        <v>7187</v>
      </c>
      <c r="O1650" t="s">
        <v>475</v>
      </c>
      <c r="P1650" t="s">
        <v>74</v>
      </c>
      <c r="Q1650" t="str">
        <f>"10021"</f>
        <v>10021</v>
      </c>
      <c r="AC1650" t="s">
        <v>76</v>
      </c>
      <c r="AD1650" t="s">
        <v>73</v>
      </c>
      <c r="AE1650" t="s">
        <v>95</v>
      </c>
      <c r="AF1650" t="s">
        <v>2234</v>
      </c>
      <c r="AG1650" t="s">
        <v>78</v>
      </c>
    </row>
    <row r="1651" spans="1:33" hidden="1" x14ac:dyDescent="0.25">
      <c r="A1651" t="str">
        <f>"1124093729"</f>
        <v>1124093729</v>
      </c>
      <c r="B1651" t="str">
        <f>"00820388"</f>
        <v>00820388</v>
      </c>
      <c r="C1651" t="s">
        <v>7994</v>
      </c>
      <c r="D1651" t="s">
        <v>2014</v>
      </c>
      <c r="E1651" t="s">
        <v>2015</v>
      </c>
      <c r="G1651" t="s">
        <v>2224</v>
      </c>
      <c r="H1651" t="s">
        <v>2225</v>
      </c>
      <c r="J1651" t="s">
        <v>2226</v>
      </c>
      <c r="L1651" t="s">
        <v>72</v>
      </c>
      <c r="M1651" t="s">
        <v>73</v>
      </c>
      <c r="R1651" t="s">
        <v>2016</v>
      </c>
      <c r="W1651" t="s">
        <v>2015</v>
      </c>
      <c r="X1651" t="s">
        <v>2017</v>
      </c>
      <c r="Y1651" t="s">
        <v>91</v>
      </c>
      <c r="Z1651" t="s">
        <v>74</v>
      </c>
      <c r="AA1651" t="str">
        <f>"10040-1406"</f>
        <v>10040-1406</v>
      </c>
      <c r="AB1651" t="s">
        <v>115</v>
      </c>
      <c r="AC1651" t="s">
        <v>76</v>
      </c>
      <c r="AD1651" t="s">
        <v>73</v>
      </c>
      <c r="AE1651" t="s">
        <v>77</v>
      </c>
      <c r="AF1651" t="s">
        <v>2228</v>
      </c>
      <c r="AG1651" t="s">
        <v>78</v>
      </c>
    </row>
    <row r="1652" spans="1:33" hidden="1" x14ac:dyDescent="0.25">
      <c r="A1652" t="str">
        <f>"1811293954"</f>
        <v>1811293954</v>
      </c>
      <c r="C1652" t="s">
        <v>7995</v>
      </c>
      <c r="G1652" t="s">
        <v>2224</v>
      </c>
      <c r="H1652" t="s">
        <v>2225</v>
      </c>
      <c r="J1652" t="s">
        <v>2226</v>
      </c>
      <c r="K1652" t="s">
        <v>93</v>
      </c>
      <c r="L1652" t="s">
        <v>96</v>
      </c>
      <c r="M1652" t="s">
        <v>73</v>
      </c>
      <c r="R1652" t="s">
        <v>7996</v>
      </c>
      <c r="S1652" t="s">
        <v>7997</v>
      </c>
      <c r="T1652" t="s">
        <v>91</v>
      </c>
      <c r="U1652" t="s">
        <v>74</v>
      </c>
      <c r="V1652" t="str">
        <f>"100244544"</f>
        <v>100244544</v>
      </c>
      <c r="AC1652" t="s">
        <v>76</v>
      </c>
      <c r="AD1652" t="s">
        <v>73</v>
      </c>
      <c r="AE1652" t="s">
        <v>97</v>
      </c>
      <c r="AF1652" t="s">
        <v>2234</v>
      </c>
      <c r="AG1652" t="s">
        <v>78</v>
      </c>
    </row>
    <row r="1653" spans="1:33" hidden="1" x14ac:dyDescent="0.25">
      <c r="A1653" t="str">
        <f>"1417123548"</f>
        <v>1417123548</v>
      </c>
      <c r="B1653" t="str">
        <f>"03223425"</f>
        <v>03223425</v>
      </c>
      <c r="C1653" t="s">
        <v>7998</v>
      </c>
      <c r="D1653" t="s">
        <v>7999</v>
      </c>
      <c r="E1653" t="s">
        <v>8000</v>
      </c>
      <c r="G1653" t="s">
        <v>2224</v>
      </c>
      <c r="H1653" t="s">
        <v>2225</v>
      </c>
      <c r="J1653" t="s">
        <v>2226</v>
      </c>
      <c r="L1653" t="s">
        <v>80</v>
      </c>
      <c r="M1653" t="s">
        <v>82</v>
      </c>
      <c r="R1653" t="s">
        <v>8000</v>
      </c>
      <c r="W1653" t="s">
        <v>8000</v>
      </c>
      <c r="X1653" t="s">
        <v>2116</v>
      </c>
      <c r="Y1653" t="s">
        <v>91</v>
      </c>
      <c r="Z1653" t="s">
        <v>74</v>
      </c>
      <c r="AA1653" t="str">
        <f>"10034-4915"</f>
        <v>10034-4915</v>
      </c>
      <c r="AB1653" t="s">
        <v>107</v>
      </c>
      <c r="AC1653" t="s">
        <v>76</v>
      </c>
      <c r="AD1653" t="s">
        <v>73</v>
      </c>
      <c r="AE1653" t="s">
        <v>77</v>
      </c>
      <c r="AF1653" t="s">
        <v>2228</v>
      </c>
      <c r="AG1653" t="s">
        <v>78</v>
      </c>
    </row>
    <row r="1654" spans="1:33" hidden="1" x14ac:dyDescent="0.25">
      <c r="A1654" t="str">
        <f>"1174725790"</f>
        <v>1174725790</v>
      </c>
      <c r="B1654" t="str">
        <f>"01711908"</f>
        <v>01711908</v>
      </c>
      <c r="C1654" t="s">
        <v>8001</v>
      </c>
      <c r="D1654" t="s">
        <v>8002</v>
      </c>
      <c r="E1654" t="s">
        <v>8003</v>
      </c>
      <c r="G1654" t="s">
        <v>2224</v>
      </c>
      <c r="H1654" t="s">
        <v>2225</v>
      </c>
      <c r="J1654" t="s">
        <v>2226</v>
      </c>
      <c r="L1654" t="s">
        <v>88</v>
      </c>
      <c r="M1654" t="s">
        <v>73</v>
      </c>
      <c r="R1654" t="s">
        <v>8004</v>
      </c>
      <c r="W1654" t="s">
        <v>8003</v>
      </c>
      <c r="X1654" t="s">
        <v>8003</v>
      </c>
      <c r="Y1654" t="s">
        <v>91</v>
      </c>
      <c r="Z1654" t="s">
        <v>74</v>
      </c>
      <c r="AA1654" t="str">
        <f>"10021-4872"</f>
        <v>10021-4872</v>
      </c>
      <c r="AB1654" t="s">
        <v>75</v>
      </c>
      <c r="AC1654" t="s">
        <v>76</v>
      </c>
      <c r="AD1654" t="s">
        <v>73</v>
      </c>
      <c r="AE1654" t="s">
        <v>77</v>
      </c>
      <c r="AF1654" t="s">
        <v>2234</v>
      </c>
      <c r="AG1654" t="s">
        <v>78</v>
      </c>
    </row>
    <row r="1655" spans="1:33" hidden="1" x14ac:dyDescent="0.25">
      <c r="A1655" t="str">
        <f>"1952556185"</f>
        <v>1952556185</v>
      </c>
      <c r="B1655" t="str">
        <f>"03100194"</f>
        <v>03100194</v>
      </c>
      <c r="C1655" t="s">
        <v>8005</v>
      </c>
      <c r="D1655" t="s">
        <v>8006</v>
      </c>
      <c r="E1655" t="s">
        <v>8007</v>
      </c>
      <c r="G1655" t="s">
        <v>2224</v>
      </c>
      <c r="H1655" t="s">
        <v>2225</v>
      </c>
      <c r="J1655" t="s">
        <v>2226</v>
      </c>
      <c r="L1655" t="s">
        <v>72</v>
      </c>
      <c r="M1655" t="s">
        <v>73</v>
      </c>
      <c r="R1655" t="s">
        <v>8008</v>
      </c>
      <c r="W1655" t="s">
        <v>8007</v>
      </c>
      <c r="X1655" t="s">
        <v>845</v>
      </c>
      <c r="Y1655" t="s">
        <v>91</v>
      </c>
      <c r="Z1655" t="s">
        <v>74</v>
      </c>
      <c r="AA1655" t="str">
        <f>"10034-1615"</f>
        <v>10034-1615</v>
      </c>
      <c r="AB1655" t="s">
        <v>106</v>
      </c>
      <c r="AC1655" t="s">
        <v>76</v>
      </c>
      <c r="AD1655" t="s">
        <v>73</v>
      </c>
      <c r="AE1655" t="s">
        <v>77</v>
      </c>
      <c r="AF1655" t="s">
        <v>2234</v>
      </c>
      <c r="AG1655" t="s">
        <v>78</v>
      </c>
    </row>
    <row r="1656" spans="1:33" hidden="1" x14ac:dyDescent="0.25">
      <c r="A1656" t="str">
        <f>"1235360561"</f>
        <v>1235360561</v>
      </c>
      <c r="B1656" t="str">
        <f>"03212782"</f>
        <v>03212782</v>
      </c>
      <c r="C1656" t="s">
        <v>8009</v>
      </c>
      <c r="D1656" t="s">
        <v>8010</v>
      </c>
      <c r="E1656" t="s">
        <v>8011</v>
      </c>
      <c r="G1656" t="s">
        <v>2224</v>
      </c>
      <c r="H1656" t="s">
        <v>2225</v>
      </c>
      <c r="J1656" t="s">
        <v>2226</v>
      </c>
      <c r="L1656" t="s">
        <v>100</v>
      </c>
      <c r="M1656" t="s">
        <v>73</v>
      </c>
      <c r="R1656" t="s">
        <v>8012</v>
      </c>
      <c r="W1656" t="s">
        <v>8011</v>
      </c>
      <c r="X1656" t="s">
        <v>752</v>
      </c>
      <c r="Y1656" t="s">
        <v>91</v>
      </c>
      <c r="Z1656" t="s">
        <v>74</v>
      </c>
      <c r="AA1656" t="str">
        <f>"10019-3320"</f>
        <v>10019-3320</v>
      </c>
      <c r="AB1656" t="s">
        <v>106</v>
      </c>
      <c r="AC1656" t="s">
        <v>76</v>
      </c>
      <c r="AD1656" t="s">
        <v>73</v>
      </c>
      <c r="AE1656" t="s">
        <v>77</v>
      </c>
      <c r="AF1656" t="s">
        <v>2234</v>
      </c>
      <c r="AG1656" t="s">
        <v>78</v>
      </c>
    </row>
    <row r="1657" spans="1:33" hidden="1" x14ac:dyDescent="0.25">
      <c r="A1657" t="str">
        <f>"1235558917"</f>
        <v>1235558917</v>
      </c>
      <c r="C1657" t="s">
        <v>8013</v>
      </c>
      <c r="G1657" t="s">
        <v>2224</v>
      </c>
      <c r="H1657" t="s">
        <v>2225</v>
      </c>
      <c r="J1657" t="s">
        <v>2226</v>
      </c>
      <c r="K1657" t="s">
        <v>93</v>
      </c>
      <c r="L1657" t="s">
        <v>96</v>
      </c>
      <c r="M1657" t="s">
        <v>73</v>
      </c>
      <c r="R1657" t="s">
        <v>8014</v>
      </c>
      <c r="S1657" t="s">
        <v>8015</v>
      </c>
      <c r="T1657" t="s">
        <v>91</v>
      </c>
      <c r="U1657" t="s">
        <v>74</v>
      </c>
      <c r="V1657" t="str">
        <f>"100323725"</f>
        <v>100323725</v>
      </c>
      <c r="AC1657" t="s">
        <v>76</v>
      </c>
      <c r="AD1657" t="s">
        <v>73</v>
      </c>
      <c r="AE1657" t="s">
        <v>97</v>
      </c>
      <c r="AF1657" t="s">
        <v>2228</v>
      </c>
      <c r="AG1657" t="s">
        <v>78</v>
      </c>
    </row>
    <row r="1658" spans="1:33" hidden="1" x14ac:dyDescent="0.25">
      <c r="A1658" t="str">
        <f>"1982023230"</f>
        <v>1982023230</v>
      </c>
      <c r="C1658" t="s">
        <v>8016</v>
      </c>
      <c r="G1658" t="s">
        <v>2224</v>
      </c>
      <c r="H1658" t="s">
        <v>2225</v>
      </c>
      <c r="J1658" t="s">
        <v>2226</v>
      </c>
      <c r="K1658" t="s">
        <v>93</v>
      </c>
      <c r="L1658" t="s">
        <v>96</v>
      </c>
      <c r="M1658" t="s">
        <v>73</v>
      </c>
      <c r="R1658" t="s">
        <v>8017</v>
      </c>
      <c r="S1658" t="s">
        <v>1373</v>
      </c>
      <c r="T1658" t="s">
        <v>91</v>
      </c>
      <c r="U1658" t="s">
        <v>74</v>
      </c>
      <c r="V1658" t="str">
        <f>"100323727"</f>
        <v>100323727</v>
      </c>
      <c r="AC1658" t="s">
        <v>76</v>
      </c>
      <c r="AD1658" t="s">
        <v>73</v>
      </c>
      <c r="AE1658" t="s">
        <v>97</v>
      </c>
      <c r="AF1658" t="s">
        <v>2234</v>
      </c>
      <c r="AG1658" t="s">
        <v>78</v>
      </c>
    </row>
    <row r="1659" spans="1:33" hidden="1" x14ac:dyDescent="0.25">
      <c r="A1659" t="str">
        <f>"1497012272"</f>
        <v>1497012272</v>
      </c>
      <c r="C1659" t="s">
        <v>8018</v>
      </c>
      <c r="G1659" t="s">
        <v>2224</v>
      </c>
      <c r="H1659" t="s">
        <v>2312</v>
      </c>
      <c r="J1659" t="s">
        <v>2226</v>
      </c>
      <c r="K1659" t="s">
        <v>171</v>
      </c>
      <c r="L1659" t="s">
        <v>96</v>
      </c>
      <c r="M1659" t="s">
        <v>73</v>
      </c>
      <c r="R1659" t="s">
        <v>1775</v>
      </c>
      <c r="S1659" t="s">
        <v>1776</v>
      </c>
      <c r="T1659" t="s">
        <v>1757</v>
      </c>
      <c r="U1659" t="s">
        <v>590</v>
      </c>
      <c r="V1659" t="str">
        <f>"731208131"</f>
        <v>731208131</v>
      </c>
      <c r="AC1659" t="s">
        <v>76</v>
      </c>
      <c r="AD1659" t="s">
        <v>73</v>
      </c>
      <c r="AE1659" t="s">
        <v>97</v>
      </c>
      <c r="AF1659" t="s">
        <v>2234</v>
      </c>
      <c r="AG1659" t="s">
        <v>78</v>
      </c>
    </row>
    <row r="1660" spans="1:33" hidden="1" x14ac:dyDescent="0.25">
      <c r="A1660" t="str">
        <f>"1992095103"</f>
        <v>1992095103</v>
      </c>
      <c r="B1660" t="str">
        <f>"04630755"</f>
        <v>04630755</v>
      </c>
      <c r="C1660" t="s">
        <v>8019</v>
      </c>
      <c r="D1660" t="s">
        <v>8020</v>
      </c>
      <c r="E1660" t="s">
        <v>8021</v>
      </c>
      <c r="G1660" t="s">
        <v>2224</v>
      </c>
      <c r="H1660" t="s">
        <v>2312</v>
      </c>
      <c r="J1660" t="s">
        <v>2226</v>
      </c>
      <c r="L1660" t="s">
        <v>96</v>
      </c>
      <c r="M1660" t="s">
        <v>73</v>
      </c>
      <c r="R1660" t="s">
        <v>8022</v>
      </c>
      <c r="W1660" t="s">
        <v>8021</v>
      </c>
      <c r="AB1660" t="s">
        <v>75</v>
      </c>
      <c r="AC1660" t="s">
        <v>76</v>
      </c>
      <c r="AD1660" t="s">
        <v>73</v>
      </c>
      <c r="AE1660" t="s">
        <v>77</v>
      </c>
      <c r="AF1660" t="s">
        <v>2228</v>
      </c>
      <c r="AG1660" t="s">
        <v>78</v>
      </c>
    </row>
    <row r="1661" spans="1:33" hidden="1" x14ac:dyDescent="0.25">
      <c r="A1661" t="str">
        <f>"1679816946"</f>
        <v>1679816946</v>
      </c>
      <c r="C1661" t="s">
        <v>8023</v>
      </c>
      <c r="G1661" t="s">
        <v>2224</v>
      </c>
      <c r="H1661" t="s">
        <v>2312</v>
      </c>
      <c r="J1661" t="s">
        <v>2226</v>
      </c>
      <c r="K1661" t="s">
        <v>171</v>
      </c>
      <c r="L1661" t="s">
        <v>96</v>
      </c>
      <c r="M1661" t="s">
        <v>73</v>
      </c>
      <c r="R1661" t="s">
        <v>8024</v>
      </c>
      <c r="S1661" t="s">
        <v>3387</v>
      </c>
      <c r="T1661" t="s">
        <v>91</v>
      </c>
      <c r="U1661" t="s">
        <v>74</v>
      </c>
      <c r="V1661" t="str">
        <f>"100323720"</f>
        <v>100323720</v>
      </c>
      <c r="AC1661" t="s">
        <v>76</v>
      </c>
      <c r="AD1661" t="s">
        <v>73</v>
      </c>
      <c r="AE1661" t="s">
        <v>97</v>
      </c>
      <c r="AF1661" t="s">
        <v>2228</v>
      </c>
      <c r="AG1661" t="s">
        <v>78</v>
      </c>
    </row>
    <row r="1662" spans="1:33" hidden="1" x14ac:dyDescent="0.25">
      <c r="A1662" t="str">
        <f>"1013102565"</f>
        <v>1013102565</v>
      </c>
      <c r="B1662" t="str">
        <f>"02993539"</f>
        <v>02993539</v>
      </c>
      <c r="C1662" t="s">
        <v>8025</v>
      </c>
      <c r="D1662" t="s">
        <v>8026</v>
      </c>
      <c r="E1662" t="s">
        <v>8027</v>
      </c>
      <c r="L1662" t="s">
        <v>10</v>
      </c>
      <c r="M1662" t="s">
        <v>82</v>
      </c>
      <c r="R1662" t="s">
        <v>8025</v>
      </c>
      <c r="W1662" t="s">
        <v>8028</v>
      </c>
      <c r="X1662" t="s">
        <v>8029</v>
      </c>
      <c r="Y1662" t="s">
        <v>91</v>
      </c>
      <c r="Z1662" t="s">
        <v>74</v>
      </c>
      <c r="AA1662" t="str">
        <f>"10035-1316"</f>
        <v>10035-1316</v>
      </c>
      <c r="AB1662" t="s">
        <v>87</v>
      </c>
      <c r="AC1662" t="s">
        <v>76</v>
      </c>
      <c r="AD1662" t="s">
        <v>73</v>
      </c>
      <c r="AE1662" t="s">
        <v>77</v>
      </c>
      <c r="AG1662" t="s">
        <v>78</v>
      </c>
    </row>
    <row r="1663" spans="1:33" hidden="1" x14ac:dyDescent="0.25">
      <c r="A1663" t="str">
        <f>"1144245747"</f>
        <v>1144245747</v>
      </c>
      <c r="B1663" t="str">
        <f>"00609554"</f>
        <v>00609554</v>
      </c>
      <c r="C1663" t="s">
        <v>8030</v>
      </c>
      <c r="D1663" t="s">
        <v>8031</v>
      </c>
      <c r="E1663" t="s">
        <v>8032</v>
      </c>
      <c r="G1663" t="s">
        <v>2224</v>
      </c>
      <c r="H1663" t="s">
        <v>2225</v>
      </c>
      <c r="J1663" t="s">
        <v>2226</v>
      </c>
      <c r="L1663" t="s">
        <v>80</v>
      </c>
      <c r="M1663" t="s">
        <v>73</v>
      </c>
      <c r="R1663" t="s">
        <v>8033</v>
      </c>
      <c r="W1663" t="s">
        <v>8032</v>
      </c>
      <c r="X1663" t="s">
        <v>1214</v>
      </c>
      <c r="Y1663" t="s">
        <v>91</v>
      </c>
      <c r="Z1663" t="s">
        <v>74</v>
      </c>
      <c r="AA1663" t="str">
        <f>"10021-4823"</f>
        <v>10021-4823</v>
      </c>
      <c r="AB1663" t="s">
        <v>75</v>
      </c>
      <c r="AC1663" t="s">
        <v>76</v>
      </c>
      <c r="AD1663" t="s">
        <v>73</v>
      </c>
      <c r="AE1663" t="s">
        <v>77</v>
      </c>
      <c r="AF1663" t="s">
        <v>2242</v>
      </c>
      <c r="AG1663" t="s">
        <v>78</v>
      </c>
    </row>
    <row r="1664" spans="1:33" hidden="1" x14ac:dyDescent="0.25">
      <c r="A1664" t="str">
        <f>"1144248964"</f>
        <v>1144248964</v>
      </c>
      <c r="B1664" t="str">
        <f>"00209238"</f>
        <v>00209238</v>
      </c>
      <c r="C1664" t="s">
        <v>8034</v>
      </c>
      <c r="D1664" t="s">
        <v>8035</v>
      </c>
      <c r="E1664" t="s">
        <v>8036</v>
      </c>
      <c r="G1664" t="s">
        <v>2224</v>
      </c>
      <c r="H1664" t="s">
        <v>2225</v>
      </c>
      <c r="J1664" t="s">
        <v>2226</v>
      </c>
      <c r="L1664" t="s">
        <v>72</v>
      </c>
      <c r="M1664" t="s">
        <v>73</v>
      </c>
      <c r="R1664" t="s">
        <v>8037</v>
      </c>
      <c r="W1664" t="s">
        <v>8036</v>
      </c>
      <c r="X1664" t="s">
        <v>1234</v>
      </c>
      <c r="Y1664" t="s">
        <v>1150</v>
      </c>
      <c r="Z1664" t="s">
        <v>74</v>
      </c>
      <c r="AA1664" t="str">
        <f>"10708-3426"</f>
        <v>10708-3426</v>
      </c>
      <c r="AB1664" t="s">
        <v>75</v>
      </c>
      <c r="AC1664" t="s">
        <v>76</v>
      </c>
      <c r="AD1664" t="s">
        <v>73</v>
      </c>
      <c r="AE1664" t="s">
        <v>77</v>
      </c>
      <c r="AF1664" t="s">
        <v>2254</v>
      </c>
      <c r="AG1664" t="s">
        <v>78</v>
      </c>
    </row>
    <row r="1665" spans="1:33" hidden="1" x14ac:dyDescent="0.25">
      <c r="A1665" t="str">
        <f>"1144249541"</f>
        <v>1144249541</v>
      </c>
      <c r="B1665" t="str">
        <f>"02086175"</f>
        <v>02086175</v>
      </c>
      <c r="C1665" t="s">
        <v>8038</v>
      </c>
      <c r="D1665" t="s">
        <v>1505</v>
      </c>
      <c r="E1665" t="s">
        <v>1506</v>
      </c>
      <c r="G1665" t="s">
        <v>2224</v>
      </c>
      <c r="H1665" t="s">
        <v>2225</v>
      </c>
      <c r="J1665" t="s">
        <v>2226</v>
      </c>
      <c r="L1665" t="s">
        <v>80</v>
      </c>
      <c r="M1665" t="s">
        <v>73</v>
      </c>
      <c r="R1665" t="s">
        <v>1507</v>
      </c>
      <c r="W1665" t="s">
        <v>1508</v>
      </c>
      <c r="X1665" t="s">
        <v>1214</v>
      </c>
      <c r="Y1665" t="s">
        <v>91</v>
      </c>
      <c r="Z1665" t="s">
        <v>74</v>
      </c>
      <c r="AA1665" t="str">
        <f>"10021-4823"</f>
        <v>10021-4823</v>
      </c>
      <c r="AB1665" t="s">
        <v>75</v>
      </c>
      <c r="AC1665" t="s">
        <v>76</v>
      </c>
      <c r="AD1665" t="s">
        <v>73</v>
      </c>
      <c r="AE1665" t="s">
        <v>77</v>
      </c>
      <c r="AF1665" t="s">
        <v>2242</v>
      </c>
      <c r="AG1665" t="s">
        <v>78</v>
      </c>
    </row>
    <row r="1666" spans="1:33" hidden="1" x14ac:dyDescent="0.25">
      <c r="A1666" t="str">
        <f>"1740307073"</f>
        <v>1740307073</v>
      </c>
      <c r="B1666" t="str">
        <f>"02938434"</f>
        <v>02938434</v>
      </c>
      <c r="C1666" t="s">
        <v>8039</v>
      </c>
      <c r="D1666" t="s">
        <v>8040</v>
      </c>
      <c r="E1666" t="s">
        <v>8041</v>
      </c>
      <c r="G1666" t="s">
        <v>2224</v>
      </c>
      <c r="H1666" t="s">
        <v>2225</v>
      </c>
      <c r="J1666" t="s">
        <v>2226</v>
      </c>
      <c r="L1666" t="s">
        <v>72</v>
      </c>
      <c r="M1666" t="s">
        <v>82</v>
      </c>
      <c r="R1666" t="s">
        <v>8041</v>
      </c>
      <c r="W1666" t="s">
        <v>8041</v>
      </c>
      <c r="X1666" t="s">
        <v>183</v>
      </c>
      <c r="Y1666" t="s">
        <v>91</v>
      </c>
      <c r="Z1666" t="s">
        <v>74</v>
      </c>
      <c r="AA1666" t="str">
        <f>"10032-3729"</f>
        <v>10032-3729</v>
      </c>
      <c r="AB1666" t="s">
        <v>75</v>
      </c>
      <c r="AC1666" t="s">
        <v>76</v>
      </c>
      <c r="AD1666" t="s">
        <v>73</v>
      </c>
      <c r="AE1666" t="s">
        <v>77</v>
      </c>
      <c r="AF1666" t="s">
        <v>2234</v>
      </c>
      <c r="AG1666" t="s">
        <v>78</v>
      </c>
    </row>
    <row r="1667" spans="1:33" hidden="1" x14ac:dyDescent="0.25">
      <c r="A1667" t="str">
        <f>"1518968676"</f>
        <v>1518968676</v>
      </c>
      <c r="B1667" t="str">
        <f>"02828086"</f>
        <v>02828086</v>
      </c>
      <c r="C1667" t="s">
        <v>8042</v>
      </c>
      <c r="D1667" t="s">
        <v>8043</v>
      </c>
      <c r="E1667" t="s">
        <v>8044</v>
      </c>
      <c r="G1667" t="s">
        <v>2224</v>
      </c>
      <c r="H1667" t="s">
        <v>2225</v>
      </c>
      <c r="J1667" t="s">
        <v>2226</v>
      </c>
      <c r="L1667" t="s">
        <v>72</v>
      </c>
      <c r="M1667" t="s">
        <v>73</v>
      </c>
      <c r="R1667" t="s">
        <v>8045</v>
      </c>
      <c r="W1667" t="s">
        <v>8044</v>
      </c>
      <c r="X1667" t="s">
        <v>183</v>
      </c>
      <c r="Y1667" t="s">
        <v>91</v>
      </c>
      <c r="Z1667" t="s">
        <v>74</v>
      </c>
      <c r="AA1667" t="str">
        <f>"10032-3729"</f>
        <v>10032-3729</v>
      </c>
      <c r="AB1667" t="s">
        <v>75</v>
      </c>
      <c r="AC1667" t="s">
        <v>76</v>
      </c>
      <c r="AD1667" t="s">
        <v>73</v>
      </c>
      <c r="AE1667" t="s">
        <v>77</v>
      </c>
      <c r="AF1667" t="s">
        <v>2228</v>
      </c>
      <c r="AG1667" t="s">
        <v>78</v>
      </c>
    </row>
    <row r="1668" spans="1:33" hidden="1" x14ac:dyDescent="0.25">
      <c r="A1668" t="str">
        <f>"1518987643"</f>
        <v>1518987643</v>
      </c>
      <c r="B1668" t="str">
        <f>"00647576"</f>
        <v>00647576</v>
      </c>
      <c r="C1668" t="s">
        <v>8046</v>
      </c>
      <c r="D1668" t="s">
        <v>8047</v>
      </c>
      <c r="E1668" t="s">
        <v>8048</v>
      </c>
      <c r="G1668" t="s">
        <v>2224</v>
      </c>
      <c r="H1668" t="s">
        <v>2225</v>
      </c>
      <c r="J1668" t="s">
        <v>2226</v>
      </c>
      <c r="L1668" t="s">
        <v>72</v>
      </c>
      <c r="M1668" t="s">
        <v>73</v>
      </c>
      <c r="R1668" t="s">
        <v>8049</v>
      </c>
      <c r="W1668" t="s">
        <v>8048</v>
      </c>
      <c r="X1668" t="s">
        <v>1397</v>
      </c>
      <c r="Y1668" t="s">
        <v>91</v>
      </c>
      <c r="Z1668" t="s">
        <v>74</v>
      </c>
      <c r="AA1668" t="str">
        <f>"10032-3724"</f>
        <v>10032-3724</v>
      </c>
      <c r="AB1668" t="s">
        <v>75</v>
      </c>
      <c r="AC1668" t="s">
        <v>76</v>
      </c>
      <c r="AD1668" t="s">
        <v>73</v>
      </c>
      <c r="AE1668" t="s">
        <v>77</v>
      </c>
      <c r="AF1668" t="s">
        <v>2234</v>
      </c>
      <c r="AG1668" t="s">
        <v>78</v>
      </c>
    </row>
    <row r="1669" spans="1:33" hidden="1" x14ac:dyDescent="0.25">
      <c r="A1669" t="str">
        <f>"1528029139"</f>
        <v>1528029139</v>
      </c>
      <c r="B1669" t="str">
        <f>"02754176"</f>
        <v>02754176</v>
      </c>
      <c r="C1669" t="s">
        <v>8050</v>
      </c>
      <c r="D1669" t="s">
        <v>8051</v>
      </c>
      <c r="E1669" t="s">
        <v>8052</v>
      </c>
      <c r="G1669" t="s">
        <v>2224</v>
      </c>
      <c r="H1669" t="s">
        <v>2225</v>
      </c>
      <c r="J1669" t="s">
        <v>2226</v>
      </c>
      <c r="L1669" t="s">
        <v>80</v>
      </c>
      <c r="M1669" t="s">
        <v>73</v>
      </c>
      <c r="R1669" t="s">
        <v>8053</v>
      </c>
      <c r="W1669" t="s">
        <v>8054</v>
      </c>
      <c r="X1669" t="s">
        <v>1217</v>
      </c>
      <c r="Y1669" t="s">
        <v>154</v>
      </c>
      <c r="Z1669" t="s">
        <v>74</v>
      </c>
      <c r="AA1669" t="str">
        <f>"11550-8116"</f>
        <v>11550-8116</v>
      </c>
      <c r="AB1669" t="s">
        <v>75</v>
      </c>
      <c r="AC1669" t="s">
        <v>76</v>
      </c>
      <c r="AD1669" t="s">
        <v>73</v>
      </c>
      <c r="AE1669" t="s">
        <v>77</v>
      </c>
      <c r="AF1669" t="s">
        <v>2228</v>
      </c>
      <c r="AG1669" t="s">
        <v>78</v>
      </c>
    </row>
    <row r="1670" spans="1:33" hidden="1" x14ac:dyDescent="0.25">
      <c r="A1670" t="str">
        <f>"1841433893"</f>
        <v>1841433893</v>
      </c>
      <c r="B1670" t="str">
        <f>"03108032"</f>
        <v>03108032</v>
      </c>
      <c r="C1670" t="s">
        <v>8055</v>
      </c>
      <c r="D1670" t="s">
        <v>8056</v>
      </c>
      <c r="E1670" t="s">
        <v>8057</v>
      </c>
      <c r="G1670" t="s">
        <v>2224</v>
      </c>
      <c r="H1670" t="s">
        <v>2225</v>
      </c>
      <c r="J1670" t="s">
        <v>2226</v>
      </c>
      <c r="L1670" t="s">
        <v>72</v>
      </c>
      <c r="M1670" t="s">
        <v>73</v>
      </c>
      <c r="R1670" t="s">
        <v>8058</v>
      </c>
      <c r="W1670" t="s">
        <v>8057</v>
      </c>
      <c r="X1670" t="s">
        <v>8059</v>
      </c>
      <c r="Y1670" t="s">
        <v>91</v>
      </c>
      <c r="Z1670" t="s">
        <v>74</v>
      </c>
      <c r="AA1670" t="str">
        <f>"10021"</f>
        <v>10021</v>
      </c>
      <c r="AB1670" t="s">
        <v>106</v>
      </c>
      <c r="AC1670" t="s">
        <v>76</v>
      </c>
      <c r="AD1670" t="s">
        <v>73</v>
      </c>
      <c r="AE1670" t="s">
        <v>77</v>
      </c>
      <c r="AF1670" t="s">
        <v>2398</v>
      </c>
      <c r="AG1670" t="s">
        <v>78</v>
      </c>
    </row>
    <row r="1671" spans="1:33" hidden="1" x14ac:dyDescent="0.25">
      <c r="A1671" t="str">
        <f>"1316279847"</f>
        <v>1316279847</v>
      </c>
      <c r="B1671" t="str">
        <f>"03217705"</f>
        <v>03217705</v>
      </c>
      <c r="C1671" t="s">
        <v>8060</v>
      </c>
      <c r="D1671" t="s">
        <v>1314</v>
      </c>
      <c r="E1671" t="s">
        <v>1315</v>
      </c>
      <c r="G1671" t="s">
        <v>1220</v>
      </c>
      <c r="H1671" t="s">
        <v>1221</v>
      </c>
      <c r="J1671" t="s">
        <v>1222</v>
      </c>
      <c r="L1671" t="s">
        <v>9</v>
      </c>
      <c r="M1671" t="s">
        <v>82</v>
      </c>
      <c r="R1671" t="s">
        <v>1316</v>
      </c>
      <c r="W1671" t="s">
        <v>1315</v>
      </c>
      <c r="X1671" t="s">
        <v>1230</v>
      </c>
      <c r="Y1671" t="s">
        <v>181</v>
      </c>
      <c r="Z1671" t="s">
        <v>74</v>
      </c>
      <c r="AA1671" t="str">
        <f>"10605-2209"</f>
        <v>10605-2209</v>
      </c>
      <c r="AB1671" t="s">
        <v>110</v>
      </c>
      <c r="AC1671" t="s">
        <v>76</v>
      </c>
      <c r="AD1671" t="s">
        <v>73</v>
      </c>
      <c r="AE1671" t="s">
        <v>77</v>
      </c>
      <c r="AG1671" t="s">
        <v>78</v>
      </c>
    </row>
    <row r="1672" spans="1:33" hidden="1" x14ac:dyDescent="0.25">
      <c r="A1672" t="str">
        <f>"1093731069"</f>
        <v>1093731069</v>
      </c>
      <c r="B1672" t="str">
        <f>"01638375"</f>
        <v>01638375</v>
      </c>
      <c r="C1672" t="s">
        <v>611</v>
      </c>
      <c r="D1672" t="s">
        <v>612</v>
      </c>
      <c r="E1672" t="s">
        <v>613</v>
      </c>
      <c r="L1672" t="s">
        <v>148</v>
      </c>
      <c r="M1672" t="s">
        <v>82</v>
      </c>
      <c r="R1672" t="s">
        <v>611</v>
      </c>
      <c r="W1672" t="s">
        <v>613</v>
      </c>
      <c r="X1672" t="s">
        <v>614</v>
      </c>
      <c r="Y1672" t="s">
        <v>530</v>
      </c>
      <c r="Z1672" t="s">
        <v>74</v>
      </c>
      <c r="AA1672" t="str">
        <f>"10524-0150"</f>
        <v>10524-0150</v>
      </c>
      <c r="AB1672" t="s">
        <v>110</v>
      </c>
      <c r="AC1672" t="s">
        <v>76</v>
      </c>
      <c r="AD1672" t="s">
        <v>73</v>
      </c>
      <c r="AE1672" t="s">
        <v>77</v>
      </c>
      <c r="AG1672" t="s">
        <v>78</v>
      </c>
    </row>
    <row r="1673" spans="1:33" hidden="1" x14ac:dyDescent="0.25">
      <c r="A1673" t="str">
        <f>"1902069297"</f>
        <v>1902069297</v>
      </c>
      <c r="B1673" t="str">
        <f>"03100130"</f>
        <v>03100130</v>
      </c>
      <c r="C1673" t="s">
        <v>8061</v>
      </c>
      <c r="D1673" t="s">
        <v>8062</v>
      </c>
      <c r="E1673" t="s">
        <v>8063</v>
      </c>
      <c r="G1673" t="s">
        <v>2224</v>
      </c>
      <c r="H1673" t="s">
        <v>2225</v>
      </c>
      <c r="J1673" t="s">
        <v>2226</v>
      </c>
      <c r="L1673" t="s">
        <v>81</v>
      </c>
      <c r="M1673" t="s">
        <v>73</v>
      </c>
      <c r="R1673" t="s">
        <v>8064</v>
      </c>
      <c r="W1673" t="s">
        <v>8065</v>
      </c>
      <c r="X1673" t="s">
        <v>167</v>
      </c>
      <c r="Y1673" t="s">
        <v>91</v>
      </c>
      <c r="Z1673" t="s">
        <v>74</v>
      </c>
      <c r="AA1673" t="str">
        <f>"10032-3720"</f>
        <v>10032-3720</v>
      </c>
      <c r="AB1673" t="s">
        <v>75</v>
      </c>
      <c r="AC1673" t="s">
        <v>76</v>
      </c>
      <c r="AD1673" t="s">
        <v>73</v>
      </c>
      <c r="AE1673" t="s">
        <v>77</v>
      </c>
      <c r="AF1673" t="s">
        <v>2254</v>
      </c>
      <c r="AG1673" t="s">
        <v>78</v>
      </c>
    </row>
    <row r="1674" spans="1:33" hidden="1" x14ac:dyDescent="0.25">
      <c r="A1674" t="str">
        <f>"1336353259"</f>
        <v>1336353259</v>
      </c>
      <c r="B1674" t="str">
        <f>"02881616"</f>
        <v>02881616</v>
      </c>
      <c r="C1674" t="s">
        <v>8066</v>
      </c>
      <c r="D1674" t="s">
        <v>8067</v>
      </c>
      <c r="E1674" t="s">
        <v>8068</v>
      </c>
      <c r="G1674" t="s">
        <v>2224</v>
      </c>
      <c r="H1674" t="s">
        <v>2225</v>
      </c>
      <c r="J1674" t="s">
        <v>2226</v>
      </c>
      <c r="L1674" t="s">
        <v>72</v>
      </c>
      <c r="M1674" t="s">
        <v>73</v>
      </c>
      <c r="R1674" t="s">
        <v>8069</v>
      </c>
      <c r="W1674" t="s">
        <v>8068</v>
      </c>
      <c r="X1674" t="s">
        <v>193</v>
      </c>
      <c r="Y1674" t="s">
        <v>118</v>
      </c>
      <c r="Z1674" t="s">
        <v>74</v>
      </c>
      <c r="AA1674" t="str">
        <f>"10467-2401"</f>
        <v>10467-2401</v>
      </c>
      <c r="AB1674" t="s">
        <v>75</v>
      </c>
      <c r="AC1674" t="s">
        <v>76</v>
      </c>
      <c r="AD1674" t="s">
        <v>73</v>
      </c>
      <c r="AE1674" t="s">
        <v>77</v>
      </c>
      <c r="AF1674" t="s">
        <v>2242</v>
      </c>
      <c r="AG1674" t="s">
        <v>78</v>
      </c>
    </row>
    <row r="1675" spans="1:33" hidden="1" x14ac:dyDescent="0.25">
      <c r="A1675" t="str">
        <f>"1477692556"</f>
        <v>1477692556</v>
      </c>
      <c r="B1675" t="str">
        <f>"02863041"</f>
        <v>02863041</v>
      </c>
      <c r="C1675" t="s">
        <v>8070</v>
      </c>
      <c r="D1675" t="s">
        <v>8071</v>
      </c>
      <c r="E1675" t="s">
        <v>8072</v>
      </c>
      <c r="L1675" t="s">
        <v>80</v>
      </c>
      <c r="M1675" t="s">
        <v>73</v>
      </c>
      <c r="R1675" t="s">
        <v>8073</v>
      </c>
      <c r="W1675" t="s">
        <v>8072</v>
      </c>
      <c r="X1675" t="s">
        <v>3477</v>
      </c>
      <c r="Y1675" t="s">
        <v>91</v>
      </c>
      <c r="Z1675" t="s">
        <v>74</v>
      </c>
      <c r="AA1675" t="str">
        <f>"10032-3725"</f>
        <v>10032-3725</v>
      </c>
      <c r="AB1675" t="s">
        <v>75</v>
      </c>
      <c r="AC1675" t="s">
        <v>76</v>
      </c>
      <c r="AD1675" t="s">
        <v>73</v>
      </c>
      <c r="AE1675" t="s">
        <v>77</v>
      </c>
      <c r="AF1675" t="s">
        <v>2228</v>
      </c>
      <c r="AG1675" t="s">
        <v>78</v>
      </c>
    </row>
    <row r="1676" spans="1:33" hidden="1" x14ac:dyDescent="0.25">
      <c r="A1676" t="str">
        <f>"1417287608"</f>
        <v>1417287608</v>
      </c>
      <c r="B1676" t="str">
        <f>"03285985"</f>
        <v>03285985</v>
      </c>
      <c r="C1676" t="s">
        <v>8074</v>
      </c>
      <c r="D1676" t="s">
        <v>8075</v>
      </c>
      <c r="E1676" t="s">
        <v>8076</v>
      </c>
      <c r="L1676" t="s">
        <v>80</v>
      </c>
      <c r="M1676" t="s">
        <v>73</v>
      </c>
      <c r="R1676" t="s">
        <v>8076</v>
      </c>
      <c r="W1676" t="s">
        <v>8076</v>
      </c>
      <c r="X1676" t="s">
        <v>1695</v>
      </c>
      <c r="Y1676" t="s">
        <v>91</v>
      </c>
      <c r="Z1676" t="s">
        <v>74</v>
      </c>
      <c r="AA1676" t="str">
        <f>"10032"</f>
        <v>10032</v>
      </c>
      <c r="AB1676" t="s">
        <v>75</v>
      </c>
      <c r="AC1676" t="s">
        <v>76</v>
      </c>
      <c r="AD1676" t="s">
        <v>73</v>
      </c>
      <c r="AE1676" t="s">
        <v>77</v>
      </c>
      <c r="AF1676" t="s">
        <v>2228</v>
      </c>
      <c r="AG1676" t="s">
        <v>78</v>
      </c>
    </row>
    <row r="1677" spans="1:33" hidden="1" x14ac:dyDescent="0.25">
      <c r="A1677" t="str">
        <f>"1346223716"</f>
        <v>1346223716</v>
      </c>
      <c r="B1677" t="str">
        <f>"02912774"</f>
        <v>02912774</v>
      </c>
      <c r="C1677" t="s">
        <v>8077</v>
      </c>
      <c r="D1677" t="s">
        <v>8078</v>
      </c>
      <c r="E1677" t="s">
        <v>8079</v>
      </c>
      <c r="L1677" t="s">
        <v>96</v>
      </c>
      <c r="M1677" t="s">
        <v>73</v>
      </c>
      <c r="R1677" t="s">
        <v>8080</v>
      </c>
      <c r="W1677" t="s">
        <v>8079</v>
      </c>
      <c r="X1677" t="s">
        <v>167</v>
      </c>
      <c r="Y1677" t="s">
        <v>91</v>
      </c>
      <c r="Z1677" t="s">
        <v>74</v>
      </c>
      <c r="AA1677" t="str">
        <f>"10032-3720"</f>
        <v>10032-3720</v>
      </c>
      <c r="AB1677" t="s">
        <v>75</v>
      </c>
      <c r="AC1677" t="s">
        <v>76</v>
      </c>
      <c r="AD1677" t="s">
        <v>73</v>
      </c>
      <c r="AE1677" t="s">
        <v>77</v>
      </c>
      <c r="AF1677" t="s">
        <v>2228</v>
      </c>
      <c r="AG1677" t="s">
        <v>78</v>
      </c>
    </row>
    <row r="1678" spans="1:33" hidden="1" x14ac:dyDescent="0.25">
      <c r="A1678" t="str">
        <f>"1871592394"</f>
        <v>1871592394</v>
      </c>
      <c r="B1678" t="str">
        <f>"02111315"</f>
        <v>02111315</v>
      </c>
      <c r="C1678" t="s">
        <v>8081</v>
      </c>
      <c r="D1678" t="s">
        <v>8082</v>
      </c>
      <c r="E1678" t="s">
        <v>8083</v>
      </c>
      <c r="L1678" t="s">
        <v>72</v>
      </c>
      <c r="M1678" t="s">
        <v>73</v>
      </c>
      <c r="R1678" t="s">
        <v>8084</v>
      </c>
      <c r="W1678" t="s">
        <v>8083</v>
      </c>
      <c r="X1678" t="s">
        <v>1651</v>
      </c>
      <c r="Y1678" t="s">
        <v>91</v>
      </c>
      <c r="Z1678" t="s">
        <v>74</v>
      </c>
      <c r="AA1678" t="str">
        <f>"10032-3720"</f>
        <v>10032-3720</v>
      </c>
      <c r="AB1678" t="s">
        <v>75</v>
      </c>
      <c r="AC1678" t="s">
        <v>76</v>
      </c>
      <c r="AD1678" t="s">
        <v>73</v>
      </c>
      <c r="AE1678" t="s">
        <v>77</v>
      </c>
      <c r="AF1678" t="s">
        <v>2228</v>
      </c>
      <c r="AG1678" t="s">
        <v>78</v>
      </c>
    </row>
    <row r="1679" spans="1:33" hidden="1" x14ac:dyDescent="0.25">
      <c r="A1679" t="str">
        <f>"1841274172"</f>
        <v>1841274172</v>
      </c>
      <c r="B1679" t="str">
        <f>"01707473"</f>
        <v>01707473</v>
      </c>
      <c r="C1679" t="s">
        <v>8085</v>
      </c>
      <c r="D1679" t="s">
        <v>8086</v>
      </c>
      <c r="E1679" t="s">
        <v>8087</v>
      </c>
      <c r="L1679" t="s">
        <v>80</v>
      </c>
      <c r="M1679" t="s">
        <v>73</v>
      </c>
      <c r="R1679" t="s">
        <v>8088</v>
      </c>
      <c r="W1679" t="s">
        <v>8087</v>
      </c>
      <c r="X1679" t="s">
        <v>1149</v>
      </c>
      <c r="Y1679" t="s">
        <v>1150</v>
      </c>
      <c r="Z1679" t="s">
        <v>74</v>
      </c>
      <c r="AA1679" t="str">
        <f>"10708-3403"</f>
        <v>10708-3403</v>
      </c>
      <c r="AB1679" t="s">
        <v>75</v>
      </c>
      <c r="AC1679" t="s">
        <v>76</v>
      </c>
      <c r="AD1679" t="s">
        <v>73</v>
      </c>
      <c r="AE1679" t="s">
        <v>77</v>
      </c>
      <c r="AF1679" t="s">
        <v>2228</v>
      </c>
      <c r="AG1679" t="s">
        <v>78</v>
      </c>
    </row>
    <row r="1680" spans="1:33" hidden="1" x14ac:dyDescent="0.25">
      <c r="A1680" t="str">
        <f>"1790717130"</f>
        <v>1790717130</v>
      </c>
      <c r="B1680" t="str">
        <f>"01934183"</f>
        <v>01934183</v>
      </c>
      <c r="C1680" t="s">
        <v>8089</v>
      </c>
      <c r="D1680" t="s">
        <v>8090</v>
      </c>
      <c r="E1680" t="s">
        <v>8091</v>
      </c>
      <c r="L1680" t="s">
        <v>72</v>
      </c>
      <c r="M1680" t="s">
        <v>73</v>
      </c>
      <c r="R1680" t="s">
        <v>8092</v>
      </c>
      <c r="W1680" t="s">
        <v>8093</v>
      </c>
      <c r="X1680" t="s">
        <v>117</v>
      </c>
      <c r="Y1680" t="s">
        <v>118</v>
      </c>
      <c r="Z1680" t="s">
        <v>74</v>
      </c>
      <c r="AA1680" t="str">
        <f>"10461-1119"</f>
        <v>10461-1119</v>
      </c>
      <c r="AB1680" t="s">
        <v>75</v>
      </c>
      <c r="AC1680" t="s">
        <v>76</v>
      </c>
      <c r="AD1680" t="s">
        <v>73</v>
      </c>
      <c r="AE1680" t="s">
        <v>77</v>
      </c>
      <c r="AF1680" t="s">
        <v>2242</v>
      </c>
      <c r="AG1680" t="s">
        <v>78</v>
      </c>
    </row>
    <row r="1681" spans="1:33" hidden="1" x14ac:dyDescent="0.25">
      <c r="A1681" t="str">
        <f>"1316230550"</f>
        <v>1316230550</v>
      </c>
      <c r="C1681" t="s">
        <v>8094</v>
      </c>
      <c r="G1681" t="s">
        <v>2224</v>
      </c>
      <c r="H1681" t="s">
        <v>2312</v>
      </c>
      <c r="J1681" t="s">
        <v>2226</v>
      </c>
      <c r="K1681" t="s">
        <v>171</v>
      </c>
      <c r="L1681" t="s">
        <v>96</v>
      </c>
      <c r="M1681" t="s">
        <v>73</v>
      </c>
      <c r="R1681" t="s">
        <v>8095</v>
      </c>
      <c r="S1681" t="s">
        <v>8096</v>
      </c>
      <c r="T1681" t="s">
        <v>605</v>
      </c>
      <c r="U1681" t="s">
        <v>409</v>
      </c>
      <c r="V1681" t="str">
        <f>"27710"</f>
        <v>27710</v>
      </c>
      <c r="AC1681" t="s">
        <v>76</v>
      </c>
      <c r="AD1681" t="s">
        <v>73</v>
      </c>
      <c r="AE1681" t="s">
        <v>97</v>
      </c>
      <c r="AF1681" t="s">
        <v>2234</v>
      </c>
      <c r="AG1681" t="s">
        <v>78</v>
      </c>
    </row>
    <row r="1682" spans="1:33" hidden="1" x14ac:dyDescent="0.25">
      <c r="A1682" t="str">
        <f>"1497892624"</f>
        <v>1497892624</v>
      </c>
      <c r="B1682" t="str">
        <f>"02590178"</f>
        <v>02590178</v>
      </c>
      <c r="C1682" t="s">
        <v>8097</v>
      </c>
      <c r="D1682" t="s">
        <v>8098</v>
      </c>
      <c r="E1682" t="s">
        <v>8099</v>
      </c>
      <c r="G1682" t="s">
        <v>2224</v>
      </c>
      <c r="H1682" t="s">
        <v>2225</v>
      </c>
      <c r="J1682" t="s">
        <v>2226</v>
      </c>
      <c r="L1682" t="s">
        <v>81</v>
      </c>
      <c r="M1682" t="s">
        <v>82</v>
      </c>
      <c r="R1682" t="s">
        <v>8100</v>
      </c>
      <c r="W1682" t="s">
        <v>8099</v>
      </c>
      <c r="X1682" t="s">
        <v>516</v>
      </c>
      <c r="Y1682" t="s">
        <v>112</v>
      </c>
      <c r="Z1682" t="s">
        <v>74</v>
      </c>
      <c r="AA1682" t="str">
        <f>"14642-0001"</f>
        <v>14642-0001</v>
      </c>
      <c r="AB1682" t="s">
        <v>75</v>
      </c>
      <c r="AC1682" t="s">
        <v>76</v>
      </c>
      <c r="AD1682" t="s">
        <v>73</v>
      </c>
      <c r="AE1682" t="s">
        <v>77</v>
      </c>
      <c r="AF1682" t="s">
        <v>2242</v>
      </c>
      <c r="AG1682" t="s">
        <v>78</v>
      </c>
    </row>
    <row r="1683" spans="1:33" hidden="1" x14ac:dyDescent="0.25">
      <c r="A1683" t="str">
        <f>"1417982869"</f>
        <v>1417982869</v>
      </c>
      <c r="B1683" t="str">
        <f>"01936227"</f>
        <v>01936227</v>
      </c>
      <c r="C1683" t="s">
        <v>8101</v>
      </c>
      <c r="D1683" t="s">
        <v>8102</v>
      </c>
      <c r="E1683" t="s">
        <v>8103</v>
      </c>
      <c r="L1683" t="s">
        <v>72</v>
      </c>
      <c r="M1683" t="s">
        <v>73</v>
      </c>
      <c r="R1683" t="s">
        <v>8104</v>
      </c>
      <c r="W1683" t="s">
        <v>8103</v>
      </c>
      <c r="X1683" t="s">
        <v>2085</v>
      </c>
      <c r="Y1683" t="s">
        <v>91</v>
      </c>
      <c r="Z1683" t="s">
        <v>74</v>
      </c>
      <c r="AA1683" t="str">
        <f>"10032-3720"</f>
        <v>10032-3720</v>
      </c>
      <c r="AB1683" t="s">
        <v>75</v>
      </c>
      <c r="AC1683" t="s">
        <v>76</v>
      </c>
      <c r="AD1683" t="s">
        <v>73</v>
      </c>
      <c r="AE1683" t="s">
        <v>77</v>
      </c>
      <c r="AF1683" t="s">
        <v>2228</v>
      </c>
      <c r="AG1683" t="s">
        <v>78</v>
      </c>
    </row>
    <row r="1684" spans="1:33" hidden="1" x14ac:dyDescent="0.25">
      <c r="A1684" t="str">
        <f>"1811942709"</f>
        <v>1811942709</v>
      </c>
      <c r="B1684" t="str">
        <f>"01883196"</f>
        <v>01883196</v>
      </c>
      <c r="C1684" t="s">
        <v>8105</v>
      </c>
      <c r="D1684" t="s">
        <v>8106</v>
      </c>
      <c r="E1684" t="s">
        <v>8107</v>
      </c>
      <c r="L1684" t="s">
        <v>80</v>
      </c>
      <c r="M1684" t="s">
        <v>73</v>
      </c>
      <c r="R1684" t="s">
        <v>8108</v>
      </c>
      <c r="W1684" t="s">
        <v>8107</v>
      </c>
      <c r="X1684" t="s">
        <v>272</v>
      </c>
      <c r="Y1684" t="s">
        <v>91</v>
      </c>
      <c r="Z1684" t="s">
        <v>74</v>
      </c>
      <c r="AA1684" t="str">
        <f>"10038-2612"</f>
        <v>10038-2612</v>
      </c>
      <c r="AB1684" t="s">
        <v>75</v>
      </c>
      <c r="AC1684" t="s">
        <v>76</v>
      </c>
      <c r="AD1684" t="s">
        <v>73</v>
      </c>
      <c r="AE1684" t="s">
        <v>77</v>
      </c>
      <c r="AG1684" t="s">
        <v>78</v>
      </c>
    </row>
    <row r="1685" spans="1:33" hidden="1" x14ac:dyDescent="0.25">
      <c r="A1685" t="str">
        <f>"1285892042"</f>
        <v>1285892042</v>
      </c>
      <c r="B1685" t="str">
        <f>"03235976"</f>
        <v>03235976</v>
      </c>
      <c r="C1685" t="s">
        <v>8109</v>
      </c>
      <c r="D1685" t="s">
        <v>8110</v>
      </c>
      <c r="E1685" t="s">
        <v>8111</v>
      </c>
      <c r="L1685" t="s">
        <v>80</v>
      </c>
      <c r="M1685" t="s">
        <v>73</v>
      </c>
      <c r="R1685" t="s">
        <v>8112</v>
      </c>
      <c r="W1685" t="s">
        <v>8111</v>
      </c>
      <c r="X1685" t="s">
        <v>272</v>
      </c>
      <c r="Y1685" t="s">
        <v>91</v>
      </c>
      <c r="Z1685" t="s">
        <v>74</v>
      </c>
      <c r="AA1685" t="str">
        <f>"10038-2612"</f>
        <v>10038-2612</v>
      </c>
      <c r="AB1685" t="s">
        <v>75</v>
      </c>
      <c r="AC1685" t="s">
        <v>76</v>
      </c>
      <c r="AD1685" t="s">
        <v>73</v>
      </c>
      <c r="AE1685" t="s">
        <v>77</v>
      </c>
      <c r="AF1685" t="s">
        <v>2242</v>
      </c>
      <c r="AG1685" t="s">
        <v>78</v>
      </c>
    </row>
    <row r="1686" spans="1:33" hidden="1" x14ac:dyDescent="0.25">
      <c r="A1686" t="str">
        <f>"1811993496"</f>
        <v>1811993496</v>
      </c>
      <c r="C1686" t="s">
        <v>8113</v>
      </c>
      <c r="G1686" t="s">
        <v>2224</v>
      </c>
      <c r="H1686" t="s">
        <v>2312</v>
      </c>
      <c r="J1686" t="s">
        <v>2226</v>
      </c>
      <c r="K1686" t="s">
        <v>171</v>
      </c>
      <c r="L1686" t="s">
        <v>72</v>
      </c>
      <c r="M1686" t="s">
        <v>73</v>
      </c>
      <c r="R1686" t="s">
        <v>8114</v>
      </c>
      <c r="S1686" t="s">
        <v>272</v>
      </c>
      <c r="T1686" t="s">
        <v>91</v>
      </c>
      <c r="U1686" t="s">
        <v>74</v>
      </c>
      <c r="V1686" t="str">
        <f>"100382612"</f>
        <v>100382612</v>
      </c>
      <c r="AC1686" t="s">
        <v>76</v>
      </c>
      <c r="AD1686" t="s">
        <v>73</v>
      </c>
      <c r="AE1686" t="s">
        <v>97</v>
      </c>
      <c r="AF1686" t="s">
        <v>2242</v>
      </c>
      <c r="AG1686" t="s">
        <v>78</v>
      </c>
    </row>
    <row r="1687" spans="1:33" hidden="1" x14ac:dyDescent="0.25">
      <c r="A1687" t="str">
        <f>"1417251927"</f>
        <v>1417251927</v>
      </c>
      <c r="C1687" t="s">
        <v>8115</v>
      </c>
      <c r="G1687" t="s">
        <v>2224</v>
      </c>
      <c r="H1687" t="s">
        <v>2312</v>
      </c>
      <c r="J1687" t="s">
        <v>2226</v>
      </c>
      <c r="K1687" t="s">
        <v>171</v>
      </c>
      <c r="L1687" t="s">
        <v>96</v>
      </c>
      <c r="M1687" t="s">
        <v>73</v>
      </c>
      <c r="R1687" t="s">
        <v>1657</v>
      </c>
      <c r="S1687" t="s">
        <v>1658</v>
      </c>
      <c r="T1687" t="s">
        <v>91</v>
      </c>
      <c r="U1687" t="s">
        <v>74</v>
      </c>
      <c r="V1687" t="str">
        <f>"100382612"</f>
        <v>100382612</v>
      </c>
      <c r="AC1687" t="s">
        <v>76</v>
      </c>
      <c r="AD1687" t="s">
        <v>73</v>
      </c>
      <c r="AE1687" t="s">
        <v>97</v>
      </c>
      <c r="AF1687" t="s">
        <v>2234</v>
      </c>
      <c r="AG1687" t="s">
        <v>78</v>
      </c>
    </row>
    <row r="1688" spans="1:33" hidden="1" x14ac:dyDescent="0.25">
      <c r="A1688" t="str">
        <f>"1841585296"</f>
        <v>1841585296</v>
      </c>
      <c r="C1688" t="s">
        <v>8116</v>
      </c>
      <c r="G1688" t="s">
        <v>2224</v>
      </c>
      <c r="H1688" t="s">
        <v>2312</v>
      </c>
      <c r="J1688" t="s">
        <v>2226</v>
      </c>
      <c r="K1688" t="s">
        <v>171</v>
      </c>
      <c r="L1688" t="s">
        <v>72</v>
      </c>
      <c r="M1688" t="s">
        <v>73</v>
      </c>
      <c r="R1688" t="s">
        <v>8117</v>
      </c>
      <c r="S1688" t="s">
        <v>5055</v>
      </c>
      <c r="T1688" t="s">
        <v>118</v>
      </c>
      <c r="U1688" t="s">
        <v>74</v>
      </c>
      <c r="V1688" t="str">
        <f>"104577606"</f>
        <v>104577606</v>
      </c>
      <c r="AC1688" t="s">
        <v>76</v>
      </c>
      <c r="AD1688" t="s">
        <v>73</v>
      </c>
      <c r="AE1688" t="s">
        <v>97</v>
      </c>
      <c r="AF1688" t="s">
        <v>2242</v>
      </c>
      <c r="AG1688" t="s">
        <v>78</v>
      </c>
    </row>
    <row r="1689" spans="1:33" hidden="1" x14ac:dyDescent="0.25">
      <c r="A1689" t="str">
        <f>"1629395660"</f>
        <v>1629395660</v>
      </c>
      <c r="B1689" t="str">
        <f>"03589508"</f>
        <v>03589508</v>
      </c>
      <c r="C1689" t="s">
        <v>8118</v>
      </c>
      <c r="D1689" t="s">
        <v>8119</v>
      </c>
      <c r="E1689" t="s">
        <v>8120</v>
      </c>
      <c r="L1689" t="s">
        <v>72</v>
      </c>
      <c r="M1689" t="s">
        <v>73</v>
      </c>
      <c r="R1689" t="s">
        <v>8120</v>
      </c>
      <c r="W1689" t="s">
        <v>8121</v>
      </c>
      <c r="X1689" t="s">
        <v>170</v>
      </c>
      <c r="Y1689" t="s">
        <v>91</v>
      </c>
      <c r="Z1689" t="s">
        <v>74</v>
      </c>
      <c r="AA1689" t="str">
        <f>"10065-4870"</f>
        <v>10065-4870</v>
      </c>
      <c r="AB1689" t="s">
        <v>75</v>
      </c>
      <c r="AC1689" t="s">
        <v>76</v>
      </c>
      <c r="AD1689" t="s">
        <v>73</v>
      </c>
      <c r="AE1689" t="s">
        <v>77</v>
      </c>
      <c r="AG1689" t="s">
        <v>78</v>
      </c>
    </row>
    <row r="1690" spans="1:33" hidden="1" x14ac:dyDescent="0.25">
      <c r="A1690" t="str">
        <f>"1811094451"</f>
        <v>1811094451</v>
      </c>
      <c r="B1690" t="str">
        <f>"00386109"</f>
        <v>00386109</v>
      </c>
      <c r="C1690" t="s">
        <v>8122</v>
      </c>
      <c r="D1690" t="s">
        <v>8123</v>
      </c>
      <c r="E1690" t="s">
        <v>8124</v>
      </c>
      <c r="G1690" t="s">
        <v>2224</v>
      </c>
      <c r="H1690" t="s">
        <v>2225</v>
      </c>
      <c r="J1690" t="s">
        <v>2226</v>
      </c>
      <c r="L1690" t="s">
        <v>88</v>
      </c>
      <c r="M1690" t="s">
        <v>73</v>
      </c>
      <c r="R1690" t="s">
        <v>8125</v>
      </c>
      <c r="W1690" t="s">
        <v>8124</v>
      </c>
      <c r="X1690" t="s">
        <v>183</v>
      </c>
      <c r="Y1690" t="s">
        <v>91</v>
      </c>
      <c r="Z1690" t="s">
        <v>74</v>
      </c>
      <c r="AA1690" t="str">
        <f>"10032-3729"</f>
        <v>10032-3729</v>
      </c>
      <c r="AB1690" t="s">
        <v>75</v>
      </c>
      <c r="AC1690" t="s">
        <v>76</v>
      </c>
      <c r="AD1690" t="s">
        <v>73</v>
      </c>
      <c r="AE1690" t="s">
        <v>77</v>
      </c>
      <c r="AF1690" t="s">
        <v>2228</v>
      </c>
      <c r="AG1690" t="s">
        <v>78</v>
      </c>
    </row>
    <row r="1691" spans="1:33" hidden="1" x14ac:dyDescent="0.25">
      <c r="A1691" t="str">
        <f>"1356761001"</f>
        <v>1356761001</v>
      </c>
      <c r="C1691" t="s">
        <v>8126</v>
      </c>
      <c r="G1691" t="s">
        <v>2224</v>
      </c>
      <c r="H1691" t="s">
        <v>2312</v>
      </c>
      <c r="J1691" t="s">
        <v>2226</v>
      </c>
      <c r="K1691" t="s">
        <v>171</v>
      </c>
      <c r="L1691" t="s">
        <v>96</v>
      </c>
      <c r="M1691" t="s">
        <v>73</v>
      </c>
      <c r="R1691" t="s">
        <v>8127</v>
      </c>
      <c r="S1691" t="s">
        <v>3925</v>
      </c>
      <c r="T1691" t="s">
        <v>91</v>
      </c>
      <c r="U1691" t="s">
        <v>74</v>
      </c>
      <c r="V1691" t="str">
        <f>"100323720"</f>
        <v>100323720</v>
      </c>
      <c r="AC1691" t="s">
        <v>76</v>
      </c>
      <c r="AD1691" t="s">
        <v>73</v>
      </c>
      <c r="AE1691" t="s">
        <v>97</v>
      </c>
      <c r="AF1691" t="s">
        <v>2228</v>
      </c>
      <c r="AG1691" t="s">
        <v>78</v>
      </c>
    </row>
    <row r="1692" spans="1:33" hidden="1" x14ac:dyDescent="0.25">
      <c r="A1692" t="str">
        <f>"1154367175"</f>
        <v>1154367175</v>
      </c>
      <c r="B1692" t="str">
        <f>"02424615"</f>
        <v>02424615</v>
      </c>
      <c r="C1692" t="s">
        <v>8128</v>
      </c>
      <c r="D1692" t="s">
        <v>8129</v>
      </c>
      <c r="E1692" t="s">
        <v>8130</v>
      </c>
      <c r="L1692" t="s">
        <v>80</v>
      </c>
      <c r="M1692" t="s">
        <v>73</v>
      </c>
      <c r="R1692" t="s">
        <v>8131</v>
      </c>
      <c r="W1692" t="s">
        <v>8132</v>
      </c>
      <c r="X1692" t="s">
        <v>3120</v>
      </c>
      <c r="Y1692" t="s">
        <v>91</v>
      </c>
      <c r="Z1692" t="s">
        <v>74</v>
      </c>
      <c r="AA1692" t="str">
        <f>"10032-3720"</f>
        <v>10032-3720</v>
      </c>
      <c r="AB1692" t="s">
        <v>75</v>
      </c>
      <c r="AC1692" t="s">
        <v>76</v>
      </c>
      <c r="AD1692" t="s">
        <v>73</v>
      </c>
      <c r="AE1692" t="s">
        <v>77</v>
      </c>
      <c r="AF1692" t="s">
        <v>2228</v>
      </c>
      <c r="AG1692" t="s">
        <v>78</v>
      </c>
    </row>
    <row r="1693" spans="1:33" hidden="1" x14ac:dyDescent="0.25">
      <c r="A1693" t="str">
        <f>"1659424414"</f>
        <v>1659424414</v>
      </c>
      <c r="B1693" t="str">
        <f>"02590090"</f>
        <v>02590090</v>
      </c>
      <c r="C1693" t="s">
        <v>8133</v>
      </c>
      <c r="D1693" t="s">
        <v>8134</v>
      </c>
      <c r="E1693" t="s">
        <v>8135</v>
      </c>
      <c r="L1693" t="s">
        <v>80</v>
      </c>
      <c r="M1693" t="s">
        <v>73</v>
      </c>
      <c r="R1693" t="s">
        <v>8136</v>
      </c>
      <c r="W1693" t="s">
        <v>8135</v>
      </c>
      <c r="X1693" t="s">
        <v>8137</v>
      </c>
      <c r="Y1693" t="s">
        <v>91</v>
      </c>
      <c r="Z1693" t="s">
        <v>74</v>
      </c>
      <c r="AA1693" t="str">
        <f>"10032-3720"</f>
        <v>10032-3720</v>
      </c>
      <c r="AB1693" t="s">
        <v>75</v>
      </c>
      <c r="AC1693" t="s">
        <v>76</v>
      </c>
      <c r="AD1693" t="s">
        <v>73</v>
      </c>
      <c r="AE1693" t="s">
        <v>77</v>
      </c>
      <c r="AF1693" t="s">
        <v>2228</v>
      </c>
      <c r="AG1693" t="s">
        <v>78</v>
      </c>
    </row>
    <row r="1694" spans="1:33" hidden="1" x14ac:dyDescent="0.25">
      <c r="A1694" t="str">
        <f>"1487812319"</f>
        <v>1487812319</v>
      </c>
      <c r="B1694" t="str">
        <f>"03853981"</f>
        <v>03853981</v>
      </c>
      <c r="C1694" t="s">
        <v>8138</v>
      </c>
      <c r="D1694" t="s">
        <v>8139</v>
      </c>
      <c r="E1694" t="s">
        <v>8140</v>
      </c>
      <c r="G1694" t="s">
        <v>2224</v>
      </c>
      <c r="H1694" t="s">
        <v>2225</v>
      </c>
      <c r="J1694" t="s">
        <v>2226</v>
      </c>
      <c r="L1694" t="s">
        <v>88</v>
      </c>
      <c r="M1694" t="s">
        <v>73</v>
      </c>
      <c r="R1694" t="s">
        <v>8140</v>
      </c>
      <c r="W1694" t="s">
        <v>8140</v>
      </c>
      <c r="X1694" t="s">
        <v>167</v>
      </c>
      <c r="Y1694" t="s">
        <v>91</v>
      </c>
      <c r="Z1694" t="s">
        <v>74</v>
      </c>
      <c r="AA1694" t="str">
        <f>"10032-3720"</f>
        <v>10032-3720</v>
      </c>
      <c r="AB1694" t="s">
        <v>75</v>
      </c>
      <c r="AC1694" t="s">
        <v>76</v>
      </c>
      <c r="AD1694" t="s">
        <v>73</v>
      </c>
      <c r="AE1694" t="s">
        <v>77</v>
      </c>
      <c r="AF1694" t="s">
        <v>2254</v>
      </c>
      <c r="AG1694" t="s">
        <v>78</v>
      </c>
    </row>
    <row r="1695" spans="1:33" hidden="1" x14ac:dyDescent="0.25">
      <c r="A1695" t="str">
        <f>"1063485050"</f>
        <v>1063485050</v>
      </c>
      <c r="B1695" t="str">
        <f>"02189600"</f>
        <v>02189600</v>
      </c>
      <c r="C1695" t="s">
        <v>8141</v>
      </c>
      <c r="D1695" t="s">
        <v>8142</v>
      </c>
      <c r="E1695" t="s">
        <v>8143</v>
      </c>
      <c r="G1695" t="s">
        <v>2224</v>
      </c>
      <c r="H1695" t="s">
        <v>2225</v>
      </c>
      <c r="J1695" t="s">
        <v>2226</v>
      </c>
      <c r="L1695" t="s">
        <v>72</v>
      </c>
      <c r="M1695" t="s">
        <v>73</v>
      </c>
      <c r="R1695" t="s">
        <v>8144</v>
      </c>
      <c r="W1695" t="s">
        <v>8145</v>
      </c>
      <c r="X1695" t="s">
        <v>8146</v>
      </c>
      <c r="Y1695" t="s">
        <v>541</v>
      </c>
      <c r="Z1695" t="s">
        <v>519</v>
      </c>
      <c r="AA1695" t="str">
        <f>"15213-3403"</f>
        <v>15213-3403</v>
      </c>
      <c r="AB1695" t="s">
        <v>75</v>
      </c>
      <c r="AC1695" t="s">
        <v>76</v>
      </c>
      <c r="AD1695" t="s">
        <v>73</v>
      </c>
      <c r="AE1695" t="s">
        <v>77</v>
      </c>
      <c r="AF1695" t="s">
        <v>2254</v>
      </c>
      <c r="AG1695" t="s">
        <v>78</v>
      </c>
    </row>
    <row r="1696" spans="1:33" hidden="1" x14ac:dyDescent="0.25">
      <c r="A1696" t="str">
        <f>"1205911385"</f>
        <v>1205911385</v>
      </c>
      <c r="B1696" t="str">
        <f>"02008620"</f>
        <v>02008620</v>
      </c>
      <c r="C1696" t="s">
        <v>8147</v>
      </c>
      <c r="D1696" t="s">
        <v>8148</v>
      </c>
      <c r="E1696" t="s">
        <v>8149</v>
      </c>
      <c r="G1696" t="s">
        <v>2224</v>
      </c>
      <c r="H1696" t="s">
        <v>2225</v>
      </c>
      <c r="J1696" t="s">
        <v>2226</v>
      </c>
      <c r="L1696" t="s">
        <v>80</v>
      </c>
      <c r="M1696" t="s">
        <v>73</v>
      </c>
      <c r="R1696" t="s">
        <v>8150</v>
      </c>
      <c r="W1696" t="s">
        <v>8149</v>
      </c>
      <c r="Y1696" t="s">
        <v>91</v>
      </c>
      <c r="Z1696" t="s">
        <v>74</v>
      </c>
      <c r="AA1696" t="str">
        <f>"10032-3720"</f>
        <v>10032-3720</v>
      </c>
      <c r="AB1696" t="s">
        <v>75</v>
      </c>
      <c r="AC1696" t="s">
        <v>76</v>
      </c>
      <c r="AD1696" t="s">
        <v>73</v>
      </c>
      <c r="AE1696" t="s">
        <v>77</v>
      </c>
      <c r="AF1696" t="s">
        <v>2254</v>
      </c>
      <c r="AG1696" t="s">
        <v>78</v>
      </c>
    </row>
    <row r="1697" spans="1:33" hidden="1" x14ac:dyDescent="0.25">
      <c r="A1697" t="str">
        <f>"1205919131"</f>
        <v>1205919131</v>
      </c>
      <c r="B1697" t="str">
        <f>"01811738"</f>
        <v>01811738</v>
      </c>
      <c r="C1697" t="s">
        <v>8151</v>
      </c>
      <c r="D1697" t="s">
        <v>488</v>
      </c>
      <c r="E1697" t="s">
        <v>489</v>
      </c>
      <c r="G1697" t="s">
        <v>2224</v>
      </c>
      <c r="H1697" t="s">
        <v>2225</v>
      </c>
      <c r="J1697" t="s">
        <v>2226</v>
      </c>
      <c r="L1697" t="s">
        <v>100</v>
      </c>
      <c r="M1697" t="s">
        <v>82</v>
      </c>
      <c r="W1697" t="s">
        <v>489</v>
      </c>
      <c r="X1697" t="s">
        <v>490</v>
      </c>
      <c r="Y1697" t="s">
        <v>91</v>
      </c>
      <c r="Z1697" t="s">
        <v>74</v>
      </c>
      <c r="AA1697" t="str">
        <f>"10040-1560"</f>
        <v>10040-1560</v>
      </c>
      <c r="AB1697" t="s">
        <v>75</v>
      </c>
      <c r="AC1697" t="s">
        <v>76</v>
      </c>
      <c r="AD1697" t="s">
        <v>73</v>
      </c>
      <c r="AE1697" t="s">
        <v>77</v>
      </c>
      <c r="AF1697" t="s">
        <v>2228</v>
      </c>
      <c r="AG1697" t="s">
        <v>78</v>
      </c>
    </row>
    <row r="1698" spans="1:33" hidden="1" x14ac:dyDescent="0.25">
      <c r="A1698" t="str">
        <f>"1801074315"</f>
        <v>1801074315</v>
      </c>
      <c r="B1698" t="str">
        <f>"04034451"</f>
        <v>04034451</v>
      </c>
      <c r="C1698" t="s">
        <v>3672</v>
      </c>
      <c r="D1698" t="s">
        <v>8152</v>
      </c>
      <c r="E1698" t="s">
        <v>3280</v>
      </c>
      <c r="L1698" t="s">
        <v>36</v>
      </c>
      <c r="M1698" t="s">
        <v>73</v>
      </c>
      <c r="R1698" t="s">
        <v>8153</v>
      </c>
      <c r="W1698" t="s">
        <v>3280</v>
      </c>
      <c r="X1698" t="s">
        <v>8154</v>
      </c>
      <c r="Y1698" t="s">
        <v>91</v>
      </c>
      <c r="Z1698" t="s">
        <v>74</v>
      </c>
      <c r="AA1698" t="str">
        <f>"10032-3722"</f>
        <v>10032-3722</v>
      </c>
      <c r="AB1698" t="s">
        <v>114</v>
      </c>
      <c r="AC1698" t="s">
        <v>76</v>
      </c>
      <c r="AD1698" t="s">
        <v>73</v>
      </c>
      <c r="AE1698" t="s">
        <v>77</v>
      </c>
      <c r="AG1698" t="s">
        <v>78</v>
      </c>
    </row>
    <row r="1699" spans="1:33" hidden="1" x14ac:dyDescent="0.25">
      <c r="A1699" t="str">
        <f>"1891712972"</f>
        <v>1891712972</v>
      </c>
      <c r="B1699" t="str">
        <f>"02517724"</f>
        <v>02517724</v>
      </c>
      <c r="C1699" t="s">
        <v>3672</v>
      </c>
      <c r="D1699" t="s">
        <v>8155</v>
      </c>
      <c r="E1699" t="s">
        <v>4598</v>
      </c>
      <c r="L1699" t="s">
        <v>36</v>
      </c>
      <c r="M1699" t="s">
        <v>73</v>
      </c>
      <c r="R1699" t="s">
        <v>3672</v>
      </c>
      <c r="W1699" t="s">
        <v>4598</v>
      </c>
      <c r="X1699" t="s">
        <v>290</v>
      </c>
      <c r="Y1699" t="s">
        <v>91</v>
      </c>
      <c r="Z1699" t="s">
        <v>74</v>
      </c>
      <c r="AA1699" t="str">
        <f>"10037-1802"</f>
        <v>10037-1802</v>
      </c>
      <c r="AB1699" t="s">
        <v>123</v>
      </c>
      <c r="AC1699" t="s">
        <v>76</v>
      </c>
      <c r="AD1699" t="s">
        <v>73</v>
      </c>
      <c r="AE1699" t="s">
        <v>77</v>
      </c>
      <c r="AG1699" t="s">
        <v>78</v>
      </c>
    </row>
    <row r="1700" spans="1:33" hidden="1" x14ac:dyDescent="0.25">
      <c r="A1700" t="str">
        <f>"1770741951"</f>
        <v>1770741951</v>
      </c>
      <c r="B1700" t="str">
        <f>"03142243"</f>
        <v>03142243</v>
      </c>
      <c r="C1700" t="s">
        <v>8156</v>
      </c>
      <c r="D1700" t="s">
        <v>8157</v>
      </c>
      <c r="E1700" t="s">
        <v>8158</v>
      </c>
      <c r="G1700" t="s">
        <v>2224</v>
      </c>
      <c r="H1700" t="s">
        <v>2225</v>
      </c>
      <c r="J1700" t="s">
        <v>2226</v>
      </c>
      <c r="L1700" t="s">
        <v>81</v>
      </c>
      <c r="M1700" t="s">
        <v>82</v>
      </c>
      <c r="R1700" t="s">
        <v>8159</v>
      </c>
      <c r="W1700" t="s">
        <v>8158</v>
      </c>
      <c r="X1700" t="s">
        <v>410</v>
      </c>
      <c r="Y1700" t="s">
        <v>91</v>
      </c>
      <c r="Z1700" t="s">
        <v>74</v>
      </c>
      <c r="AA1700" t="str">
        <f>"10032-1559"</f>
        <v>10032-1559</v>
      </c>
      <c r="AB1700" t="s">
        <v>75</v>
      </c>
      <c r="AC1700" t="s">
        <v>76</v>
      </c>
      <c r="AD1700" t="s">
        <v>73</v>
      </c>
      <c r="AE1700" t="s">
        <v>77</v>
      </c>
      <c r="AF1700" t="s">
        <v>2228</v>
      </c>
      <c r="AG1700" t="s">
        <v>78</v>
      </c>
    </row>
    <row r="1701" spans="1:33" hidden="1" x14ac:dyDescent="0.25">
      <c r="A1701" t="str">
        <f>"1972812709"</f>
        <v>1972812709</v>
      </c>
      <c r="C1701" t="s">
        <v>8160</v>
      </c>
      <c r="G1701" t="s">
        <v>2514</v>
      </c>
      <c r="H1701" t="s">
        <v>8161</v>
      </c>
      <c r="J1701" t="s">
        <v>2516</v>
      </c>
      <c r="K1701" t="s">
        <v>507</v>
      </c>
      <c r="L1701" t="s">
        <v>96</v>
      </c>
      <c r="M1701" t="s">
        <v>73</v>
      </c>
      <c r="R1701" t="s">
        <v>8162</v>
      </c>
      <c r="S1701" t="s">
        <v>1377</v>
      </c>
      <c r="T1701" t="s">
        <v>91</v>
      </c>
      <c r="U1701" t="s">
        <v>74</v>
      </c>
      <c r="V1701" t="str">
        <f>"100401602"</f>
        <v>100401602</v>
      </c>
      <c r="AC1701" t="s">
        <v>76</v>
      </c>
      <c r="AD1701" t="s">
        <v>73</v>
      </c>
      <c r="AE1701" t="s">
        <v>97</v>
      </c>
      <c r="AF1701" t="s">
        <v>2518</v>
      </c>
      <c r="AG1701" t="s">
        <v>78</v>
      </c>
    </row>
    <row r="1702" spans="1:33" hidden="1" x14ac:dyDescent="0.25">
      <c r="A1702" t="str">
        <f>"1306154554"</f>
        <v>1306154554</v>
      </c>
      <c r="B1702" t="str">
        <f>"03712943"</f>
        <v>03712943</v>
      </c>
      <c r="C1702" t="s">
        <v>8163</v>
      </c>
      <c r="D1702" t="s">
        <v>8164</v>
      </c>
      <c r="E1702" t="s">
        <v>8165</v>
      </c>
      <c r="G1702" t="s">
        <v>2514</v>
      </c>
      <c r="H1702" t="s">
        <v>8166</v>
      </c>
      <c r="J1702" t="s">
        <v>2516</v>
      </c>
      <c r="L1702" t="s">
        <v>96</v>
      </c>
      <c r="M1702" t="s">
        <v>73</v>
      </c>
      <c r="R1702" t="s">
        <v>8167</v>
      </c>
      <c r="W1702" t="s">
        <v>8165</v>
      </c>
      <c r="X1702" t="s">
        <v>1377</v>
      </c>
      <c r="Y1702" t="s">
        <v>91</v>
      </c>
      <c r="Z1702" t="s">
        <v>74</v>
      </c>
      <c r="AA1702" t="str">
        <f>"10040-1602"</f>
        <v>10040-1602</v>
      </c>
      <c r="AB1702" t="s">
        <v>107</v>
      </c>
      <c r="AC1702" t="s">
        <v>76</v>
      </c>
      <c r="AD1702" t="s">
        <v>73</v>
      </c>
      <c r="AE1702" t="s">
        <v>77</v>
      </c>
      <c r="AF1702" t="s">
        <v>2518</v>
      </c>
      <c r="AG1702" t="s">
        <v>78</v>
      </c>
    </row>
    <row r="1703" spans="1:33" hidden="1" x14ac:dyDescent="0.25">
      <c r="A1703" t="str">
        <f>"1285609263"</f>
        <v>1285609263</v>
      </c>
      <c r="C1703" t="s">
        <v>8168</v>
      </c>
      <c r="G1703" t="s">
        <v>2224</v>
      </c>
      <c r="H1703" t="s">
        <v>2225</v>
      </c>
      <c r="J1703" t="s">
        <v>2226</v>
      </c>
      <c r="K1703" t="s">
        <v>171</v>
      </c>
      <c r="L1703" t="s">
        <v>72</v>
      </c>
      <c r="M1703" t="s">
        <v>73</v>
      </c>
      <c r="R1703" t="s">
        <v>8169</v>
      </c>
      <c r="S1703" t="s">
        <v>8170</v>
      </c>
      <c r="T1703" t="s">
        <v>84</v>
      </c>
      <c r="U1703" t="s">
        <v>74</v>
      </c>
      <c r="V1703" t="str">
        <f>"112292427"</f>
        <v>112292427</v>
      </c>
      <c r="AC1703" t="s">
        <v>76</v>
      </c>
      <c r="AD1703" t="s">
        <v>73</v>
      </c>
      <c r="AE1703" t="s">
        <v>97</v>
      </c>
      <c r="AF1703" t="s">
        <v>2242</v>
      </c>
      <c r="AG1703" t="s">
        <v>78</v>
      </c>
    </row>
    <row r="1704" spans="1:33" hidden="1" x14ac:dyDescent="0.25">
      <c r="A1704" t="str">
        <f>"1144428012"</f>
        <v>1144428012</v>
      </c>
      <c r="B1704" t="str">
        <f>"03116694"</f>
        <v>03116694</v>
      </c>
      <c r="C1704" t="s">
        <v>8171</v>
      </c>
      <c r="D1704" t="s">
        <v>1926</v>
      </c>
      <c r="E1704" t="s">
        <v>1927</v>
      </c>
      <c r="G1704" t="s">
        <v>2514</v>
      </c>
      <c r="H1704" t="s">
        <v>8172</v>
      </c>
      <c r="J1704" t="s">
        <v>2516</v>
      </c>
      <c r="L1704" t="s">
        <v>100</v>
      </c>
      <c r="M1704" t="s">
        <v>73</v>
      </c>
      <c r="R1704" t="s">
        <v>1928</v>
      </c>
      <c r="W1704" t="s">
        <v>1927</v>
      </c>
      <c r="X1704" t="s">
        <v>1929</v>
      </c>
      <c r="Y1704" t="s">
        <v>91</v>
      </c>
      <c r="Z1704" t="s">
        <v>74</v>
      </c>
      <c r="AA1704" t="str">
        <f>"10032-4207"</f>
        <v>10032-4207</v>
      </c>
      <c r="AB1704" t="s">
        <v>75</v>
      </c>
      <c r="AC1704" t="s">
        <v>76</v>
      </c>
      <c r="AD1704" t="s">
        <v>73</v>
      </c>
      <c r="AE1704" t="s">
        <v>77</v>
      </c>
      <c r="AF1704" t="s">
        <v>2518</v>
      </c>
      <c r="AG1704" t="s">
        <v>78</v>
      </c>
    </row>
    <row r="1705" spans="1:33" hidden="1" x14ac:dyDescent="0.25">
      <c r="A1705" t="str">
        <f>"1295871879"</f>
        <v>1295871879</v>
      </c>
      <c r="B1705" t="str">
        <f>"02801903"</f>
        <v>02801903</v>
      </c>
      <c r="C1705" t="s">
        <v>8173</v>
      </c>
      <c r="D1705" t="s">
        <v>8174</v>
      </c>
      <c r="E1705" t="s">
        <v>8175</v>
      </c>
      <c r="G1705" t="s">
        <v>2224</v>
      </c>
      <c r="H1705" t="s">
        <v>2225</v>
      </c>
      <c r="J1705" t="s">
        <v>2226</v>
      </c>
      <c r="L1705" t="s">
        <v>72</v>
      </c>
      <c r="M1705" t="s">
        <v>73</v>
      </c>
      <c r="R1705" t="s">
        <v>8176</v>
      </c>
      <c r="W1705" t="s">
        <v>8175</v>
      </c>
      <c r="X1705" t="s">
        <v>410</v>
      </c>
      <c r="Y1705" t="s">
        <v>91</v>
      </c>
      <c r="Z1705" t="s">
        <v>74</v>
      </c>
      <c r="AA1705" t="str">
        <f>"10032-1559"</f>
        <v>10032-1559</v>
      </c>
      <c r="AB1705" t="s">
        <v>75</v>
      </c>
      <c r="AC1705" t="s">
        <v>76</v>
      </c>
      <c r="AD1705" t="s">
        <v>73</v>
      </c>
      <c r="AE1705" t="s">
        <v>77</v>
      </c>
      <c r="AF1705" t="s">
        <v>2254</v>
      </c>
      <c r="AG1705" t="s">
        <v>78</v>
      </c>
    </row>
    <row r="1706" spans="1:33" hidden="1" x14ac:dyDescent="0.25">
      <c r="A1706" t="str">
        <f>"1487678603"</f>
        <v>1487678603</v>
      </c>
      <c r="B1706" t="str">
        <f>"02386336"</f>
        <v>02386336</v>
      </c>
      <c r="C1706" t="s">
        <v>8177</v>
      </c>
      <c r="D1706" t="s">
        <v>8178</v>
      </c>
      <c r="E1706" t="s">
        <v>8179</v>
      </c>
      <c r="L1706" t="s">
        <v>80</v>
      </c>
      <c r="M1706" t="s">
        <v>73</v>
      </c>
      <c r="R1706" t="s">
        <v>8180</v>
      </c>
      <c r="W1706" t="s">
        <v>8179</v>
      </c>
      <c r="X1706" t="s">
        <v>4370</v>
      </c>
      <c r="Y1706" t="s">
        <v>91</v>
      </c>
      <c r="Z1706" t="s">
        <v>74</v>
      </c>
      <c r="AA1706" t="str">
        <f>"10032-3720"</f>
        <v>10032-3720</v>
      </c>
      <c r="AB1706" t="s">
        <v>75</v>
      </c>
      <c r="AC1706" t="s">
        <v>76</v>
      </c>
      <c r="AD1706" t="s">
        <v>73</v>
      </c>
      <c r="AE1706" t="s">
        <v>77</v>
      </c>
      <c r="AF1706" t="s">
        <v>2242</v>
      </c>
      <c r="AG1706" t="s">
        <v>78</v>
      </c>
    </row>
    <row r="1707" spans="1:33" hidden="1" x14ac:dyDescent="0.25">
      <c r="A1707" t="str">
        <f>"1790943777"</f>
        <v>1790943777</v>
      </c>
      <c r="B1707" t="str">
        <f>"03401250"</f>
        <v>03401250</v>
      </c>
      <c r="C1707" t="s">
        <v>8181</v>
      </c>
      <c r="D1707" t="s">
        <v>8182</v>
      </c>
      <c r="E1707" t="s">
        <v>8183</v>
      </c>
      <c r="G1707" t="s">
        <v>2224</v>
      </c>
      <c r="H1707" t="s">
        <v>2225</v>
      </c>
      <c r="J1707" t="s">
        <v>2226</v>
      </c>
      <c r="L1707" t="s">
        <v>72</v>
      </c>
      <c r="M1707" t="s">
        <v>73</v>
      </c>
      <c r="R1707" t="s">
        <v>8184</v>
      </c>
      <c r="W1707" t="s">
        <v>8183</v>
      </c>
      <c r="X1707" t="s">
        <v>167</v>
      </c>
      <c r="Y1707" t="s">
        <v>91</v>
      </c>
      <c r="Z1707" t="s">
        <v>74</v>
      </c>
      <c r="AA1707" t="str">
        <f>"10032-3720"</f>
        <v>10032-3720</v>
      </c>
      <c r="AB1707" t="s">
        <v>75</v>
      </c>
      <c r="AC1707" t="s">
        <v>76</v>
      </c>
      <c r="AD1707" t="s">
        <v>73</v>
      </c>
      <c r="AE1707" t="s">
        <v>77</v>
      </c>
      <c r="AF1707" t="s">
        <v>2228</v>
      </c>
      <c r="AG1707" t="s">
        <v>78</v>
      </c>
    </row>
    <row r="1708" spans="1:33" hidden="1" x14ac:dyDescent="0.25">
      <c r="A1708" t="str">
        <f>"1518054600"</f>
        <v>1518054600</v>
      </c>
      <c r="B1708" t="str">
        <f>"01745211"</f>
        <v>01745211</v>
      </c>
      <c r="C1708" t="s">
        <v>8185</v>
      </c>
      <c r="D1708" t="s">
        <v>8186</v>
      </c>
      <c r="E1708" t="s">
        <v>8187</v>
      </c>
      <c r="G1708" t="s">
        <v>2224</v>
      </c>
      <c r="H1708" t="s">
        <v>2225</v>
      </c>
      <c r="J1708" t="s">
        <v>2226</v>
      </c>
      <c r="L1708" t="s">
        <v>81</v>
      </c>
      <c r="M1708" t="s">
        <v>82</v>
      </c>
      <c r="R1708" t="s">
        <v>8188</v>
      </c>
      <c r="W1708" t="s">
        <v>8187</v>
      </c>
      <c r="X1708" t="s">
        <v>170</v>
      </c>
      <c r="Y1708" t="s">
        <v>91</v>
      </c>
      <c r="Z1708" t="s">
        <v>74</v>
      </c>
      <c r="AA1708" t="str">
        <f>"10065-4870"</f>
        <v>10065-4870</v>
      </c>
      <c r="AB1708" t="s">
        <v>75</v>
      </c>
      <c r="AC1708" t="s">
        <v>76</v>
      </c>
      <c r="AD1708" t="s">
        <v>73</v>
      </c>
      <c r="AE1708" t="s">
        <v>77</v>
      </c>
      <c r="AF1708" t="s">
        <v>2398</v>
      </c>
      <c r="AG1708" t="s">
        <v>78</v>
      </c>
    </row>
    <row r="1709" spans="1:33" hidden="1" x14ac:dyDescent="0.25">
      <c r="A1709" t="str">
        <f>"1518054618"</f>
        <v>1518054618</v>
      </c>
      <c r="B1709" t="str">
        <f>"01655696"</f>
        <v>01655696</v>
      </c>
      <c r="C1709" t="s">
        <v>8189</v>
      </c>
      <c r="D1709" t="s">
        <v>8190</v>
      </c>
      <c r="E1709" t="s">
        <v>8191</v>
      </c>
      <c r="G1709" t="s">
        <v>2224</v>
      </c>
      <c r="H1709" t="s">
        <v>2225</v>
      </c>
      <c r="J1709" t="s">
        <v>2226</v>
      </c>
      <c r="L1709" t="s">
        <v>81</v>
      </c>
      <c r="M1709" t="s">
        <v>82</v>
      </c>
      <c r="R1709" t="s">
        <v>8192</v>
      </c>
      <c r="W1709" t="s">
        <v>8191</v>
      </c>
      <c r="X1709" t="s">
        <v>8193</v>
      </c>
      <c r="Y1709" t="s">
        <v>91</v>
      </c>
      <c r="Z1709" t="s">
        <v>74</v>
      </c>
      <c r="AA1709" t="str">
        <f>"10021-5705"</f>
        <v>10021-5705</v>
      </c>
      <c r="AB1709" t="s">
        <v>75</v>
      </c>
      <c r="AC1709" t="s">
        <v>76</v>
      </c>
      <c r="AD1709" t="s">
        <v>73</v>
      </c>
      <c r="AE1709" t="s">
        <v>77</v>
      </c>
      <c r="AF1709" t="s">
        <v>2398</v>
      </c>
      <c r="AG1709" t="s">
        <v>78</v>
      </c>
    </row>
    <row r="1710" spans="1:33" hidden="1" x14ac:dyDescent="0.25">
      <c r="A1710" t="str">
        <f>"1518284959"</f>
        <v>1518284959</v>
      </c>
      <c r="B1710" t="str">
        <f>"03650566"</f>
        <v>03650566</v>
      </c>
      <c r="C1710" t="s">
        <v>8194</v>
      </c>
      <c r="D1710" t="s">
        <v>8195</v>
      </c>
      <c r="E1710" t="s">
        <v>8196</v>
      </c>
      <c r="G1710" t="s">
        <v>2224</v>
      </c>
      <c r="H1710" t="s">
        <v>2225</v>
      </c>
      <c r="J1710" t="s">
        <v>2226</v>
      </c>
      <c r="L1710" t="s">
        <v>88</v>
      </c>
      <c r="M1710" t="s">
        <v>73</v>
      </c>
      <c r="R1710" t="s">
        <v>8197</v>
      </c>
      <c r="W1710" t="s">
        <v>8196</v>
      </c>
      <c r="X1710" t="s">
        <v>8198</v>
      </c>
      <c r="Y1710" t="s">
        <v>91</v>
      </c>
      <c r="Z1710" t="s">
        <v>74</v>
      </c>
      <c r="AA1710" t="str">
        <f>"10033"</f>
        <v>10033</v>
      </c>
      <c r="AB1710" t="s">
        <v>75</v>
      </c>
      <c r="AC1710" t="s">
        <v>76</v>
      </c>
      <c r="AD1710" t="s">
        <v>73</v>
      </c>
      <c r="AE1710" t="s">
        <v>77</v>
      </c>
      <c r="AF1710" t="s">
        <v>2234</v>
      </c>
      <c r="AG1710" t="s">
        <v>78</v>
      </c>
    </row>
    <row r="1711" spans="1:33" hidden="1" x14ac:dyDescent="0.25">
      <c r="A1711" t="str">
        <f>"1508824517"</f>
        <v>1508824517</v>
      </c>
      <c r="B1711" t="str">
        <f>"02132176"</f>
        <v>02132176</v>
      </c>
      <c r="C1711" t="s">
        <v>8199</v>
      </c>
      <c r="D1711" t="s">
        <v>8200</v>
      </c>
      <c r="E1711" t="s">
        <v>8201</v>
      </c>
      <c r="G1711" t="s">
        <v>2224</v>
      </c>
      <c r="H1711" t="s">
        <v>2225</v>
      </c>
      <c r="J1711" t="s">
        <v>2226</v>
      </c>
      <c r="L1711" t="s">
        <v>81</v>
      </c>
      <c r="M1711" t="s">
        <v>73</v>
      </c>
      <c r="R1711" t="s">
        <v>8202</v>
      </c>
      <c r="W1711" t="s">
        <v>8201</v>
      </c>
      <c r="X1711" t="s">
        <v>628</v>
      </c>
      <c r="Y1711" t="s">
        <v>91</v>
      </c>
      <c r="Z1711" t="s">
        <v>74</v>
      </c>
      <c r="AA1711" t="str">
        <f>"10021-4872"</f>
        <v>10021-4872</v>
      </c>
      <c r="AB1711" t="s">
        <v>75</v>
      </c>
      <c r="AC1711" t="s">
        <v>76</v>
      </c>
      <c r="AD1711" t="s">
        <v>73</v>
      </c>
      <c r="AE1711" t="s">
        <v>77</v>
      </c>
      <c r="AF1711" t="s">
        <v>2242</v>
      </c>
      <c r="AG1711" t="s">
        <v>78</v>
      </c>
    </row>
    <row r="1712" spans="1:33" hidden="1" x14ac:dyDescent="0.25">
      <c r="A1712" t="str">
        <f>"1467549535"</f>
        <v>1467549535</v>
      </c>
      <c r="B1712" t="str">
        <f>"01360489"</f>
        <v>01360489</v>
      </c>
      <c r="C1712" t="s">
        <v>8203</v>
      </c>
      <c r="D1712" t="s">
        <v>8204</v>
      </c>
      <c r="E1712" t="s">
        <v>8205</v>
      </c>
      <c r="G1712" t="s">
        <v>2224</v>
      </c>
      <c r="H1712" t="s">
        <v>2225</v>
      </c>
      <c r="J1712" t="s">
        <v>2226</v>
      </c>
      <c r="L1712" t="s">
        <v>80</v>
      </c>
      <c r="M1712" t="s">
        <v>73</v>
      </c>
      <c r="R1712" t="s">
        <v>8206</v>
      </c>
      <c r="W1712" t="s">
        <v>8207</v>
      </c>
      <c r="X1712" t="s">
        <v>8208</v>
      </c>
      <c r="Y1712" t="s">
        <v>91</v>
      </c>
      <c r="Z1712" t="s">
        <v>74</v>
      </c>
      <c r="AA1712" t="str">
        <f>"10021-9800"</f>
        <v>10021-9800</v>
      </c>
      <c r="AB1712" t="s">
        <v>75</v>
      </c>
      <c r="AC1712" t="s">
        <v>76</v>
      </c>
      <c r="AD1712" t="s">
        <v>73</v>
      </c>
      <c r="AE1712" t="s">
        <v>77</v>
      </c>
      <c r="AF1712" t="s">
        <v>2242</v>
      </c>
      <c r="AG1712" t="s">
        <v>78</v>
      </c>
    </row>
    <row r="1713" spans="1:33" hidden="1" x14ac:dyDescent="0.25">
      <c r="A1713" t="str">
        <f>"1316960560"</f>
        <v>1316960560</v>
      </c>
      <c r="B1713" t="str">
        <f>"01824964"</f>
        <v>01824964</v>
      </c>
      <c r="C1713" t="s">
        <v>8209</v>
      </c>
      <c r="D1713" t="s">
        <v>1235</v>
      </c>
      <c r="E1713" t="s">
        <v>1236</v>
      </c>
      <c r="G1713" t="s">
        <v>2224</v>
      </c>
      <c r="H1713" t="s">
        <v>2225</v>
      </c>
      <c r="J1713" t="s">
        <v>2226</v>
      </c>
      <c r="L1713" t="s">
        <v>80</v>
      </c>
      <c r="M1713" t="s">
        <v>73</v>
      </c>
      <c r="R1713" t="s">
        <v>1237</v>
      </c>
      <c r="W1713" t="s">
        <v>1238</v>
      </c>
      <c r="X1713" t="s">
        <v>1239</v>
      </c>
      <c r="Y1713" t="s">
        <v>91</v>
      </c>
      <c r="Z1713" t="s">
        <v>74</v>
      </c>
      <c r="AA1713" t="str">
        <f>"10032-3722"</f>
        <v>10032-3722</v>
      </c>
      <c r="AB1713" t="s">
        <v>75</v>
      </c>
      <c r="AC1713" t="s">
        <v>76</v>
      </c>
      <c r="AD1713" t="s">
        <v>73</v>
      </c>
      <c r="AE1713" t="s">
        <v>77</v>
      </c>
      <c r="AF1713" t="s">
        <v>2254</v>
      </c>
      <c r="AG1713" t="s">
        <v>78</v>
      </c>
    </row>
    <row r="1714" spans="1:33" hidden="1" x14ac:dyDescent="0.25">
      <c r="A1714" t="str">
        <f>"1184732497"</f>
        <v>1184732497</v>
      </c>
      <c r="C1714" t="s">
        <v>8210</v>
      </c>
      <c r="K1714" t="s">
        <v>36</v>
      </c>
      <c r="L1714" t="s">
        <v>96</v>
      </c>
      <c r="M1714" t="s">
        <v>73</v>
      </c>
      <c r="R1714" t="s">
        <v>8210</v>
      </c>
      <c r="S1714" t="s">
        <v>1149</v>
      </c>
      <c r="T1714" t="s">
        <v>1150</v>
      </c>
      <c r="U1714" t="s">
        <v>74</v>
      </c>
      <c r="V1714" t="str">
        <f>"107083403"</f>
        <v>107083403</v>
      </c>
      <c r="AC1714" t="s">
        <v>76</v>
      </c>
      <c r="AD1714" t="s">
        <v>73</v>
      </c>
      <c r="AE1714" t="s">
        <v>97</v>
      </c>
      <c r="AG1714" t="s">
        <v>78</v>
      </c>
    </row>
    <row r="1715" spans="1:33" hidden="1" x14ac:dyDescent="0.25">
      <c r="A1715" t="str">
        <f>"1881950145"</f>
        <v>1881950145</v>
      </c>
      <c r="C1715" t="s">
        <v>8211</v>
      </c>
      <c r="G1715" t="s">
        <v>2224</v>
      </c>
      <c r="H1715" t="s">
        <v>2312</v>
      </c>
      <c r="J1715" t="s">
        <v>2226</v>
      </c>
      <c r="K1715" t="s">
        <v>171</v>
      </c>
      <c r="L1715" t="s">
        <v>96</v>
      </c>
      <c r="M1715" t="s">
        <v>73</v>
      </c>
      <c r="R1715" t="s">
        <v>8212</v>
      </c>
      <c r="S1715" t="s">
        <v>8213</v>
      </c>
      <c r="T1715" t="s">
        <v>91</v>
      </c>
      <c r="U1715" t="s">
        <v>74</v>
      </c>
      <c r="V1715" t="str">
        <f>"100323722"</f>
        <v>100323722</v>
      </c>
      <c r="AC1715" t="s">
        <v>76</v>
      </c>
      <c r="AD1715" t="s">
        <v>73</v>
      </c>
      <c r="AE1715" t="s">
        <v>97</v>
      </c>
      <c r="AF1715" t="s">
        <v>2228</v>
      </c>
      <c r="AG1715" t="s">
        <v>78</v>
      </c>
    </row>
    <row r="1716" spans="1:33" hidden="1" x14ac:dyDescent="0.25">
      <c r="A1716" t="str">
        <f>"1891051611"</f>
        <v>1891051611</v>
      </c>
      <c r="C1716" t="s">
        <v>8214</v>
      </c>
      <c r="G1716" t="s">
        <v>2224</v>
      </c>
      <c r="H1716" t="s">
        <v>2312</v>
      </c>
      <c r="J1716" t="s">
        <v>2226</v>
      </c>
      <c r="K1716" t="s">
        <v>171</v>
      </c>
      <c r="L1716" t="s">
        <v>96</v>
      </c>
      <c r="M1716" t="s">
        <v>73</v>
      </c>
      <c r="R1716" t="s">
        <v>8215</v>
      </c>
      <c r="S1716" t="s">
        <v>8216</v>
      </c>
      <c r="T1716" t="s">
        <v>91</v>
      </c>
      <c r="U1716" t="s">
        <v>74</v>
      </c>
      <c r="V1716" t="str">
        <f>"100323720"</f>
        <v>100323720</v>
      </c>
      <c r="AC1716" t="s">
        <v>76</v>
      </c>
      <c r="AD1716" t="s">
        <v>73</v>
      </c>
      <c r="AE1716" t="s">
        <v>97</v>
      </c>
      <c r="AF1716" t="s">
        <v>2228</v>
      </c>
      <c r="AG1716" t="s">
        <v>78</v>
      </c>
    </row>
    <row r="1717" spans="1:33" hidden="1" x14ac:dyDescent="0.25">
      <c r="A1717" t="str">
        <f>"1093788416"</f>
        <v>1093788416</v>
      </c>
      <c r="B1717" t="str">
        <f>"00151042"</f>
        <v>00151042</v>
      </c>
      <c r="C1717" t="s">
        <v>8217</v>
      </c>
      <c r="D1717" t="s">
        <v>8218</v>
      </c>
      <c r="E1717" t="s">
        <v>8219</v>
      </c>
      <c r="G1717" t="s">
        <v>2224</v>
      </c>
      <c r="H1717" t="s">
        <v>2225</v>
      </c>
      <c r="J1717" t="s">
        <v>2226</v>
      </c>
      <c r="L1717" t="s">
        <v>80</v>
      </c>
      <c r="M1717" t="s">
        <v>73</v>
      </c>
      <c r="R1717" t="s">
        <v>8220</v>
      </c>
      <c r="W1717" t="s">
        <v>8219</v>
      </c>
      <c r="Y1717" t="s">
        <v>186</v>
      </c>
      <c r="Z1717" t="s">
        <v>74</v>
      </c>
      <c r="AA1717" t="str">
        <f>"11530-5806"</f>
        <v>11530-5806</v>
      </c>
      <c r="AB1717" t="s">
        <v>75</v>
      </c>
      <c r="AC1717" t="s">
        <v>76</v>
      </c>
      <c r="AD1717" t="s">
        <v>73</v>
      </c>
      <c r="AE1717" t="s">
        <v>77</v>
      </c>
      <c r="AF1717" t="s">
        <v>2254</v>
      </c>
      <c r="AG1717" t="s">
        <v>78</v>
      </c>
    </row>
    <row r="1718" spans="1:33" hidden="1" x14ac:dyDescent="0.25">
      <c r="C1718" t="s">
        <v>8221</v>
      </c>
      <c r="G1718" t="s">
        <v>8222</v>
      </c>
      <c r="H1718" t="s">
        <v>8223</v>
      </c>
      <c r="J1718" t="s">
        <v>8224</v>
      </c>
      <c r="K1718" t="s">
        <v>105</v>
      </c>
      <c r="L1718" t="s">
        <v>94</v>
      </c>
      <c r="M1718" t="s">
        <v>73</v>
      </c>
      <c r="N1718" t="s">
        <v>8225</v>
      </c>
      <c r="O1718" t="s">
        <v>146</v>
      </c>
      <c r="P1718" t="s">
        <v>74</v>
      </c>
      <c r="Q1718" t="str">
        <f>"10017"</f>
        <v>10017</v>
      </c>
      <c r="AC1718" t="s">
        <v>76</v>
      </c>
      <c r="AD1718" t="s">
        <v>73</v>
      </c>
      <c r="AE1718" t="s">
        <v>95</v>
      </c>
      <c r="AG1718" t="s">
        <v>78</v>
      </c>
    </row>
    <row r="1719" spans="1:33" hidden="1" x14ac:dyDescent="0.25">
      <c r="A1719" t="str">
        <f>"1245677228"</f>
        <v>1245677228</v>
      </c>
      <c r="C1719" t="s">
        <v>8226</v>
      </c>
      <c r="G1719" t="s">
        <v>2224</v>
      </c>
      <c r="H1719" t="s">
        <v>2312</v>
      </c>
      <c r="J1719" t="s">
        <v>2226</v>
      </c>
      <c r="K1719" t="s">
        <v>171</v>
      </c>
      <c r="L1719" t="s">
        <v>96</v>
      </c>
      <c r="M1719" t="s">
        <v>73</v>
      </c>
      <c r="AC1719" t="s">
        <v>76</v>
      </c>
      <c r="AD1719" t="s">
        <v>73</v>
      </c>
      <c r="AE1719" t="s">
        <v>97</v>
      </c>
      <c r="AF1719" t="s">
        <v>2234</v>
      </c>
      <c r="AG1719" t="s">
        <v>78</v>
      </c>
    </row>
    <row r="1720" spans="1:33" hidden="1" x14ac:dyDescent="0.25">
      <c r="A1720" t="str">
        <f>"1982737003"</f>
        <v>1982737003</v>
      </c>
      <c r="B1720" t="str">
        <f>"02086042"</f>
        <v>02086042</v>
      </c>
      <c r="C1720" t="s">
        <v>8227</v>
      </c>
      <c r="D1720" t="s">
        <v>8228</v>
      </c>
      <c r="E1720" t="s">
        <v>8229</v>
      </c>
      <c r="L1720" t="s">
        <v>72</v>
      </c>
      <c r="M1720" t="s">
        <v>73</v>
      </c>
      <c r="R1720" t="s">
        <v>8230</v>
      </c>
      <c r="W1720" t="s">
        <v>8230</v>
      </c>
      <c r="X1720" t="s">
        <v>170</v>
      </c>
      <c r="Y1720" t="s">
        <v>91</v>
      </c>
      <c r="Z1720" t="s">
        <v>74</v>
      </c>
      <c r="AA1720" t="str">
        <f>"10065-4870"</f>
        <v>10065-4870</v>
      </c>
      <c r="AB1720" t="s">
        <v>75</v>
      </c>
      <c r="AC1720" t="s">
        <v>76</v>
      </c>
      <c r="AD1720" t="s">
        <v>73</v>
      </c>
      <c r="AE1720" t="s">
        <v>77</v>
      </c>
      <c r="AF1720" t="s">
        <v>2242</v>
      </c>
      <c r="AG1720" t="s">
        <v>78</v>
      </c>
    </row>
    <row r="1721" spans="1:33" hidden="1" x14ac:dyDescent="0.25">
      <c r="A1721" t="str">
        <f>"1174815591"</f>
        <v>1174815591</v>
      </c>
      <c r="B1721" t="str">
        <f>"04622588"</f>
        <v>04622588</v>
      </c>
      <c r="C1721" t="s">
        <v>8231</v>
      </c>
      <c r="D1721" t="s">
        <v>8232</v>
      </c>
      <c r="E1721" t="s">
        <v>8233</v>
      </c>
      <c r="G1721" t="s">
        <v>2224</v>
      </c>
      <c r="H1721" t="s">
        <v>2312</v>
      </c>
      <c r="J1721" t="s">
        <v>2226</v>
      </c>
      <c r="L1721" t="s">
        <v>96</v>
      </c>
      <c r="M1721" t="s">
        <v>73</v>
      </c>
      <c r="R1721" t="s">
        <v>8233</v>
      </c>
      <c r="W1721" t="s">
        <v>8233</v>
      </c>
      <c r="AB1721" t="s">
        <v>75</v>
      </c>
      <c r="AC1721" t="s">
        <v>76</v>
      </c>
      <c r="AD1721" t="s">
        <v>73</v>
      </c>
      <c r="AE1721" t="s">
        <v>77</v>
      </c>
      <c r="AF1721" t="s">
        <v>2234</v>
      </c>
      <c r="AG1721" t="s">
        <v>78</v>
      </c>
    </row>
    <row r="1722" spans="1:33" hidden="1" x14ac:dyDescent="0.25">
      <c r="A1722" t="str">
        <f>"1710305693"</f>
        <v>1710305693</v>
      </c>
      <c r="C1722" t="s">
        <v>8234</v>
      </c>
      <c r="G1722" t="s">
        <v>2224</v>
      </c>
      <c r="H1722" t="s">
        <v>2312</v>
      </c>
      <c r="J1722" t="s">
        <v>2226</v>
      </c>
      <c r="K1722" t="s">
        <v>171</v>
      </c>
      <c r="L1722" t="s">
        <v>96</v>
      </c>
      <c r="M1722" t="s">
        <v>73</v>
      </c>
      <c r="R1722" t="s">
        <v>8235</v>
      </c>
      <c r="S1722" t="s">
        <v>3032</v>
      </c>
      <c r="T1722" t="s">
        <v>91</v>
      </c>
      <c r="U1722" t="s">
        <v>74</v>
      </c>
      <c r="V1722" t="str">
        <f>"100654870"</f>
        <v>100654870</v>
      </c>
      <c r="AC1722" t="s">
        <v>76</v>
      </c>
      <c r="AD1722" t="s">
        <v>73</v>
      </c>
      <c r="AE1722" t="s">
        <v>97</v>
      </c>
      <c r="AF1722" t="s">
        <v>2242</v>
      </c>
      <c r="AG1722" t="s">
        <v>78</v>
      </c>
    </row>
    <row r="1723" spans="1:33" hidden="1" x14ac:dyDescent="0.25">
      <c r="A1723" t="str">
        <f>"1750593091"</f>
        <v>1750593091</v>
      </c>
      <c r="B1723" t="str">
        <f>"03191086"</f>
        <v>03191086</v>
      </c>
      <c r="C1723" t="s">
        <v>8236</v>
      </c>
      <c r="D1723" t="s">
        <v>8237</v>
      </c>
      <c r="E1723" t="s">
        <v>8238</v>
      </c>
      <c r="G1723" t="s">
        <v>2224</v>
      </c>
      <c r="H1723" t="s">
        <v>2225</v>
      </c>
      <c r="J1723" t="s">
        <v>2226</v>
      </c>
      <c r="L1723" t="s">
        <v>72</v>
      </c>
      <c r="M1723" t="s">
        <v>82</v>
      </c>
      <c r="R1723" t="s">
        <v>8239</v>
      </c>
      <c r="W1723" t="s">
        <v>8238</v>
      </c>
      <c r="X1723" t="s">
        <v>4384</v>
      </c>
      <c r="Y1723" t="s">
        <v>118</v>
      </c>
      <c r="Z1723" t="s">
        <v>74</v>
      </c>
      <c r="AA1723" t="str">
        <f>"10463-5079"</f>
        <v>10463-5079</v>
      </c>
      <c r="AB1723" t="s">
        <v>75</v>
      </c>
      <c r="AC1723" t="s">
        <v>76</v>
      </c>
      <c r="AD1723" t="s">
        <v>73</v>
      </c>
      <c r="AE1723" t="s">
        <v>77</v>
      </c>
      <c r="AF1723" t="s">
        <v>2254</v>
      </c>
      <c r="AG1723" t="s">
        <v>78</v>
      </c>
    </row>
    <row r="1724" spans="1:33" hidden="1" x14ac:dyDescent="0.25">
      <c r="A1724" t="str">
        <f>"1134422330"</f>
        <v>1134422330</v>
      </c>
      <c r="C1724" t="s">
        <v>3498</v>
      </c>
      <c r="K1724" t="s">
        <v>36</v>
      </c>
      <c r="L1724" t="s">
        <v>96</v>
      </c>
      <c r="M1724" t="s">
        <v>73</v>
      </c>
      <c r="R1724" t="s">
        <v>3498</v>
      </c>
      <c r="S1724" t="s">
        <v>8240</v>
      </c>
      <c r="T1724" t="s">
        <v>91</v>
      </c>
      <c r="U1724" t="s">
        <v>74</v>
      </c>
      <c r="V1724" t="str">
        <f>"100654870"</f>
        <v>100654870</v>
      </c>
      <c r="AC1724" t="s">
        <v>76</v>
      </c>
      <c r="AD1724" t="s">
        <v>73</v>
      </c>
      <c r="AE1724" t="s">
        <v>97</v>
      </c>
      <c r="AG1724" t="s">
        <v>78</v>
      </c>
    </row>
    <row r="1725" spans="1:33" hidden="1" x14ac:dyDescent="0.25">
      <c r="A1725" t="str">
        <f>"1205882586"</f>
        <v>1205882586</v>
      </c>
      <c r="B1725" t="str">
        <f>"02424019"</f>
        <v>02424019</v>
      </c>
      <c r="C1725" t="s">
        <v>3498</v>
      </c>
      <c r="D1725" t="s">
        <v>8241</v>
      </c>
      <c r="E1725" t="s">
        <v>4071</v>
      </c>
      <c r="L1725" t="s">
        <v>36</v>
      </c>
      <c r="M1725" t="s">
        <v>73</v>
      </c>
      <c r="R1725" t="s">
        <v>3498</v>
      </c>
      <c r="W1725" t="s">
        <v>3498</v>
      </c>
      <c r="X1725" t="s">
        <v>170</v>
      </c>
      <c r="Y1725" t="s">
        <v>91</v>
      </c>
      <c r="Z1725" t="s">
        <v>74</v>
      </c>
      <c r="AA1725" t="str">
        <f>"10065-4870"</f>
        <v>10065-4870</v>
      </c>
      <c r="AB1725" t="s">
        <v>114</v>
      </c>
      <c r="AC1725" t="s">
        <v>76</v>
      </c>
      <c r="AD1725" t="s">
        <v>73</v>
      </c>
      <c r="AE1725" t="s">
        <v>77</v>
      </c>
      <c r="AG1725" t="s">
        <v>78</v>
      </c>
    </row>
    <row r="1726" spans="1:33" hidden="1" x14ac:dyDescent="0.25">
      <c r="A1726" t="str">
        <f>"1275677395"</f>
        <v>1275677395</v>
      </c>
      <c r="B1726" t="str">
        <f>"01456688"</f>
        <v>01456688</v>
      </c>
      <c r="C1726" t="s">
        <v>3498</v>
      </c>
      <c r="D1726" t="s">
        <v>8242</v>
      </c>
      <c r="E1726" t="s">
        <v>4627</v>
      </c>
      <c r="L1726" t="s">
        <v>36</v>
      </c>
      <c r="M1726" t="s">
        <v>73</v>
      </c>
      <c r="R1726" t="s">
        <v>3498</v>
      </c>
      <c r="W1726" t="s">
        <v>3498</v>
      </c>
      <c r="X1726" t="s">
        <v>8243</v>
      </c>
      <c r="Y1726" t="s">
        <v>91</v>
      </c>
      <c r="Z1726" t="s">
        <v>74</v>
      </c>
      <c r="AA1726" t="str">
        <f>"10021-4872"</f>
        <v>10021-4872</v>
      </c>
      <c r="AB1726" t="s">
        <v>114</v>
      </c>
      <c r="AC1726" t="s">
        <v>76</v>
      </c>
      <c r="AD1726" t="s">
        <v>73</v>
      </c>
      <c r="AE1726" t="s">
        <v>77</v>
      </c>
      <c r="AG1726" t="s">
        <v>78</v>
      </c>
    </row>
    <row r="1727" spans="1:33" hidden="1" x14ac:dyDescent="0.25">
      <c r="A1727" t="str">
        <f>"1285742122"</f>
        <v>1285742122</v>
      </c>
      <c r="C1727" t="s">
        <v>3498</v>
      </c>
      <c r="K1727" t="s">
        <v>36</v>
      </c>
      <c r="L1727" t="s">
        <v>96</v>
      </c>
      <c r="M1727" t="s">
        <v>73</v>
      </c>
      <c r="R1727" t="s">
        <v>3498</v>
      </c>
      <c r="S1727" t="s">
        <v>8244</v>
      </c>
      <c r="T1727" t="s">
        <v>91</v>
      </c>
      <c r="U1727" t="s">
        <v>74</v>
      </c>
      <c r="V1727" t="str">
        <f>"100214870"</f>
        <v>100214870</v>
      </c>
      <c r="AC1727" t="s">
        <v>76</v>
      </c>
      <c r="AD1727" t="s">
        <v>73</v>
      </c>
      <c r="AE1727" t="s">
        <v>97</v>
      </c>
      <c r="AG1727" t="s">
        <v>78</v>
      </c>
    </row>
    <row r="1728" spans="1:33" hidden="1" x14ac:dyDescent="0.25">
      <c r="A1728" t="str">
        <f>"1306959671"</f>
        <v>1306959671</v>
      </c>
      <c r="B1728" t="str">
        <f>"03128214"</f>
        <v>03128214</v>
      </c>
      <c r="C1728" t="s">
        <v>3498</v>
      </c>
      <c r="D1728" t="s">
        <v>8245</v>
      </c>
      <c r="E1728" t="s">
        <v>8246</v>
      </c>
      <c r="L1728" t="s">
        <v>36</v>
      </c>
      <c r="M1728" t="s">
        <v>73</v>
      </c>
      <c r="R1728" t="s">
        <v>3498</v>
      </c>
      <c r="W1728" t="s">
        <v>3498</v>
      </c>
      <c r="X1728" t="s">
        <v>170</v>
      </c>
      <c r="Y1728" t="s">
        <v>91</v>
      </c>
      <c r="Z1728" t="s">
        <v>74</v>
      </c>
      <c r="AA1728" t="str">
        <f>"10065-4870"</f>
        <v>10065-4870</v>
      </c>
      <c r="AB1728" t="s">
        <v>114</v>
      </c>
      <c r="AC1728" t="s">
        <v>76</v>
      </c>
      <c r="AD1728" t="s">
        <v>73</v>
      </c>
      <c r="AE1728" t="s">
        <v>77</v>
      </c>
      <c r="AG1728" t="s">
        <v>78</v>
      </c>
    </row>
    <row r="1729" spans="1:33" hidden="1" x14ac:dyDescent="0.25">
      <c r="A1729" t="str">
        <f>"1053635144"</f>
        <v>1053635144</v>
      </c>
      <c r="B1729" t="str">
        <f>"03919977"</f>
        <v>03919977</v>
      </c>
      <c r="C1729" t="s">
        <v>8247</v>
      </c>
      <c r="D1729" t="s">
        <v>8248</v>
      </c>
      <c r="E1729" t="s">
        <v>8249</v>
      </c>
      <c r="L1729" t="s">
        <v>80</v>
      </c>
      <c r="M1729" t="s">
        <v>73</v>
      </c>
      <c r="R1729" t="s">
        <v>8249</v>
      </c>
      <c r="W1729" t="s">
        <v>8250</v>
      </c>
      <c r="X1729" t="s">
        <v>167</v>
      </c>
      <c r="Y1729" t="s">
        <v>91</v>
      </c>
      <c r="Z1729" t="s">
        <v>74</v>
      </c>
      <c r="AA1729" t="str">
        <f>"10032-3720"</f>
        <v>10032-3720</v>
      </c>
      <c r="AB1729" t="s">
        <v>75</v>
      </c>
      <c r="AC1729" t="s">
        <v>76</v>
      </c>
      <c r="AD1729" t="s">
        <v>73</v>
      </c>
      <c r="AE1729" t="s">
        <v>77</v>
      </c>
      <c r="AF1729" t="s">
        <v>2228</v>
      </c>
      <c r="AG1729" t="s">
        <v>78</v>
      </c>
    </row>
    <row r="1730" spans="1:33" hidden="1" x14ac:dyDescent="0.25">
      <c r="A1730" t="str">
        <f>"1669401584"</f>
        <v>1669401584</v>
      </c>
      <c r="B1730" t="str">
        <f>"01205554"</f>
        <v>01205554</v>
      </c>
      <c r="C1730" t="s">
        <v>8251</v>
      </c>
      <c r="D1730" t="s">
        <v>8252</v>
      </c>
      <c r="E1730" t="s">
        <v>8253</v>
      </c>
      <c r="L1730" t="s">
        <v>80</v>
      </c>
      <c r="M1730" t="s">
        <v>73</v>
      </c>
      <c r="R1730" t="s">
        <v>8254</v>
      </c>
      <c r="W1730" t="s">
        <v>8253</v>
      </c>
      <c r="X1730" t="s">
        <v>1758</v>
      </c>
      <c r="Y1730" t="s">
        <v>91</v>
      </c>
      <c r="Z1730" t="s">
        <v>74</v>
      </c>
      <c r="AA1730" t="str">
        <f>"10087-0001"</f>
        <v>10087-0001</v>
      </c>
      <c r="AB1730" t="s">
        <v>75</v>
      </c>
      <c r="AC1730" t="s">
        <v>76</v>
      </c>
      <c r="AD1730" t="s">
        <v>73</v>
      </c>
      <c r="AE1730" t="s">
        <v>77</v>
      </c>
      <c r="AF1730" t="s">
        <v>2228</v>
      </c>
      <c r="AG1730" t="s">
        <v>78</v>
      </c>
    </row>
    <row r="1731" spans="1:33" hidden="1" x14ac:dyDescent="0.25">
      <c r="A1731" t="str">
        <f>"1124136338"</f>
        <v>1124136338</v>
      </c>
      <c r="B1731" t="str">
        <f>"02208359"</f>
        <v>02208359</v>
      </c>
      <c r="C1731" t="s">
        <v>8255</v>
      </c>
      <c r="D1731" t="s">
        <v>8256</v>
      </c>
      <c r="E1731" t="s">
        <v>8257</v>
      </c>
      <c r="L1731" t="s">
        <v>80</v>
      </c>
      <c r="M1731" t="s">
        <v>73</v>
      </c>
      <c r="R1731" t="s">
        <v>8258</v>
      </c>
      <c r="W1731" t="s">
        <v>8257</v>
      </c>
      <c r="X1731" t="s">
        <v>8259</v>
      </c>
      <c r="Y1731" t="s">
        <v>91</v>
      </c>
      <c r="Z1731" t="s">
        <v>74</v>
      </c>
      <c r="AA1731" t="str">
        <f>"10065-4870"</f>
        <v>10065-4870</v>
      </c>
      <c r="AB1731" t="s">
        <v>75</v>
      </c>
      <c r="AC1731" t="s">
        <v>76</v>
      </c>
      <c r="AD1731" t="s">
        <v>73</v>
      </c>
      <c r="AE1731" t="s">
        <v>77</v>
      </c>
      <c r="AF1731" t="s">
        <v>2228</v>
      </c>
      <c r="AG1731" t="s">
        <v>78</v>
      </c>
    </row>
    <row r="1732" spans="1:33" hidden="1" x14ac:dyDescent="0.25">
      <c r="A1732" t="str">
        <f>"1033119458"</f>
        <v>1033119458</v>
      </c>
      <c r="B1732" t="str">
        <f>"02190036"</f>
        <v>02190036</v>
      </c>
      <c r="C1732" t="s">
        <v>8260</v>
      </c>
      <c r="D1732" t="s">
        <v>8261</v>
      </c>
      <c r="E1732" t="s">
        <v>8262</v>
      </c>
      <c r="L1732" t="s">
        <v>80</v>
      </c>
      <c r="M1732" t="s">
        <v>73</v>
      </c>
      <c r="R1732" t="s">
        <v>8263</v>
      </c>
      <c r="W1732" t="s">
        <v>8262</v>
      </c>
      <c r="X1732" t="s">
        <v>3120</v>
      </c>
      <c r="Y1732" t="s">
        <v>91</v>
      </c>
      <c r="Z1732" t="s">
        <v>74</v>
      </c>
      <c r="AA1732" t="str">
        <f>"10032-3720"</f>
        <v>10032-3720</v>
      </c>
      <c r="AB1732" t="s">
        <v>75</v>
      </c>
      <c r="AC1732" t="s">
        <v>76</v>
      </c>
      <c r="AD1732" t="s">
        <v>73</v>
      </c>
      <c r="AE1732" t="s">
        <v>77</v>
      </c>
      <c r="AF1732" t="s">
        <v>2228</v>
      </c>
      <c r="AG1732" t="s">
        <v>78</v>
      </c>
    </row>
    <row r="1733" spans="1:33" hidden="1" x14ac:dyDescent="0.25">
      <c r="A1733" t="str">
        <f>"1881859395"</f>
        <v>1881859395</v>
      </c>
      <c r="B1733" t="str">
        <f>"03652348"</f>
        <v>03652348</v>
      </c>
      <c r="C1733" t="s">
        <v>8264</v>
      </c>
      <c r="D1733" t="s">
        <v>8265</v>
      </c>
      <c r="E1733" t="s">
        <v>8266</v>
      </c>
      <c r="L1733" t="s">
        <v>80</v>
      </c>
      <c r="M1733" t="s">
        <v>73</v>
      </c>
      <c r="R1733" t="s">
        <v>8266</v>
      </c>
      <c r="W1733" t="s">
        <v>8266</v>
      </c>
      <c r="X1733" t="s">
        <v>167</v>
      </c>
      <c r="Y1733" t="s">
        <v>91</v>
      </c>
      <c r="Z1733" t="s">
        <v>74</v>
      </c>
      <c r="AA1733" t="str">
        <f>"10032-3720"</f>
        <v>10032-3720</v>
      </c>
      <c r="AB1733" t="s">
        <v>75</v>
      </c>
      <c r="AC1733" t="s">
        <v>76</v>
      </c>
      <c r="AD1733" t="s">
        <v>73</v>
      </c>
      <c r="AE1733" t="s">
        <v>77</v>
      </c>
      <c r="AF1733" t="s">
        <v>2228</v>
      </c>
      <c r="AG1733" t="s">
        <v>78</v>
      </c>
    </row>
    <row r="1734" spans="1:33" hidden="1" x14ac:dyDescent="0.25">
      <c r="A1734" t="str">
        <f>"1417223975"</f>
        <v>1417223975</v>
      </c>
      <c r="C1734" t="s">
        <v>8267</v>
      </c>
      <c r="G1734" t="s">
        <v>2224</v>
      </c>
      <c r="H1734" t="s">
        <v>2312</v>
      </c>
      <c r="J1734" t="s">
        <v>2226</v>
      </c>
      <c r="K1734" t="s">
        <v>171</v>
      </c>
      <c r="L1734" t="s">
        <v>96</v>
      </c>
      <c r="M1734" t="s">
        <v>73</v>
      </c>
      <c r="R1734" t="s">
        <v>8268</v>
      </c>
      <c r="S1734" t="s">
        <v>8269</v>
      </c>
      <c r="T1734" t="s">
        <v>91</v>
      </c>
      <c r="U1734" t="s">
        <v>74</v>
      </c>
      <c r="V1734" t="str">
        <f>"100654870"</f>
        <v>100654870</v>
      </c>
      <c r="AC1734" t="s">
        <v>76</v>
      </c>
      <c r="AD1734" t="s">
        <v>73</v>
      </c>
      <c r="AE1734" t="s">
        <v>97</v>
      </c>
      <c r="AF1734" t="s">
        <v>2242</v>
      </c>
      <c r="AG1734" t="s">
        <v>78</v>
      </c>
    </row>
    <row r="1735" spans="1:33" hidden="1" x14ac:dyDescent="0.25">
      <c r="A1735" t="str">
        <f>"1265876445"</f>
        <v>1265876445</v>
      </c>
      <c r="C1735" t="s">
        <v>8270</v>
      </c>
      <c r="G1735" t="s">
        <v>2224</v>
      </c>
      <c r="H1735" t="s">
        <v>2312</v>
      </c>
      <c r="J1735" t="s">
        <v>2226</v>
      </c>
      <c r="K1735" t="s">
        <v>171</v>
      </c>
      <c r="L1735" t="s">
        <v>96</v>
      </c>
      <c r="M1735" t="s">
        <v>73</v>
      </c>
      <c r="R1735" t="s">
        <v>8271</v>
      </c>
      <c r="S1735" t="s">
        <v>170</v>
      </c>
      <c r="T1735" t="s">
        <v>91</v>
      </c>
      <c r="U1735" t="s">
        <v>74</v>
      </c>
      <c r="V1735" t="str">
        <f>"100654870"</f>
        <v>100654870</v>
      </c>
      <c r="AC1735" t="s">
        <v>76</v>
      </c>
      <c r="AD1735" t="s">
        <v>73</v>
      </c>
      <c r="AE1735" t="s">
        <v>97</v>
      </c>
      <c r="AF1735" t="s">
        <v>2242</v>
      </c>
      <c r="AG1735" t="s">
        <v>78</v>
      </c>
    </row>
    <row r="1736" spans="1:33" hidden="1" x14ac:dyDescent="0.25">
      <c r="A1736" t="str">
        <f>"1851659205"</f>
        <v>1851659205</v>
      </c>
      <c r="C1736" t="s">
        <v>8272</v>
      </c>
      <c r="G1736" t="s">
        <v>2224</v>
      </c>
      <c r="H1736" t="s">
        <v>2312</v>
      </c>
      <c r="J1736" t="s">
        <v>2226</v>
      </c>
      <c r="K1736" t="s">
        <v>171</v>
      </c>
      <c r="L1736" t="s">
        <v>96</v>
      </c>
      <c r="M1736" t="s">
        <v>73</v>
      </c>
      <c r="R1736" t="s">
        <v>8273</v>
      </c>
      <c r="S1736" t="s">
        <v>3387</v>
      </c>
      <c r="T1736" t="s">
        <v>91</v>
      </c>
      <c r="U1736" t="s">
        <v>74</v>
      </c>
      <c r="V1736" t="str">
        <f>"100323720"</f>
        <v>100323720</v>
      </c>
      <c r="AC1736" t="s">
        <v>76</v>
      </c>
      <c r="AD1736" t="s">
        <v>73</v>
      </c>
      <c r="AE1736" t="s">
        <v>97</v>
      </c>
      <c r="AF1736" t="s">
        <v>2228</v>
      </c>
      <c r="AG1736" t="s">
        <v>78</v>
      </c>
    </row>
    <row r="1737" spans="1:33" hidden="1" x14ac:dyDescent="0.25">
      <c r="A1737" t="str">
        <f>"1043297195"</f>
        <v>1043297195</v>
      </c>
      <c r="B1737" t="str">
        <f>"03398881"</f>
        <v>03398881</v>
      </c>
      <c r="C1737" t="s">
        <v>8274</v>
      </c>
      <c r="D1737" t="s">
        <v>8275</v>
      </c>
      <c r="E1737" t="s">
        <v>8276</v>
      </c>
      <c r="G1737" t="s">
        <v>2224</v>
      </c>
      <c r="H1737" t="s">
        <v>8277</v>
      </c>
      <c r="J1737" t="s">
        <v>2226</v>
      </c>
      <c r="L1737" t="s">
        <v>80</v>
      </c>
      <c r="M1737" t="s">
        <v>73</v>
      </c>
      <c r="R1737" t="s">
        <v>8278</v>
      </c>
      <c r="W1737" t="s">
        <v>8276</v>
      </c>
      <c r="X1737" t="s">
        <v>167</v>
      </c>
      <c r="Y1737" t="s">
        <v>91</v>
      </c>
      <c r="Z1737" t="s">
        <v>74</v>
      </c>
      <c r="AA1737" t="str">
        <f>"10032-3720"</f>
        <v>10032-3720</v>
      </c>
      <c r="AB1737" t="s">
        <v>75</v>
      </c>
      <c r="AC1737" t="s">
        <v>76</v>
      </c>
      <c r="AD1737" t="s">
        <v>73</v>
      </c>
      <c r="AE1737" t="s">
        <v>77</v>
      </c>
      <c r="AF1737" t="s">
        <v>2228</v>
      </c>
      <c r="AG1737" t="s">
        <v>78</v>
      </c>
    </row>
    <row r="1738" spans="1:33" hidden="1" x14ac:dyDescent="0.25">
      <c r="A1738" t="str">
        <f>"1790792638"</f>
        <v>1790792638</v>
      </c>
      <c r="C1738" t="s">
        <v>8279</v>
      </c>
      <c r="K1738" t="s">
        <v>36</v>
      </c>
      <c r="L1738" t="s">
        <v>96</v>
      </c>
      <c r="M1738" t="s">
        <v>73</v>
      </c>
      <c r="R1738" t="s">
        <v>8279</v>
      </c>
      <c r="S1738" t="s">
        <v>8280</v>
      </c>
      <c r="T1738" t="s">
        <v>91</v>
      </c>
      <c r="U1738" t="s">
        <v>74</v>
      </c>
      <c r="V1738" t="str">
        <f>"100214870"</f>
        <v>100214870</v>
      </c>
      <c r="AC1738" t="s">
        <v>76</v>
      </c>
      <c r="AD1738" t="s">
        <v>73</v>
      </c>
      <c r="AE1738" t="s">
        <v>97</v>
      </c>
      <c r="AG1738" t="s">
        <v>78</v>
      </c>
    </row>
    <row r="1739" spans="1:33" hidden="1" x14ac:dyDescent="0.25">
      <c r="A1739" t="str">
        <f>"1932116886"</f>
        <v>1932116886</v>
      </c>
      <c r="C1739" t="s">
        <v>8279</v>
      </c>
      <c r="K1739" t="s">
        <v>36</v>
      </c>
      <c r="L1739" t="s">
        <v>96</v>
      </c>
      <c r="M1739" t="s">
        <v>73</v>
      </c>
      <c r="R1739" t="s">
        <v>8279</v>
      </c>
      <c r="S1739" t="s">
        <v>8280</v>
      </c>
      <c r="T1739" t="s">
        <v>91</v>
      </c>
      <c r="U1739" t="s">
        <v>74</v>
      </c>
      <c r="V1739" t="str">
        <f>"100214870"</f>
        <v>100214870</v>
      </c>
      <c r="AC1739" t="s">
        <v>76</v>
      </c>
      <c r="AD1739" t="s">
        <v>73</v>
      </c>
      <c r="AE1739" t="s">
        <v>97</v>
      </c>
      <c r="AG1739" t="s">
        <v>78</v>
      </c>
    </row>
    <row r="1740" spans="1:33" hidden="1" x14ac:dyDescent="0.25">
      <c r="A1740" t="str">
        <f>"1235246232"</f>
        <v>1235246232</v>
      </c>
      <c r="C1740" t="s">
        <v>3746</v>
      </c>
      <c r="K1740" t="s">
        <v>36</v>
      </c>
      <c r="L1740" t="s">
        <v>96</v>
      </c>
      <c r="M1740" t="s">
        <v>73</v>
      </c>
      <c r="R1740" t="s">
        <v>3746</v>
      </c>
      <c r="S1740" t="s">
        <v>8281</v>
      </c>
      <c r="T1740" t="s">
        <v>91</v>
      </c>
      <c r="U1740" t="s">
        <v>74</v>
      </c>
      <c r="V1740" t="str">
        <f>"100214870"</f>
        <v>100214870</v>
      </c>
      <c r="AC1740" t="s">
        <v>76</v>
      </c>
      <c r="AD1740" t="s">
        <v>73</v>
      </c>
      <c r="AE1740" t="s">
        <v>97</v>
      </c>
      <c r="AG1740" t="s">
        <v>78</v>
      </c>
    </row>
    <row r="1741" spans="1:33" hidden="1" x14ac:dyDescent="0.25">
      <c r="A1741" t="str">
        <f>"1235481110"</f>
        <v>1235481110</v>
      </c>
      <c r="B1741" t="str">
        <f>"03520261"</f>
        <v>03520261</v>
      </c>
      <c r="C1741" t="s">
        <v>8282</v>
      </c>
      <c r="D1741" t="s">
        <v>8283</v>
      </c>
      <c r="E1741" t="s">
        <v>8284</v>
      </c>
      <c r="G1741" t="s">
        <v>2224</v>
      </c>
      <c r="H1741" t="s">
        <v>3101</v>
      </c>
      <c r="J1741" t="s">
        <v>2226</v>
      </c>
      <c r="L1741" t="s">
        <v>80</v>
      </c>
      <c r="M1741" t="s">
        <v>73</v>
      </c>
      <c r="R1741" t="s">
        <v>8285</v>
      </c>
      <c r="W1741" t="s">
        <v>8284</v>
      </c>
      <c r="X1741" t="s">
        <v>1627</v>
      </c>
      <c r="Y1741" t="s">
        <v>91</v>
      </c>
      <c r="Z1741" t="s">
        <v>74</v>
      </c>
      <c r="AA1741" t="str">
        <f>"10032-3729"</f>
        <v>10032-3729</v>
      </c>
      <c r="AB1741" t="s">
        <v>75</v>
      </c>
      <c r="AC1741" t="s">
        <v>76</v>
      </c>
      <c r="AD1741" t="s">
        <v>73</v>
      </c>
      <c r="AE1741" t="s">
        <v>77</v>
      </c>
      <c r="AF1741" t="s">
        <v>2228</v>
      </c>
      <c r="AG1741" t="s">
        <v>78</v>
      </c>
    </row>
    <row r="1742" spans="1:33" hidden="1" x14ac:dyDescent="0.25">
      <c r="A1742" t="str">
        <f>"1689688319"</f>
        <v>1689688319</v>
      </c>
      <c r="B1742" t="str">
        <f>"01251523"</f>
        <v>01251523</v>
      </c>
      <c r="C1742" t="s">
        <v>8286</v>
      </c>
      <c r="D1742" t="s">
        <v>8287</v>
      </c>
      <c r="E1742" t="s">
        <v>8288</v>
      </c>
      <c r="L1742" t="s">
        <v>80</v>
      </c>
      <c r="M1742" t="s">
        <v>73</v>
      </c>
      <c r="R1742" t="s">
        <v>8289</v>
      </c>
      <c r="W1742" t="s">
        <v>8288</v>
      </c>
      <c r="Y1742" t="s">
        <v>91</v>
      </c>
      <c r="Z1742" t="s">
        <v>74</v>
      </c>
      <c r="AA1742" t="str">
        <f>"10032-3720"</f>
        <v>10032-3720</v>
      </c>
      <c r="AB1742" t="s">
        <v>75</v>
      </c>
      <c r="AC1742" t="s">
        <v>76</v>
      </c>
      <c r="AD1742" t="s">
        <v>73</v>
      </c>
      <c r="AE1742" t="s">
        <v>77</v>
      </c>
      <c r="AF1742" t="s">
        <v>2242</v>
      </c>
      <c r="AG1742" t="s">
        <v>78</v>
      </c>
    </row>
    <row r="1743" spans="1:33" hidden="1" x14ac:dyDescent="0.25">
      <c r="A1743" t="str">
        <f>"1801037213"</f>
        <v>1801037213</v>
      </c>
      <c r="B1743" t="str">
        <f>"03589535"</f>
        <v>03589535</v>
      </c>
      <c r="C1743" t="s">
        <v>8290</v>
      </c>
      <c r="D1743" t="s">
        <v>8291</v>
      </c>
      <c r="E1743" t="s">
        <v>8292</v>
      </c>
      <c r="L1743" t="s">
        <v>80</v>
      </c>
      <c r="M1743" t="s">
        <v>73</v>
      </c>
      <c r="R1743" t="s">
        <v>8293</v>
      </c>
      <c r="W1743" t="s">
        <v>8292</v>
      </c>
      <c r="X1743" t="s">
        <v>170</v>
      </c>
      <c r="Y1743" t="s">
        <v>91</v>
      </c>
      <c r="Z1743" t="s">
        <v>74</v>
      </c>
      <c r="AA1743" t="str">
        <f>"10065-4870"</f>
        <v>10065-4870</v>
      </c>
      <c r="AB1743" t="s">
        <v>75</v>
      </c>
      <c r="AC1743" t="s">
        <v>76</v>
      </c>
      <c r="AD1743" t="s">
        <v>73</v>
      </c>
      <c r="AE1743" t="s">
        <v>77</v>
      </c>
      <c r="AF1743" t="s">
        <v>2242</v>
      </c>
      <c r="AG1743" t="s">
        <v>78</v>
      </c>
    </row>
    <row r="1744" spans="1:33" hidden="1" x14ac:dyDescent="0.25">
      <c r="A1744" t="str">
        <f>"1295995108"</f>
        <v>1295995108</v>
      </c>
      <c r="B1744" t="str">
        <f>"03919495"</f>
        <v>03919495</v>
      </c>
      <c r="C1744" t="s">
        <v>8294</v>
      </c>
      <c r="D1744" t="s">
        <v>8295</v>
      </c>
      <c r="E1744" t="s">
        <v>8296</v>
      </c>
      <c r="L1744" t="s">
        <v>80</v>
      </c>
      <c r="M1744" t="s">
        <v>73</v>
      </c>
      <c r="R1744" t="s">
        <v>8296</v>
      </c>
      <c r="W1744" t="s">
        <v>8297</v>
      </c>
      <c r="X1744" t="s">
        <v>167</v>
      </c>
      <c r="Y1744" t="s">
        <v>91</v>
      </c>
      <c r="Z1744" t="s">
        <v>74</v>
      </c>
      <c r="AA1744" t="str">
        <f>"10032-3720"</f>
        <v>10032-3720</v>
      </c>
      <c r="AB1744" t="s">
        <v>75</v>
      </c>
      <c r="AC1744" t="s">
        <v>76</v>
      </c>
      <c r="AD1744" t="s">
        <v>73</v>
      </c>
      <c r="AE1744" t="s">
        <v>77</v>
      </c>
      <c r="AF1744" t="s">
        <v>2228</v>
      </c>
      <c r="AG1744" t="s">
        <v>78</v>
      </c>
    </row>
    <row r="1745" spans="1:33" hidden="1" x14ac:dyDescent="0.25">
      <c r="A1745" t="str">
        <f>"1649209560"</f>
        <v>1649209560</v>
      </c>
      <c r="B1745" t="str">
        <f>"00959480"</f>
        <v>00959480</v>
      </c>
      <c r="C1745" t="s">
        <v>8298</v>
      </c>
      <c r="D1745" t="s">
        <v>8299</v>
      </c>
      <c r="E1745" t="s">
        <v>8300</v>
      </c>
      <c r="L1745" t="s">
        <v>80</v>
      </c>
      <c r="M1745" t="s">
        <v>73</v>
      </c>
      <c r="R1745" t="s">
        <v>8301</v>
      </c>
      <c r="W1745" t="s">
        <v>8300</v>
      </c>
      <c r="Y1745" t="s">
        <v>91</v>
      </c>
      <c r="Z1745" t="s">
        <v>74</v>
      </c>
      <c r="AA1745" t="str">
        <f>"10032-3720"</f>
        <v>10032-3720</v>
      </c>
      <c r="AB1745" t="s">
        <v>75</v>
      </c>
      <c r="AC1745" t="s">
        <v>76</v>
      </c>
      <c r="AD1745" t="s">
        <v>73</v>
      </c>
      <c r="AE1745" t="s">
        <v>77</v>
      </c>
      <c r="AF1745" t="s">
        <v>2228</v>
      </c>
      <c r="AG1745" t="s">
        <v>78</v>
      </c>
    </row>
    <row r="1746" spans="1:33" hidden="1" x14ac:dyDescent="0.25">
      <c r="A1746" t="str">
        <f>"1083647267"</f>
        <v>1083647267</v>
      </c>
      <c r="B1746" t="str">
        <f>"01899852"</f>
        <v>01899852</v>
      </c>
      <c r="C1746" t="s">
        <v>8302</v>
      </c>
      <c r="D1746" t="s">
        <v>8303</v>
      </c>
      <c r="E1746" t="s">
        <v>8304</v>
      </c>
      <c r="L1746" t="s">
        <v>72</v>
      </c>
      <c r="M1746" t="s">
        <v>73</v>
      </c>
      <c r="R1746" t="s">
        <v>8305</v>
      </c>
      <c r="W1746" t="s">
        <v>8304</v>
      </c>
      <c r="X1746" t="s">
        <v>2085</v>
      </c>
      <c r="Y1746" t="s">
        <v>91</v>
      </c>
      <c r="Z1746" t="s">
        <v>74</v>
      </c>
      <c r="AA1746" t="str">
        <f>"10032-3720"</f>
        <v>10032-3720</v>
      </c>
      <c r="AB1746" t="s">
        <v>75</v>
      </c>
      <c r="AC1746" t="s">
        <v>76</v>
      </c>
      <c r="AD1746" t="s">
        <v>73</v>
      </c>
      <c r="AE1746" t="s">
        <v>77</v>
      </c>
      <c r="AF1746" t="s">
        <v>2228</v>
      </c>
      <c r="AG1746" t="s">
        <v>78</v>
      </c>
    </row>
    <row r="1747" spans="1:33" hidden="1" x14ac:dyDescent="0.25">
      <c r="A1747" t="str">
        <f>"1659379626"</f>
        <v>1659379626</v>
      </c>
      <c r="B1747" t="str">
        <f>"01599866"</f>
        <v>01599866</v>
      </c>
      <c r="C1747" t="s">
        <v>8306</v>
      </c>
      <c r="D1747" t="s">
        <v>1438</v>
      </c>
      <c r="E1747" t="s">
        <v>1439</v>
      </c>
      <c r="L1747" t="s">
        <v>80</v>
      </c>
      <c r="M1747" t="s">
        <v>82</v>
      </c>
      <c r="R1747" t="s">
        <v>1440</v>
      </c>
      <c r="W1747" t="s">
        <v>1439</v>
      </c>
      <c r="Y1747" t="s">
        <v>118</v>
      </c>
      <c r="Z1747" t="s">
        <v>74</v>
      </c>
      <c r="AA1747" t="str">
        <f>"10451-5589"</f>
        <v>10451-5589</v>
      </c>
      <c r="AB1747" t="s">
        <v>75</v>
      </c>
      <c r="AC1747" t="s">
        <v>76</v>
      </c>
      <c r="AD1747" t="s">
        <v>73</v>
      </c>
      <c r="AE1747" t="s">
        <v>77</v>
      </c>
      <c r="AF1747" t="s">
        <v>2242</v>
      </c>
      <c r="AG1747" t="s">
        <v>78</v>
      </c>
    </row>
    <row r="1748" spans="1:33" hidden="1" x14ac:dyDescent="0.25">
      <c r="A1748" t="str">
        <f>"1023375813"</f>
        <v>1023375813</v>
      </c>
      <c r="C1748" t="s">
        <v>8307</v>
      </c>
      <c r="G1748" t="s">
        <v>2224</v>
      </c>
      <c r="H1748" t="s">
        <v>2312</v>
      </c>
      <c r="J1748" t="s">
        <v>2226</v>
      </c>
      <c r="K1748" t="s">
        <v>171</v>
      </c>
      <c r="L1748" t="s">
        <v>96</v>
      </c>
      <c r="M1748" t="s">
        <v>73</v>
      </c>
      <c r="R1748" t="s">
        <v>8308</v>
      </c>
      <c r="S1748" t="s">
        <v>8309</v>
      </c>
      <c r="T1748" t="s">
        <v>91</v>
      </c>
      <c r="U1748" t="s">
        <v>74</v>
      </c>
      <c r="V1748" t="str">
        <f>"100381882"</f>
        <v>100381882</v>
      </c>
      <c r="AC1748" t="s">
        <v>76</v>
      </c>
      <c r="AD1748" t="s">
        <v>73</v>
      </c>
      <c r="AE1748" t="s">
        <v>97</v>
      </c>
      <c r="AF1748" t="s">
        <v>2242</v>
      </c>
      <c r="AG1748" t="s">
        <v>78</v>
      </c>
    </row>
    <row r="1749" spans="1:33" hidden="1" x14ac:dyDescent="0.25">
      <c r="A1749" t="str">
        <f>"1649300039"</f>
        <v>1649300039</v>
      </c>
      <c r="B1749" t="str">
        <f>"02301480"</f>
        <v>02301480</v>
      </c>
      <c r="C1749" t="s">
        <v>8310</v>
      </c>
      <c r="D1749" t="s">
        <v>8311</v>
      </c>
      <c r="E1749" t="s">
        <v>8312</v>
      </c>
      <c r="L1749" t="s">
        <v>80</v>
      </c>
      <c r="M1749" t="s">
        <v>73</v>
      </c>
      <c r="R1749" t="s">
        <v>8313</v>
      </c>
      <c r="W1749" t="s">
        <v>8312</v>
      </c>
      <c r="X1749" t="s">
        <v>212</v>
      </c>
      <c r="Y1749" t="s">
        <v>84</v>
      </c>
      <c r="Z1749" t="s">
        <v>74</v>
      </c>
      <c r="AA1749" t="str">
        <f>"11235-7745"</f>
        <v>11235-7745</v>
      </c>
      <c r="AB1749" t="s">
        <v>75</v>
      </c>
      <c r="AC1749" t="s">
        <v>76</v>
      </c>
      <c r="AD1749" t="s">
        <v>73</v>
      </c>
      <c r="AE1749" t="s">
        <v>77</v>
      </c>
      <c r="AF1749" t="s">
        <v>2228</v>
      </c>
      <c r="AG1749" t="s">
        <v>78</v>
      </c>
    </row>
    <row r="1750" spans="1:33" hidden="1" x14ac:dyDescent="0.25">
      <c r="A1750" t="str">
        <f>"1568602167"</f>
        <v>1568602167</v>
      </c>
      <c r="B1750" t="str">
        <f>"03099218"</f>
        <v>03099218</v>
      </c>
      <c r="C1750" t="s">
        <v>8314</v>
      </c>
      <c r="D1750" t="s">
        <v>8315</v>
      </c>
      <c r="E1750" t="s">
        <v>8316</v>
      </c>
      <c r="G1750" t="s">
        <v>2224</v>
      </c>
      <c r="H1750" t="s">
        <v>8317</v>
      </c>
      <c r="J1750" t="s">
        <v>2226</v>
      </c>
      <c r="L1750" t="s">
        <v>80</v>
      </c>
      <c r="M1750" t="s">
        <v>73</v>
      </c>
      <c r="R1750" t="s">
        <v>8318</v>
      </c>
      <c r="W1750" t="s">
        <v>8319</v>
      </c>
      <c r="X1750" t="s">
        <v>238</v>
      </c>
      <c r="Y1750" t="s">
        <v>91</v>
      </c>
      <c r="Z1750" t="s">
        <v>74</v>
      </c>
      <c r="AA1750" t="str">
        <f>"10065-6007"</f>
        <v>10065-6007</v>
      </c>
      <c r="AB1750" t="s">
        <v>75</v>
      </c>
      <c r="AC1750" t="s">
        <v>76</v>
      </c>
      <c r="AD1750" t="s">
        <v>73</v>
      </c>
      <c r="AE1750" t="s">
        <v>77</v>
      </c>
      <c r="AF1750" t="s">
        <v>2242</v>
      </c>
      <c r="AG1750" t="s">
        <v>78</v>
      </c>
    </row>
    <row r="1751" spans="1:33" hidden="1" x14ac:dyDescent="0.25">
      <c r="A1751" t="str">
        <f>"1285050443"</f>
        <v>1285050443</v>
      </c>
      <c r="C1751" t="s">
        <v>8320</v>
      </c>
      <c r="G1751" t="s">
        <v>2224</v>
      </c>
      <c r="H1751" t="s">
        <v>8321</v>
      </c>
      <c r="J1751" t="s">
        <v>2226</v>
      </c>
      <c r="K1751" t="s">
        <v>171</v>
      </c>
      <c r="L1751" t="s">
        <v>96</v>
      </c>
      <c r="M1751" t="s">
        <v>73</v>
      </c>
      <c r="R1751" t="s">
        <v>8322</v>
      </c>
      <c r="S1751" t="s">
        <v>8323</v>
      </c>
      <c r="T1751" t="s">
        <v>1188</v>
      </c>
      <c r="U1751" t="s">
        <v>597</v>
      </c>
      <c r="V1751" t="str">
        <f>"981950001"</f>
        <v>981950001</v>
      </c>
      <c r="AC1751" t="s">
        <v>76</v>
      </c>
      <c r="AD1751" t="s">
        <v>73</v>
      </c>
      <c r="AE1751" t="s">
        <v>97</v>
      </c>
      <c r="AF1751" t="s">
        <v>2242</v>
      </c>
      <c r="AG1751" t="s">
        <v>78</v>
      </c>
    </row>
    <row r="1752" spans="1:33" hidden="1" x14ac:dyDescent="0.25">
      <c r="A1752" t="str">
        <f>"1275549461"</f>
        <v>1275549461</v>
      </c>
      <c r="C1752" t="s">
        <v>8324</v>
      </c>
      <c r="G1752" t="s">
        <v>2224</v>
      </c>
      <c r="H1752" t="s">
        <v>2312</v>
      </c>
      <c r="J1752" t="s">
        <v>2226</v>
      </c>
      <c r="K1752" t="s">
        <v>171</v>
      </c>
      <c r="L1752" t="s">
        <v>96</v>
      </c>
      <c r="M1752" t="s">
        <v>73</v>
      </c>
      <c r="R1752" t="s">
        <v>8325</v>
      </c>
      <c r="S1752" t="s">
        <v>8326</v>
      </c>
      <c r="T1752" t="s">
        <v>1143</v>
      </c>
      <c r="U1752" t="s">
        <v>536</v>
      </c>
      <c r="V1752" t="str">
        <f>"06511"</f>
        <v>06511</v>
      </c>
      <c r="AC1752" t="s">
        <v>76</v>
      </c>
      <c r="AD1752" t="s">
        <v>73</v>
      </c>
      <c r="AE1752" t="s">
        <v>97</v>
      </c>
      <c r="AF1752" t="s">
        <v>2242</v>
      </c>
      <c r="AG1752" t="s">
        <v>78</v>
      </c>
    </row>
    <row r="1753" spans="1:33" hidden="1" x14ac:dyDescent="0.25">
      <c r="A1753" t="str">
        <f>"1740249184"</f>
        <v>1740249184</v>
      </c>
      <c r="C1753" t="s">
        <v>8327</v>
      </c>
      <c r="G1753" t="s">
        <v>2224</v>
      </c>
      <c r="H1753" t="s">
        <v>2312</v>
      </c>
      <c r="J1753" t="s">
        <v>2226</v>
      </c>
      <c r="K1753" t="s">
        <v>171</v>
      </c>
      <c r="L1753" t="s">
        <v>72</v>
      </c>
      <c r="M1753" t="s">
        <v>73</v>
      </c>
      <c r="R1753" t="s">
        <v>8328</v>
      </c>
      <c r="S1753" t="s">
        <v>1367</v>
      </c>
      <c r="T1753" t="s">
        <v>91</v>
      </c>
      <c r="U1753" t="s">
        <v>74</v>
      </c>
      <c r="V1753" t="str">
        <f>"100296574"</f>
        <v>100296574</v>
      </c>
      <c r="AC1753" t="s">
        <v>76</v>
      </c>
      <c r="AD1753" t="s">
        <v>73</v>
      </c>
      <c r="AE1753" t="s">
        <v>97</v>
      </c>
      <c r="AF1753" t="s">
        <v>2242</v>
      </c>
      <c r="AG1753" t="s">
        <v>78</v>
      </c>
    </row>
    <row r="1754" spans="1:33" hidden="1" x14ac:dyDescent="0.25">
      <c r="A1754" t="str">
        <f>"1689807950"</f>
        <v>1689807950</v>
      </c>
      <c r="C1754" t="s">
        <v>8329</v>
      </c>
      <c r="G1754" t="s">
        <v>2224</v>
      </c>
      <c r="H1754" t="s">
        <v>2312</v>
      </c>
      <c r="J1754" t="s">
        <v>2226</v>
      </c>
      <c r="K1754" t="s">
        <v>171</v>
      </c>
      <c r="L1754" t="s">
        <v>96</v>
      </c>
      <c r="M1754" t="s">
        <v>73</v>
      </c>
      <c r="R1754" t="s">
        <v>8330</v>
      </c>
      <c r="S1754" t="s">
        <v>2314</v>
      </c>
      <c r="T1754" t="s">
        <v>91</v>
      </c>
      <c r="U1754" t="s">
        <v>74</v>
      </c>
      <c r="V1754" t="str">
        <f>"100654870"</f>
        <v>100654870</v>
      </c>
      <c r="AC1754" t="s">
        <v>76</v>
      </c>
      <c r="AD1754" t="s">
        <v>73</v>
      </c>
      <c r="AE1754" t="s">
        <v>97</v>
      </c>
      <c r="AF1754" t="s">
        <v>2242</v>
      </c>
      <c r="AG1754" t="s">
        <v>78</v>
      </c>
    </row>
    <row r="1755" spans="1:33" hidden="1" x14ac:dyDescent="0.25">
      <c r="A1755" t="str">
        <f>"1710998125"</f>
        <v>1710998125</v>
      </c>
      <c r="B1755" t="str">
        <f>"01673674"</f>
        <v>01673674</v>
      </c>
      <c r="C1755" t="s">
        <v>8331</v>
      </c>
      <c r="D1755" t="s">
        <v>8332</v>
      </c>
      <c r="E1755" t="s">
        <v>8333</v>
      </c>
      <c r="L1755" t="s">
        <v>80</v>
      </c>
      <c r="M1755" t="s">
        <v>73</v>
      </c>
      <c r="R1755" t="s">
        <v>8334</v>
      </c>
      <c r="W1755" t="s">
        <v>8333</v>
      </c>
      <c r="X1755" t="s">
        <v>1463</v>
      </c>
      <c r="Y1755" t="s">
        <v>91</v>
      </c>
      <c r="Z1755" t="s">
        <v>74</v>
      </c>
      <c r="AA1755" t="str">
        <f>"10065-4870"</f>
        <v>10065-4870</v>
      </c>
      <c r="AB1755" t="s">
        <v>75</v>
      </c>
      <c r="AC1755" t="s">
        <v>76</v>
      </c>
      <c r="AD1755" t="s">
        <v>73</v>
      </c>
      <c r="AE1755" t="s">
        <v>77</v>
      </c>
      <c r="AF1755" t="s">
        <v>2242</v>
      </c>
      <c r="AG1755" t="s">
        <v>78</v>
      </c>
    </row>
    <row r="1756" spans="1:33" hidden="1" x14ac:dyDescent="0.25">
      <c r="A1756" t="str">
        <f>"1982792263"</f>
        <v>1982792263</v>
      </c>
      <c r="B1756" t="str">
        <f>"02634568"</f>
        <v>02634568</v>
      </c>
      <c r="C1756" t="s">
        <v>8335</v>
      </c>
      <c r="D1756" t="s">
        <v>8336</v>
      </c>
      <c r="E1756" t="s">
        <v>8337</v>
      </c>
      <c r="L1756" t="s">
        <v>80</v>
      </c>
      <c r="M1756" t="s">
        <v>73</v>
      </c>
      <c r="R1756" t="s">
        <v>8338</v>
      </c>
      <c r="W1756" t="s">
        <v>8337</v>
      </c>
      <c r="X1756" t="s">
        <v>170</v>
      </c>
      <c r="Y1756" t="s">
        <v>91</v>
      </c>
      <c r="Z1756" t="s">
        <v>74</v>
      </c>
      <c r="AA1756" t="str">
        <f>"10065-4870"</f>
        <v>10065-4870</v>
      </c>
      <c r="AB1756" t="s">
        <v>75</v>
      </c>
      <c r="AC1756" t="s">
        <v>76</v>
      </c>
      <c r="AD1756" t="s">
        <v>73</v>
      </c>
      <c r="AE1756" t="s">
        <v>77</v>
      </c>
      <c r="AF1756" t="s">
        <v>2242</v>
      </c>
      <c r="AG1756" t="s">
        <v>78</v>
      </c>
    </row>
    <row r="1757" spans="1:33" hidden="1" x14ac:dyDescent="0.25">
      <c r="A1757" t="str">
        <f>"1144502311"</f>
        <v>1144502311</v>
      </c>
      <c r="C1757" t="s">
        <v>8339</v>
      </c>
      <c r="G1757" t="s">
        <v>2224</v>
      </c>
      <c r="H1757" t="s">
        <v>2312</v>
      </c>
      <c r="J1757" t="s">
        <v>2226</v>
      </c>
      <c r="K1757" t="s">
        <v>171</v>
      </c>
      <c r="L1757" t="s">
        <v>96</v>
      </c>
      <c r="M1757" t="s">
        <v>73</v>
      </c>
      <c r="R1757" t="s">
        <v>8340</v>
      </c>
      <c r="S1757" t="s">
        <v>2314</v>
      </c>
      <c r="T1757" t="s">
        <v>91</v>
      </c>
      <c r="U1757" t="s">
        <v>74</v>
      </c>
      <c r="V1757" t="str">
        <f>"100654870"</f>
        <v>100654870</v>
      </c>
      <c r="AC1757" t="s">
        <v>76</v>
      </c>
      <c r="AD1757" t="s">
        <v>73</v>
      </c>
      <c r="AE1757" t="s">
        <v>97</v>
      </c>
      <c r="AF1757" t="s">
        <v>2242</v>
      </c>
      <c r="AG1757" t="s">
        <v>78</v>
      </c>
    </row>
    <row r="1758" spans="1:33" hidden="1" x14ac:dyDescent="0.25">
      <c r="A1758" t="str">
        <f>"1922079169"</f>
        <v>1922079169</v>
      </c>
      <c r="B1758" t="str">
        <f>"03610157"</f>
        <v>03610157</v>
      </c>
      <c r="C1758" t="s">
        <v>8341</v>
      </c>
      <c r="D1758" t="s">
        <v>8342</v>
      </c>
      <c r="E1758" t="s">
        <v>8343</v>
      </c>
      <c r="L1758" t="s">
        <v>72</v>
      </c>
      <c r="M1758" t="s">
        <v>73</v>
      </c>
      <c r="R1758" t="s">
        <v>8344</v>
      </c>
      <c r="W1758" t="s">
        <v>8343</v>
      </c>
      <c r="X1758" t="s">
        <v>238</v>
      </c>
      <c r="Y1758" t="s">
        <v>91</v>
      </c>
      <c r="Z1758" t="s">
        <v>74</v>
      </c>
      <c r="AA1758" t="str">
        <f>"10065-6007"</f>
        <v>10065-6007</v>
      </c>
      <c r="AB1758" t="s">
        <v>75</v>
      </c>
      <c r="AC1758" t="s">
        <v>76</v>
      </c>
      <c r="AD1758" t="s">
        <v>73</v>
      </c>
      <c r="AE1758" t="s">
        <v>77</v>
      </c>
      <c r="AG1758" t="s">
        <v>78</v>
      </c>
    </row>
    <row r="1759" spans="1:33" hidden="1" x14ac:dyDescent="0.25">
      <c r="A1759" t="str">
        <f>"1912215104"</f>
        <v>1912215104</v>
      </c>
      <c r="C1759" t="s">
        <v>8345</v>
      </c>
      <c r="G1759" t="s">
        <v>2224</v>
      </c>
      <c r="H1759" t="s">
        <v>2312</v>
      </c>
      <c r="J1759" t="s">
        <v>2226</v>
      </c>
      <c r="K1759" t="s">
        <v>171</v>
      </c>
      <c r="L1759" t="s">
        <v>96</v>
      </c>
      <c r="M1759" t="s">
        <v>73</v>
      </c>
      <c r="R1759" t="s">
        <v>8346</v>
      </c>
      <c r="S1759" t="s">
        <v>8347</v>
      </c>
      <c r="T1759" t="s">
        <v>584</v>
      </c>
      <c r="U1759" t="s">
        <v>409</v>
      </c>
      <c r="V1759" t="str">
        <f>"275609733"</f>
        <v>275609733</v>
      </c>
      <c r="AC1759" t="s">
        <v>76</v>
      </c>
      <c r="AD1759" t="s">
        <v>73</v>
      </c>
      <c r="AE1759" t="s">
        <v>97</v>
      </c>
      <c r="AF1759" t="s">
        <v>2242</v>
      </c>
      <c r="AG1759" t="s">
        <v>78</v>
      </c>
    </row>
    <row r="1760" spans="1:33" hidden="1" x14ac:dyDescent="0.25">
      <c r="A1760" t="str">
        <f>"1083650170"</f>
        <v>1083650170</v>
      </c>
      <c r="B1760" t="str">
        <f>"02645201"</f>
        <v>02645201</v>
      </c>
      <c r="C1760" t="s">
        <v>8348</v>
      </c>
      <c r="D1760" t="s">
        <v>8349</v>
      </c>
      <c r="E1760" t="s">
        <v>8350</v>
      </c>
      <c r="G1760" t="s">
        <v>2224</v>
      </c>
      <c r="H1760" t="s">
        <v>2225</v>
      </c>
      <c r="J1760" t="s">
        <v>2226</v>
      </c>
      <c r="L1760" t="s">
        <v>80</v>
      </c>
      <c r="M1760" t="s">
        <v>82</v>
      </c>
      <c r="R1760" t="s">
        <v>8351</v>
      </c>
      <c r="W1760" t="s">
        <v>8350</v>
      </c>
      <c r="X1760" t="s">
        <v>236</v>
      </c>
      <c r="Y1760" t="s">
        <v>91</v>
      </c>
      <c r="Z1760" t="s">
        <v>74</v>
      </c>
      <c r="AA1760" t="str">
        <f>"10034-1159"</f>
        <v>10034-1159</v>
      </c>
      <c r="AB1760" t="s">
        <v>75</v>
      </c>
      <c r="AC1760" t="s">
        <v>76</v>
      </c>
      <c r="AD1760" t="s">
        <v>73</v>
      </c>
      <c r="AE1760" t="s">
        <v>77</v>
      </c>
      <c r="AF1760" t="s">
        <v>2228</v>
      </c>
      <c r="AG1760" t="s">
        <v>78</v>
      </c>
    </row>
    <row r="1761" spans="1:33" hidden="1" x14ac:dyDescent="0.25">
      <c r="B1761" t="str">
        <f>"03547651"</f>
        <v>03547651</v>
      </c>
      <c r="C1761" t="s">
        <v>8352</v>
      </c>
      <c r="D1761" t="s">
        <v>8353</v>
      </c>
      <c r="E1761" t="s">
        <v>8354</v>
      </c>
      <c r="G1761" t="s">
        <v>2260</v>
      </c>
      <c r="H1761" t="s">
        <v>1511</v>
      </c>
      <c r="J1761" t="s">
        <v>8355</v>
      </c>
      <c r="L1761" t="s">
        <v>36</v>
      </c>
      <c r="M1761" t="s">
        <v>82</v>
      </c>
      <c r="W1761" t="s">
        <v>8354</v>
      </c>
      <c r="X1761" t="s">
        <v>610</v>
      </c>
      <c r="Y1761" t="s">
        <v>118</v>
      </c>
      <c r="Z1761" t="s">
        <v>74</v>
      </c>
      <c r="AA1761" t="str">
        <f>"10459-4240"</f>
        <v>10459-4240</v>
      </c>
      <c r="AB1761" t="s">
        <v>92</v>
      </c>
      <c r="AC1761" t="s">
        <v>76</v>
      </c>
      <c r="AD1761" t="s">
        <v>73</v>
      </c>
      <c r="AE1761" t="s">
        <v>77</v>
      </c>
      <c r="AG1761" t="s">
        <v>78</v>
      </c>
    </row>
    <row r="1762" spans="1:33" hidden="1" x14ac:dyDescent="0.25">
      <c r="A1762" t="str">
        <f>"1760570725"</f>
        <v>1760570725</v>
      </c>
      <c r="B1762" t="str">
        <f>"01452033"</f>
        <v>01452033</v>
      </c>
      <c r="C1762" t="s">
        <v>8356</v>
      </c>
      <c r="D1762" t="s">
        <v>8357</v>
      </c>
      <c r="E1762" t="s">
        <v>8358</v>
      </c>
      <c r="G1762" t="s">
        <v>2224</v>
      </c>
      <c r="H1762" t="s">
        <v>2225</v>
      </c>
      <c r="J1762" t="s">
        <v>2226</v>
      </c>
      <c r="L1762" t="s">
        <v>80</v>
      </c>
      <c r="M1762" t="s">
        <v>73</v>
      </c>
      <c r="R1762" t="s">
        <v>8359</v>
      </c>
      <c r="W1762" t="s">
        <v>8358</v>
      </c>
      <c r="Y1762" t="s">
        <v>91</v>
      </c>
      <c r="Z1762" t="s">
        <v>74</v>
      </c>
      <c r="AA1762" t="str">
        <f>"10032-3725"</f>
        <v>10032-3725</v>
      </c>
      <c r="AB1762" t="s">
        <v>75</v>
      </c>
      <c r="AC1762" t="s">
        <v>76</v>
      </c>
      <c r="AD1762" t="s">
        <v>73</v>
      </c>
      <c r="AE1762" t="s">
        <v>77</v>
      </c>
      <c r="AF1762" t="s">
        <v>2254</v>
      </c>
      <c r="AG1762" t="s">
        <v>78</v>
      </c>
    </row>
    <row r="1763" spans="1:33" hidden="1" x14ac:dyDescent="0.25">
      <c r="A1763" t="str">
        <f>"1760575641"</f>
        <v>1760575641</v>
      </c>
      <c r="B1763" t="str">
        <f>"01888068"</f>
        <v>01888068</v>
      </c>
      <c r="C1763" t="s">
        <v>8360</v>
      </c>
      <c r="D1763" t="s">
        <v>8361</v>
      </c>
      <c r="E1763" t="s">
        <v>8362</v>
      </c>
      <c r="G1763" t="s">
        <v>2224</v>
      </c>
      <c r="H1763" t="s">
        <v>2225</v>
      </c>
      <c r="J1763" t="s">
        <v>2226</v>
      </c>
      <c r="L1763" t="s">
        <v>72</v>
      </c>
      <c r="M1763" t="s">
        <v>73</v>
      </c>
      <c r="R1763" t="s">
        <v>8362</v>
      </c>
      <c r="W1763" t="s">
        <v>8362</v>
      </c>
      <c r="X1763" t="s">
        <v>8362</v>
      </c>
      <c r="Y1763" t="s">
        <v>166</v>
      </c>
      <c r="Z1763" t="s">
        <v>74</v>
      </c>
      <c r="AA1763" t="str">
        <f>"11542-2193"</f>
        <v>11542-2193</v>
      </c>
      <c r="AB1763" t="s">
        <v>75</v>
      </c>
      <c r="AC1763" t="s">
        <v>76</v>
      </c>
      <c r="AD1763" t="s">
        <v>73</v>
      </c>
      <c r="AE1763" t="s">
        <v>77</v>
      </c>
      <c r="AF1763" t="s">
        <v>2228</v>
      </c>
      <c r="AG1763" t="s">
        <v>78</v>
      </c>
    </row>
    <row r="1764" spans="1:33" hidden="1" x14ac:dyDescent="0.25">
      <c r="A1764" t="str">
        <f>"1043448673"</f>
        <v>1043448673</v>
      </c>
      <c r="B1764" t="str">
        <f>"03603096"</f>
        <v>03603096</v>
      </c>
      <c r="C1764" t="s">
        <v>8363</v>
      </c>
      <c r="D1764" t="s">
        <v>8364</v>
      </c>
      <c r="E1764" t="s">
        <v>8365</v>
      </c>
      <c r="G1764" t="s">
        <v>2224</v>
      </c>
      <c r="H1764" t="s">
        <v>2225</v>
      </c>
      <c r="J1764" t="s">
        <v>2226</v>
      </c>
      <c r="L1764" t="s">
        <v>72</v>
      </c>
      <c r="M1764" t="s">
        <v>73</v>
      </c>
      <c r="R1764" t="s">
        <v>8366</v>
      </c>
      <c r="W1764" t="s">
        <v>8365</v>
      </c>
      <c r="X1764" t="s">
        <v>1707</v>
      </c>
      <c r="Y1764" t="s">
        <v>91</v>
      </c>
      <c r="Z1764" t="s">
        <v>74</v>
      </c>
      <c r="AA1764" t="str">
        <f>"10032-3720"</f>
        <v>10032-3720</v>
      </c>
      <c r="AB1764" t="s">
        <v>75</v>
      </c>
      <c r="AC1764" t="s">
        <v>76</v>
      </c>
      <c r="AD1764" t="s">
        <v>73</v>
      </c>
      <c r="AE1764" t="s">
        <v>77</v>
      </c>
      <c r="AF1764" t="s">
        <v>2228</v>
      </c>
      <c r="AG1764" t="s">
        <v>78</v>
      </c>
    </row>
    <row r="1765" spans="1:33" hidden="1" x14ac:dyDescent="0.25">
      <c r="A1765" t="str">
        <f>"1841619137"</f>
        <v>1841619137</v>
      </c>
      <c r="C1765" t="s">
        <v>8367</v>
      </c>
      <c r="G1765" t="s">
        <v>2224</v>
      </c>
      <c r="H1765" t="s">
        <v>2312</v>
      </c>
      <c r="J1765" t="s">
        <v>2226</v>
      </c>
      <c r="K1765" t="s">
        <v>171</v>
      </c>
      <c r="L1765" t="s">
        <v>96</v>
      </c>
      <c r="M1765" t="s">
        <v>73</v>
      </c>
      <c r="R1765" t="s">
        <v>8368</v>
      </c>
      <c r="S1765" t="s">
        <v>2442</v>
      </c>
      <c r="T1765" t="s">
        <v>91</v>
      </c>
      <c r="U1765" t="s">
        <v>74</v>
      </c>
      <c r="V1765" t="str">
        <f>"100323720"</f>
        <v>100323720</v>
      </c>
      <c r="AC1765" t="s">
        <v>76</v>
      </c>
      <c r="AD1765" t="s">
        <v>73</v>
      </c>
      <c r="AE1765" t="s">
        <v>97</v>
      </c>
      <c r="AF1765" t="s">
        <v>2228</v>
      </c>
      <c r="AG1765" t="s">
        <v>78</v>
      </c>
    </row>
    <row r="1766" spans="1:33" hidden="1" x14ac:dyDescent="0.25">
      <c r="A1766" t="str">
        <f>"1194949941"</f>
        <v>1194949941</v>
      </c>
      <c r="C1766" t="s">
        <v>8369</v>
      </c>
      <c r="G1766" t="s">
        <v>2224</v>
      </c>
      <c r="H1766" t="s">
        <v>3295</v>
      </c>
      <c r="J1766" t="s">
        <v>2226</v>
      </c>
      <c r="K1766" t="s">
        <v>171</v>
      </c>
      <c r="L1766" t="s">
        <v>96</v>
      </c>
      <c r="M1766" t="s">
        <v>73</v>
      </c>
      <c r="R1766" t="s">
        <v>8370</v>
      </c>
      <c r="S1766" t="s">
        <v>8371</v>
      </c>
      <c r="T1766" t="s">
        <v>91</v>
      </c>
      <c r="U1766" t="s">
        <v>74</v>
      </c>
      <c r="V1766" t="str">
        <f>"100169196"</f>
        <v>100169196</v>
      </c>
      <c r="AC1766" t="s">
        <v>76</v>
      </c>
      <c r="AD1766" t="s">
        <v>73</v>
      </c>
      <c r="AE1766" t="s">
        <v>97</v>
      </c>
      <c r="AF1766" t="s">
        <v>2234</v>
      </c>
      <c r="AG1766" t="s">
        <v>78</v>
      </c>
    </row>
    <row r="1767" spans="1:33" hidden="1" x14ac:dyDescent="0.25">
      <c r="A1767" t="str">
        <f>"1528141876"</f>
        <v>1528141876</v>
      </c>
      <c r="B1767" t="str">
        <f>"03912609"</f>
        <v>03912609</v>
      </c>
      <c r="C1767" t="s">
        <v>8372</v>
      </c>
      <c r="D1767" t="s">
        <v>8373</v>
      </c>
      <c r="E1767" t="s">
        <v>8374</v>
      </c>
      <c r="L1767" t="s">
        <v>72</v>
      </c>
      <c r="M1767" t="s">
        <v>73</v>
      </c>
      <c r="R1767" t="s">
        <v>8374</v>
      </c>
      <c r="W1767" t="s">
        <v>8374</v>
      </c>
      <c r="X1767" t="s">
        <v>167</v>
      </c>
      <c r="Y1767" t="s">
        <v>91</v>
      </c>
      <c r="Z1767" t="s">
        <v>74</v>
      </c>
      <c r="AA1767" t="str">
        <f>"10032-3720"</f>
        <v>10032-3720</v>
      </c>
      <c r="AB1767" t="s">
        <v>75</v>
      </c>
      <c r="AC1767" t="s">
        <v>76</v>
      </c>
      <c r="AD1767" t="s">
        <v>73</v>
      </c>
      <c r="AE1767" t="s">
        <v>77</v>
      </c>
      <c r="AG1767" t="s">
        <v>78</v>
      </c>
    </row>
    <row r="1768" spans="1:33" hidden="1" x14ac:dyDescent="0.25">
      <c r="A1768" t="str">
        <f>"1013335439"</f>
        <v>1013335439</v>
      </c>
      <c r="C1768" t="s">
        <v>8375</v>
      </c>
      <c r="G1768" t="s">
        <v>2224</v>
      </c>
      <c r="H1768" t="s">
        <v>2225</v>
      </c>
      <c r="J1768" t="s">
        <v>2226</v>
      </c>
      <c r="K1768" t="s">
        <v>93</v>
      </c>
      <c r="L1768" t="s">
        <v>96</v>
      </c>
      <c r="M1768" t="s">
        <v>73</v>
      </c>
      <c r="R1768" t="s">
        <v>8376</v>
      </c>
      <c r="S1768" t="s">
        <v>1745</v>
      </c>
      <c r="T1768" t="s">
        <v>91</v>
      </c>
      <c r="U1768" t="s">
        <v>74</v>
      </c>
      <c r="V1768" t="str">
        <f>"10021"</f>
        <v>10021</v>
      </c>
      <c r="AC1768" t="s">
        <v>76</v>
      </c>
      <c r="AD1768" t="s">
        <v>73</v>
      </c>
      <c r="AE1768" t="s">
        <v>97</v>
      </c>
      <c r="AF1768" t="s">
        <v>2242</v>
      </c>
      <c r="AG1768" t="s">
        <v>78</v>
      </c>
    </row>
    <row r="1769" spans="1:33" hidden="1" x14ac:dyDescent="0.25">
      <c r="A1769" t="str">
        <f>"1629411954"</f>
        <v>1629411954</v>
      </c>
      <c r="B1769" t="str">
        <f>"04499758"</f>
        <v>04499758</v>
      </c>
      <c r="C1769" t="s">
        <v>8377</v>
      </c>
      <c r="D1769" t="s">
        <v>8378</v>
      </c>
      <c r="E1769" t="s">
        <v>8379</v>
      </c>
      <c r="G1769" t="s">
        <v>2224</v>
      </c>
      <c r="H1769" t="s">
        <v>2225</v>
      </c>
      <c r="J1769" t="s">
        <v>2226</v>
      </c>
      <c r="L1769" t="s">
        <v>72</v>
      </c>
      <c r="M1769" t="s">
        <v>73</v>
      </c>
      <c r="R1769" t="s">
        <v>8380</v>
      </c>
      <c r="W1769" t="s">
        <v>8379</v>
      </c>
      <c r="AB1769" t="s">
        <v>75</v>
      </c>
      <c r="AC1769" t="s">
        <v>76</v>
      </c>
      <c r="AD1769" t="s">
        <v>73</v>
      </c>
      <c r="AE1769" t="s">
        <v>77</v>
      </c>
      <c r="AF1769" t="s">
        <v>2242</v>
      </c>
      <c r="AG1769" t="s">
        <v>78</v>
      </c>
    </row>
    <row r="1770" spans="1:33" hidden="1" x14ac:dyDescent="0.25">
      <c r="A1770" t="str">
        <f>"1770858847"</f>
        <v>1770858847</v>
      </c>
      <c r="C1770" t="s">
        <v>8381</v>
      </c>
      <c r="G1770" t="s">
        <v>2224</v>
      </c>
      <c r="H1770" t="s">
        <v>2225</v>
      </c>
      <c r="J1770" t="s">
        <v>2226</v>
      </c>
      <c r="K1770" t="s">
        <v>93</v>
      </c>
      <c r="L1770" t="s">
        <v>96</v>
      </c>
      <c r="M1770" t="s">
        <v>73</v>
      </c>
      <c r="R1770" t="s">
        <v>8382</v>
      </c>
      <c r="S1770" t="s">
        <v>7459</v>
      </c>
      <c r="T1770" t="s">
        <v>91</v>
      </c>
      <c r="U1770" t="s">
        <v>74</v>
      </c>
      <c r="V1770" t="str">
        <f>"100214872"</f>
        <v>100214872</v>
      </c>
      <c r="AC1770" t="s">
        <v>76</v>
      </c>
      <c r="AD1770" t="s">
        <v>73</v>
      </c>
      <c r="AE1770" t="s">
        <v>97</v>
      </c>
      <c r="AF1770" t="s">
        <v>2242</v>
      </c>
      <c r="AG1770" t="s">
        <v>78</v>
      </c>
    </row>
    <row r="1771" spans="1:33" hidden="1" x14ac:dyDescent="0.25">
      <c r="A1771" t="str">
        <f>"1023364387"</f>
        <v>1023364387</v>
      </c>
      <c r="C1771" t="s">
        <v>8383</v>
      </c>
      <c r="G1771" t="s">
        <v>2224</v>
      </c>
      <c r="H1771" t="s">
        <v>2225</v>
      </c>
      <c r="J1771" t="s">
        <v>2226</v>
      </c>
      <c r="K1771" t="s">
        <v>93</v>
      </c>
      <c r="L1771" t="s">
        <v>96</v>
      </c>
      <c r="M1771" t="s">
        <v>73</v>
      </c>
      <c r="R1771" t="s">
        <v>8384</v>
      </c>
      <c r="S1771" t="s">
        <v>334</v>
      </c>
      <c r="T1771" t="s">
        <v>91</v>
      </c>
      <c r="U1771" t="s">
        <v>74</v>
      </c>
      <c r="V1771" t="str">
        <f>"100166402"</f>
        <v>100166402</v>
      </c>
      <c r="AC1771" t="s">
        <v>76</v>
      </c>
      <c r="AD1771" t="s">
        <v>73</v>
      </c>
      <c r="AE1771" t="s">
        <v>97</v>
      </c>
      <c r="AF1771" t="s">
        <v>2234</v>
      </c>
      <c r="AG1771" t="s">
        <v>78</v>
      </c>
    </row>
    <row r="1772" spans="1:33" hidden="1" x14ac:dyDescent="0.25">
      <c r="A1772" t="str">
        <f>"1679916928"</f>
        <v>1679916928</v>
      </c>
      <c r="B1772" t="str">
        <f>"04426000"</f>
        <v>04426000</v>
      </c>
      <c r="C1772" t="s">
        <v>8385</v>
      </c>
      <c r="D1772" t="s">
        <v>8386</v>
      </c>
      <c r="E1772" t="s">
        <v>8387</v>
      </c>
      <c r="G1772" t="s">
        <v>2224</v>
      </c>
      <c r="H1772" t="s">
        <v>2225</v>
      </c>
      <c r="J1772" t="s">
        <v>2226</v>
      </c>
      <c r="L1772" t="s">
        <v>96</v>
      </c>
      <c r="M1772" t="s">
        <v>73</v>
      </c>
      <c r="R1772" t="s">
        <v>8388</v>
      </c>
      <c r="W1772" t="s">
        <v>8389</v>
      </c>
      <c r="X1772" t="s">
        <v>170</v>
      </c>
      <c r="Y1772" t="s">
        <v>91</v>
      </c>
      <c r="Z1772" t="s">
        <v>74</v>
      </c>
      <c r="AA1772" t="str">
        <f>"10065-4870"</f>
        <v>10065-4870</v>
      </c>
      <c r="AB1772" t="s">
        <v>75</v>
      </c>
      <c r="AC1772" t="s">
        <v>76</v>
      </c>
      <c r="AD1772" t="s">
        <v>73</v>
      </c>
      <c r="AE1772" t="s">
        <v>77</v>
      </c>
      <c r="AF1772" t="s">
        <v>2242</v>
      </c>
      <c r="AG1772" t="s">
        <v>78</v>
      </c>
    </row>
    <row r="1773" spans="1:33" hidden="1" x14ac:dyDescent="0.25">
      <c r="A1773" t="str">
        <f>"1164780698"</f>
        <v>1164780698</v>
      </c>
      <c r="B1773" t="str">
        <f>"04293812"</f>
        <v>04293812</v>
      </c>
      <c r="C1773" t="s">
        <v>8390</v>
      </c>
      <c r="D1773" t="s">
        <v>8391</v>
      </c>
      <c r="E1773" t="s">
        <v>8392</v>
      </c>
      <c r="G1773" t="s">
        <v>2224</v>
      </c>
      <c r="H1773" t="s">
        <v>2225</v>
      </c>
      <c r="J1773" t="s">
        <v>2226</v>
      </c>
      <c r="L1773" t="s">
        <v>72</v>
      </c>
      <c r="M1773" t="s">
        <v>73</v>
      </c>
      <c r="R1773" t="s">
        <v>8393</v>
      </c>
      <c r="W1773" t="s">
        <v>8392</v>
      </c>
      <c r="X1773" t="s">
        <v>7489</v>
      </c>
      <c r="Y1773" t="s">
        <v>91</v>
      </c>
      <c r="Z1773" t="s">
        <v>74</v>
      </c>
      <c r="AA1773" t="str">
        <f>"10065-4870"</f>
        <v>10065-4870</v>
      </c>
      <c r="AB1773" t="s">
        <v>75</v>
      </c>
      <c r="AC1773" t="s">
        <v>76</v>
      </c>
      <c r="AD1773" t="s">
        <v>73</v>
      </c>
      <c r="AE1773" t="s">
        <v>77</v>
      </c>
      <c r="AF1773" t="s">
        <v>2242</v>
      </c>
      <c r="AG1773" t="s">
        <v>78</v>
      </c>
    </row>
    <row r="1774" spans="1:33" hidden="1" x14ac:dyDescent="0.25">
      <c r="A1774" t="str">
        <f>"1477829877"</f>
        <v>1477829877</v>
      </c>
      <c r="C1774" t="s">
        <v>8394</v>
      </c>
      <c r="G1774" t="s">
        <v>2224</v>
      </c>
      <c r="H1774" t="s">
        <v>2225</v>
      </c>
      <c r="J1774" t="s">
        <v>2226</v>
      </c>
      <c r="K1774" t="s">
        <v>93</v>
      </c>
      <c r="L1774" t="s">
        <v>96</v>
      </c>
      <c r="M1774" t="s">
        <v>73</v>
      </c>
      <c r="R1774" t="s">
        <v>8395</v>
      </c>
      <c r="S1774" t="s">
        <v>1745</v>
      </c>
      <c r="T1774" t="s">
        <v>91</v>
      </c>
      <c r="U1774" t="s">
        <v>74</v>
      </c>
      <c r="V1774" t="str">
        <f>"10021"</f>
        <v>10021</v>
      </c>
      <c r="AC1774" t="s">
        <v>76</v>
      </c>
      <c r="AD1774" t="s">
        <v>73</v>
      </c>
      <c r="AE1774" t="s">
        <v>97</v>
      </c>
      <c r="AF1774" t="s">
        <v>2234</v>
      </c>
      <c r="AG1774" t="s">
        <v>78</v>
      </c>
    </row>
    <row r="1775" spans="1:33" hidden="1" x14ac:dyDescent="0.25">
      <c r="A1775" t="str">
        <f>"1932436938"</f>
        <v>1932436938</v>
      </c>
      <c r="C1775" t="s">
        <v>8396</v>
      </c>
      <c r="G1775" t="s">
        <v>2224</v>
      </c>
      <c r="H1775" t="s">
        <v>2225</v>
      </c>
      <c r="J1775" t="s">
        <v>2226</v>
      </c>
      <c r="K1775" t="s">
        <v>93</v>
      </c>
      <c r="L1775" t="s">
        <v>96</v>
      </c>
      <c r="M1775" t="s">
        <v>73</v>
      </c>
      <c r="R1775" t="s">
        <v>8397</v>
      </c>
      <c r="S1775" t="s">
        <v>7459</v>
      </c>
      <c r="T1775" t="s">
        <v>91</v>
      </c>
      <c r="U1775" t="s">
        <v>74</v>
      </c>
      <c r="V1775" t="str">
        <f>"100214872"</f>
        <v>100214872</v>
      </c>
      <c r="AC1775" t="s">
        <v>76</v>
      </c>
      <c r="AD1775" t="s">
        <v>73</v>
      </c>
      <c r="AE1775" t="s">
        <v>97</v>
      </c>
      <c r="AF1775" t="s">
        <v>2242</v>
      </c>
      <c r="AG1775" t="s">
        <v>78</v>
      </c>
    </row>
    <row r="1776" spans="1:33" hidden="1" x14ac:dyDescent="0.25">
      <c r="A1776" t="str">
        <f>"1861810442"</f>
        <v>1861810442</v>
      </c>
      <c r="C1776" t="s">
        <v>8398</v>
      </c>
      <c r="G1776" t="s">
        <v>2224</v>
      </c>
      <c r="H1776" t="s">
        <v>2225</v>
      </c>
      <c r="J1776" t="s">
        <v>2226</v>
      </c>
      <c r="K1776" t="s">
        <v>93</v>
      </c>
      <c r="L1776" t="s">
        <v>96</v>
      </c>
      <c r="M1776" t="s">
        <v>73</v>
      </c>
      <c r="R1776" t="s">
        <v>8399</v>
      </c>
      <c r="S1776" t="s">
        <v>1745</v>
      </c>
      <c r="T1776" t="s">
        <v>91</v>
      </c>
      <c r="U1776" t="s">
        <v>74</v>
      </c>
      <c r="V1776" t="str">
        <f>"10021"</f>
        <v>10021</v>
      </c>
      <c r="AC1776" t="s">
        <v>76</v>
      </c>
      <c r="AD1776" t="s">
        <v>73</v>
      </c>
      <c r="AE1776" t="s">
        <v>97</v>
      </c>
      <c r="AF1776" t="s">
        <v>2242</v>
      </c>
      <c r="AG1776" t="s">
        <v>78</v>
      </c>
    </row>
    <row r="1777" spans="1:33" hidden="1" x14ac:dyDescent="0.25">
      <c r="A1777" t="str">
        <f>"1194081042"</f>
        <v>1194081042</v>
      </c>
      <c r="C1777" t="s">
        <v>8400</v>
      </c>
      <c r="G1777" t="s">
        <v>2224</v>
      </c>
      <c r="H1777" t="s">
        <v>2225</v>
      </c>
      <c r="J1777" t="s">
        <v>2226</v>
      </c>
      <c r="K1777" t="s">
        <v>93</v>
      </c>
      <c r="L1777" t="s">
        <v>96</v>
      </c>
      <c r="M1777" t="s">
        <v>73</v>
      </c>
      <c r="R1777" t="s">
        <v>8401</v>
      </c>
      <c r="S1777" t="s">
        <v>7459</v>
      </c>
      <c r="T1777" t="s">
        <v>91</v>
      </c>
      <c r="U1777" t="s">
        <v>74</v>
      </c>
      <c r="V1777" t="str">
        <f>"100214872"</f>
        <v>100214872</v>
      </c>
      <c r="AC1777" t="s">
        <v>76</v>
      </c>
      <c r="AD1777" t="s">
        <v>73</v>
      </c>
      <c r="AE1777" t="s">
        <v>97</v>
      </c>
      <c r="AF1777" t="s">
        <v>2234</v>
      </c>
      <c r="AG1777" t="s">
        <v>78</v>
      </c>
    </row>
    <row r="1778" spans="1:33" hidden="1" x14ac:dyDescent="0.25">
      <c r="A1778" t="str">
        <f>"1447526926"</f>
        <v>1447526926</v>
      </c>
      <c r="B1778" t="str">
        <f>"04409096"</f>
        <v>04409096</v>
      </c>
      <c r="C1778" t="s">
        <v>8402</v>
      </c>
      <c r="D1778" t="s">
        <v>8403</v>
      </c>
      <c r="E1778" t="s">
        <v>8404</v>
      </c>
      <c r="G1778" t="s">
        <v>2224</v>
      </c>
      <c r="H1778" t="s">
        <v>2225</v>
      </c>
      <c r="J1778" t="s">
        <v>2226</v>
      </c>
      <c r="L1778" t="s">
        <v>96</v>
      </c>
      <c r="M1778" t="s">
        <v>73</v>
      </c>
      <c r="R1778" t="s">
        <v>8405</v>
      </c>
      <c r="W1778" t="s">
        <v>8404</v>
      </c>
      <c r="X1778" t="s">
        <v>170</v>
      </c>
      <c r="Y1778" t="s">
        <v>91</v>
      </c>
      <c r="Z1778" t="s">
        <v>74</v>
      </c>
      <c r="AA1778" t="str">
        <f>"10065-4870"</f>
        <v>10065-4870</v>
      </c>
      <c r="AB1778" t="s">
        <v>75</v>
      </c>
      <c r="AC1778" t="s">
        <v>76</v>
      </c>
      <c r="AD1778" t="s">
        <v>73</v>
      </c>
      <c r="AE1778" t="s">
        <v>77</v>
      </c>
      <c r="AF1778" t="s">
        <v>2242</v>
      </c>
      <c r="AG1778" t="s">
        <v>78</v>
      </c>
    </row>
    <row r="1779" spans="1:33" hidden="1" x14ac:dyDescent="0.25">
      <c r="A1779" t="str">
        <f>"1447593132"</f>
        <v>1447593132</v>
      </c>
      <c r="C1779" t="s">
        <v>8406</v>
      </c>
      <c r="G1779" t="s">
        <v>2224</v>
      </c>
      <c r="H1779" t="s">
        <v>2225</v>
      </c>
      <c r="J1779" t="s">
        <v>2226</v>
      </c>
      <c r="K1779" t="s">
        <v>93</v>
      </c>
      <c r="L1779" t="s">
        <v>96</v>
      </c>
      <c r="M1779" t="s">
        <v>73</v>
      </c>
      <c r="R1779" t="s">
        <v>8407</v>
      </c>
      <c r="S1779" t="s">
        <v>7459</v>
      </c>
      <c r="T1779" t="s">
        <v>91</v>
      </c>
      <c r="U1779" t="s">
        <v>74</v>
      </c>
      <c r="V1779" t="str">
        <f>"100214872"</f>
        <v>100214872</v>
      </c>
      <c r="AC1779" t="s">
        <v>76</v>
      </c>
      <c r="AD1779" t="s">
        <v>73</v>
      </c>
      <c r="AE1779" t="s">
        <v>97</v>
      </c>
      <c r="AF1779" t="s">
        <v>2242</v>
      </c>
      <c r="AG1779" t="s">
        <v>78</v>
      </c>
    </row>
    <row r="1780" spans="1:33" hidden="1" x14ac:dyDescent="0.25">
      <c r="A1780" t="str">
        <f>"1043638091"</f>
        <v>1043638091</v>
      </c>
      <c r="C1780" t="s">
        <v>8408</v>
      </c>
      <c r="G1780" t="s">
        <v>2224</v>
      </c>
      <c r="H1780" t="s">
        <v>2225</v>
      </c>
      <c r="J1780" t="s">
        <v>2226</v>
      </c>
      <c r="K1780" t="s">
        <v>93</v>
      </c>
      <c r="L1780" t="s">
        <v>96</v>
      </c>
      <c r="M1780" t="s">
        <v>73</v>
      </c>
      <c r="R1780" t="s">
        <v>8409</v>
      </c>
      <c r="S1780" t="s">
        <v>7459</v>
      </c>
      <c r="T1780" t="s">
        <v>91</v>
      </c>
      <c r="U1780" t="s">
        <v>74</v>
      </c>
      <c r="V1780" t="str">
        <f>"100214872"</f>
        <v>100214872</v>
      </c>
      <c r="AC1780" t="s">
        <v>76</v>
      </c>
      <c r="AD1780" t="s">
        <v>73</v>
      </c>
      <c r="AE1780" t="s">
        <v>97</v>
      </c>
      <c r="AF1780" t="s">
        <v>2242</v>
      </c>
      <c r="AG1780" t="s">
        <v>78</v>
      </c>
    </row>
    <row r="1781" spans="1:33" hidden="1" x14ac:dyDescent="0.25">
      <c r="A1781" t="str">
        <f>"1457778342"</f>
        <v>1457778342</v>
      </c>
      <c r="C1781" t="s">
        <v>8410</v>
      </c>
      <c r="G1781" t="s">
        <v>2224</v>
      </c>
      <c r="H1781" t="s">
        <v>2225</v>
      </c>
      <c r="J1781" t="s">
        <v>2226</v>
      </c>
      <c r="K1781" t="s">
        <v>93</v>
      </c>
      <c r="L1781" t="s">
        <v>96</v>
      </c>
      <c r="M1781" t="s">
        <v>73</v>
      </c>
      <c r="R1781" t="s">
        <v>8411</v>
      </c>
      <c r="S1781" t="s">
        <v>170</v>
      </c>
      <c r="T1781" t="s">
        <v>91</v>
      </c>
      <c r="U1781" t="s">
        <v>74</v>
      </c>
      <c r="V1781" t="str">
        <f>"100654870"</f>
        <v>100654870</v>
      </c>
      <c r="AC1781" t="s">
        <v>76</v>
      </c>
      <c r="AD1781" t="s">
        <v>73</v>
      </c>
      <c r="AE1781" t="s">
        <v>97</v>
      </c>
      <c r="AF1781" t="s">
        <v>2242</v>
      </c>
      <c r="AG1781" t="s">
        <v>78</v>
      </c>
    </row>
    <row r="1782" spans="1:33" hidden="1" x14ac:dyDescent="0.25">
      <c r="A1782" t="str">
        <f>"1881910255"</f>
        <v>1881910255</v>
      </c>
      <c r="B1782" t="str">
        <f>"03608564"</f>
        <v>03608564</v>
      </c>
      <c r="C1782" t="s">
        <v>8412</v>
      </c>
      <c r="D1782" t="s">
        <v>8413</v>
      </c>
      <c r="E1782" t="s">
        <v>8414</v>
      </c>
      <c r="G1782" t="s">
        <v>2224</v>
      </c>
      <c r="H1782" t="s">
        <v>8415</v>
      </c>
      <c r="J1782" t="s">
        <v>2226</v>
      </c>
      <c r="L1782" t="s">
        <v>80</v>
      </c>
      <c r="M1782" t="s">
        <v>73</v>
      </c>
      <c r="R1782" t="s">
        <v>8416</v>
      </c>
      <c r="W1782" t="s">
        <v>8414</v>
      </c>
      <c r="X1782" t="s">
        <v>8417</v>
      </c>
      <c r="Y1782" t="s">
        <v>1184</v>
      </c>
      <c r="Z1782" t="s">
        <v>1185</v>
      </c>
      <c r="AA1782" t="str">
        <f>"53226-3522"</f>
        <v>53226-3522</v>
      </c>
      <c r="AB1782" t="s">
        <v>75</v>
      </c>
      <c r="AC1782" t="s">
        <v>76</v>
      </c>
      <c r="AD1782" t="s">
        <v>73</v>
      </c>
      <c r="AE1782" t="s">
        <v>77</v>
      </c>
      <c r="AF1782" t="s">
        <v>2234</v>
      </c>
      <c r="AG1782" t="s">
        <v>78</v>
      </c>
    </row>
    <row r="1783" spans="1:33" hidden="1" x14ac:dyDescent="0.25">
      <c r="A1783" t="str">
        <f>"1194781039"</f>
        <v>1194781039</v>
      </c>
      <c r="B1783" t="str">
        <f>"02462999"</f>
        <v>02462999</v>
      </c>
      <c r="C1783" t="s">
        <v>8418</v>
      </c>
      <c r="D1783" t="s">
        <v>8419</v>
      </c>
      <c r="E1783" t="s">
        <v>8420</v>
      </c>
      <c r="G1783" t="s">
        <v>2224</v>
      </c>
      <c r="H1783" t="s">
        <v>2225</v>
      </c>
      <c r="J1783" t="s">
        <v>2226</v>
      </c>
      <c r="L1783" t="s">
        <v>80</v>
      </c>
      <c r="M1783" t="s">
        <v>73</v>
      </c>
      <c r="R1783" t="s">
        <v>8421</v>
      </c>
      <c r="W1783" t="s">
        <v>8420</v>
      </c>
      <c r="X1783" t="s">
        <v>8420</v>
      </c>
      <c r="Y1783" t="s">
        <v>535</v>
      </c>
      <c r="Z1783" t="s">
        <v>74</v>
      </c>
      <c r="AA1783" t="str">
        <f>"12524-1789"</f>
        <v>12524-1789</v>
      </c>
      <c r="AB1783" t="s">
        <v>75</v>
      </c>
      <c r="AC1783" t="s">
        <v>76</v>
      </c>
      <c r="AD1783" t="s">
        <v>73</v>
      </c>
      <c r="AE1783" t="s">
        <v>77</v>
      </c>
      <c r="AF1783" t="s">
        <v>2228</v>
      </c>
      <c r="AG1783" t="s">
        <v>78</v>
      </c>
    </row>
    <row r="1784" spans="1:33" hidden="1" x14ac:dyDescent="0.25">
      <c r="A1784" t="str">
        <f>"1265749550"</f>
        <v>1265749550</v>
      </c>
      <c r="B1784" t="str">
        <f>"03338103"</f>
        <v>03338103</v>
      </c>
      <c r="C1784" t="s">
        <v>8422</v>
      </c>
      <c r="D1784" t="s">
        <v>428</v>
      </c>
      <c r="E1784" t="s">
        <v>429</v>
      </c>
      <c r="G1784" t="s">
        <v>282</v>
      </c>
      <c r="H1784" t="s">
        <v>248</v>
      </c>
      <c r="I1784">
        <v>2604</v>
      </c>
      <c r="J1784" t="s">
        <v>283</v>
      </c>
      <c r="L1784" t="s">
        <v>81</v>
      </c>
      <c r="M1784" t="s">
        <v>82</v>
      </c>
      <c r="R1784" t="s">
        <v>429</v>
      </c>
      <c r="W1784" t="s">
        <v>429</v>
      </c>
      <c r="X1784" t="s">
        <v>271</v>
      </c>
      <c r="Y1784" t="s">
        <v>131</v>
      </c>
      <c r="Z1784" t="s">
        <v>74</v>
      </c>
      <c r="AA1784" t="str">
        <f>"11361-2976"</f>
        <v>11361-2976</v>
      </c>
      <c r="AB1784" t="s">
        <v>75</v>
      </c>
      <c r="AC1784" t="s">
        <v>76</v>
      </c>
      <c r="AD1784" t="s">
        <v>73</v>
      </c>
      <c r="AE1784" t="s">
        <v>77</v>
      </c>
      <c r="AF1784" t="s">
        <v>2319</v>
      </c>
      <c r="AG1784" t="s">
        <v>78</v>
      </c>
    </row>
    <row r="1785" spans="1:33" hidden="1" x14ac:dyDescent="0.25">
      <c r="A1785" t="str">
        <f>"1205990397"</f>
        <v>1205990397</v>
      </c>
      <c r="B1785" t="str">
        <f>"00734854"</f>
        <v>00734854</v>
      </c>
      <c r="C1785" t="s">
        <v>8423</v>
      </c>
      <c r="D1785" t="s">
        <v>1822</v>
      </c>
      <c r="E1785" t="s">
        <v>1823</v>
      </c>
      <c r="G1785" t="s">
        <v>8424</v>
      </c>
      <c r="H1785" t="s">
        <v>8425</v>
      </c>
      <c r="J1785" t="s">
        <v>8426</v>
      </c>
      <c r="L1785" t="s">
        <v>99</v>
      </c>
      <c r="M1785" t="s">
        <v>82</v>
      </c>
      <c r="R1785" t="s">
        <v>1824</v>
      </c>
      <c r="W1785" t="s">
        <v>1825</v>
      </c>
      <c r="X1785" t="s">
        <v>1826</v>
      </c>
      <c r="Y1785" t="s">
        <v>91</v>
      </c>
      <c r="Z1785" t="s">
        <v>74</v>
      </c>
      <c r="AA1785" t="str">
        <f>"10029-2184"</f>
        <v>10029-2184</v>
      </c>
      <c r="AB1785" t="s">
        <v>110</v>
      </c>
      <c r="AC1785" t="s">
        <v>76</v>
      </c>
      <c r="AD1785" t="s">
        <v>73</v>
      </c>
      <c r="AE1785" t="s">
        <v>77</v>
      </c>
      <c r="AG1785" t="s">
        <v>78</v>
      </c>
    </row>
    <row r="1786" spans="1:33" hidden="1" x14ac:dyDescent="0.25">
      <c r="A1786" t="str">
        <f>"1649594169"</f>
        <v>1649594169</v>
      </c>
      <c r="B1786" t="str">
        <f>"03650786"</f>
        <v>03650786</v>
      </c>
      <c r="C1786" t="s">
        <v>8427</v>
      </c>
      <c r="D1786" t="s">
        <v>8428</v>
      </c>
      <c r="E1786" t="s">
        <v>8429</v>
      </c>
      <c r="G1786" t="s">
        <v>2224</v>
      </c>
      <c r="H1786" t="s">
        <v>2225</v>
      </c>
      <c r="J1786" t="s">
        <v>2226</v>
      </c>
      <c r="L1786" t="s">
        <v>88</v>
      </c>
      <c r="M1786" t="s">
        <v>73</v>
      </c>
      <c r="R1786" t="s">
        <v>8429</v>
      </c>
      <c r="W1786" t="s">
        <v>8430</v>
      </c>
      <c r="X1786" t="s">
        <v>1698</v>
      </c>
      <c r="Y1786" t="s">
        <v>91</v>
      </c>
      <c r="Z1786" t="s">
        <v>74</v>
      </c>
      <c r="AA1786" t="str">
        <f>"10032-3725"</f>
        <v>10032-3725</v>
      </c>
      <c r="AB1786" t="s">
        <v>75</v>
      </c>
      <c r="AC1786" t="s">
        <v>76</v>
      </c>
      <c r="AD1786" t="s">
        <v>73</v>
      </c>
      <c r="AE1786" t="s">
        <v>77</v>
      </c>
      <c r="AF1786" t="s">
        <v>2228</v>
      </c>
      <c r="AG1786" t="s">
        <v>78</v>
      </c>
    </row>
    <row r="1787" spans="1:33" hidden="1" x14ac:dyDescent="0.25">
      <c r="A1787" t="str">
        <f>"1659449742"</f>
        <v>1659449742</v>
      </c>
      <c r="B1787" t="str">
        <f>"02010740"</f>
        <v>02010740</v>
      </c>
      <c r="C1787" t="s">
        <v>8431</v>
      </c>
      <c r="D1787" t="s">
        <v>8432</v>
      </c>
      <c r="E1787" t="s">
        <v>8433</v>
      </c>
      <c r="G1787" t="s">
        <v>2224</v>
      </c>
      <c r="H1787" t="s">
        <v>2225</v>
      </c>
      <c r="J1787" t="s">
        <v>2226</v>
      </c>
      <c r="L1787" t="s">
        <v>80</v>
      </c>
      <c r="M1787" t="s">
        <v>82</v>
      </c>
      <c r="R1787" t="s">
        <v>8434</v>
      </c>
      <c r="W1787" t="s">
        <v>8433</v>
      </c>
      <c r="Y1787" t="s">
        <v>91</v>
      </c>
      <c r="Z1787" t="s">
        <v>74</v>
      </c>
      <c r="AA1787" t="str">
        <f>"10032-3720"</f>
        <v>10032-3720</v>
      </c>
      <c r="AB1787" t="s">
        <v>75</v>
      </c>
      <c r="AC1787" t="s">
        <v>76</v>
      </c>
      <c r="AD1787" t="s">
        <v>73</v>
      </c>
      <c r="AE1787" t="s">
        <v>77</v>
      </c>
      <c r="AF1787" t="s">
        <v>2228</v>
      </c>
      <c r="AG1787" t="s">
        <v>78</v>
      </c>
    </row>
    <row r="1788" spans="1:33" hidden="1" x14ac:dyDescent="0.25">
      <c r="A1788" t="str">
        <f>"1326132143"</f>
        <v>1326132143</v>
      </c>
      <c r="B1788" t="str">
        <f>"02611952"</f>
        <v>02611952</v>
      </c>
      <c r="C1788" t="s">
        <v>8435</v>
      </c>
      <c r="D1788" t="s">
        <v>8436</v>
      </c>
      <c r="E1788" t="s">
        <v>8437</v>
      </c>
      <c r="G1788" t="s">
        <v>2224</v>
      </c>
      <c r="H1788" t="s">
        <v>2225</v>
      </c>
      <c r="J1788" t="s">
        <v>2226</v>
      </c>
      <c r="L1788" t="s">
        <v>81</v>
      </c>
      <c r="M1788" t="s">
        <v>73</v>
      </c>
      <c r="R1788" t="s">
        <v>8438</v>
      </c>
      <c r="W1788" t="s">
        <v>8437</v>
      </c>
      <c r="X1788" t="s">
        <v>410</v>
      </c>
      <c r="Y1788" t="s">
        <v>91</v>
      </c>
      <c r="Z1788" t="s">
        <v>74</v>
      </c>
      <c r="AA1788" t="str">
        <f>"10032-9725"</f>
        <v>10032-9725</v>
      </c>
      <c r="AB1788" t="s">
        <v>75</v>
      </c>
      <c r="AC1788" t="s">
        <v>76</v>
      </c>
      <c r="AD1788" t="s">
        <v>73</v>
      </c>
      <c r="AE1788" t="s">
        <v>77</v>
      </c>
      <c r="AF1788" t="s">
        <v>2228</v>
      </c>
      <c r="AG1788" t="s">
        <v>78</v>
      </c>
    </row>
    <row r="1789" spans="1:33" hidden="1" x14ac:dyDescent="0.25">
      <c r="A1789" t="str">
        <f>"1053524900"</f>
        <v>1053524900</v>
      </c>
      <c r="B1789" t="str">
        <f>"01810902"</f>
        <v>01810902</v>
      </c>
      <c r="C1789" t="s">
        <v>8439</v>
      </c>
      <c r="D1789" t="s">
        <v>8440</v>
      </c>
      <c r="E1789" t="s">
        <v>8441</v>
      </c>
      <c r="G1789" t="s">
        <v>2224</v>
      </c>
      <c r="H1789" t="s">
        <v>2225</v>
      </c>
      <c r="J1789" t="s">
        <v>2226</v>
      </c>
      <c r="L1789" t="s">
        <v>72</v>
      </c>
      <c r="M1789" t="s">
        <v>73</v>
      </c>
      <c r="R1789" t="s">
        <v>8442</v>
      </c>
      <c r="W1789" t="s">
        <v>8441</v>
      </c>
      <c r="X1789" t="s">
        <v>1784</v>
      </c>
      <c r="Y1789" t="s">
        <v>91</v>
      </c>
      <c r="Z1789" t="s">
        <v>74</v>
      </c>
      <c r="AA1789" t="str">
        <f>"10032-3724"</f>
        <v>10032-3724</v>
      </c>
      <c r="AB1789" t="s">
        <v>113</v>
      </c>
      <c r="AC1789" t="s">
        <v>76</v>
      </c>
      <c r="AD1789" t="s">
        <v>73</v>
      </c>
      <c r="AE1789" t="s">
        <v>77</v>
      </c>
      <c r="AF1789" t="s">
        <v>2254</v>
      </c>
      <c r="AG1789" t="s">
        <v>78</v>
      </c>
    </row>
    <row r="1790" spans="1:33" hidden="1" x14ac:dyDescent="0.25">
      <c r="A1790" t="str">
        <f>"1881665669"</f>
        <v>1881665669</v>
      </c>
      <c r="B1790" t="str">
        <f>"03538061"</f>
        <v>03538061</v>
      </c>
      <c r="C1790" t="s">
        <v>8443</v>
      </c>
      <c r="D1790" t="s">
        <v>8444</v>
      </c>
      <c r="E1790" t="s">
        <v>8445</v>
      </c>
      <c r="G1790" t="s">
        <v>2224</v>
      </c>
      <c r="H1790" t="s">
        <v>8317</v>
      </c>
      <c r="J1790" t="s">
        <v>2226</v>
      </c>
      <c r="L1790" t="s">
        <v>72</v>
      </c>
      <c r="M1790" t="s">
        <v>73</v>
      </c>
      <c r="R1790" t="s">
        <v>8446</v>
      </c>
      <c r="W1790" t="s">
        <v>8445</v>
      </c>
      <c r="X1790" t="s">
        <v>183</v>
      </c>
      <c r="Y1790" t="s">
        <v>91</v>
      </c>
      <c r="Z1790" t="s">
        <v>74</v>
      </c>
      <c r="AA1790" t="str">
        <f>"10032-3729"</f>
        <v>10032-3729</v>
      </c>
      <c r="AB1790" t="s">
        <v>75</v>
      </c>
      <c r="AC1790" t="s">
        <v>76</v>
      </c>
      <c r="AD1790" t="s">
        <v>73</v>
      </c>
      <c r="AE1790" t="s">
        <v>77</v>
      </c>
      <c r="AF1790" t="s">
        <v>2228</v>
      </c>
      <c r="AG1790" t="s">
        <v>78</v>
      </c>
    </row>
    <row r="1791" spans="1:33" hidden="1" x14ac:dyDescent="0.25">
      <c r="A1791" t="str">
        <f>"1154580520"</f>
        <v>1154580520</v>
      </c>
      <c r="C1791" t="s">
        <v>8447</v>
      </c>
      <c r="G1791" t="s">
        <v>2260</v>
      </c>
      <c r="H1791" t="s">
        <v>8448</v>
      </c>
      <c r="J1791" t="s">
        <v>1512</v>
      </c>
      <c r="K1791" t="s">
        <v>507</v>
      </c>
      <c r="L1791" t="s">
        <v>96</v>
      </c>
      <c r="M1791" t="s">
        <v>73</v>
      </c>
      <c r="R1791" t="s">
        <v>1636</v>
      </c>
      <c r="S1791" t="s">
        <v>1637</v>
      </c>
      <c r="T1791" t="s">
        <v>91</v>
      </c>
      <c r="U1791" t="s">
        <v>74</v>
      </c>
      <c r="V1791" t="str">
        <f>"100263316"</f>
        <v>100263316</v>
      </c>
      <c r="AC1791" t="s">
        <v>76</v>
      </c>
      <c r="AD1791" t="s">
        <v>73</v>
      </c>
      <c r="AE1791" t="s">
        <v>97</v>
      </c>
      <c r="AG1791" t="s">
        <v>78</v>
      </c>
    </row>
    <row r="1792" spans="1:33" hidden="1" x14ac:dyDescent="0.25">
      <c r="A1792" t="str">
        <f>"1558337667"</f>
        <v>1558337667</v>
      </c>
      <c r="B1792" t="str">
        <f>"03784705"</f>
        <v>03784705</v>
      </c>
      <c r="C1792" t="s">
        <v>8449</v>
      </c>
      <c r="D1792" t="s">
        <v>8450</v>
      </c>
      <c r="E1792" t="s">
        <v>8451</v>
      </c>
      <c r="G1792" t="s">
        <v>2224</v>
      </c>
      <c r="H1792" t="s">
        <v>2225</v>
      </c>
      <c r="J1792" t="s">
        <v>2226</v>
      </c>
      <c r="L1792" t="s">
        <v>72</v>
      </c>
      <c r="M1792" t="s">
        <v>73</v>
      </c>
      <c r="R1792" t="s">
        <v>8452</v>
      </c>
      <c r="W1792" t="s">
        <v>8451</v>
      </c>
      <c r="X1792" t="s">
        <v>4051</v>
      </c>
      <c r="Y1792" t="s">
        <v>91</v>
      </c>
      <c r="Z1792" t="s">
        <v>74</v>
      </c>
      <c r="AA1792" t="str">
        <f>"10032-3729"</f>
        <v>10032-3729</v>
      </c>
      <c r="AB1792" t="s">
        <v>75</v>
      </c>
      <c r="AC1792" t="s">
        <v>76</v>
      </c>
      <c r="AD1792" t="s">
        <v>73</v>
      </c>
      <c r="AE1792" t="s">
        <v>77</v>
      </c>
      <c r="AF1792" t="s">
        <v>2254</v>
      </c>
      <c r="AG1792" t="s">
        <v>78</v>
      </c>
    </row>
    <row r="1793" spans="1:33" hidden="1" x14ac:dyDescent="0.25">
      <c r="A1793" t="str">
        <f>"1053385864"</f>
        <v>1053385864</v>
      </c>
      <c r="B1793" t="str">
        <f>"01142772"</f>
        <v>01142772</v>
      </c>
      <c r="C1793" t="s">
        <v>8453</v>
      </c>
      <c r="D1793" t="s">
        <v>8454</v>
      </c>
      <c r="E1793" t="s">
        <v>8455</v>
      </c>
      <c r="G1793" t="s">
        <v>2224</v>
      </c>
      <c r="H1793" t="s">
        <v>2225</v>
      </c>
      <c r="J1793" t="s">
        <v>2226</v>
      </c>
      <c r="L1793" t="s">
        <v>81</v>
      </c>
      <c r="M1793" t="s">
        <v>82</v>
      </c>
      <c r="R1793" t="s">
        <v>8456</v>
      </c>
      <c r="W1793" t="s">
        <v>8455</v>
      </c>
      <c r="X1793" t="s">
        <v>8457</v>
      </c>
      <c r="Y1793" t="s">
        <v>91</v>
      </c>
      <c r="Z1793" t="s">
        <v>74</v>
      </c>
      <c r="AA1793" t="str">
        <f>"10034-4915"</f>
        <v>10034-4915</v>
      </c>
      <c r="AB1793" t="s">
        <v>75</v>
      </c>
      <c r="AC1793" t="s">
        <v>76</v>
      </c>
      <c r="AD1793" t="s">
        <v>73</v>
      </c>
      <c r="AE1793" t="s">
        <v>77</v>
      </c>
      <c r="AF1793" t="s">
        <v>2254</v>
      </c>
      <c r="AG1793" t="s">
        <v>78</v>
      </c>
    </row>
    <row r="1794" spans="1:33" hidden="1" x14ac:dyDescent="0.25">
      <c r="A1794" t="str">
        <f>"1053408138"</f>
        <v>1053408138</v>
      </c>
      <c r="B1794" t="str">
        <f>"02365699"</f>
        <v>02365699</v>
      </c>
      <c r="C1794" t="s">
        <v>8458</v>
      </c>
      <c r="D1794" t="s">
        <v>8459</v>
      </c>
      <c r="E1794" t="s">
        <v>8460</v>
      </c>
      <c r="G1794" t="s">
        <v>2224</v>
      </c>
      <c r="H1794" t="s">
        <v>2225</v>
      </c>
      <c r="J1794" t="s">
        <v>2226</v>
      </c>
      <c r="L1794" t="s">
        <v>88</v>
      </c>
      <c r="M1794" t="s">
        <v>73</v>
      </c>
      <c r="R1794" t="s">
        <v>8461</v>
      </c>
      <c r="W1794" t="s">
        <v>8460</v>
      </c>
      <c r="X1794" t="s">
        <v>8462</v>
      </c>
      <c r="Y1794" t="s">
        <v>91</v>
      </c>
      <c r="Z1794" t="s">
        <v>74</v>
      </c>
      <c r="AA1794" t="str">
        <f>"10075-2304"</f>
        <v>10075-2304</v>
      </c>
      <c r="AB1794" t="s">
        <v>75</v>
      </c>
      <c r="AC1794" t="s">
        <v>76</v>
      </c>
      <c r="AD1794" t="s">
        <v>73</v>
      </c>
      <c r="AE1794" t="s">
        <v>77</v>
      </c>
      <c r="AF1794" t="s">
        <v>2242</v>
      </c>
      <c r="AG1794" t="s">
        <v>78</v>
      </c>
    </row>
    <row r="1795" spans="1:33" hidden="1" x14ac:dyDescent="0.25">
      <c r="A1795" t="str">
        <f>"1235317306"</f>
        <v>1235317306</v>
      </c>
      <c r="B1795" t="str">
        <f>"03394061"</f>
        <v>03394061</v>
      </c>
      <c r="C1795" t="s">
        <v>8463</v>
      </c>
      <c r="D1795" t="s">
        <v>8464</v>
      </c>
      <c r="E1795" t="s">
        <v>8465</v>
      </c>
      <c r="G1795" t="s">
        <v>2224</v>
      </c>
      <c r="H1795" t="s">
        <v>2225</v>
      </c>
      <c r="J1795" t="s">
        <v>2226</v>
      </c>
      <c r="L1795" t="s">
        <v>72</v>
      </c>
      <c r="M1795" t="s">
        <v>73</v>
      </c>
      <c r="R1795" t="s">
        <v>8466</v>
      </c>
      <c r="W1795" t="s">
        <v>8465</v>
      </c>
      <c r="X1795" t="s">
        <v>167</v>
      </c>
      <c r="Y1795" t="s">
        <v>91</v>
      </c>
      <c r="Z1795" t="s">
        <v>74</v>
      </c>
      <c r="AA1795" t="str">
        <f>"10032-3720"</f>
        <v>10032-3720</v>
      </c>
      <c r="AB1795" t="s">
        <v>75</v>
      </c>
      <c r="AC1795" t="s">
        <v>76</v>
      </c>
      <c r="AD1795" t="s">
        <v>73</v>
      </c>
      <c r="AE1795" t="s">
        <v>77</v>
      </c>
      <c r="AF1795" t="s">
        <v>2228</v>
      </c>
      <c r="AG1795" t="s">
        <v>78</v>
      </c>
    </row>
    <row r="1796" spans="1:33" hidden="1" x14ac:dyDescent="0.25">
      <c r="A1796" t="str">
        <f>"1639457674"</f>
        <v>1639457674</v>
      </c>
      <c r="B1796" t="str">
        <f>"03392394"</f>
        <v>03392394</v>
      </c>
      <c r="C1796" t="s">
        <v>8467</v>
      </c>
      <c r="D1796" t="s">
        <v>8468</v>
      </c>
      <c r="E1796" t="s">
        <v>8469</v>
      </c>
      <c r="G1796" t="s">
        <v>2224</v>
      </c>
      <c r="H1796" t="s">
        <v>2225</v>
      </c>
      <c r="J1796" t="s">
        <v>2226</v>
      </c>
      <c r="L1796" t="s">
        <v>72</v>
      </c>
      <c r="M1796" t="s">
        <v>73</v>
      </c>
      <c r="R1796" t="s">
        <v>8470</v>
      </c>
      <c r="W1796" t="s">
        <v>8469</v>
      </c>
      <c r="X1796" t="s">
        <v>1707</v>
      </c>
      <c r="Y1796" t="s">
        <v>91</v>
      </c>
      <c r="Z1796" t="s">
        <v>74</v>
      </c>
      <c r="AA1796" t="str">
        <f>"10032-3720"</f>
        <v>10032-3720</v>
      </c>
      <c r="AB1796" t="s">
        <v>75</v>
      </c>
      <c r="AC1796" t="s">
        <v>76</v>
      </c>
      <c r="AD1796" t="s">
        <v>73</v>
      </c>
      <c r="AE1796" t="s">
        <v>77</v>
      </c>
      <c r="AF1796" t="s">
        <v>2254</v>
      </c>
      <c r="AG1796" t="s">
        <v>78</v>
      </c>
    </row>
    <row r="1797" spans="1:33" hidden="1" x14ac:dyDescent="0.25">
      <c r="A1797" t="str">
        <f>"1952559064"</f>
        <v>1952559064</v>
      </c>
      <c r="B1797" t="str">
        <f>"01726118"</f>
        <v>01726118</v>
      </c>
      <c r="C1797" t="s">
        <v>8471</v>
      </c>
      <c r="D1797" t="s">
        <v>458</v>
      </c>
      <c r="E1797" t="s">
        <v>459</v>
      </c>
      <c r="G1797" t="s">
        <v>282</v>
      </c>
      <c r="H1797" t="s">
        <v>248</v>
      </c>
      <c r="I1797">
        <v>2604</v>
      </c>
      <c r="J1797" t="s">
        <v>283</v>
      </c>
      <c r="L1797" t="s">
        <v>81</v>
      </c>
      <c r="M1797" t="s">
        <v>73</v>
      </c>
      <c r="R1797" t="s">
        <v>460</v>
      </c>
      <c r="W1797" t="s">
        <v>459</v>
      </c>
      <c r="X1797" t="s">
        <v>461</v>
      </c>
      <c r="Y1797" t="s">
        <v>84</v>
      </c>
      <c r="Z1797" t="s">
        <v>74</v>
      </c>
      <c r="AA1797" t="str">
        <f>"11219-2918"</f>
        <v>11219-2918</v>
      </c>
      <c r="AB1797" t="s">
        <v>75</v>
      </c>
      <c r="AC1797" t="s">
        <v>76</v>
      </c>
      <c r="AD1797" t="s">
        <v>73</v>
      </c>
      <c r="AE1797" t="s">
        <v>77</v>
      </c>
      <c r="AF1797" t="s">
        <v>2319</v>
      </c>
      <c r="AG1797" t="s">
        <v>78</v>
      </c>
    </row>
    <row r="1798" spans="1:33" hidden="1" x14ac:dyDescent="0.25">
      <c r="A1798" t="str">
        <f>"1881712040"</f>
        <v>1881712040</v>
      </c>
      <c r="B1798" t="str">
        <f>"02987511"</f>
        <v>02987511</v>
      </c>
      <c r="C1798" t="s">
        <v>8472</v>
      </c>
      <c r="D1798" t="s">
        <v>8473</v>
      </c>
      <c r="E1798" t="s">
        <v>8474</v>
      </c>
      <c r="G1798" t="s">
        <v>2224</v>
      </c>
      <c r="H1798" t="s">
        <v>2225</v>
      </c>
      <c r="J1798" t="s">
        <v>2226</v>
      </c>
      <c r="L1798" t="s">
        <v>88</v>
      </c>
      <c r="M1798" t="s">
        <v>73</v>
      </c>
      <c r="R1798" t="s">
        <v>8475</v>
      </c>
      <c r="W1798" t="s">
        <v>8475</v>
      </c>
      <c r="X1798" t="s">
        <v>628</v>
      </c>
      <c r="Y1798" t="s">
        <v>91</v>
      </c>
      <c r="Z1798" t="s">
        <v>74</v>
      </c>
      <c r="AA1798" t="str">
        <f>"10021-4872"</f>
        <v>10021-4872</v>
      </c>
      <c r="AB1798" t="s">
        <v>75</v>
      </c>
      <c r="AC1798" t="s">
        <v>76</v>
      </c>
      <c r="AD1798" t="s">
        <v>73</v>
      </c>
      <c r="AE1798" t="s">
        <v>77</v>
      </c>
      <c r="AF1798" t="s">
        <v>2234</v>
      </c>
      <c r="AG1798" t="s">
        <v>78</v>
      </c>
    </row>
    <row r="1799" spans="1:33" hidden="1" x14ac:dyDescent="0.25">
      <c r="A1799" t="str">
        <f>"1396842852"</f>
        <v>1396842852</v>
      </c>
      <c r="B1799" t="str">
        <f>"02022342"</f>
        <v>02022342</v>
      </c>
      <c r="C1799" t="s">
        <v>8476</v>
      </c>
      <c r="D1799" t="s">
        <v>8477</v>
      </c>
      <c r="E1799" t="s">
        <v>8478</v>
      </c>
      <c r="G1799" t="s">
        <v>2224</v>
      </c>
      <c r="H1799" t="s">
        <v>2225</v>
      </c>
      <c r="J1799" t="s">
        <v>2226</v>
      </c>
      <c r="L1799" t="s">
        <v>88</v>
      </c>
      <c r="M1799" t="s">
        <v>82</v>
      </c>
      <c r="R1799" t="s">
        <v>8479</v>
      </c>
      <c r="W1799" t="s">
        <v>8478</v>
      </c>
      <c r="X1799" t="s">
        <v>410</v>
      </c>
      <c r="Y1799" t="s">
        <v>91</v>
      </c>
      <c r="Z1799" t="s">
        <v>74</v>
      </c>
      <c r="AA1799" t="str">
        <f>"10032-1559"</f>
        <v>10032-1559</v>
      </c>
      <c r="AB1799" t="s">
        <v>75</v>
      </c>
      <c r="AC1799" t="s">
        <v>76</v>
      </c>
      <c r="AD1799" t="s">
        <v>73</v>
      </c>
      <c r="AE1799" t="s">
        <v>77</v>
      </c>
      <c r="AF1799" t="s">
        <v>2254</v>
      </c>
      <c r="AG1799" t="s">
        <v>78</v>
      </c>
    </row>
    <row r="1800" spans="1:33" hidden="1" x14ac:dyDescent="0.25">
      <c r="A1800" t="str">
        <f>"1770768202"</f>
        <v>1770768202</v>
      </c>
      <c r="B1800" t="str">
        <f>"02998429"</f>
        <v>02998429</v>
      </c>
      <c r="C1800" t="s">
        <v>3461</v>
      </c>
      <c r="D1800" t="s">
        <v>3459</v>
      </c>
      <c r="E1800" t="s">
        <v>3460</v>
      </c>
      <c r="G1800" t="s">
        <v>2224</v>
      </c>
      <c r="H1800" t="s">
        <v>2225</v>
      </c>
      <c r="J1800" t="s">
        <v>2226</v>
      </c>
      <c r="L1800" t="s">
        <v>444</v>
      </c>
      <c r="M1800" t="s">
        <v>82</v>
      </c>
      <c r="R1800" t="s">
        <v>3461</v>
      </c>
      <c r="W1800" t="s">
        <v>8480</v>
      </c>
      <c r="X1800" t="s">
        <v>167</v>
      </c>
      <c r="Y1800" t="s">
        <v>91</v>
      </c>
      <c r="Z1800" t="s">
        <v>74</v>
      </c>
      <c r="AA1800" t="str">
        <f>"10032-3720"</f>
        <v>10032-3720</v>
      </c>
      <c r="AB1800" t="s">
        <v>90</v>
      </c>
      <c r="AC1800" t="s">
        <v>76</v>
      </c>
      <c r="AD1800" t="s">
        <v>73</v>
      </c>
      <c r="AE1800" t="s">
        <v>77</v>
      </c>
      <c r="AF1800" t="s">
        <v>2228</v>
      </c>
      <c r="AG1800" t="s">
        <v>78</v>
      </c>
    </row>
    <row r="1801" spans="1:33" hidden="1" x14ac:dyDescent="0.25">
      <c r="C1801" t="s">
        <v>8481</v>
      </c>
      <c r="G1801" t="s">
        <v>5291</v>
      </c>
      <c r="H1801" t="s">
        <v>5292</v>
      </c>
      <c r="I1801">
        <v>528</v>
      </c>
      <c r="J1801" t="s">
        <v>5293</v>
      </c>
      <c r="K1801" t="s">
        <v>93</v>
      </c>
      <c r="L1801" t="s">
        <v>94</v>
      </c>
      <c r="M1801" t="s">
        <v>73</v>
      </c>
      <c r="AC1801" t="s">
        <v>76</v>
      </c>
      <c r="AD1801" t="s">
        <v>73</v>
      </c>
      <c r="AE1801" t="s">
        <v>95</v>
      </c>
      <c r="AG1801" t="s">
        <v>78</v>
      </c>
    </row>
    <row r="1802" spans="1:33" hidden="1" x14ac:dyDescent="0.25">
      <c r="A1802" t="str">
        <f>"1578660932"</f>
        <v>1578660932</v>
      </c>
      <c r="B1802" t="str">
        <f>"01984078"</f>
        <v>01984078</v>
      </c>
      <c r="C1802" t="s">
        <v>8482</v>
      </c>
      <c r="D1802" t="s">
        <v>8483</v>
      </c>
      <c r="E1802" t="s">
        <v>8484</v>
      </c>
      <c r="G1802" t="s">
        <v>2224</v>
      </c>
      <c r="H1802" t="s">
        <v>2225</v>
      </c>
      <c r="J1802" t="s">
        <v>2226</v>
      </c>
      <c r="L1802" t="s">
        <v>72</v>
      </c>
      <c r="M1802" t="s">
        <v>73</v>
      </c>
      <c r="R1802" t="s">
        <v>8485</v>
      </c>
      <c r="W1802" t="s">
        <v>8484</v>
      </c>
      <c r="X1802" t="s">
        <v>487</v>
      </c>
      <c r="Y1802" t="s">
        <v>91</v>
      </c>
      <c r="Z1802" t="s">
        <v>74</v>
      </c>
      <c r="AA1802" t="str">
        <f>"10021-0000"</f>
        <v>10021-0000</v>
      </c>
      <c r="AB1802" t="s">
        <v>79</v>
      </c>
      <c r="AC1802" t="s">
        <v>76</v>
      </c>
      <c r="AD1802" t="s">
        <v>73</v>
      </c>
      <c r="AE1802" t="s">
        <v>77</v>
      </c>
      <c r="AF1802" t="s">
        <v>2242</v>
      </c>
      <c r="AG1802" t="s">
        <v>78</v>
      </c>
    </row>
    <row r="1803" spans="1:33" hidden="1" x14ac:dyDescent="0.25">
      <c r="A1803" t="str">
        <f>"1184648560"</f>
        <v>1184648560</v>
      </c>
      <c r="B1803" t="str">
        <f>"01226544"</f>
        <v>01226544</v>
      </c>
      <c r="C1803" t="s">
        <v>8486</v>
      </c>
      <c r="D1803" t="s">
        <v>1845</v>
      </c>
      <c r="E1803" t="s">
        <v>1560</v>
      </c>
      <c r="G1803" t="s">
        <v>4137</v>
      </c>
      <c r="H1803" t="s">
        <v>1498</v>
      </c>
      <c r="J1803" t="s">
        <v>1499</v>
      </c>
      <c r="L1803" t="s">
        <v>36</v>
      </c>
      <c r="M1803" t="s">
        <v>82</v>
      </c>
      <c r="R1803" t="s">
        <v>1560</v>
      </c>
      <c r="W1803" t="s">
        <v>1846</v>
      </c>
      <c r="X1803" t="s">
        <v>1847</v>
      </c>
      <c r="Y1803" t="s">
        <v>91</v>
      </c>
      <c r="Z1803" t="s">
        <v>74</v>
      </c>
      <c r="AA1803" t="str">
        <f>"10014-2653"</f>
        <v>10014-2653</v>
      </c>
      <c r="AB1803" t="s">
        <v>92</v>
      </c>
      <c r="AC1803" t="s">
        <v>76</v>
      </c>
      <c r="AD1803" t="s">
        <v>73</v>
      </c>
      <c r="AE1803" t="s">
        <v>77</v>
      </c>
      <c r="AG1803" t="s">
        <v>78</v>
      </c>
    </row>
    <row r="1804" spans="1:33" hidden="1" x14ac:dyDescent="0.25">
      <c r="A1804" t="str">
        <f>"1457424863"</f>
        <v>1457424863</v>
      </c>
      <c r="B1804" t="str">
        <f>"02743557"</f>
        <v>02743557</v>
      </c>
      <c r="C1804" t="s">
        <v>1841</v>
      </c>
      <c r="D1804" t="s">
        <v>1842</v>
      </c>
      <c r="E1804" t="s">
        <v>1843</v>
      </c>
      <c r="G1804" t="s">
        <v>4137</v>
      </c>
      <c r="H1804" t="s">
        <v>1498</v>
      </c>
      <c r="J1804" t="s">
        <v>1499</v>
      </c>
      <c r="L1804" t="s">
        <v>108</v>
      </c>
      <c r="M1804" t="s">
        <v>82</v>
      </c>
      <c r="R1804" t="s">
        <v>1844</v>
      </c>
      <c r="W1804" t="s">
        <v>1843</v>
      </c>
      <c r="AB1804" t="s">
        <v>110</v>
      </c>
      <c r="AC1804" t="s">
        <v>76</v>
      </c>
      <c r="AD1804" t="s">
        <v>73</v>
      </c>
      <c r="AE1804" t="s">
        <v>77</v>
      </c>
      <c r="AG1804" t="s">
        <v>78</v>
      </c>
    </row>
    <row r="1805" spans="1:33" hidden="1" x14ac:dyDescent="0.25">
      <c r="A1805" t="str">
        <f>"1396817003"</f>
        <v>1396817003</v>
      </c>
      <c r="B1805" t="str">
        <f>"00243985"</f>
        <v>00243985</v>
      </c>
      <c r="C1805" t="s">
        <v>8487</v>
      </c>
      <c r="D1805" t="s">
        <v>1864</v>
      </c>
      <c r="E1805" t="s">
        <v>1865</v>
      </c>
      <c r="G1805" t="s">
        <v>8488</v>
      </c>
      <c r="H1805" t="s">
        <v>1525</v>
      </c>
      <c r="J1805" t="s">
        <v>1526</v>
      </c>
      <c r="L1805" t="s">
        <v>99</v>
      </c>
      <c r="M1805" t="s">
        <v>82</v>
      </c>
      <c r="R1805" t="s">
        <v>1866</v>
      </c>
      <c r="W1805" t="s">
        <v>1865</v>
      </c>
      <c r="X1805" t="s">
        <v>1867</v>
      </c>
      <c r="Y1805" t="s">
        <v>91</v>
      </c>
      <c r="Z1805" t="s">
        <v>74</v>
      </c>
      <c r="AA1805" t="str">
        <f>"10029-3197"</f>
        <v>10029-3197</v>
      </c>
      <c r="AB1805" t="s">
        <v>110</v>
      </c>
      <c r="AC1805" t="s">
        <v>76</v>
      </c>
      <c r="AD1805" t="s">
        <v>73</v>
      </c>
      <c r="AE1805" t="s">
        <v>77</v>
      </c>
      <c r="AG1805" t="s">
        <v>78</v>
      </c>
    </row>
    <row r="1806" spans="1:33" hidden="1" x14ac:dyDescent="0.25">
      <c r="A1806" t="str">
        <f>"1760465579"</f>
        <v>1760465579</v>
      </c>
      <c r="B1806" t="str">
        <f>"02614051"</f>
        <v>02614051</v>
      </c>
      <c r="C1806" t="s">
        <v>8489</v>
      </c>
      <c r="D1806" t="s">
        <v>8490</v>
      </c>
      <c r="E1806" t="s">
        <v>8491</v>
      </c>
      <c r="G1806" t="s">
        <v>2224</v>
      </c>
      <c r="H1806" t="s">
        <v>2225</v>
      </c>
      <c r="J1806" t="s">
        <v>2226</v>
      </c>
      <c r="L1806" t="s">
        <v>72</v>
      </c>
      <c r="M1806" t="s">
        <v>73</v>
      </c>
      <c r="R1806" t="s">
        <v>8491</v>
      </c>
      <c r="W1806" t="s">
        <v>8492</v>
      </c>
      <c r="X1806" t="s">
        <v>8493</v>
      </c>
      <c r="Y1806" t="s">
        <v>1151</v>
      </c>
      <c r="Z1806" t="s">
        <v>139</v>
      </c>
      <c r="AA1806" t="str">
        <f>"07666-3521"</f>
        <v>07666-3521</v>
      </c>
      <c r="AB1806" t="s">
        <v>75</v>
      </c>
      <c r="AC1806" t="s">
        <v>76</v>
      </c>
      <c r="AD1806" t="s">
        <v>73</v>
      </c>
      <c r="AE1806" t="s">
        <v>77</v>
      </c>
      <c r="AF1806" t="s">
        <v>2228</v>
      </c>
      <c r="AG1806" t="s">
        <v>78</v>
      </c>
    </row>
    <row r="1807" spans="1:33" hidden="1" x14ac:dyDescent="0.25">
      <c r="A1807" t="str">
        <f>"1760564512"</f>
        <v>1760564512</v>
      </c>
      <c r="B1807" t="str">
        <f>"02813596"</f>
        <v>02813596</v>
      </c>
      <c r="C1807" t="s">
        <v>8494</v>
      </c>
      <c r="D1807" t="s">
        <v>8495</v>
      </c>
      <c r="E1807" t="s">
        <v>8496</v>
      </c>
      <c r="G1807" t="s">
        <v>2224</v>
      </c>
      <c r="H1807" t="s">
        <v>2225</v>
      </c>
      <c r="J1807" t="s">
        <v>2226</v>
      </c>
      <c r="L1807" t="s">
        <v>88</v>
      </c>
      <c r="M1807" t="s">
        <v>82</v>
      </c>
      <c r="R1807" t="s">
        <v>8497</v>
      </c>
      <c r="W1807" t="s">
        <v>8496</v>
      </c>
      <c r="X1807" t="s">
        <v>167</v>
      </c>
      <c r="Y1807" t="s">
        <v>91</v>
      </c>
      <c r="Z1807" t="s">
        <v>74</v>
      </c>
      <c r="AA1807" t="str">
        <f>"10032-3720"</f>
        <v>10032-3720</v>
      </c>
      <c r="AB1807" t="s">
        <v>75</v>
      </c>
      <c r="AC1807" t="s">
        <v>76</v>
      </c>
      <c r="AD1807" t="s">
        <v>73</v>
      </c>
      <c r="AE1807" t="s">
        <v>77</v>
      </c>
      <c r="AF1807" t="s">
        <v>2254</v>
      </c>
      <c r="AG1807" t="s">
        <v>78</v>
      </c>
    </row>
    <row r="1808" spans="1:33" hidden="1" x14ac:dyDescent="0.25">
      <c r="A1808" t="str">
        <f>"1205126836"</f>
        <v>1205126836</v>
      </c>
      <c r="C1808" t="s">
        <v>8498</v>
      </c>
      <c r="G1808" t="s">
        <v>2224</v>
      </c>
      <c r="H1808" t="s">
        <v>2312</v>
      </c>
      <c r="J1808" t="s">
        <v>2226</v>
      </c>
      <c r="K1808" t="s">
        <v>171</v>
      </c>
      <c r="L1808" t="s">
        <v>96</v>
      </c>
      <c r="M1808" t="s">
        <v>73</v>
      </c>
      <c r="R1808" t="s">
        <v>8499</v>
      </c>
      <c r="S1808" t="s">
        <v>354</v>
      </c>
      <c r="T1808" t="s">
        <v>91</v>
      </c>
      <c r="U1808" t="s">
        <v>74</v>
      </c>
      <c r="V1808" t="str">
        <f>"100323725"</f>
        <v>100323725</v>
      </c>
      <c r="AC1808" t="s">
        <v>76</v>
      </c>
      <c r="AD1808" t="s">
        <v>73</v>
      </c>
      <c r="AE1808" t="s">
        <v>97</v>
      </c>
      <c r="AF1808" t="s">
        <v>2234</v>
      </c>
      <c r="AG1808" t="s">
        <v>78</v>
      </c>
    </row>
    <row r="1809" spans="1:33" hidden="1" x14ac:dyDescent="0.25">
      <c r="A1809" t="str">
        <f>"1174966899"</f>
        <v>1174966899</v>
      </c>
      <c r="B1809" t="str">
        <f>"04347779"</f>
        <v>04347779</v>
      </c>
      <c r="C1809" t="s">
        <v>8500</v>
      </c>
      <c r="D1809" t="s">
        <v>8501</v>
      </c>
      <c r="E1809" t="s">
        <v>8502</v>
      </c>
      <c r="G1809" t="s">
        <v>2224</v>
      </c>
      <c r="H1809" t="s">
        <v>2312</v>
      </c>
      <c r="J1809" t="s">
        <v>2226</v>
      </c>
      <c r="L1809" t="s">
        <v>96</v>
      </c>
      <c r="M1809" t="s">
        <v>73</v>
      </c>
      <c r="R1809" t="s">
        <v>8502</v>
      </c>
      <c r="W1809" t="s">
        <v>8502</v>
      </c>
      <c r="X1809" t="s">
        <v>167</v>
      </c>
      <c r="Y1809" t="s">
        <v>91</v>
      </c>
      <c r="Z1809" t="s">
        <v>74</v>
      </c>
      <c r="AA1809" t="str">
        <f>"10032-3720"</f>
        <v>10032-3720</v>
      </c>
      <c r="AB1809" t="s">
        <v>79</v>
      </c>
      <c r="AC1809" t="s">
        <v>76</v>
      </c>
      <c r="AD1809" t="s">
        <v>73</v>
      </c>
      <c r="AE1809" t="s">
        <v>77</v>
      </c>
      <c r="AF1809" t="s">
        <v>2228</v>
      </c>
      <c r="AG1809" t="s">
        <v>78</v>
      </c>
    </row>
    <row r="1810" spans="1:33" hidden="1" x14ac:dyDescent="0.25">
      <c r="A1810" t="str">
        <f>"1043653314"</f>
        <v>1043653314</v>
      </c>
      <c r="C1810" t="s">
        <v>8503</v>
      </c>
      <c r="G1810" t="s">
        <v>2224</v>
      </c>
      <c r="H1810" t="s">
        <v>2312</v>
      </c>
      <c r="J1810" t="s">
        <v>2226</v>
      </c>
      <c r="K1810" t="s">
        <v>171</v>
      </c>
      <c r="L1810" t="s">
        <v>96</v>
      </c>
      <c r="M1810" t="s">
        <v>73</v>
      </c>
      <c r="R1810" t="s">
        <v>8504</v>
      </c>
      <c r="S1810" t="s">
        <v>8505</v>
      </c>
      <c r="T1810" t="s">
        <v>91</v>
      </c>
      <c r="U1810" t="s">
        <v>74</v>
      </c>
      <c r="V1810" t="str">
        <f>"100654870"</f>
        <v>100654870</v>
      </c>
      <c r="AC1810" t="s">
        <v>76</v>
      </c>
      <c r="AD1810" t="s">
        <v>73</v>
      </c>
      <c r="AE1810" t="s">
        <v>97</v>
      </c>
      <c r="AF1810" t="s">
        <v>2228</v>
      </c>
      <c r="AG1810" t="s">
        <v>78</v>
      </c>
    </row>
    <row r="1811" spans="1:33" hidden="1" x14ac:dyDescent="0.25">
      <c r="A1811" t="str">
        <f>"1114158383"</f>
        <v>1114158383</v>
      </c>
      <c r="B1811" t="str">
        <f>"03653032"</f>
        <v>03653032</v>
      </c>
      <c r="C1811" t="s">
        <v>8506</v>
      </c>
      <c r="D1811" t="s">
        <v>8507</v>
      </c>
      <c r="E1811" t="s">
        <v>8508</v>
      </c>
      <c r="G1811" t="s">
        <v>2224</v>
      </c>
      <c r="H1811" t="s">
        <v>3105</v>
      </c>
      <c r="J1811" t="s">
        <v>2226</v>
      </c>
      <c r="L1811" t="s">
        <v>80</v>
      </c>
      <c r="M1811" t="s">
        <v>73</v>
      </c>
      <c r="R1811" t="s">
        <v>8509</v>
      </c>
      <c r="W1811" t="s">
        <v>8508</v>
      </c>
      <c r="X1811" t="s">
        <v>236</v>
      </c>
      <c r="Y1811" t="s">
        <v>91</v>
      </c>
      <c r="Z1811" t="s">
        <v>74</v>
      </c>
      <c r="AA1811" t="str">
        <f>"10034-1159"</f>
        <v>10034-1159</v>
      </c>
      <c r="AB1811" t="s">
        <v>75</v>
      </c>
      <c r="AC1811" t="s">
        <v>76</v>
      </c>
      <c r="AD1811" t="s">
        <v>73</v>
      </c>
      <c r="AE1811" t="s">
        <v>77</v>
      </c>
      <c r="AF1811" t="s">
        <v>2228</v>
      </c>
      <c r="AG1811" t="s">
        <v>78</v>
      </c>
    </row>
    <row r="1812" spans="1:33" hidden="1" x14ac:dyDescent="0.25">
      <c r="A1812" t="str">
        <f>"1033317664"</f>
        <v>1033317664</v>
      </c>
      <c r="B1812" t="str">
        <f>"03419761"</f>
        <v>03419761</v>
      </c>
      <c r="C1812" t="s">
        <v>8510</v>
      </c>
      <c r="D1812" t="s">
        <v>8511</v>
      </c>
      <c r="E1812" t="s">
        <v>8512</v>
      </c>
      <c r="G1812" t="s">
        <v>2224</v>
      </c>
      <c r="H1812" t="s">
        <v>3109</v>
      </c>
      <c r="J1812" t="s">
        <v>2226</v>
      </c>
      <c r="L1812" t="s">
        <v>80</v>
      </c>
      <c r="M1812" t="s">
        <v>73</v>
      </c>
      <c r="R1812" t="s">
        <v>8513</v>
      </c>
      <c r="W1812" t="s">
        <v>8512</v>
      </c>
      <c r="X1812" t="s">
        <v>170</v>
      </c>
      <c r="Y1812" t="s">
        <v>91</v>
      </c>
      <c r="Z1812" t="s">
        <v>74</v>
      </c>
      <c r="AA1812" t="str">
        <f>"10065-4870"</f>
        <v>10065-4870</v>
      </c>
      <c r="AB1812" t="s">
        <v>75</v>
      </c>
      <c r="AC1812" t="s">
        <v>76</v>
      </c>
      <c r="AD1812" t="s">
        <v>73</v>
      </c>
      <c r="AE1812" t="s">
        <v>77</v>
      </c>
      <c r="AF1812" t="s">
        <v>2242</v>
      </c>
      <c r="AG1812" t="s">
        <v>78</v>
      </c>
    </row>
    <row r="1813" spans="1:33" hidden="1" x14ac:dyDescent="0.25">
      <c r="A1813" t="str">
        <f>"1386772143"</f>
        <v>1386772143</v>
      </c>
      <c r="B1813" t="str">
        <f>"03709473"</f>
        <v>03709473</v>
      </c>
      <c r="C1813" t="s">
        <v>8514</v>
      </c>
      <c r="D1813" t="s">
        <v>2125</v>
      </c>
      <c r="E1813" t="s">
        <v>2126</v>
      </c>
      <c r="G1813" t="s">
        <v>2514</v>
      </c>
      <c r="H1813" t="s">
        <v>8515</v>
      </c>
      <c r="J1813" t="s">
        <v>2516</v>
      </c>
      <c r="L1813" t="s">
        <v>72</v>
      </c>
      <c r="M1813" t="s">
        <v>73</v>
      </c>
      <c r="R1813" t="s">
        <v>2124</v>
      </c>
      <c r="W1813" t="s">
        <v>2126</v>
      </c>
      <c r="X1813" t="s">
        <v>1929</v>
      </c>
      <c r="Y1813" t="s">
        <v>91</v>
      </c>
      <c r="Z1813" t="s">
        <v>74</v>
      </c>
      <c r="AA1813" t="str">
        <f>"10032-4207"</f>
        <v>10032-4207</v>
      </c>
      <c r="AB1813" t="s">
        <v>75</v>
      </c>
      <c r="AC1813" t="s">
        <v>76</v>
      </c>
      <c r="AD1813" t="s">
        <v>73</v>
      </c>
      <c r="AE1813" t="s">
        <v>77</v>
      </c>
      <c r="AF1813" t="s">
        <v>2518</v>
      </c>
      <c r="AG1813" t="s">
        <v>78</v>
      </c>
    </row>
    <row r="1814" spans="1:33" hidden="1" x14ac:dyDescent="0.25">
      <c r="A1814" t="str">
        <f>"1295152163"</f>
        <v>1295152163</v>
      </c>
      <c r="C1814" t="s">
        <v>8516</v>
      </c>
      <c r="G1814" t="s">
        <v>2224</v>
      </c>
      <c r="H1814" t="s">
        <v>2312</v>
      </c>
      <c r="J1814" t="s">
        <v>2226</v>
      </c>
      <c r="K1814" t="s">
        <v>171</v>
      </c>
      <c r="L1814" t="s">
        <v>96</v>
      </c>
      <c r="M1814" t="s">
        <v>73</v>
      </c>
      <c r="R1814" t="s">
        <v>8517</v>
      </c>
      <c r="S1814" t="s">
        <v>167</v>
      </c>
      <c r="T1814" t="s">
        <v>91</v>
      </c>
      <c r="U1814" t="s">
        <v>74</v>
      </c>
      <c r="V1814" t="str">
        <f>"100323720"</f>
        <v>100323720</v>
      </c>
      <c r="AC1814" t="s">
        <v>76</v>
      </c>
      <c r="AD1814" t="s">
        <v>73</v>
      </c>
      <c r="AE1814" t="s">
        <v>97</v>
      </c>
      <c r="AF1814" t="s">
        <v>2228</v>
      </c>
      <c r="AG1814" t="s">
        <v>78</v>
      </c>
    </row>
    <row r="1815" spans="1:33" hidden="1" x14ac:dyDescent="0.25">
      <c r="A1815" t="str">
        <f>"1972517613"</f>
        <v>1972517613</v>
      </c>
      <c r="B1815" t="str">
        <f>"00488826"</f>
        <v>00488826</v>
      </c>
      <c r="C1815" t="s">
        <v>8518</v>
      </c>
      <c r="D1815" t="s">
        <v>8519</v>
      </c>
      <c r="E1815" t="s">
        <v>8520</v>
      </c>
      <c r="L1815" t="s">
        <v>80</v>
      </c>
      <c r="M1815" t="s">
        <v>73</v>
      </c>
      <c r="R1815" t="s">
        <v>8521</v>
      </c>
      <c r="W1815" t="s">
        <v>8520</v>
      </c>
      <c r="Y1815" t="s">
        <v>91</v>
      </c>
      <c r="Z1815" t="s">
        <v>74</v>
      </c>
      <c r="AA1815" t="str">
        <f>"10065-4885"</f>
        <v>10065-4885</v>
      </c>
      <c r="AB1815" t="s">
        <v>75</v>
      </c>
      <c r="AC1815" t="s">
        <v>76</v>
      </c>
      <c r="AD1815" t="s">
        <v>73</v>
      </c>
      <c r="AE1815" t="s">
        <v>77</v>
      </c>
      <c r="AG1815" t="s">
        <v>78</v>
      </c>
    </row>
    <row r="1816" spans="1:33" hidden="1" x14ac:dyDescent="0.25">
      <c r="A1816" t="str">
        <f>"1205931250"</f>
        <v>1205931250</v>
      </c>
      <c r="B1816" t="str">
        <f>"02933571"</f>
        <v>02933571</v>
      </c>
      <c r="C1816" t="s">
        <v>8522</v>
      </c>
      <c r="D1816" t="s">
        <v>8523</v>
      </c>
      <c r="E1816" t="s">
        <v>8524</v>
      </c>
      <c r="L1816" t="s">
        <v>80</v>
      </c>
      <c r="M1816" t="s">
        <v>73</v>
      </c>
      <c r="R1816" t="s">
        <v>8525</v>
      </c>
      <c r="W1816" t="s">
        <v>8524</v>
      </c>
      <c r="X1816" t="s">
        <v>170</v>
      </c>
      <c r="Y1816" t="s">
        <v>91</v>
      </c>
      <c r="Z1816" t="s">
        <v>74</v>
      </c>
      <c r="AA1816" t="str">
        <f>"10065-4870"</f>
        <v>10065-4870</v>
      </c>
      <c r="AB1816" t="s">
        <v>75</v>
      </c>
      <c r="AC1816" t="s">
        <v>76</v>
      </c>
      <c r="AD1816" t="s">
        <v>73</v>
      </c>
      <c r="AE1816" t="s">
        <v>77</v>
      </c>
      <c r="AF1816" t="s">
        <v>2242</v>
      </c>
      <c r="AG1816" t="s">
        <v>78</v>
      </c>
    </row>
    <row r="1817" spans="1:33" hidden="1" x14ac:dyDescent="0.25">
      <c r="A1817" t="str">
        <f>"1336137116"</f>
        <v>1336137116</v>
      </c>
      <c r="B1817" t="str">
        <f>"03321735"</f>
        <v>03321735</v>
      </c>
      <c r="C1817" t="s">
        <v>8526</v>
      </c>
      <c r="D1817" t="s">
        <v>8527</v>
      </c>
      <c r="E1817" t="s">
        <v>8528</v>
      </c>
      <c r="L1817" t="s">
        <v>80</v>
      </c>
      <c r="M1817" t="s">
        <v>73</v>
      </c>
      <c r="R1817" t="s">
        <v>8528</v>
      </c>
      <c r="W1817" t="s">
        <v>8528</v>
      </c>
      <c r="X1817" t="s">
        <v>1695</v>
      </c>
      <c r="Y1817" t="s">
        <v>91</v>
      </c>
      <c r="Z1817" t="s">
        <v>74</v>
      </c>
      <c r="AA1817" t="str">
        <f>"10032"</f>
        <v>10032</v>
      </c>
      <c r="AB1817" t="s">
        <v>75</v>
      </c>
      <c r="AC1817" t="s">
        <v>76</v>
      </c>
      <c r="AD1817" t="s">
        <v>73</v>
      </c>
      <c r="AE1817" t="s">
        <v>77</v>
      </c>
      <c r="AF1817" t="s">
        <v>2228</v>
      </c>
      <c r="AG1817" t="s">
        <v>78</v>
      </c>
    </row>
    <row r="1818" spans="1:33" hidden="1" x14ac:dyDescent="0.25">
      <c r="A1818" t="str">
        <f>"1669715371"</f>
        <v>1669715371</v>
      </c>
      <c r="C1818" t="s">
        <v>8529</v>
      </c>
      <c r="G1818" t="s">
        <v>2224</v>
      </c>
      <c r="H1818" t="s">
        <v>2312</v>
      </c>
      <c r="J1818" t="s">
        <v>2226</v>
      </c>
      <c r="K1818" t="s">
        <v>171</v>
      </c>
      <c r="L1818" t="s">
        <v>96</v>
      </c>
      <c r="M1818" t="s">
        <v>73</v>
      </c>
      <c r="R1818" t="s">
        <v>8530</v>
      </c>
      <c r="S1818" t="s">
        <v>8531</v>
      </c>
      <c r="T1818" t="s">
        <v>91</v>
      </c>
      <c r="U1818" t="s">
        <v>74</v>
      </c>
      <c r="V1818" t="str">
        <f>"10032"</f>
        <v>10032</v>
      </c>
      <c r="AC1818" t="s">
        <v>76</v>
      </c>
      <c r="AD1818" t="s">
        <v>73</v>
      </c>
      <c r="AE1818" t="s">
        <v>97</v>
      </c>
      <c r="AF1818" t="s">
        <v>2228</v>
      </c>
      <c r="AG1818" t="s">
        <v>78</v>
      </c>
    </row>
    <row r="1819" spans="1:33" hidden="1" x14ac:dyDescent="0.25">
      <c r="A1819" t="str">
        <f>"1366496572"</f>
        <v>1366496572</v>
      </c>
      <c r="B1819" t="str">
        <f>"00850651"</f>
        <v>00850651</v>
      </c>
      <c r="C1819" t="s">
        <v>8532</v>
      </c>
      <c r="D1819" t="s">
        <v>8533</v>
      </c>
      <c r="E1819" t="s">
        <v>8534</v>
      </c>
      <c r="G1819" t="s">
        <v>2224</v>
      </c>
      <c r="H1819" t="s">
        <v>8535</v>
      </c>
      <c r="J1819" t="s">
        <v>2226</v>
      </c>
      <c r="L1819" t="s">
        <v>72</v>
      </c>
      <c r="M1819" t="s">
        <v>73</v>
      </c>
      <c r="R1819" t="s">
        <v>8534</v>
      </c>
      <c r="W1819" t="s">
        <v>8534</v>
      </c>
      <c r="X1819" t="s">
        <v>410</v>
      </c>
      <c r="Y1819" t="s">
        <v>91</v>
      </c>
      <c r="Z1819" t="s">
        <v>74</v>
      </c>
      <c r="AA1819" t="str">
        <f>"10032-1559"</f>
        <v>10032-1559</v>
      </c>
      <c r="AB1819" t="s">
        <v>75</v>
      </c>
      <c r="AC1819" t="s">
        <v>76</v>
      </c>
      <c r="AD1819" t="s">
        <v>73</v>
      </c>
      <c r="AE1819" t="s">
        <v>77</v>
      </c>
      <c r="AF1819" t="s">
        <v>2228</v>
      </c>
      <c r="AG1819" t="s">
        <v>78</v>
      </c>
    </row>
    <row r="1820" spans="1:33" hidden="1" x14ac:dyDescent="0.25">
      <c r="A1820" t="str">
        <f>"1427211341"</f>
        <v>1427211341</v>
      </c>
      <c r="B1820" t="str">
        <f>"03318554"</f>
        <v>03318554</v>
      </c>
      <c r="C1820" t="s">
        <v>8536</v>
      </c>
      <c r="D1820" t="s">
        <v>8537</v>
      </c>
      <c r="E1820" t="s">
        <v>8538</v>
      </c>
      <c r="G1820" t="s">
        <v>2224</v>
      </c>
      <c r="H1820" t="s">
        <v>8539</v>
      </c>
      <c r="J1820" t="s">
        <v>2226</v>
      </c>
      <c r="L1820" t="s">
        <v>80</v>
      </c>
      <c r="M1820" t="s">
        <v>73</v>
      </c>
      <c r="R1820" t="s">
        <v>8540</v>
      </c>
      <c r="W1820" t="s">
        <v>8541</v>
      </c>
      <c r="X1820" t="s">
        <v>5205</v>
      </c>
      <c r="Y1820" t="s">
        <v>91</v>
      </c>
      <c r="Z1820" t="s">
        <v>74</v>
      </c>
      <c r="AA1820" t="str">
        <f>"10021-5663"</f>
        <v>10021-5663</v>
      </c>
      <c r="AB1820" t="s">
        <v>75</v>
      </c>
      <c r="AC1820" t="s">
        <v>76</v>
      </c>
      <c r="AD1820" t="s">
        <v>73</v>
      </c>
      <c r="AE1820" t="s">
        <v>77</v>
      </c>
      <c r="AF1820" t="s">
        <v>2242</v>
      </c>
      <c r="AG1820" t="s">
        <v>78</v>
      </c>
    </row>
    <row r="1821" spans="1:33" hidden="1" x14ac:dyDescent="0.25">
      <c r="A1821" t="str">
        <f>"1003188293"</f>
        <v>1003188293</v>
      </c>
      <c r="B1821" t="str">
        <f>"03664468"</f>
        <v>03664468</v>
      </c>
      <c r="C1821" t="s">
        <v>8542</v>
      </c>
      <c r="D1821" t="s">
        <v>8543</v>
      </c>
      <c r="E1821" t="s">
        <v>8544</v>
      </c>
      <c r="G1821" t="s">
        <v>2224</v>
      </c>
      <c r="H1821" t="s">
        <v>8545</v>
      </c>
      <c r="J1821" t="s">
        <v>2226</v>
      </c>
      <c r="L1821" t="s">
        <v>72</v>
      </c>
      <c r="M1821" t="s">
        <v>73</v>
      </c>
      <c r="R1821" t="s">
        <v>8546</v>
      </c>
      <c r="W1821" t="s">
        <v>8544</v>
      </c>
      <c r="X1821" t="s">
        <v>8547</v>
      </c>
      <c r="Y1821" t="s">
        <v>91</v>
      </c>
      <c r="Z1821" t="s">
        <v>74</v>
      </c>
      <c r="AA1821" t="str">
        <f>"10021-5663"</f>
        <v>10021-5663</v>
      </c>
      <c r="AB1821" t="s">
        <v>75</v>
      </c>
      <c r="AC1821" t="s">
        <v>76</v>
      </c>
      <c r="AD1821" t="s">
        <v>73</v>
      </c>
      <c r="AE1821" t="s">
        <v>77</v>
      </c>
      <c r="AF1821" t="s">
        <v>2242</v>
      </c>
      <c r="AG1821" t="s">
        <v>78</v>
      </c>
    </row>
    <row r="1822" spans="1:33" hidden="1" x14ac:dyDescent="0.25">
      <c r="A1822" t="str">
        <f>"1821202169"</f>
        <v>1821202169</v>
      </c>
      <c r="B1822" t="str">
        <f>"02906816"</f>
        <v>02906816</v>
      </c>
      <c r="C1822" t="s">
        <v>8548</v>
      </c>
      <c r="D1822" t="s">
        <v>8549</v>
      </c>
      <c r="E1822" t="s">
        <v>8550</v>
      </c>
      <c r="L1822" t="s">
        <v>80</v>
      </c>
      <c r="M1822" t="s">
        <v>73</v>
      </c>
      <c r="R1822" t="s">
        <v>8551</v>
      </c>
      <c r="W1822" t="s">
        <v>8550</v>
      </c>
      <c r="X1822" t="s">
        <v>167</v>
      </c>
      <c r="Y1822" t="s">
        <v>91</v>
      </c>
      <c r="Z1822" t="s">
        <v>74</v>
      </c>
      <c r="AA1822" t="str">
        <f>"10032-3720"</f>
        <v>10032-3720</v>
      </c>
      <c r="AB1822" t="s">
        <v>75</v>
      </c>
      <c r="AC1822" t="s">
        <v>76</v>
      </c>
      <c r="AD1822" t="s">
        <v>73</v>
      </c>
      <c r="AE1822" t="s">
        <v>77</v>
      </c>
      <c r="AF1822" t="s">
        <v>2228</v>
      </c>
      <c r="AG1822" t="s">
        <v>78</v>
      </c>
    </row>
    <row r="1823" spans="1:33" hidden="1" x14ac:dyDescent="0.25">
      <c r="A1823" t="str">
        <f>"1053463869"</f>
        <v>1053463869</v>
      </c>
      <c r="B1823" t="str">
        <f>"02101366"</f>
        <v>02101366</v>
      </c>
      <c r="C1823" t="s">
        <v>8552</v>
      </c>
      <c r="D1823" t="s">
        <v>8553</v>
      </c>
      <c r="E1823" t="s">
        <v>8554</v>
      </c>
      <c r="L1823" t="s">
        <v>72</v>
      </c>
      <c r="M1823" t="s">
        <v>73</v>
      </c>
      <c r="R1823" t="s">
        <v>8555</v>
      </c>
      <c r="W1823" t="s">
        <v>8554</v>
      </c>
      <c r="X1823" t="s">
        <v>3120</v>
      </c>
      <c r="Y1823" t="s">
        <v>91</v>
      </c>
      <c r="Z1823" t="s">
        <v>74</v>
      </c>
      <c r="AA1823" t="str">
        <f>"10032-3720"</f>
        <v>10032-3720</v>
      </c>
      <c r="AB1823" t="s">
        <v>75</v>
      </c>
      <c r="AC1823" t="s">
        <v>76</v>
      </c>
      <c r="AD1823" t="s">
        <v>73</v>
      </c>
      <c r="AE1823" t="s">
        <v>77</v>
      </c>
      <c r="AF1823" t="s">
        <v>2228</v>
      </c>
      <c r="AG1823" t="s">
        <v>78</v>
      </c>
    </row>
    <row r="1824" spans="1:33" hidden="1" x14ac:dyDescent="0.25">
      <c r="A1824" t="str">
        <f>"1699933580"</f>
        <v>1699933580</v>
      </c>
      <c r="B1824" t="str">
        <f>"03154390"</f>
        <v>03154390</v>
      </c>
      <c r="C1824" t="s">
        <v>8556</v>
      </c>
      <c r="D1824" t="s">
        <v>8557</v>
      </c>
      <c r="E1824" t="s">
        <v>8558</v>
      </c>
      <c r="L1824" t="s">
        <v>72</v>
      </c>
      <c r="M1824" t="s">
        <v>73</v>
      </c>
      <c r="R1824" t="s">
        <v>8559</v>
      </c>
      <c r="W1824" t="s">
        <v>8558</v>
      </c>
      <c r="X1824" t="s">
        <v>167</v>
      </c>
      <c r="Y1824" t="s">
        <v>91</v>
      </c>
      <c r="Z1824" t="s">
        <v>74</v>
      </c>
      <c r="AA1824" t="str">
        <f>"10032-3720"</f>
        <v>10032-3720</v>
      </c>
      <c r="AB1824" t="s">
        <v>75</v>
      </c>
      <c r="AC1824" t="s">
        <v>76</v>
      </c>
      <c r="AD1824" t="s">
        <v>73</v>
      </c>
      <c r="AE1824" t="s">
        <v>77</v>
      </c>
      <c r="AF1824" t="s">
        <v>2228</v>
      </c>
      <c r="AG1824" t="s">
        <v>78</v>
      </c>
    </row>
    <row r="1825" spans="1:33" hidden="1" x14ac:dyDescent="0.25">
      <c r="A1825" t="str">
        <f>"1396948915"</f>
        <v>1396948915</v>
      </c>
      <c r="B1825" t="str">
        <f>"03623654"</f>
        <v>03623654</v>
      </c>
      <c r="C1825" t="s">
        <v>8560</v>
      </c>
      <c r="D1825" t="s">
        <v>8561</v>
      </c>
      <c r="E1825" t="s">
        <v>8562</v>
      </c>
      <c r="L1825" t="s">
        <v>80</v>
      </c>
      <c r="M1825" t="s">
        <v>73</v>
      </c>
      <c r="R1825" t="s">
        <v>8563</v>
      </c>
      <c r="W1825" t="s">
        <v>8562</v>
      </c>
      <c r="X1825" t="s">
        <v>167</v>
      </c>
      <c r="Y1825" t="s">
        <v>91</v>
      </c>
      <c r="Z1825" t="s">
        <v>74</v>
      </c>
      <c r="AA1825" t="str">
        <f>"10032-3720"</f>
        <v>10032-3720</v>
      </c>
      <c r="AB1825" t="s">
        <v>75</v>
      </c>
      <c r="AC1825" t="s">
        <v>76</v>
      </c>
      <c r="AD1825" t="s">
        <v>73</v>
      </c>
      <c r="AE1825" t="s">
        <v>77</v>
      </c>
      <c r="AF1825" t="s">
        <v>2228</v>
      </c>
      <c r="AG1825" t="s">
        <v>78</v>
      </c>
    </row>
    <row r="1826" spans="1:33" hidden="1" x14ac:dyDescent="0.25">
      <c r="A1826" t="str">
        <f>"1184659419"</f>
        <v>1184659419</v>
      </c>
      <c r="B1826" t="str">
        <f>"02143222"</f>
        <v>02143222</v>
      </c>
      <c r="C1826" t="s">
        <v>8564</v>
      </c>
      <c r="D1826" t="s">
        <v>8565</v>
      </c>
      <c r="E1826" t="s">
        <v>8566</v>
      </c>
      <c r="L1826" t="s">
        <v>72</v>
      </c>
      <c r="M1826" t="s">
        <v>73</v>
      </c>
      <c r="R1826" t="s">
        <v>8567</v>
      </c>
      <c r="W1826" t="s">
        <v>8566</v>
      </c>
      <c r="Y1826" t="s">
        <v>91</v>
      </c>
      <c r="Z1826" t="s">
        <v>74</v>
      </c>
      <c r="AA1826" t="str">
        <f>"10032-3720"</f>
        <v>10032-3720</v>
      </c>
      <c r="AB1826" t="s">
        <v>75</v>
      </c>
      <c r="AC1826" t="s">
        <v>76</v>
      </c>
      <c r="AD1826" t="s">
        <v>73</v>
      </c>
      <c r="AE1826" t="s">
        <v>77</v>
      </c>
      <c r="AF1826" t="s">
        <v>2228</v>
      </c>
      <c r="AG1826" t="s">
        <v>78</v>
      </c>
    </row>
    <row r="1827" spans="1:33" hidden="1" x14ac:dyDescent="0.25">
      <c r="A1827" t="str">
        <f>"1457502262"</f>
        <v>1457502262</v>
      </c>
      <c r="B1827" t="str">
        <f>"03338658"</f>
        <v>03338658</v>
      </c>
      <c r="C1827" t="s">
        <v>8568</v>
      </c>
      <c r="D1827" t="s">
        <v>8569</v>
      </c>
      <c r="E1827" t="s">
        <v>8570</v>
      </c>
      <c r="L1827" t="s">
        <v>80</v>
      </c>
      <c r="M1827" t="s">
        <v>73</v>
      </c>
      <c r="R1827" t="s">
        <v>8571</v>
      </c>
      <c r="W1827" t="s">
        <v>8572</v>
      </c>
      <c r="X1827" t="s">
        <v>170</v>
      </c>
      <c r="Y1827" t="s">
        <v>91</v>
      </c>
      <c r="Z1827" t="s">
        <v>74</v>
      </c>
      <c r="AA1827" t="str">
        <f>"10065-4870"</f>
        <v>10065-4870</v>
      </c>
      <c r="AB1827" t="s">
        <v>75</v>
      </c>
      <c r="AC1827" t="s">
        <v>76</v>
      </c>
      <c r="AD1827" t="s">
        <v>73</v>
      </c>
      <c r="AE1827" t="s">
        <v>77</v>
      </c>
      <c r="AF1827" t="s">
        <v>2242</v>
      </c>
      <c r="AG1827" t="s">
        <v>78</v>
      </c>
    </row>
    <row r="1828" spans="1:33" hidden="1" x14ac:dyDescent="0.25">
      <c r="A1828" t="str">
        <f>"1871644294"</f>
        <v>1871644294</v>
      </c>
      <c r="B1828" t="str">
        <f>"03102187"</f>
        <v>03102187</v>
      </c>
      <c r="C1828" t="s">
        <v>8573</v>
      </c>
      <c r="D1828" t="s">
        <v>8574</v>
      </c>
      <c r="E1828" t="s">
        <v>8575</v>
      </c>
      <c r="L1828" t="s">
        <v>72</v>
      </c>
      <c r="M1828" t="s">
        <v>73</v>
      </c>
      <c r="R1828" t="s">
        <v>8576</v>
      </c>
      <c r="W1828" t="s">
        <v>8577</v>
      </c>
      <c r="X1828" t="s">
        <v>167</v>
      </c>
      <c r="Y1828" t="s">
        <v>91</v>
      </c>
      <c r="Z1828" t="s">
        <v>74</v>
      </c>
      <c r="AA1828" t="str">
        <f>"10032-3720"</f>
        <v>10032-3720</v>
      </c>
      <c r="AB1828" t="s">
        <v>75</v>
      </c>
      <c r="AC1828" t="s">
        <v>76</v>
      </c>
      <c r="AD1828" t="s">
        <v>73</v>
      </c>
      <c r="AE1828" t="s">
        <v>77</v>
      </c>
      <c r="AF1828" t="s">
        <v>2228</v>
      </c>
      <c r="AG1828" t="s">
        <v>78</v>
      </c>
    </row>
    <row r="1829" spans="1:33" hidden="1" x14ac:dyDescent="0.25">
      <c r="A1829" t="str">
        <f>"1073536702"</f>
        <v>1073536702</v>
      </c>
      <c r="B1829" t="str">
        <f>"02805067"</f>
        <v>02805067</v>
      </c>
      <c r="C1829" t="s">
        <v>8578</v>
      </c>
      <c r="D1829" t="s">
        <v>8579</v>
      </c>
      <c r="E1829" t="s">
        <v>8580</v>
      </c>
      <c r="L1829" t="s">
        <v>81</v>
      </c>
      <c r="M1829" t="s">
        <v>73</v>
      </c>
      <c r="R1829" t="s">
        <v>8581</v>
      </c>
      <c r="W1829" t="s">
        <v>8580</v>
      </c>
      <c r="X1829" t="s">
        <v>363</v>
      </c>
      <c r="Y1829" t="s">
        <v>132</v>
      </c>
      <c r="Z1829" t="s">
        <v>74</v>
      </c>
      <c r="AA1829" t="str">
        <f>"10595-1652"</f>
        <v>10595-1652</v>
      </c>
      <c r="AB1829" t="s">
        <v>75</v>
      </c>
      <c r="AC1829" t="s">
        <v>76</v>
      </c>
      <c r="AD1829" t="s">
        <v>73</v>
      </c>
      <c r="AE1829" t="s">
        <v>77</v>
      </c>
      <c r="AF1829" t="s">
        <v>2228</v>
      </c>
      <c r="AG1829" t="s">
        <v>78</v>
      </c>
    </row>
    <row r="1830" spans="1:33" hidden="1" x14ac:dyDescent="0.25">
      <c r="A1830" t="str">
        <f>"1740505296"</f>
        <v>1740505296</v>
      </c>
      <c r="C1830" t="s">
        <v>8582</v>
      </c>
      <c r="G1830" t="s">
        <v>2224</v>
      </c>
      <c r="H1830" t="s">
        <v>2312</v>
      </c>
      <c r="J1830" t="s">
        <v>2226</v>
      </c>
      <c r="K1830" t="s">
        <v>171</v>
      </c>
      <c r="L1830" t="s">
        <v>96</v>
      </c>
      <c r="M1830" t="s">
        <v>73</v>
      </c>
      <c r="R1830" t="s">
        <v>8583</v>
      </c>
      <c r="S1830" t="s">
        <v>8584</v>
      </c>
      <c r="T1830" t="s">
        <v>598</v>
      </c>
      <c r="U1830" t="s">
        <v>599</v>
      </c>
      <c r="V1830" t="str">
        <f>"212011544"</f>
        <v>212011544</v>
      </c>
      <c r="AC1830" t="s">
        <v>76</v>
      </c>
      <c r="AD1830" t="s">
        <v>73</v>
      </c>
      <c r="AE1830" t="s">
        <v>97</v>
      </c>
      <c r="AF1830" t="s">
        <v>2242</v>
      </c>
      <c r="AG1830" t="s">
        <v>78</v>
      </c>
    </row>
    <row r="1831" spans="1:33" hidden="1" x14ac:dyDescent="0.25">
      <c r="A1831" t="str">
        <f>"1689093635"</f>
        <v>1689093635</v>
      </c>
      <c r="C1831" t="s">
        <v>8585</v>
      </c>
      <c r="G1831" t="s">
        <v>2224</v>
      </c>
      <c r="H1831" t="s">
        <v>2312</v>
      </c>
      <c r="J1831" t="s">
        <v>2226</v>
      </c>
      <c r="K1831" t="s">
        <v>171</v>
      </c>
      <c r="L1831" t="s">
        <v>96</v>
      </c>
      <c r="M1831" t="s">
        <v>73</v>
      </c>
      <c r="R1831" t="s">
        <v>8586</v>
      </c>
      <c r="S1831" t="s">
        <v>8587</v>
      </c>
      <c r="T1831" t="s">
        <v>91</v>
      </c>
      <c r="U1831" t="s">
        <v>74</v>
      </c>
      <c r="V1831" t="str">
        <f>"100654870"</f>
        <v>100654870</v>
      </c>
      <c r="AC1831" t="s">
        <v>76</v>
      </c>
      <c r="AD1831" t="s">
        <v>73</v>
      </c>
      <c r="AE1831" t="s">
        <v>97</v>
      </c>
      <c r="AF1831" t="s">
        <v>2242</v>
      </c>
      <c r="AG1831" t="s">
        <v>78</v>
      </c>
    </row>
    <row r="1832" spans="1:33" hidden="1" x14ac:dyDescent="0.25">
      <c r="A1832" t="str">
        <f>"1750701447"</f>
        <v>1750701447</v>
      </c>
      <c r="C1832" t="s">
        <v>8588</v>
      </c>
      <c r="G1832" t="s">
        <v>2224</v>
      </c>
      <c r="H1832" t="s">
        <v>2312</v>
      </c>
      <c r="J1832" t="s">
        <v>2226</v>
      </c>
      <c r="K1832" t="s">
        <v>171</v>
      </c>
      <c r="L1832" t="s">
        <v>96</v>
      </c>
      <c r="M1832" t="s">
        <v>73</v>
      </c>
      <c r="R1832" t="s">
        <v>8589</v>
      </c>
      <c r="S1832" t="s">
        <v>170</v>
      </c>
      <c r="T1832" t="s">
        <v>91</v>
      </c>
      <c r="U1832" t="s">
        <v>74</v>
      </c>
      <c r="V1832" t="str">
        <f>"100654870"</f>
        <v>100654870</v>
      </c>
      <c r="AC1832" t="s">
        <v>76</v>
      </c>
      <c r="AD1832" t="s">
        <v>73</v>
      </c>
      <c r="AE1832" t="s">
        <v>97</v>
      </c>
      <c r="AF1832" t="s">
        <v>2242</v>
      </c>
      <c r="AG1832" t="s">
        <v>78</v>
      </c>
    </row>
    <row r="1833" spans="1:33" hidden="1" x14ac:dyDescent="0.25">
      <c r="A1833" t="str">
        <f>"1003108424"</f>
        <v>1003108424</v>
      </c>
      <c r="B1833" t="str">
        <f>"04595997"</f>
        <v>04595997</v>
      </c>
      <c r="C1833" t="s">
        <v>8590</v>
      </c>
      <c r="D1833" t="s">
        <v>8591</v>
      </c>
      <c r="E1833" t="s">
        <v>8592</v>
      </c>
      <c r="G1833" t="s">
        <v>2224</v>
      </c>
      <c r="H1833" t="s">
        <v>2312</v>
      </c>
      <c r="J1833" t="s">
        <v>2226</v>
      </c>
      <c r="L1833" t="s">
        <v>96</v>
      </c>
      <c r="M1833" t="s">
        <v>73</v>
      </c>
      <c r="R1833" t="s">
        <v>8593</v>
      </c>
      <c r="W1833" t="s">
        <v>8592</v>
      </c>
      <c r="AB1833" t="s">
        <v>75</v>
      </c>
      <c r="AC1833" t="s">
        <v>76</v>
      </c>
      <c r="AD1833" t="s">
        <v>73</v>
      </c>
      <c r="AE1833" t="s">
        <v>77</v>
      </c>
      <c r="AF1833" t="s">
        <v>2234</v>
      </c>
      <c r="AG1833" t="s">
        <v>78</v>
      </c>
    </row>
    <row r="1834" spans="1:33" hidden="1" x14ac:dyDescent="0.25">
      <c r="A1834" t="str">
        <f>"1013259134"</f>
        <v>1013259134</v>
      </c>
      <c r="C1834" t="s">
        <v>8594</v>
      </c>
      <c r="G1834" t="s">
        <v>2224</v>
      </c>
      <c r="H1834" t="s">
        <v>2312</v>
      </c>
      <c r="J1834" t="s">
        <v>2226</v>
      </c>
      <c r="K1834" t="s">
        <v>171</v>
      </c>
      <c r="L1834" t="s">
        <v>96</v>
      </c>
      <c r="M1834" t="s">
        <v>73</v>
      </c>
      <c r="R1834" t="s">
        <v>8595</v>
      </c>
      <c r="S1834" t="s">
        <v>8596</v>
      </c>
      <c r="T1834" t="s">
        <v>8597</v>
      </c>
      <c r="U1834" t="s">
        <v>588</v>
      </c>
      <c r="V1834" t="str">
        <f>"201123054"</f>
        <v>201123054</v>
      </c>
      <c r="AC1834" t="s">
        <v>76</v>
      </c>
      <c r="AD1834" t="s">
        <v>73</v>
      </c>
      <c r="AE1834" t="s">
        <v>97</v>
      </c>
      <c r="AF1834" t="s">
        <v>2242</v>
      </c>
      <c r="AG1834" t="s">
        <v>78</v>
      </c>
    </row>
    <row r="1835" spans="1:33" hidden="1" x14ac:dyDescent="0.25">
      <c r="A1835" t="str">
        <f>"1396156550"</f>
        <v>1396156550</v>
      </c>
      <c r="C1835" t="s">
        <v>8598</v>
      </c>
      <c r="G1835" t="s">
        <v>2224</v>
      </c>
      <c r="H1835" t="s">
        <v>2312</v>
      </c>
      <c r="J1835" t="s">
        <v>2226</v>
      </c>
      <c r="K1835" t="s">
        <v>171</v>
      </c>
      <c r="L1835" t="s">
        <v>96</v>
      </c>
      <c r="M1835" t="s">
        <v>73</v>
      </c>
      <c r="R1835" t="s">
        <v>8599</v>
      </c>
      <c r="S1835" t="s">
        <v>8600</v>
      </c>
      <c r="T1835" t="s">
        <v>91</v>
      </c>
      <c r="U1835" t="s">
        <v>74</v>
      </c>
      <c r="V1835" t="str">
        <f>"100215664"</f>
        <v>100215664</v>
      </c>
      <c r="AC1835" t="s">
        <v>76</v>
      </c>
      <c r="AD1835" t="s">
        <v>73</v>
      </c>
      <c r="AE1835" t="s">
        <v>97</v>
      </c>
      <c r="AF1835" t="s">
        <v>2242</v>
      </c>
      <c r="AG1835" t="s">
        <v>78</v>
      </c>
    </row>
    <row r="1836" spans="1:33" hidden="1" x14ac:dyDescent="0.25">
      <c r="A1836" t="str">
        <f>"1275825697"</f>
        <v>1275825697</v>
      </c>
      <c r="C1836" t="s">
        <v>8601</v>
      </c>
      <c r="G1836" t="s">
        <v>2224</v>
      </c>
      <c r="H1836" t="s">
        <v>2312</v>
      </c>
      <c r="J1836" t="s">
        <v>2226</v>
      </c>
      <c r="K1836" t="s">
        <v>171</v>
      </c>
      <c r="L1836" t="s">
        <v>96</v>
      </c>
      <c r="M1836" t="s">
        <v>73</v>
      </c>
      <c r="R1836" t="s">
        <v>8602</v>
      </c>
      <c r="S1836" t="s">
        <v>1552</v>
      </c>
      <c r="T1836" t="s">
        <v>1553</v>
      </c>
      <c r="U1836" t="s">
        <v>224</v>
      </c>
      <c r="V1836" t="str">
        <f>"331434679"</f>
        <v>331434679</v>
      </c>
      <c r="AC1836" t="s">
        <v>76</v>
      </c>
      <c r="AD1836" t="s">
        <v>73</v>
      </c>
      <c r="AE1836" t="s">
        <v>97</v>
      </c>
      <c r="AF1836" t="s">
        <v>2234</v>
      </c>
      <c r="AG1836" t="s">
        <v>78</v>
      </c>
    </row>
    <row r="1837" spans="1:33" hidden="1" x14ac:dyDescent="0.25">
      <c r="A1837" t="str">
        <f>"1053732636"</f>
        <v>1053732636</v>
      </c>
      <c r="C1837" t="s">
        <v>8603</v>
      </c>
      <c r="G1837" t="s">
        <v>2224</v>
      </c>
      <c r="H1837" t="s">
        <v>2225</v>
      </c>
      <c r="J1837" t="s">
        <v>2226</v>
      </c>
      <c r="K1837" t="s">
        <v>93</v>
      </c>
      <c r="L1837" t="s">
        <v>96</v>
      </c>
      <c r="M1837" t="s">
        <v>73</v>
      </c>
      <c r="R1837" t="s">
        <v>8604</v>
      </c>
      <c r="S1837" t="s">
        <v>354</v>
      </c>
      <c r="T1837" t="s">
        <v>91</v>
      </c>
      <c r="U1837" t="s">
        <v>74</v>
      </c>
      <c r="V1837" t="str">
        <f>"100323725"</f>
        <v>100323725</v>
      </c>
      <c r="AC1837" t="s">
        <v>76</v>
      </c>
      <c r="AD1837" t="s">
        <v>73</v>
      </c>
      <c r="AE1837" t="s">
        <v>97</v>
      </c>
      <c r="AF1837" t="s">
        <v>2228</v>
      </c>
      <c r="AG1837" t="s">
        <v>78</v>
      </c>
    </row>
    <row r="1838" spans="1:33" hidden="1" x14ac:dyDescent="0.25">
      <c r="A1838" t="str">
        <f>"1649699984"</f>
        <v>1649699984</v>
      </c>
      <c r="C1838" t="s">
        <v>8605</v>
      </c>
      <c r="G1838" t="s">
        <v>2224</v>
      </c>
      <c r="H1838" t="s">
        <v>2225</v>
      </c>
      <c r="J1838" t="s">
        <v>2226</v>
      </c>
      <c r="K1838" t="s">
        <v>93</v>
      </c>
      <c r="L1838" t="s">
        <v>96</v>
      </c>
      <c r="M1838" t="s">
        <v>73</v>
      </c>
      <c r="R1838" t="s">
        <v>8606</v>
      </c>
      <c r="S1838" t="s">
        <v>354</v>
      </c>
      <c r="T1838" t="s">
        <v>91</v>
      </c>
      <c r="U1838" t="s">
        <v>74</v>
      </c>
      <c r="V1838" t="str">
        <f>"100323725"</f>
        <v>100323725</v>
      </c>
      <c r="AC1838" t="s">
        <v>76</v>
      </c>
      <c r="AD1838" t="s">
        <v>73</v>
      </c>
      <c r="AE1838" t="s">
        <v>97</v>
      </c>
      <c r="AF1838" t="s">
        <v>2228</v>
      </c>
      <c r="AG1838" t="s">
        <v>78</v>
      </c>
    </row>
    <row r="1839" spans="1:33" hidden="1" x14ac:dyDescent="0.25">
      <c r="A1839" t="str">
        <f>"1629310735"</f>
        <v>1629310735</v>
      </c>
      <c r="C1839" t="s">
        <v>8607</v>
      </c>
      <c r="G1839" t="s">
        <v>2224</v>
      </c>
      <c r="H1839" t="s">
        <v>2225</v>
      </c>
      <c r="J1839" t="s">
        <v>2226</v>
      </c>
      <c r="K1839" t="s">
        <v>93</v>
      </c>
      <c r="L1839" t="s">
        <v>96</v>
      </c>
      <c r="M1839" t="s">
        <v>73</v>
      </c>
      <c r="R1839" t="s">
        <v>8608</v>
      </c>
      <c r="S1839" t="s">
        <v>1745</v>
      </c>
      <c r="T1839" t="s">
        <v>91</v>
      </c>
      <c r="U1839" t="s">
        <v>74</v>
      </c>
      <c r="V1839" t="str">
        <f>"10021"</f>
        <v>10021</v>
      </c>
      <c r="AC1839" t="s">
        <v>76</v>
      </c>
      <c r="AD1839" t="s">
        <v>73</v>
      </c>
      <c r="AE1839" t="s">
        <v>97</v>
      </c>
      <c r="AF1839" t="s">
        <v>2234</v>
      </c>
      <c r="AG1839" t="s">
        <v>78</v>
      </c>
    </row>
    <row r="1840" spans="1:33" hidden="1" x14ac:dyDescent="0.25">
      <c r="A1840" t="str">
        <f>"1649512724"</f>
        <v>1649512724</v>
      </c>
      <c r="C1840" t="s">
        <v>8609</v>
      </c>
      <c r="G1840" t="s">
        <v>2224</v>
      </c>
      <c r="H1840" t="s">
        <v>2225</v>
      </c>
      <c r="J1840" t="s">
        <v>2226</v>
      </c>
      <c r="K1840" t="s">
        <v>93</v>
      </c>
      <c r="L1840" t="s">
        <v>96</v>
      </c>
      <c r="M1840" t="s">
        <v>73</v>
      </c>
      <c r="R1840" t="s">
        <v>8610</v>
      </c>
      <c r="S1840" t="s">
        <v>7459</v>
      </c>
      <c r="T1840" t="s">
        <v>91</v>
      </c>
      <c r="U1840" t="s">
        <v>74</v>
      </c>
      <c r="V1840" t="str">
        <f>"100214872"</f>
        <v>100214872</v>
      </c>
      <c r="AC1840" t="s">
        <v>76</v>
      </c>
      <c r="AD1840" t="s">
        <v>73</v>
      </c>
      <c r="AE1840" t="s">
        <v>97</v>
      </c>
      <c r="AF1840" t="s">
        <v>2242</v>
      </c>
      <c r="AG1840" t="s">
        <v>78</v>
      </c>
    </row>
    <row r="1841" spans="1:33" hidden="1" x14ac:dyDescent="0.25">
      <c r="A1841" t="str">
        <f>"1578839015"</f>
        <v>1578839015</v>
      </c>
      <c r="C1841" t="s">
        <v>8611</v>
      </c>
      <c r="G1841" t="s">
        <v>2224</v>
      </c>
      <c r="H1841" t="s">
        <v>2225</v>
      </c>
      <c r="J1841" t="s">
        <v>2226</v>
      </c>
      <c r="K1841" t="s">
        <v>93</v>
      </c>
      <c r="L1841" t="s">
        <v>96</v>
      </c>
      <c r="M1841" t="s">
        <v>73</v>
      </c>
      <c r="R1841" t="s">
        <v>8612</v>
      </c>
      <c r="S1841" t="s">
        <v>628</v>
      </c>
      <c r="T1841" t="s">
        <v>91</v>
      </c>
      <c r="U1841" t="s">
        <v>74</v>
      </c>
      <c r="V1841" t="str">
        <f>"100214872"</f>
        <v>100214872</v>
      </c>
      <c r="AC1841" t="s">
        <v>76</v>
      </c>
      <c r="AD1841" t="s">
        <v>73</v>
      </c>
      <c r="AE1841" t="s">
        <v>97</v>
      </c>
      <c r="AF1841" t="s">
        <v>2234</v>
      </c>
      <c r="AG1841" t="s">
        <v>78</v>
      </c>
    </row>
    <row r="1842" spans="1:33" hidden="1" x14ac:dyDescent="0.25">
      <c r="A1842" t="str">
        <f>"1801214663"</f>
        <v>1801214663</v>
      </c>
      <c r="C1842" t="s">
        <v>8613</v>
      </c>
      <c r="G1842" t="s">
        <v>2224</v>
      </c>
      <c r="H1842" t="s">
        <v>2225</v>
      </c>
      <c r="J1842" t="s">
        <v>2226</v>
      </c>
      <c r="K1842" t="s">
        <v>93</v>
      </c>
      <c r="L1842" t="s">
        <v>96</v>
      </c>
      <c r="M1842" t="s">
        <v>73</v>
      </c>
      <c r="R1842" t="s">
        <v>8614</v>
      </c>
      <c r="S1842" t="s">
        <v>8615</v>
      </c>
      <c r="T1842" t="s">
        <v>91</v>
      </c>
      <c r="U1842" t="s">
        <v>74</v>
      </c>
      <c r="V1842" t="str">
        <f>"100214872"</f>
        <v>100214872</v>
      </c>
      <c r="AC1842" t="s">
        <v>76</v>
      </c>
      <c r="AD1842" t="s">
        <v>73</v>
      </c>
      <c r="AE1842" t="s">
        <v>97</v>
      </c>
      <c r="AF1842" t="s">
        <v>2242</v>
      </c>
      <c r="AG1842" t="s">
        <v>78</v>
      </c>
    </row>
    <row r="1843" spans="1:33" hidden="1" x14ac:dyDescent="0.25">
      <c r="A1843" t="str">
        <f>"1962822742"</f>
        <v>1962822742</v>
      </c>
      <c r="C1843" t="s">
        <v>8616</v>
      </c>
      <c r="G1843" t="s">
        <v>2224</v>
      </c>
      <c r="H1843" t="s">
        <v>2225</v>
      </c>
      <c r="J1843" t="s">
        <v>2226</v>
      </c>
      <c r="K1843" t="s">
        <v>93</v>
      </c>
      <c r="L1843" t="s">
        <v>96</v>
      </c>
      <c r="M1843" t="s">
        <v>73</v>
      </c>
      <c r="R1843" t="s">
        <v>8617</v>
      </c>
      <c r="S1843" t="s">
        <v>7459</v>
      </c>
      <c r="T1843" t="s">
        <v>91</v>
      </c>
      <c r="U1843" t="s">
        <v>74</v>
      </c>
      <c r="V1843" t="str">
        <f>"100214872"</f>
        <v>100214872</v>
      </c>
      <c r="AC1843" t="s">
        <v>76</v>
      </c>
      <c r="AD1843" t="s">
        <v>73</v>
      </c>
      <c r="AE1843" t="s">
        <v>97</v>
      </c>
      <c r="AF1843" t="s">
        <v>2242</v>
      </c>
      <c r="AG1843" t="s">
        <v>78</v>
      </c>
    </row>
    <row r="1844" spans="1:33" hidden="1" x14ac:dyDescent="0.25">
      <c r="A1844" t="str">
        <f>"1790050110"</f>
        <v>1790050110</v>
      </c>
      <c r="B1844" t="str">
        <f>"04360445"</f>
        <v>04360445</v>
      </c>
      <c r="C1844" t="s">
        <v>8618</v>
      </c>
      <c r="D1844" t="s">
        <v>8619</v>
      </c>
      <c r="E1844" t="s">
        <v>8620</v>
      </c>
      <c r="G1844" t="s">
        <v>2224</v>
      </c>
      <c r="H1844" t="s">
        <v>2225</v>
      </c>
      <c r="J1844" t="s">
        <v>2226</v>
      </c>
      <c r="L1844" t="s">
        <v>72</v>
      </c>
      <c r="M1844" t="s">
        <v>73</v>
      </c>
      <c r="R1844" t="s">
        <v>8621</v>
      </c>
      <c r="W1844" t="s">
        <v>8620</v>
      </c>
      <c r="X1844" t="s">
        <v>220</v>
      </c>
      <c r="Y1844" t="s">
        <v>91</v>
      </c>
      <c r="Z1844" t="s">
        <v>74</v>
      </c>
      <c r="AA1844" t="str">
        <f>"10029-6504"</f>
        <v>10029-6504</v>
      </c>
      <c r="AB1844" t="s">
        <v>75</v>
      </c>
      <c r="AC1844" t="s">
        <v>76</v>
      </c>
      <c r="AD1844" t="s">
        <v>73</v>
      </c>
      <c r="AE1844" t="s">
        <v>77</v>
      </c>
      <c r="AF1844" t="s">
        <v>2234</v>
      </c>
      <c r="AG1844" t="s">
        <v>78</v>
      </c>
    </row>
    <row r="1845" spans="1:33" hidden="1" x14ac:dyDescent="0.25">
      <c r="A1845" t="str">
        <f>"1316387483"</f>
        <v>1316387483</v>
      </c>
      <c r="C1845" t="s">
        <v>8622</v>
      </c>
      <c r="G1845" t="s">
        <v>2224</v>
      </c>
      <c r="H1845" t="s">
        <v>2225</v>
      </c>
      <c r="J1845" t="s">
        <v>2226</v>
      </c>
      <c r="K1845" t="s">
        <v>93</v>
      </c>
      <c r="L1845" t="s">
        <v>96</v>
      </c>
      <c r="M1845" t="s">
        <v>73</v>
      </c>
      <c r="R1845" t="s">
        <v>8623</v>
      </c>
      <c r="S1845" t="s">
        <v>1745</v>
      </c>
      <c r="T1845" t="s">
        <v>91</v>
      </c>
      <c r="U1845" t="s">
        <v>74</v>
      </c>
      <c r="V1845" t="str">
        <f>"10021"</f>
        <v>10021</v>
      </c>
      <c r="AC1845" t="s">
        <v>76</v>
      </c>
      <c r="AD1845" t="s">
        <v>73</v>
      </c>
      <c r="AE1845" t="s">
        <v>97</v>
      </c>
      <c r="AF1845" t="s">
        <v>2242</v>
      </c>
      <c r="AG1845" t="s">
        <v>78</v>
      </c>
    </row>
    <row r="1846" spans="1:33" hidden="1" x14ac:dyDescent="0.25">
      <c r="A1846" t="str">
        <f>"1710253638"</f>
        <v>1710253638</v>
      </c>
      <c r="C1846" t="s">
        <v>8624</v>
      </c>
      <c r="G1846" t="s">
        <v>2224</v>
      </c>
      <c r="H1846" t="s">
        <v>2225</v>
      </c>
      <c r="J1846" t="s">
        <v>2226</v>
      </c>
      <c r="K1846" t="s">
        <v>93</v>
      </c>
      <c r="L1846" t="s">
        <v>96</v>
      </c>
      <c r="M1846" t="s">
        <v>73</v>
      </c>
      <c r="R1846" t="s">
        <v>8625</v>
      </c>
      <c r="S1846" t="s">
        <v>628</v>
      </c>
      <c r="T1846" t="s">
        <v>91</v>
      </c>
      <c r="U1846" t="s">
        <v>74</v>
      </c>
      <c r="V1846" t="str">
        <f>"100214872"</f>
        <v>100214872</v>
      </c>
      <c r="AC1846" t="s">
        <v>76</v>
      </c>
      <c r="AD1846" t="s">
        <v>73</v>
      </c>
      <c r="AE1846" t="s">
        <v>97</v>
      </c>
      <c r="AF1846" t="s">
        <v>2234</v>
      </c>
      <c r="AG1846" t="s">
        <v>78</v>
      </c>
    </row>
    <row r="1847" spans="1:33" hidden="1" x14ac:dyDescent="0.25">
      <c r="A1847" t="str">
        <f>"1215355839"</f>
        <v>1215355839</v>
      </c>
      <c r="C1847" t="s">
        <v>8626</v>
      </c>
      <c r="G1847" t="s">
        <v>2224</v>
      </c>
      <c r="H1847" t="s">
        <v>2225</v>
      </c>
      <c r="J1847" t="s">
        <v>2226</v>
      </c>
      <c r="K1847" t="s">
        <v>93</v>
      </c>
      <c r="L1847" t="s">
        <v>96</v>
      </c>
      <c r="M1847" t="s">
        <v>73</v>
      </c>
      <c r="R1847" t="s">
        <v>8627</v>
      </c>
      <c r="S1847" t="s">
        <v>8628</v>
      </c>
      <c r="T1847" t="s">
        <v>91</v>
      </c>
      <c r="U1847" t="s">
        <v>74</v>
      </c>
      <c r="V1847" t="str">
        <f>"100214845"</f>
        <v>100214845</v>
      </c>
      <c r="AC1847" t="s">
        <v>76</v>
      </c>
      <c r="AD1847" t="s">
        <v>73</v>
      </c>
      <c r="AE1847" t="s">
        <v>97</v>
      </c>
      <c r="AF1847" t="s">
        <v>2242</v>
      </c>
      <c r="AG1847" t="s">
        <v>78</v>
      </c>
    </row>
    <row r="1848" spans="1:33" hidden="1" x14ac:dyDescent="0.25">
      <c r="A1848" t="str">
        <f>"1528487477"</f>
        <v>1528487477</v>
      </c>
      <c r="C1848" t="s">
        <v>8629</v>
      </c>
      <c r="G1848" t="s">
        <v>2224</v>
      </c>
      <c r="H1848" t="s">
        <v>2225</v>
      </c>
      <c r="J1848" t="s">
        <v>2226</v>
      </c>
      <c r="K1848" t="s">
        <v>93</v>
      </c>
      <c r="L1848" t="s">
        <v>96</v>
      </c>
      <c r="M1848" t="s">
        <v>73</v>
      </c>
      <c r="R1848" t="s">
        <v>8630</v>
      </c>
      <c r="S1848" t="s">
        <v>7459</v>
      </c>
      <c r="T1848" t="s">
        <v>91</v>
      </c>
      <c r="U1848" t="s">
        <v>74</v>
      </c>
      <c r="V1848" t="str">
        <f>"100214872"</f>
        <v>100214872</v>
      </c>
      <c r="AC1848" t="s">
        <v>76</v>
      </c>
      <c r="AD1848" t="s">
        <v>73</v>
      </c>
      <c r="AE1848" t="s">
        <v>97</v>
      </c>
      <c r="AF1848" t="s">
        <v>2242</v>
      </c>
      <c r="AG1848" t="s">
        <v>78</v>
      </c>
    </row>
    <row r="1849" spans="1:33" hidden="1" x14ac:dyDescent="0.25">
      <c r="A1849" t="str">
        <f>"1548688401"</f>
        <v>1548688401</v>
      </c>
      <c r="C1849" t="s">
        <v>8631</v>
      </c>
      <c r="G1849" t="s">
        <v>2224</v>
      </c>
      <c r="H1849" t="s">
        <v>2225</v>
      </c>
      <c r="J1849" t="s">
        <v>2226</v>
      </c>
      <c r="K1849" t="s">
        <v>93</v>
      </c>
      <c r="L1849" t="s">
        <v>96</v>
      </c>
      <c r="M1849" t="s">
        <v>73</v>
      </c>
      <c r="R1849" t="s">
        <v>8632</v>
      </c>
      <c r="S1849" t="s">
        <v>628</v>
      </c>
      <c r="T1849" t="s">
        <v>91</v>
      </c>
      <c r="U1849" t="s">
        <v>74</v>
      </c>
      <c r="V1849" t="str">
        <f>"100214872"</f>
        <v>100214872</v>
      </c>
      <c r="AC1849" t="s">
        <v>76</v>
      </c>
      <c r="AD1849" t="s">
        <v>73</v>
      </c>
      <c r="AE1849" t="s">
        <v>97</v>
      </c>
      <c r="AF1849" t="s">
        <v>2242</v>
      </c>
      <c r="AG1849" t="s">
        <v>78</v>
      </c>
    </row>
    <row r="1850" spans="1:33" hidden="1" x14ac:dyDescent="0.25">
      <c r="A1850" t="str">
        <f>"1659637890"</f>
        <v>1659637890</v>
      </c>
      <c r="C1850" t="s">
        <v>8633</v>
      </c>
      <c r="G1850" t="s">
        <v>2224</v>
      </c>
      <c r="H1850" t="s">
        <v>2225</v>
      </c>
      <c r="J1850" t="s">
        <v>2226</v>
      </c>
      <c r="K1850" t="s">
        <v>93</v>
      </c>
      <c r="L1850" t="s">
        <v>96</v>
      </c>
      <c r="M1850" t="s">
        <v>73</v>
      </c>
      <c r="R1850" t="s">
        <v>8634</v>
      </c>
      <c r="S1850" t="s">
        <v>7459</v>
      </c>
      <c r="T1850" t="s">
        <v>91</v>
      </c>
      <c r="U1850" t="s">
        <v>74</v>
      </c>
      <c r="V1850" t="str">
        <f>"100214872"</f>
        <v>100214872</v>
      </c>
      <c r="AC1850" t="s">
        <v>76</v>
      </c>
      <c r="AD1850" t="s">
        <v>73</v>
      </c>
      <c r="AE1850" t="s">
        <v>97</v>
      </c>
      <c r="AF1850" t="s">
        <v>2234</v>
      </c>
      <c r="AG1850" t="s">
        <v>78</v>
      </c>
    </row>
    <row r="1851" spans="1:33" hidden="1" x14ac:dyDescent="0.25">
      <c r="A1851" t="str">
        <f>"1023435922"</f>
        <v>1023435922</v>
      </c>
      <c r="C1851" t="s">
        <v>8635</v>
      </c>
      <c r="G1851" t="s">
        <v>2224</v>
      </c>
      <c r="H1851" t="s">
        <v>2225</v>
      </c>
      <c r="J1851" t="s">
        <v>2226</v>
      </c>
      <c r="K1851" t="s">
        <v>93</v>
      </c>
      <c r="L1851" t="s">
        <v>96</v>
      </c>
      <c r="M1851" t="s">
        <v>73</v>
      </c>
      <c r="R1851" t="s">
        <v>8636</v>
      </c>
      <c r="S1851" t="s">
        <v>1745</v>
      </c>
      <c r="T1851" t="s">
        <v>91</v>
      </c>
      <c r="U1851" t="s">
        <v>74</v>
      </c>
      <c r="V1851" t="str">
        <f>"10021"</f>
        <v>10021</v>
      </c>
      <c r="AC1851" t="s">
        <v>76</v>
      </c>
      <c r="AD1851" t="s">
        <v>73</v>
      </c>
      <c r="AE1851" t="s">
        <v>97</v>
      </c>
      <c r="AF1851" t="s">
        <v>2242</v>
      </c>
      <c r="AG1851" t="s">
        <v>78</v>
      </c>
    </row>
    <row r="1852" spans="1:33" hidden="1" x14ac:dyDescent="0.25">
      <c r="A1852" t="str">
        <f>"1225457187"</f>
        <v>1225457187</v>
      </c>
      <c r="C1852" t="s">
        <v>8637</v>
      </c>
      <c r="G1852" t="s">
        <v>2224</v>
      </c>
      <c r="H1852" t="s">
        <v>2225</v>
      </c>
      <c r="J1852" t="s">
        <v>2226</v>
      </c>
      <c r="K1852" t="s">
        <v>93</v>
      </c>
      <c r="L1852" t="s">
        <v>96</v>
      </c>
      <c r="M1852" t="s">
        <v>73</v>
      </c>
      <c r="R1852" t="s">
        <v>1721</v>
      </c>
      <c r="S1852" t="s">
        <v>1745</v>
      </c>
      <c r="T1852" t="s">
        <v>91</v>
      </c>
      <c r="U1852" t="s">
        <v>74</v>
      </c>
      <c r="V1852" t="str">
        <f>"10021"</f>
        <v>10021</v>
      </c>
      <c r="AC1852" t="s">
        <v>76</v>
      </c>
      <c r="AD1852" t="s">
        <v>73</v>
      </c>
      <c r="AE1852" t="s">
        <v>97</v>
      </c>
      <c r="AF1852" t="s">
        <v>2242</v>
      </c>
      <c r="AG1852" t="s">
        <v>78</v>
      </c>
    </row>
    <row r="1853" spans="1:33" hidden="1" x14ac:dyDescent="0.25">
      <c r="A1853" t="str">
        <f>"1053677302"</f>
        <v>1053677302</v>
      </c>
      <c r="B1853" t="str">
        <f>"04156052"</f>
        <v>04156052</v>
      </c>
      <c r="C1853" t="s">
        <v>8638</v>
      </c>
      <c r="D1853" t="s">
        <v>8639</v>
      </c>
      <c r="E1853" t="s">
        <v>8640</v>
      </c>
      <c r="G1853" t="s">
        <v>2224</v>
      </c>
      <c r="H1853" t="s">
        <v>2225</v>
      </c>
      <c r="J1853" t="s">
        <v>2226</v>
      </c>
      <c r="L1853" t="s">
        <v>72</v>
      </c>
      <c r="M1853" t="s">
        <v>73</v>
      </c>
      <c r="R1853" t="s">
        <v>8640</v>
      </c>
      <c r="W1853" t="s">
        <v>8641</v>
      </c>
      <c r="X1853" t="s">
        <v>7489</v>
      </c>
      <c r="Y1853" t="s">
        <v>91</v>
      </c>
      <c r="Z1853" t="s">
        <v>74</v>
      </c>
      <c r="AA1853" t="str">
        <f>"10065-4870"</f>
        <v>10065-4870</v>
      </c>
      <c r="AB1853" t="s">
        <v>75</v>
      </c>
      <c r="AC1853" t="s">
        <v>76</v>
      </c>
      <c r="AD1853" t="s">
        <v>73</v>
      </c>
      <c r="AE1853" t="s">
        <v>77</v>
      </c>
      <c r="AF1853" t="s">
        <v>2242</v>
      </c>
      <c r="AG1853" t="s">
        <v>78</v>
      </c>
    </row>
    <row r="1854" spans="1:33" hidden="1" x14ac:dyDescent="0.25">
      <c r="A1854" t="str">
        <f>"1548688518"</f>
        <v>1548688518</v>
      </c>
      <c r="C1854" t="s">
        <v>8642</v>
      </c>
      <c r="G1854" t="s">
        <v>2224</v>
      </c>
      <c r="H1854" t="s">
        <v>2225</v>
      </c>
      <c r="J1854" t="s">
        <v>2226</v>
      </c>
      <c r="K1854" t="s">
        <v>93</v>
      </c>
      <c r="L1854" t="s">
        <v>96</v>
      </c>
      <c r="M1854" t="s">
        <v>73</v>
      </c>
      <c r="R1854" t="s">
        <v>8643</v>
      </c>
      <c r="S1854" t="s">
        <v>628</v>
      </c>
      <c r="T1854" t="s">
        <v>91</v>
      </c>
      <c r="U1854" t="s">
        <v>74</v>
      </c>
      <c r="V1854" t="str">
        <f>"100214872"</f>
        <v>100214872</v>
      </c>
      <c r="AC1854" t="s">
        <v>76</v>
      </c>
      <c r="AD1854" t="s">
        <v>73</v>
      </c>
      <c r="AE1854" t="s">
        <v>97</v>
      </c>
      <c r="AF1854" t="s">
        <v>2242</v>
      </c>
      <c r="AG1854" t="s">
        <v>78</v>
      </c>
    </row>
    <row r="1855" spans="1:33" hidden="1" x14ac:dyDescent="0.25">
      <c r="A1855" t="str">
        <f>"1487072104"</f>
        <v>1487072104</v>
      </c>
      <c r="C1855" t="s">
        <v>8644</v>
      </c>
      <c r="G1855" t="s">
        <v>2224</v>
      </c>
      <c r="H1855" t="s">
        <v>2225</v>
      </c>
      <c r="J1855" t="s">
        <v>2226</v>
      </c>
      <c r="K1855" t="s">
        <v>93</v>
      </c>
      <c r="L1855" t="s">
        <v>96</v>
      </c>
      <c r="M1855" t="s">
        <v>73</v>
      </c>
      <c r="R1855" t="s">
        <v>8645</v>
      </c>
      <c r="S1855" t="s">
        <v>7459</v>
      </c>
      <c r="T1855" t="s">
        <v>91</v>
      </c>
      <c r="U1855" t="s">
        <v>74</v>
      </c>
      <c r="V1855" t="str">
        <f>"100214872"</f>
        <v>100214872</v>
      </c>
      <c r="AC1855" t="s">
        <v>76</v>
      </c>
      <c r="AD1855" t="s">
        <v>73</v>
      </c>
      <c r="AE1855" t="s">
        <v>97</v>
      </c>
      <c r="AF1855" t="s">
        <v>2242</v>
      </c>
      <c r="AG1855" t="s">
        <v>78</v>
      </c>
    </row>
    <row r="1856" spans="1:33" hidden="1" x14ac:dyDescent="0.25">
      <c r="A1856" t="str">
        <f>"1467870287"</f>
        <v>1467870287</v>
      </c>
      <c r="C1856" t="s">
        <v>8646</v>
      </c>
      <c r="G1856" t="s">
        <v>2224</v>
      </c>
      <c r="H1856" t="s">
        <v>2225</v>
      </c>
      <c r="J1856" t="s">
        <v>2226</v>
      </c>
      <c r="K1856" t="s">
        <v>93</v>
      </c>
      <c r="L1856" t="s">
        <v>96</v>
      </c>
      <c r="M1856" t="s">
        <v>73</v>
      </c>
      <c r="R1856" t="s">
        <v>8647</v>
      </c>
      <c r="S1856" t="s">
        <v>628</v>
      </c>
      <c r="T1856" t="s">
        <v>91</v>
      </c>
      <c r="U1856" t="s">
        <v>74</v>
      </c>
      <c r="V1856" t="str">
        <f>"100214872"</f>
        <v>100214872</v>
      </c>
      <c r="AC1856" t="s">
        <v>76</v>
      </c>
      <c r="AD1856" t="s">
        <v>73</v>
      </c>
      <c r="AE1856" t="s">
        <v>97</v>
      </c>
      <c r="AF1856" t="s">
        <v>2242</v>
      </c>
      <c r="AG1856" t="s">
        <v>78</v>
      </c>
    </row>
    <row r="1857" spans="1:33" hidden="1" x14ac:dyDescent="0.25">
      <c r="A1857" t="str">
        <f>"1831432566"</f>
        <v>1831432566</v>
      </c>
      <c r="C1857" t="s">
        <v>8648</v>
      </c>
      <c r="G1857" t="s">
        <v>2224</v>
      </c>
      <c r="H1857" t="s">
        <v>2225</v>
      </c>
      <c r="J1857" t="s">
        <v>2226</v>
      </c>
      <c r="K1857" t="s">
        <v>93</v>
      </c>
      <c r="L1857" t="s">
        <v>96</v>
      </c>
      <c r="M1857" t="s">
        <v>73</v>
      </c>
      <c r="R1857" t="s">
        <v>8649</v>
      </c>
      <c r="S1857" t="s">
        <v>1745</v>
      </c>
      <c r="T1857" t="s">
        <v>91</v>
      </c>
      <c r="U1857" t="s">
        <v>74</v>
      </c>
      <c r="V1857" t="str">
        <f>"10065"</f>
        <v>10065</v>
      </c>
      <c r="AC1857" t="s">
        <v>76</v>
      </c>
      <c r="AD1857" t="s">
        <v>73</v>
      </c>
      <c r="AE1857" t="s">
        <v>97</v>
      </c>
      <c r="AF1857" t="s">
        <v>2234</v>
      </c>
      <c r="AG1857" t="s">
        <v>78</v>
      </c>
    </row>
    <row r="1858" spans="1:33" hidden="1" x14ac:dyDescent="0.25">
      <c r="A1858" t="str">
        <f>"1790027654"</f>
        <v>1790027654</v>
      </c>
      <c r="C1858" t="s">
        <v>8650</v>
      </c>
      <c r="G1858" t="s">
        <v>2224</v>
      </c>
      <c r="H1858" t="s">
        <v>2225</v>
      </c>
      <c r="J1858" t="s">
        <v>2226</v>
      </c>
      <c r="K1858" t="s">
        <v>93</v>
      </c>
      <c r="L1858" t="s">
        <v>96</v>
      </c>
      <c r="M1858" t="s">
        <v>73</v>
      </c>
      <c r="R1858" t="s">
        <v>8651</v>
      </c>
      <c r="S1858" t="s">
        <v>628</v>
      </c>
      <c r="T1858" t="s">
        <v>91</v>
      </c>
      <c r="U1858" t="s">
        <v>74</v>
      </c>
      <c r="V1858" t="str">
        <f>"100214872"</f>
        <v>100214872</v>
      </c>
      <c r="AC1858" t="s">
        <v>76</v>
      </c>
      <c r="AD1858" t="s">
        <v>73</v>
      </c>
      <c r="AE1858" t="s">
        <v>97</v>
      </c>
      <c r="AF1858" t="s">
        <v>2242</v>
      </c>
      <c r="AG1858" t="s">
        <v>78</v>
      </c>
    </row>
    <row r="1859" spans="1:33" hidden="1" x14ac:dyDescent="0.25">
      <c r="A1859" t="str">
        <f>"1770849721"</f>
        <v>1770849721</v>
      </c>
      <c r="C1859" t="s">
        <v>8652</v>
      </c>
      <c r="G1859" t="s">
        <v>2224</v>
      </c>
      <c r="H1859" t="s">
        <v>2225</v>
      </c>
      <c r="J1859" t="s">
        <v>2226</v>
      </c>
      <c r="K1859" t="s">
        <v>93</v>
      </c>
      <c r="L1859" t="s">
        <v>96</v>
      </c>
      <c r="M1859" t="s">
        <v>73</v>
      </c>
      <c r="R1859" t="s">
        <v>8653</v>
      </c>
      <c r="S1859" t="s">
        <v>1745</v>
      </c>
      <c r="T1859" t="s">
        <v>91</v>
      </c>
      <c r="U1859" t="s">
        <v>74</v>
      </c>
      <c r="V1859" t="str">
        <f>"100219809"</f>
        <v>100219809</v>
      </c>
      <c r="AC1859" t="s">
        <v>76</v>
      </c>
      <c r="AD1859" t="s">
        <v>73</v>
      </c>
      <c r="AE1859" t="s">
        <v>97</v>
      </c>
      <c r="AF1859" t="s">
        <v>2242</v>
      </c>
      <c r="AG1859" t="s">
        <v>78</v>
      </c>
    </row>
    <row r="1860" spans="1:33" hidden="1" x14ac:dyDescent="0.25">
      <c r="A1860" t="str">
        <f>"1972948701"</f>
        <v>1972948701</v>
      </c>
      <c r="B1860" t="str">
        <f>"04451323"</f>
        <v>04451323</v>
      </c>
      <c r="C1860" t="s">
        <v>8654</v>
      </c>
      <c r="D1860" t="s">
        <v>8655</v>
      </c>
      <c r="E1860" t="s">
        <v>8656</v>
      </c>
      <c r="G1860" t="s">
        <v>2224</v>
      </c>
      <c r="H1860" t="s">
        <v>2225</v>
      </c>
      <c r="J1860" t="s">
        <v>2226</v>
      </c>
      <c r="L1860" t="s">
        <v>72</v>
      </c>
      <c r="M1860" t="s">
        <v>73</v>
      </c>
      <c r="R1860" t="s">
        <v>8657</v>
      </c>
      <c r="W1860" t="s">
        <v>8656</v>
      </c>
      <c r="AB1860" t="s">
        <v>75</v>
      </c>
      <c r="AC1860" t="s">
        <v>76</v>
      </c>
      <c r="AD1860" t="s">
        <v>73</v>
      </c>
      <c r="AE1860" t="s">
        <v>77</v>
      </c>
      <c r="AF1860" t="s">
        <v>2242</v>
      </c>
      <c r="AG1860" t="s">
        <v>78</v>
      </c>
    </row>
    <row r="1861" spans="1:33" hidden="1" x14ac:dyDescent="0.25">
      <c r="A1861" t="str">
        <f>"1780002345"</f>
        <v>1780002345</v>
      </c>
      <c r="C1861" t="s">
        <v>8658</v>
      </c>
      <c r="G1861" t="s">
        <v>2224</v>
      </c>
      <c r="H1861" t="s">
        <v>2225</v>
      </c>
      <c r="J1861" t="s">
        <v>2226</v>
      </c>
      <c r="K1861" t="s">
        <v>93</v>
      </c>
      <c r="L1861" t="s">
        <v>96</v>
      </c>
      <c r="M1861" t="s">
        <v>73</v>
      </c>
      <c r="R1861" t="s">
        <v>8659</v>
      </c>
      <c r="S1861" t="s">
        <v>1745</v>
      </c>
      <c r="T1861" t="s">
        <v>91</v>
      </c>
      <c r="U1861" t="s">
        <v>74</v>
      </c>
      <c r="V1861" t="str">
        <f>"10021"</f>
        <v>10021</v>
      </c>
      <c r="AC1861" t="s">
        <v>76</v>
      </c>
      <c r="AD1861" t="s">
        <v>73</v>
      </c>
      <c r="AE1861" t="s">
        <v>97</v>
      </c>
      <c r="AF1861" t="s">
        <v>2242</v>
      </c>
      <c r="AG1861" t="s">
        <v>78</v>
      </c>
    </row>
    <row r="1862" spans="1:33" hidden="1" x14ac:dyDescent="0.25">
      <c r="A1862" t="str">
        <f>"1790041960"</f>
        <v>1790041960</v>
      </c>
      <c r="B1862" t="str">
        <f>"04304798"</f>
        <v>04304798</v>
      </c>
      <c r="C1862" t="s">
        <v>8660</v>
      </c>
      <c r="D1862" t="s">
        <v>8661</v>
      </c>
      <c r="E1862" t="s">
        <v>8662</v>
      </c>
      <c r="G1862" t="s">
        <v>2224</v>
      </c>
      <c r="H1862" t="s">
        <v>2225</v>
      </c>
      <c r="J1862" t="s">
        <v>2226</v>
      </c>
      <c r="L1862" t="s">
        <v>72</v>
      </c>
      <c r="M1862" t="s">
        <v>73</v>
      </c>
      <c r="R1862" t="s">
        <v>8663</v>
      </c>
      <c r="W1862" t="s">
        <v>8662</v>
      </c>
      <c r="X1862" t="s">
        <v>238</v>
      </c>
      <c r="Y1862" t="s">
        <v>91</v>
      </c>
      <c r="Z1862" t="s">
        <v>74</v>
      </c>
      <c r="AA1862" t="str">
        <f>"10065-6007"</f>
        <v>10065-6007</v>
      </c>
      <c r="AB1862" t="s">
        <v>75</v>
      </c>
      <c r="AC1862" t="s">
        <v>76</v>
      </c>
      <c r="AD1862" t="s">
        <v>73</v>
      </c>
      <c r="AE1862" t="s">
        <v>77</v>
      </c>
      <c r="AF1862" t="s">
        <v>2234</v>
      </c>
      <c r="AG1862" t="s">
        <v>78</v>
      </c>
    </row>
    <row r="1863" spans="1:33" hidden="1" x14ac:dyDescent="0.25">
      <c r="A1863" t="str">
        <f>"1902172752"</f>
        <v>1902172752</v>
      </c>
      <c r="C1863" t="s">
        <v>8664</v>
      </c>
      <c r="G1863" t="s">
        <v>2224</v>
      </c>
      <c r="H1863" t="s">
        <v>2225</v>
      </c>
      <c r="J1863" t="s">
        <v>2226</v>
      </c>
      <c r="K1863" t="s">
        <v>93</v>
      </c>
      <c r="L1863" t="s">
        <v>96</v>
      </c>
      <c r="M1863" t="s">
        <v>73</v>
      </c>
      <c r="R1863" t="s">
        <v>8665</v>
      </c>
      <c r="S1863" t="s">
        <v>8666</v>
      </c>
      <c r="T1863" t="s">
        <v>91</v>
      </c>
      <c r="U1863" t="s">
        <v>74</v>
      </c>
      <c r="V1863" t="str">
        <f>"100215476"</f>
        <v>100215476</v>
      </c>
      <c r="AC1863" t="s">
        <v>76</v>
      </c>
      <c r="AD1863" t="s">
        <v>73</v>
      </c>
      <c r="AE1863" t="s">
        <v>97</v>
      </c>
      <c r="AF1863" t="s">
        <v>2234</v>
      </c>
      <c r="AG1863" t="s">
        <v>78</v>
      </c>
    </row>
    <row r="1864" spans="1:33" hidden="1" x14ac:dyDescent="0.25">
      <c r="A1864" t="str">
        <f>"1992047146"</f>
        <v>1992047146</v>
      </c>
      <c r="C1864" t="s">
        <v>8667</v>
      </c>
      <c r="G1864" t="s">
        <v>2224</v>
      </c>
      <c r="H1864" t="s">
        <v>2225</v>
      </c>
      <c r="J1864" t="s">
        <v>2226</v>
      </c>
      <c r="K1864" t="s">
        <v>93</v>
      </c>
      <c r="L1864" t="s">
        <v>96</v>
      </c>
      <c r="M1864" t="s">
        <v>73</v>
      </c>
      <c r="R1864" t="s">
        <v>8668</v>
      </c>
      <c r="S1864" t="s">
        <v>628</v>
      </c>
      <c r="T1864" t="s">
        <v>91</v>
      </c>
      <c r="U1864" t="s">
        <v>74</v>
      </c>
      <c r="V1864" t="str">
        <f>"100214872"</f>
        <v>100214872</v>
      </c>
      <c r="AC1864" t="s">
        <v>76</v>
      </c>
      <c r="AD1864" t="s">
        <v>73</v>
      </c>
      <c r="AE1864" t="s">
        <v>97</v>
      </c>
      <c r="AF1864" t="s">
        <v>2242</v>
      </c>
      <c r="AG1864" t="s">
        <v>78</v>
      </c>
    </row>
    <row r="1865" spans="1:33" hidden="1" x14ac:dyDescent="0.25">
      <c r="A1865" t="str">
        <f>"1033537048"</f>
        <v>1033537048</v>
      </c>
      <c r="C1865" t="s">
        <v>8669</v>
      </c>
      <c r="G1865" t="s">
        <v>2224</v>
      </c>
      <c r="H1865" t="s">
        <v>2225</v>
      </c>
      <c r="J1865" t="s">
        <v>2226</v>
      </c>
      <c r="K1865" t="s">
        <v>93</v>
      </c>
      <c r="L1865" t="s">
        <v>96</v>
      </c>
      <c r="M1865" t="s">
        <v>73</v>
      </c>
      <c r="R1865" t="s">
        <v>8670</v>
      </c>
      <c r="S1865" t="s">
        <v>1745</v>
      </c>
      <c r="T1865" t="s">
        <v>91</v>
      </c>
      <c r="U1865" t="s">
        <v>74</v>
      </c>
      <c r="V1865" t="str">
        <f>"10021"</f>
        <v>10021</v>
      </c>
      <c r="AC1865" t="s">
        <v>76</v>
      </c>
      <c r="AD1865" t="s">
        <v>73</v>
      </c>
      <c r="AE1865" t="s">
        <v>97</v>
      </c>
      <c r="AF1865" t="s">
        <v>2242</v>
      </c>
      <c r="AG1865" t="s">
        <v>78</v>
      </c>
    </row>
    <row r="1866" spans="1:33" hidden="1" x14ac:dyDescent="0.25">
      <c r="A1866" t="str">
        <f>"1467897355"</f>
        <v>1467897355</v>
      </c>
      <c r="B1866" t="str">
        <f>"04451534"</f>
        <v>04451534</v>
      </c>
      <c r="C1866" t="s">
        <v>8671</v>
      </c>
      <c r="D1866" t="s">
        <v>8672</v>
      </c>
      <c r="E1866" t="s">
        <v>8673</v>
      </c>
      <c r="G1866" t="s">
        <v>2224</v>
      </c>
      <c r="H1866" t="s">
        <v>2225</v>
      </c>
      <c r="J1866" t="s">
        <v>2226</v>
      </c>
      <c r="L1866" t="s">
        <v>72</v>
      </c>
      <c r="M1866" t="s">
        <v>73</v>
      </c>
      <c r="R1866" t="s">
        <v>8673</v>
      </c>
      <c r="W1866" t="s">
        <v>8674</v>
      </c>
      <c r="AB1866" t="s">
        <v>75</v>
      </c>
      <c r="AC1866" t="s">
        <v>76</v>
      </c>
      <c r="AD1866" t="s">
        <v>73</v>
      </c>
      <c r="AE1866" t="s">
        <v>77</v>
      </c>
      <c r="AF1866" t="s">
        <v>2242</v>
      </c>
      <c r="AG1866" t="s">
        <v>78</v>
      </c>
    </row>
    <row r="1867" spans="1:33" hidden="1" x14ac:dyDescent="0.25">
      <c r="A1867" t="str">
        <f>"1467866194"</f>
        <v>1467866194</v>
      </c>
      <c r="C1867" t="s">
        <v>8675</v>
      </c>
      <c r="G1867" t="s">
        <v>2224</v>
      </c>
      <c r="H1867" t="s">
        <v>2225</v>
      </c>
      <c r="J1867" t="s">
        <v>2226</v>
      </c>
      <c r="K1867" t="s">
        <v>93</v>
      </c>
      <c r="L1867" t="s">
        <v>96</v>
      </c>
      <c r="M1867" t="s">
        <v>73</v>
      </c>
      <c r="R1867" t="s">
        <v>8676</v>
      </c>
      <c r="S1867" t="s">
        <v>7459</v>
      </c>
      <c r="T1867" t="s">
        <v>91</v>
      </c>
      <c r="U1867" t="s">
        <v>74</v>
      </c>
      <c r="V1867" t="str">
        <f>"100214872"</f>
        <v>100214872</v>
      </c>
      <c r="AC1867" t="s">
        <v>76</v>
      </c>
      <c r="AD1867" t="s">
        <v>73</v>
      </c>
      <c r="AE1867" t="s">
        <v>97</v>
      </c>
      <c r="AF1867" t="s">
        <v>2242</v>
      </c>
      <c r="AG1867" t="s">
        <v>78</v>
      </c>
    </row>
    <row r="1868" spans="1:33" hidden="1" x14ac:dyDescent="0.25">
      <c r="A1868" t="str">
        <f>"1255680997"</f>
        <v>1255680997</v>
      </c>
      <c r="C1868" t="s">
        <v>8677</v>
      </c>
      <c r="G1868" t="s">
        <v>2224</v>
      </c>
      <c r="H1868" t="s">
        <v>2225</v>
      </c>
      <c r="J1868" t="s">
        <v>2226</v>
      </c>
      <c r="K1868" t="s">
        <v>93</v>
      </c>
      <c r="L1868" t="s">
        <v>96</v>
      </c>
      <c r="M1868" t="s">
        <v>73</v>
      </c>
      <c r="R1868" t="s">
        <v>8678</v>
      </c>
      <c r="S1868" t="s">
        <v>1745</v>
      </c>
      <c r="T1868" t="s">
        <v>91</v>
      </c>
      <c r="U1868" t="s">
        <v>74</v>
      </c>
      <c r="V1868" t="str">
        <f>"10021"</f>
        <v>10021</v>
      </c>
      <c r="AC1868" t="s">
        <v>76</v>
      </c>
      <c r="AD1868" t="s">
        <v>73</v>
      </c>
      <c r="AE1868" t="s">
        <v>97</v>
      </c>
      <c r="AF1868" t="s">
        <v>2234</v>
      </c>
      <c r="AG1868" t="s">
        <v>78</v>
      </c>
    </row>
    <row r="1869" spans="1:33" hidden="1" x14ac:dyDescent="0.25">
      <c r="A1869" t="str">
        <f>"1033538970"</f>
        <v>1033538970</v>
      </c>
      <c r="C1869" t="s">
        <v>8679</v>
      </c>
      <c r="G1869" t="s">
        <v>2224</v>
      </c>
      <c r="H1869" t="s">
        <v>2225</v>
      </c>
      <c r="J1869" t="s">
        <v>2226</v>
      </c>
      <c r="K1869" t="s">
        <v>93</v>
      </c>
      <c r="L1869" t="s">
        <v>96</v>
      </c>
      <c r="M1869" t="s">
        <v>73</v>
      </c>
      <c r="R1869" t="s">
        <v>8680</v>
      </c>
      <c r="S1869" t="s">
        <v>628</v>
      </c>
      <c r="T1869" t="s">
        <v>91</v>
      </c>
      <c r="U1869" t="s">
        <v>74</v>
      </c>
      <c r="V1869" t="str">
        <f>"100214872"</f>
        <v>100214872</v>
      </c>
      <c r="AC1869" t="s">
        <v>76</v>
      </c>
      <c r="AD1869" t="s">
        <v>73</v>
      </c>
      <c r="AE1869" t="s">
        <v>97</v>
      </c>
      <c r="AF1869" t="s">
        <v>2242</v>
      </c>
      <c r="AG1869" t="s">
        <v>78</v>
      </c>
    </row>
    <row r="1870" spans="1:33" hidden="1" x14ac:dyDescent="0.25">
      <c r="A1870" t="str">
        <f>"1285077065"</f>
        <v>1285077065</v>
      </c>
      <c r="C1870" t="s">
        <v>8681</v>
      </c>
      <c r="G1870" t="s">
        <v>2224</v>
      </c>
      <c r="H1870" t="s">
        <v>2225</v>
      </c>
      <c r="J1870" t="s">
        <v>2226</v>
      </c>
      <c r="K1870" t="s">
        <v>93</v>
      </c>
      <c r="L1870" t="s">
        <v>96</v>
      </c>
      <c r="M1870" t="s">
        <v>73</v>
      </c>
      <c r="R1870" t="s">
        <v>8682</v>
      </c>
      <c r="S1870" t="s">
        <v>1745</v>
      </c>
      <c r="T1870" t="s">
        <v>91</v>
      </c>
      <c r="U1870" t="s">
        <v>74</v>
      </c>
      <c r="V1870" t="str">
        <f>"10021"</f>
        <v>10021</v>
      </c>
      <c r="AC1870" t="s">
        <v>76</v>
      </c>
      <c r="AD1870" t="s">
        <v>73</v>
      </c>
      <c r="AE1870" t="s">
        <v>97</v>
      </c>
      <c r="AF1870" t="s">
        <v>2242</v>
      </c>
      <c r="AG1870" t="s">
        <v>78</v>
      </c>
    </row>
    <row r="1871" spans="1:33" hidden="1" x14ac:dyDescent="0.25">
      <c r="A1871" t="str">
        <f>"1922364926"</f>
        <v>1922364926</v>
      </c>
      <c r="C1871" t="s">
        <v>8683</v>
      </c>
      <c r="G1871" t="s">
        <v>2224</v>
      </c>
      <c r="H1871" t="s">
        <v>2225</v>
      </c>
      <c r="J1871" t="s">
        <v>2226</v>
      </c>
      <c r="K1871" t="s">
        <v>93</v>
      </c>
      <c r="L1871" t="s">
        <v>96</v>
      </c>
      <c r="M1871" t="s">
        <v>73</v>
      </c>
      <c r="R1871" t="s">
        <v>8684</v>
      </c>
      <c r="S1871" t="s">
        <v>628</v>
      </c>
      <c r="T1871" t="s">
        <v>91</v>
      </c>
      <c r="U1871" t="s">
        <v>74</v>
      </c>
      <c r="V1871" t="str">
        <f>"100214872"</f>
        <v>100214872</v>
      </c>
      <c r="AC1871" t="s">
        <v>76</v>
      </c>
      <c r="AD1871" t="s">
        <v>73</v>
      </c>
      <c r="AE1871" t="s">
        <v>97</v>
      </c>
      <c r="AF1871" t="s">
        <v>2228</v>
      </c>
      <c r="AG1871" t="s">
        <v>78</v>
      </c>
    </row>
    <row r="1872" spans="1:33" hidden="1" x14ac:dyDescent="0.25">
      <c r="A1872" t="str">
        <f>"1629334339"</f>
        <v>1629334339</v>
      </c>
      <c r="C1872" t="s">
        <v>8685</v>
      </c>
      <c r="G1872" t="s">
        <v>2224</v>
      </c>
      <c r="H1872" t="s">
        <v>2312</v>
      </c>
      <c r="J1872" t="s">
        <v>2226</v>
      </c>
      <c r="K1872" t="s">
        <v>171</v>
      </c>
      <c r="L1872" t="s">
        <v>96</v>
      </c>
      <c r="M1872" t="s">
        <v>73</v>
      </c>
      <c r="R1872" t="s">
        <v>8686</v>
      </c>
      <c r="S1872" t="s">
        <v>8687</v>
      </c>
      <c r="T1872" t="s">
        <v>91</v>
      </c>
      <c r="U1872" t="s">
        <v>74</v>
      </c>
      <c r="V1872" t="str">
        <f>"100654870"</f>
        <v>100654870</v>
      </c>
      <c r="AC1872" t="s">
        <v>76</v>
      </c>
      <c r="AD1872" t="s">
        <v>73</v>
      </c>
      <c r="AE1872" t="s">
        <v>97</v>
      </c>
      <c r="AF1872" t="s">
        <v>2242</v>
      </c>
      <c r="AG1872" t="s">
        <v>78</v>
      </c>
    </row>
    <row r="1873" spans="1:33" hidden="1" x14ac:dyDescent="0.25">
      <c r="A1873" t="str">
        <f>"1114160074"</f>
        <v>1114160074</v>
      </c>
      <c r="B1873" t="str">
        <f>"03920321"</f>
        <v>03920321</v>
      </c>
      <c r="C1873" t="s">
        <v>8688</v>
      </c>
      <c r="D1873" t="s">
        <v>8689</v>
      </c>
      <c r="E1873" t="s">
        <v>8690</v>
      </c>
      <c r="L1873" t="s">
        <v>72</v>
      </c>
      <c r="M1873" t="s">
        <v>73</v>
      </c>
      <c r="R1873" t="s">
        <v>8690</v>
      </c>
      <c r="W1873" t="s">
        <v>8690</v>
      </c>
      <c r="X1873" t="s">
        <v>170</v>
      </c>
      <c r="Y1873" t="s">
        <v>91</v>
      </c>
      <c r="Z1873" t="s">
        <v>74</v>
      </c>
      <c r="AA1873" t="str">
        <f>"10065-4870"</f>
        <v>10065-4870</v>
      </c>
      <c r="AB1873" t="s">
        <v>75</v>
      </c>
      <c r="AC1873" t="s">
        <v>76</v>
      </c>
      <c r="AD1873" t="s">
        <v>73</v>
      </c>
      <c r="AE1873" t="s">
        <v>77</v>
      </c>
      <c r="AF1873" t="s">
        <v>2242</v>
      </c>
      <c r="AG1873" t="s">
        <v>78</v>
      </c>
    </row>
    <row r="1874" spans="1:33" hidden="1" x14ac:dyDescent="0.25">
      <c r="A1874" t="str">
        <f>"1003108168"</f>
        <v>1003108168</v>
      </c>
      <c r="B1874" t="str">
        <f>"04179764"</f>
        <v>04179764</v>
      </c>
      <c r="C1874" t="s">
        <v>8691</v>
      </c>
      <c r="D1874" t="s">
        <v>8692</v>
      </c>
      <c r="E1874" t="s">
        <v>8693</v>
      </c>
      <c r="G1874" t="s">
        <v>2224</v>
      </c>
      <c r="H1874" t="s">
        <v>2312</v>
      </c>
      <c r="J1874" t="s">
        <v>2226</v>
      </c>
      <c r="L1874" t="s">
        <v>80</v>
      </c>
      <c r="M1874" t="s">
        <v>73</v>
      </c>
      <c r="R1874" t="s">
        <v>8694</v>
      </c>
      <c r="W1874" t="s">
        <v>8693</v>
      </c>
      <c r="X1874" t="s">
        <v>1218</v>
      </c>
      <c r="Y1874" t="s">
        <v>132</v>
      </c>
      <c r="Z1874" t="s">
        <v>74</v>
      </c>
      <c r="AA1874" t="str">
        <f>"10595-1530"</f>
        <v>10595-1530</v>
      </c>
      <c r="AB1874" t="s">
        <v>75</v>
      </c>
      <c r="AC1874" t="s">
        <v>76</v>
      </c>
      <c r="AD1874" t="s">
        <v>73</v>
      </c>
      <c r="AE1874" t="s">
        <v>77</v>
      </c>
      <c r="AF1874" t="s">
        <v>2234</v>
      </c>
      <c r="AG1874" t="s">
        <v>78</v>
      </c>
    </row>
    <row r="1875" spans="1:33" hidden="1" x14ac:dyDescent="0.25">
      <c r="A1875" t="str">
        <f>"1902950611"</f>
        <v>1902950611</v>
      </c>
      <c r="B1875" t="str">
        <f>"01562770"</f>
        <v>01562770</v>
      </c>
      <c r="C1875" t="s">
        <v>8695</v>
      </c>
      <c r="D1875" t="s">
        <v>436</v>
      </c>
      <c r="E1875" t="s">
        <v>437</v>
      </c>
      <c r="G1875" t="s">
        <v>2224</v>
      </c>
      <c r="H1875" t="s">
        <v>2225</v>
      </c>
      <c r="J1875" t="s">
        <v>2226</v>
      </c>
      <c r="L1875" t="s">
        <v>81</v>
      </c>
      <c r="M1875" t="s">
        <v>82</v>
      </c>
      <c r="R1875" t="s">
        <v>438</v>
      </c>
      <c r="W1875" t="s">
        <v>437</v>
      </c>
      <c r="X1875" t="s">
        <v>272</v>
      </c>
      <c r="Y1875" t="s">
        <v>91</v>
      </c>
      <c r="Z1875" t="s">
        <v>74</v>
      </c>
      <c r="AA1875" t="str">
        <f>"10038-2612"</f>
        <v>10038-2612</v>
      </c>
      <c r="AB1875" t="s">
        <v>75</v>
      </c>
      <c r="AC1875" t="s">
        <v>76</v>
      </c>
      <c r="AD1875" t="s">
        <v>73</v>
      </c>
      <c r="AE1875" t="s">
        <v>77</v>
      </c>
      <c r="AF1875" t="s">
        <v>2242</v>
      </c>
      <c r="AG1875" t="s">
        <v>78</v>
      </c>
    </row>
    <row r="1876" spans="1:33" hidden="1" x14ac:dyDescent="0.25">
      <c r="A1876" t="str">
        <f>"1700923638"</f>
        <v>1700923638</v>
      </c>
      <c r="B1876" t="str">
        <f>"02692340"</f>
        <v>02692340</v>
      </c>
      <c r="C1876" t="s">
        <v>8696</v>
      </c>
      <c r="D1876" t="s">
        <v>8697</v>
      </c>
      <c r="E1876" t="s">
        <v>8698</v>
      </c>
      <c r="L1876" t="s">
        <v>72</v>
      </c>
      <c r="M1876" t="s">
        <v>73</v>
      </c>
      <c r="R1876" t="s">
        <v>8699</v>
      </c>
      <c r="W1876" t="s">
        <v>8698</v>
      </c>
      <c r="X1876" t="s">
        <v>135</v>
      </c>
      <c r="Y1876" t="s">
        <v>84</v>
      </c>
      <c r="Z1876" t="s">
        <v>74</v>
      </c>
      <c r="AA1876" t="str">
        <f>"11212-3139"</f>
        <v>11212-3139</v>
      </c>
      <c r="AB1876" t="s">
        <v>75</v>
      </c>
      <c r="AC1876" t="s">
        <v>76</v>
      </c>
      <c r="AD1876" t="s">
        <v>73</v>
      </c>
      <c r="AE1876" t="s">
        <v>77</v>
      </c>
      <c r="AF1876" t="s">
        <v>2228</v>
      </c>
      <c r="AG1876" t="s">
        <v>78</v>
      </c>
    </row>
    <row r="1877" spans="1:33" hidden="1" x14ac:dyDescent="0.25">
      <c r="A1877" t="str">
        <f>"1720217839"</f>
        <v>1720217839</v>
      </c>
      <c r="B1877" t="str">
        <f>"03623916"</f>
        <v>03623916</v>
      </c>
      <c r="C1877" t="s">
        <v>8700</v>
      </c>
      <c r="D1877" t="s">
        <v>2006</v>
      </c>
      <c r="E1877" t="s">
        <v>2007</v>
      </c>
      <c r="L1877" t="s">
        <v>80</v>
      </c>
      <c r="M1877" t="s">
        <v>73</v>
      </c>
      <c r="R1877" t="s">
        <v>2008</v>
      </c>
      <c r="W1877" t="s">
        <v>2007</v>
      </c>
      <c r="X1877" t="s">
        <v>1379</v>
      </c>
      <c r="Y1877" t="s">
        <v>91</v>
      </c>
      <c r="Z1877" t="s">
        <v>74</v>
      </c>
      <c r="AA1877" t="str">
        <f>"10032-3720"</f>
        <v>10032-3720</v>
      </c>
      <c r="AB1877" t="s">
        <v>75</v>
      </c>
      <c r="AC1877" t="s">
        <v>76</v>
      </c>
      <c r="AD1877" t="s">
        <v>73</v>
      </c>
      <c r="AE1877" t="s">
        <v>77</v>
      </c>
      <c r="AG1877" t="s">
        <v>78</v>
      </c>
    </row>
    <row r="1878" spans="1:33" hidden="1" x14ac:dyDescent="0.25">
      <c r="A1878" t="str">
        <f>"1609801091"</f>
        <v>1609801091</v>
      </c>
      <c r="B1878" t="str">
        <f>"01847070"</f>
        <v>01847070</v>
      </c>
      <c r="C1878" t="s">
        <v>8701</v>
      </c>
      <c r="D1878" t="s">
        <v>8702</v>
      </c>
      <c r="E1878" t="s">
        <v>8703</v>
      </c>
      <c r="L1878" t="s">
        <v>88</v>
      </c>
      <c r="M1878" t="s">
        <v>73</v>
      </c>
      <c r="R1878" t="s">
        <v>8704</v>
      </c>
      <c r="W1878" t="s">
        <v>8703</v>
      </c>
      <c r="X1878" t="s">
        <v>2085</v>
      </c>
      <c r="Y1878" t="s">
        <v>91</v>
      </c>
      <c r="Z1878" t="s">
        <v>74</v>
      </c>
      <c r="AA1878" t="str">
        <f>"10032-3720"</f>
        <v>10032-3720</v>
      </c>
      <c r="AB1878" t="s">
        <v>75</v>
      </c>
      <c r="AC1878" t="s">
        <v>76</v>
      </c>
      <c r="AD1878" t="s">
        <v>73</v>
      </c>
      <c r="AE1878" t="s">
        <v>77</v>
      </c>
      <c r="AF1878" t="s">
        <v>2228</v>
      </c>
      <c r="AG1878" t="s">
        <v>78</v>
      </c>
    </row>
    <row r="1879" spans="1:33" hidden="1" x14ac:dyDescent="0.25">
      <c r="A1879" t="str">
        <f>"1710040779"</f>
        <v>1710040779</v>
      </c>
      <c r="B1879" t="str">
        <f>"02403405"</f>
        <v>02403405</v>
      </c>
      <c r="C1879" t="s">
        <v>8705</v>
      </c>
      <c r="D1879" t="s">
        <v>8706</v>
      </c>
      <c r="E1879" t="s">
        <v>8707</v>
      </c>
      <c r="G1879" t="s">
        <v>2224</v>
      </c>
      <c r="H1879" t="s">
        <v>2225</v>
      </c>
      <c r="J1879" t="s">
        <v>2226</v>
      </c>
      <c r="L1879" t="s">
        <v>100</v>
      </c>
      <c r="M1879" t="s">
        <v>73</v>
      </c>
      <c r="R1879" t="s">
        <v>8708</v>
      </c>
      <c r="W1879" t="s">
        <v>8709</v>
      </c>
      <c r="X1879" t="s">
        <v>2925</v>
      </c>
      <c r="Y1879" t="s">
        <v>91</v>
      </c>
      <c r="Z1879" t="s">
        <v>74</v>
      </c>
      <c r="AA1879" t="str">
        <f>"10032-3720"</f>
        <v>10032-3720</v>
      </c>
      <c r="AB1879" t="s">
        <v>106</v>
      </c>
      <c r="AC1879" t="s">
        <v>76</v>
      </c>
      <c r="AD1879" t="s">
        <v>73</v>
      </c>
      <c r="AE1879" t="s">
        <v>77</v>
      </c>
      <c r="AF1879" t="s">
        <v>2234</v>
      </c>
      <c r="AG1879" t="s">
        <v>78</v>
      </c>
    </row>
    <row r="1880" spans="1:33" hidden="1" x14ac:dyDescent="0.25">
      <c r="A1880" t="str">
        <f>"1811148224"</f>
        <v>1811148224</v>
      </c>
      <c r="B1880" t="str">
        <f>"03558078"</f>
        <v>03558078</v>
      </c>
      <c r="C1880" t="s">
        <v>8710</v>
      </c>
      <c r="D1880" t="s">
        <v>8711</v>
      </c>
      <c r="E1880" t="s">
        <v>8712</v>
      </c>
      <c r="G1880" t="s">
        <v>2224</v>
      </c>
      <c r="H1880" t="s">
        <v>2225</v>
      </c>
      <c r="J1880" t="s">
        <v>2226</v>
      </c>
      <c r="L1880" t="s">
        <v>80</v>
      </c>
      <c r="M1880" t="s">
        <v>73</v>
      </c>
      <c r="R1880" t="s">
        <v>8713</v>
      </c>
      <c r="W1880" t="s">
        <v>8712</v>
      </c>
      <c r="X1880" t="s">
        <v>221</v>
      </c>
      <c r="Y1880" t="s">
        <v>91</v>
      </c>
      <c r="Z1880" t="s">
        <v>74</v>
      </c>
      <c r="AA1880" t="str">
        <f>"10029-5204"</f>
        <v>10029-5204</v>
      </c>
      <c r="AB1880" t="s">
        <v>75</v>
      </c>
      <c r="AC1880" t="s">
        <v>76</v>
      </c>
      <c r="AD1880" t="s">
        <v>73</v>
      </c>
      <c r="AE1880" t="s">
        <v>77</v>
      </c>
      <c r="AF1880" t="s">
        <v>2234</v>
      </c>
      <c r="AG1880" t="s">
        <v>78</v>
      </c>
    </row>
    <row r="1881" spans="1:33" hidden="1" x14ac:dyDescent="0.25">
      <c r="A1881" t="str">
        <f>"1811154891"</f>
        <v>1811154891</v>
      </c>
      <c r="B1881" t="str">
        <f>"03638722"</f>
        <v>03638722</v>
      </c>
      <c r="C1881" t="s">
        <v>8714</v>
      </c>
      <c r="D1881" t="s">
        <v>8715</v>
      </c>
      <c r="E1881" t="s">
        <v>8716</v>
      </c>
      <c r="G1881" t="s">
        <v>2224</v>
      </c>
      <c r="H1881" t="s">
        <v>2225</v>
      </c>
      <c r="J1881" t="s">
        <v>2226</v>
      </c>
      <c r="L1881" t="s">
        <v>80</v>
      </c>
      <c r="M1881" t="s">
        <v>73</v>
      </c>
      <c r="R1881" t="s">
        <v>8717</v>
      </c>
      <c r="W1881" t="s">
        <v>8716</v>
      </c>
      <c r="X1881" t="s">
        <v>309</v>
      </c>
      <c r="Y1881" t="s">
        <v>91</v>
      </c>
      <c r="Z1881" t="s">
        <v>74</v>
      </c>
      <c r="AA1881" t="str">
        <f>"10032-3724"</f>
        <v>10032-3724</v>
      </c>
      <c r="AB1881" t="s">
        <v>75</v>
      </c>
      <c r="AC1881" t="s">
        <v>76</v>
      </c>
      <c r="AD1881" t="s">
        <v>73</v>
      </c>
      <c r="AE1881" t="s">
        <v>77</v>
      </c>
      <c r="AF1881" t="s">
        <v>2254</v>
      </c>
      <c r="AG1881" t="s">
        <v>78</v>
      </c>
    </row>
    <row r="1882" spans="1:33" hidden="1" x14ac:dyDescent="0.25">
      <c r="A1882" t="str">
        <f>"1184774069"</f>
        <v>1184774069</v>
      </c>
      <c r="B1882" t="str">
        <f>"02990334"</f>
        <v>02990334</v>
      </c>
      <c r="C1882" t="s">
        <v>8718</v>
      </c>
      <c r="D1882" t="s">
        <v>8719</v>
      </c>
      <c r="E1882" t="s">
        <v>8720</v>
      </c>
      <c r="G1882" t="s">
        <v>2224</v>
      </c>
      <c r="H1882" t="s">
        <v>2225</v>
      </c>
      <c r="J1882" t="s">
        <v>2226</v>
      </c>
      <c r="L1882" t="s">
        <v>72</v>
      </c>
      <c r="M1882" t="s">
        <v>73</v>
      </c>
      <c r="R1882" t="s">
        <v>8721</v>
      </c>
      <c r="W1882" t="s">
        <v>8722</v>
      </c>
      <c r="X1882" t="s">
        <v>1981</v>
      </c>
      <c r="Y1882" t="s">
        <v>91</v>
      </c>
      <c r="Z1882" t="s">
        <v>74</v>
      </c>
      <c r="AA1882" t="str">
        <f>"10032-1559"</f>
        <v>10032-1559</v>
      </c>
      <c r="AB1882" t="s">
        <v>75</v>
      </c>
      <c r="AC1882" t="s">
        <v>76</v>
      </c>
      <c r="AD1882" t="s">
        <v>73</v>
      </c>
      <c r="AE1882" t="s">
        <v>77</v>
      </c>
      <c r="AF1882" t="s">
        <v>2228</v>
      </c>
      <c r="AG1882" t="s">
        <v>78</v>
      </c>
    </row>
    <row r="1883" spans="1:33" hidden="1" x14ac:dyDescent="0.25">
      <c r="A1883" t="str">
        <f>"1861665929"</f>
        <v>1861665929</v>
      </c>
      <c r="B1883" t="str">
        <f>"03108156"</f>
        <v>03108156</v>
      </c>
      <c r="C1883" t="s">
        <v>8723</v>
      </c>
      <c r="D1883" t="s">
        <v>8724</v>
      </c>
      <c r="E1883" t="s">
        <v>8725</v>
      </c>
      <c r="G1883" t="s">
        <v>2224</v>
      </c>
      <c r="H1883" t="s">
        <v>2225</v>
      </c>
      <c r="J1883" t="s">
        <v>2226</v>
      </c>
      <c r="L1883" t="s">
        <v>72</v>
      </c>
      <c r="M1883" t="s">
        <v>73</v>
      </c>
      <c r="R1883" t="s">
        <v>8726</v>
      </c>
      <c r="W1883" t="s">
        <v>8725</v>
      </c>
      <c r="X1883" t="s">
        <v>8727</v>
      </c>
      <c r="Y1883" t="s">
        <v>91</v>
      </c>
      <c r="Z1883" t="s">
        <v>74</v>
      </c>
      <c r="AA1883" t="str">
        <f>"10032-3720"</f>
        <v>10032-3720</v>
      </c>
      <c r="AB1883" t="s">
        <v>104</v>
      </c>
      <c r="AC1883" t="s">
        <v>76</v>
      </c>
      <c r="AD1883" t="s">
        <v>73</v>
      </c>
      <c r="AE1883" t="s">
        <v>77</v>
      </c>
      <c r="AF1883" t="s">
        <v>2234</v>
      </c>
      <c r="AG1883" t="s">
        <v>78</v>
      </c>
    </row>
    <row r="1884" spans="1:33" hidden="1" x14ac:dyDescent="0.25">
      <c r="A1884" t="str">
        <f>"1871516344"</f>
        <v>1871516344</v>
      </c>
      <c r="B1884" t="str">
        <f>"01446515"</f>
        <v>01446515</v>
      </c>
      <c r="C1884" t="s">
        <v>8728</v>
      </c>
      <c r="D1884" t="s">
        <v>8729</v>
      </c>
      <c r="E1884" t="s">
        <v>8730</v>
      </c>
      <c r="G1884" t="s">
        <v>2224</v>
      </c>
      <c r="H1884" t="s">
        <v>2225</v>
      </c>
      <c r="J1884" t="s">
        <v>2226</v>
      </c>
      <c r="L1884" t="s">
        <v>72</v>
      </c>
      <c r="M1884" t="s">
        <v>73</v>
      </c>
      <c r="R1884" t="s">
        <v>8731</v>
      </c>
      <c r="W1884" t="s">
        <v>8730</v>
      </c>
      <c r="X1884" t="s">
        <v>8732</v>
      </c>
      <c r="Y1884" t="s">
        <v>84</v>
      </c>
      <c r="Z1884" t="s">
        <v>74</v>
      </c>
      <c r="AA1884" t="str">
        <f>"11220-2559"</f>
        <v>11220-2559</v>
      </c>
      <c r="AB1884" t="s">
        <v>75</v>
      </c>
      <c r="AC1884" t="s">
        <v>76</v>
      </c>
      <c r="AD1884" t="s">
        <v>73</v>
      </c>
      <c r="AE1884" t="s">
        <v>77</v>
      </c>
      <c r="AF1884" t="s">
        <v>2254</v>
      </c>
      <c r="AG1884" t="s">
        <v>78</v>
      </c>
    </row>
    <row r="1885" spans="1:33" hidden="1" x14ac:dyDescent="0.25">
      <c r="A1885" t="str">
        <f>"1508024886"</f>
        <v>1508024886</v>
      </c>
      <c r="B1885" t="str">
        <f>"03255850"</f>
        <v>03255850</v>
      </c>
      <c r="C1885" t="s">
        <v>8733</v>
      </c>
      <c r="D1885" t="s">
        <v>8734</v>
      </c>
      <c r="E1885" t="s">
        <v>8735</v>
      </c>
      <c r="G1885" t="s">
        <v>2224</v>
      </c>
      <c r="H1885" t="s">
        <v>2225</v>
      </c>
      <c r="J1885" t="s">
        <v>2226</v>
      </c>
      <c r="L1885" t="s">
        <v>80</v>
      </c>
      <c r="M1885" t="s">
        <v>73</v>
      </c>
      <c r="R1885" t="s">
        <v>8736</v>
      </c>
      <c r="W1885" t="s">
        <v>8735</v>
      </c>
      <c r="X1885" t="s">
        <v>170</v>
      </c>
      <c r="Y1885" t="s">
        <v>91</v>
      </c>
      <c r="Z1885" t="s">
        <v>74</v>
      </c>
      <c r="AA1885" t="str">
        <f>"10065-4870"</f>
        <v>10065-4870</v>
      </c>
      <c r="AB1885" t="s">
        <v>75</v>
      </c>
      <c r="AC1885" t="s">
        <v>76</v>
      </c>
      <c r="AD1885" t="s">
        <v>73</v>
      </c>
      <c r="AE1885" t="s">
        <v>77</v>
      </c>
      <c r="AF1885" t="s">
        <v>2242</v>
      </c>
      <c r="AG1885" t="s">
        <v>78</v>
      </c>
    </row>
    <row r="1886" spans="1:33" hidden="1" x14ac:dyDescent="0.25">
      <c r="A1886" t="str">
        <f>"1508801630"</f>
        <v>1508801630</v>
      </c>
      <c r="B1886" t="str">
        <f>"01825387"</f>
        <v>01825387</v>
      </c>
      <c r="C1886" t="s">
        <v>8737</v>
      </c>
      <c r="D1886" t="s">
        <v>8738</v>
      </c>
      <c r="E1886" t="s">
        <v>8739</v>
      </c>
      <c r="G1886" t="s">
        <v>2224</v>
      </c>
      <c r="H1886" t="s">
        <v>2225</v>
      </c>
      <c r="J1886" t="s">
        <v>2226</v>
      </c>
      <c r="L1886" t="s">
        <v>72</v>
      </c>
      <c r="M1886" t="s">
        <v>73</v>
      </c>
      <c r="R1886" t="s">
        <v>8740</v>
      </c>
      <c r="W1886" t="s">
        <v>8741</v>
      </c>
      <c r="Y1886" t="s">
        <v>91</v>
      </c>
      <c r="Z1886" t="s">
        <v>74</v>
      </c>
      <c r="AA1886" t="str">
        <f>"10032-3720"</f>
        <v>10032-3720</v>
      </c>
      <c r="AB1886" t="s">
        <v>75</v>
      </c>
      <c r="AC1886" t="s">
        <v>76</v>
      </c>
      <c r="AD1886" t="s">
        <v>73</v>
      </c>
      <c r="AE1886" t="s">
        <v>77</v>
      </c>
      <c r="AF1886" t="s">
        <v>2228</v>
      </c>
      <c r="AG1886" t="s">
        <v>78</v>
      </c>
    </row>
    <row r="1887" spans="1:33" hidden="1" x14ac:dyDescent="0.25">
      <c r="A1887" t="str">
        <f>"1578635561"</f>
        <v>1578635561</v>
      </c>
      <c r="B1887" t="str">
        <f>"01095110"</f>
        <v>01095110</v>
      </c>
      <c r="C1887" t="s">
        <v>1327</v>
      </c>
      <c r="D1887" t="s">
        <v>1328</v>
      </c>
      <c r="E1887" t="s">
        <v>1329</v>
      </c>
      <c r="G1887" t="s">
        <v>1330</v>
      </c>
      <c r="H1887" t="s">
        <v>1331</v>
      </c>
      <c r="J1887" t="s">
        <v>8742</v>
      </c>
      <c r="L1887" t="s">
        <v>101</v>
      </c>
      <c r="M1887" t="s">
        <v>82</v>
      </c>
      <c r="R1887" t="s">
        <v>1332</v>
      </c>
      <c r="W1887" t="s">
        <v>1329</v>
      </c>
      <c r="X1887" t="s">
        <v>1333</v>
      </c>
      <c r="Y1887" t="s">
        <v>155</v>
      </c>
      <c r="Z1887" t="s">
        <v>74</v>
      </c>
      <c r="AA1887" t="str">
        <f>"10701-6862"</f>
        <v>10701-6862</v>
      </c>
      <c r="AB1887" t="s">
        <v>102</v>
      </c>
      <c r="AC1887" t="s">
        <v>76</v>
      </c>
      <c r="AD1887" t="s">
        <v>73</v>
      </c>
      <c r="AE1887" t="s">
        <v>77</v>
      </c>
      <c r="AG1887" t="s">
        <v>78</v>
      </c>
    </row>
    <row r="1888" spans="1:33" hidden="1" x14ac:dyDescent="0.25">
      <c r="A1888" t="str">
        <f>"1891814711"</f>
        <v>1891814711</v>
      </c>
      <c r="B1888" t="str">
        <f>"02819845"</f>
        <v>02819845</v>
      </c>
      <c r="C1888" t="s">
        <v>8743</v>
      </c>
      <c r="D1888" t="s">
        <v>8744</v>
      </c>
      <c r="E1888" t="s">
        <v>8745</v>
      </c>
      <c r="G1888" t="s">
        <v>2514</v>
      </c>
      <c r="H1888" t="s">
        <v>8746</v>
      </c>
      <c r="J1888" t="s">
        <v>2516</v>
      </c>
      <c r="L1888" t="s">
        <v>100</v>
      </c>
      <c r="M1888" t="s">
        <v>73</v>
      </c>
      <c r="R1888" t="s">
        <v>8747</v>
      </c>
      <c r="W1888" t="s">
        <v>8745</v>
      </c>
      <c r="X1888" t="s">
        <v>1377</v>
      </c>
      <c r="Y1888" t="s">
        <v>91</v>
      </c>
      <c r="Z1888" t="s">
        <v>74</v>
      </c>
      <c r="AA1888" t="str">
        <f>"10040-1602"</f>
        <v>10040-1602</v>
      </c>
      <c r="AB1888" t="s">
        <v>75</v>
      </c>
      <c r="AC1888" t="s">
        <v>76</v>
      </c>
      <c r="AD1888" t="s">
        <v>73</v>
      </c>
      <c r="AE1888" t="s">
        <v>77</v>
      </c>
      <c r="AF1888" t="s">
        <v>2518</v>
      </c>
      <c r="AG1888" t="s">
        <v>78</v>
      </c>
    </row>
    <row r="1889" spans="1:33" hidden="1" x14ac:dyDescent="0.25">
      <c r="A1889" t="str">
        <f>"1932141249"</f>
        <v>1932141249</v>
      </c>
      <c r="B1889" t="str">
        <f>"01749673"</f>
        <v>01749673</v>
      </c>
      <c r="C1889" t="s">
        <v>8748</v>
      </c>
      <c r="D1889" t="s">
        <v>8749</v>
      </c>
      <c r="E1889" t="s">
        <v>8750</v>
      </c>
      <c r="G1889" t="s">
        <v>2224</v>
      </c>
      <c r="H1889" t="s">
        <v>2225</v>
      </c>
      <c r="J1889" t="s">
        <v>2226</v>
      </c>
      <c r="L1889" t="s">
        <v>72</v>
      </c>
      <c r="M1889" t="s">
        <v>73</v>
      </c>
      <c r="R1889" t="s">
        <v>8751</v>
      </c>
      <c r="W1889" t="s">
        <v>8750</v>
      </c>
      <c r="X1889" t="s">
        <v>8752</v>
      </c>
      <c r="Y1889" t="s">
        <v>91</v>
      </c>
      <c r="Z1889" t="s">
        <v>74</v>
      </c>
      <c r="AA1889" t="str">
        <f>"10032"</f>
        <v>10032</v>
      </c>
      <c r="AB1889" t="s">
        <v>75</v>
      </c>
      <c r="AC1889" t="s">
        <v>76</v>
      </c>
      <c r="AD1889" t="s">
        <v>73</v>
      </c>
      <c r="AE1889" t="s">
        <v>77</v>
      </c>
      <c r="AF1889" t="s">
        <v>2228</v>
      </c>
      <c r="AG1889" t="s">
        <v>78</v>
      </c>
    </row>
    <row r="1890" spans="1:33" hidden="1" x14ac:dyDescent="0.25">
      <c r="A1890" t="str">
        <f>"1225001787"</f>
        <v>1225001787</v>
      </c>
      <c r="B1890" t="str">
        <f>"01487512"</f>
        <v>01487512</v>
      </c>
      <c r="C1890" t="s">
        <v>8753</v>
      </c>
      <c r="D1890" t="s">
        <v>8754</v>
      </c>
      <c r="E1890" t="s">
        <v>8755</v>
      </c>
      <c r="G1890" t="s">
        <v>2224</v>
      </c>
      <c r="H1890" t="s">
        <v>2225</v>
      </c>
      <c r="J1890" t="s">
        <v>2226</v>
      </c>
      <c r="L1890" t="s">
        <v>88</v>
      </c>
      <c r="M1890" t="s">
        <v>82</v>
      </c>
      <c r="R1890" t="s">
        <v>8756</v>
      </c>
      <c r="W1890" t="s">
        <v>8755</v>
      </c>
      <c r="X1890" t="s">
        <v>8757</v>
      </c>
      <c r="Y1890" t="s">
        <v>91</v>
      </c>
      <c r="Z1890" t="s">
        <v>74</v>
      </c>
      <c r="AA1890" t="str">
        <f>"10032-3720"</f>
        <v>10032-3720</v>
      </c>
      <c r="AB1890" t="s">
        <v>75</v>
      </c>
      <c r="AC1890" t="s">
        <v>76</v>
      </c>
      <c r="AD1890" t="s">
        <v>73</v>
      </c>
      <c r="AE1890" t="s">
        <v>77</v>
      </c>
      <c r="AF1890" t="s">
        <v>2228</v>
      </c>
      <c r="AG1890" t="s">
        <v>78</v>
      </c>
    </row>
    <row r="1891" spans="1:33" hidden="1" x14ac:dyDescent="0.25">
      <c r="A1891" t="str">
        <f>"1093816639"</f>
        <v>1093816639</v>
      </c>
      <c r="B1891" t="str">
        <f>"01911917"</f>
        <v>01911917</v>
      </c>
      <c r="C1891" t="s">
        <v>8758</v>
      </c>
      <c r="D1891" t="s">
        <v>8759</v>
      </c>
      <c r="E1891" t="s">
        <v>8760</v>
      </c>
      <c r="G1891" t="s">
        <v>2224</v>
      </c>
      <c r="H1891" t="s">
        <v>2225</v>
      </c>
      <c r="J1891" t="s">
        <v>2226</v>
      </c>
      <c r="L1891" t="s">
        <v>72</v>
      </c>
      <c r="M1891" t="s">
        <v>73</v>
      </c>
      <c r="R1891" t="s">
        <v>8761</v>
      </c>
      <c r="W1891" t="s">
        <v>8760</v>
      </c>
      <c r="X1891" t="s">
        <v>290</v>
      </c>
      <c r="Y1891" t="s">
        <v>91</v>
      </c>
      <c r="Z1891" t="s">
        <v>74</v>
      </c>
      <c r="AA1891" t="str">
        <f>"10037-1802"</f>
        <v>10037-1802</v>
      </c>
      <c r="AB1891" t="s">
        <v>75</v>
      </c>
      <c r="AC1891" t="s">
        <v>76</v>
      </c>
      <c r="AD1891" t="s">
        <v>73</v>
      </c>
      <c r="AE1891" t="s">
        <v>77</v>
      </c>
      <c r="AF1891" t="s">
        <v>2228</v>
      </c>
      <c r="AG1891" t="s">
        <v>78</v>
      </c>
    </row>
    <row r="1892" spans="1:33" hidden="1" x14ac:dyDescent="0.25">
      <c r="A1892" t="str">
        <f>"1104024405"</f>
        <v>1104024405</v>
      </c>
      <c r="B1892" t="str">
        <f>"03337831"</f>
        <v>03337831</v>
      </c>
      <c r="C1892" t="s">
        <v>8762</v>
      </c>
      <c r="D1892" t="s">
        <v>8763</v>
      </c>
      <c r="E1892" t="s">
        <v>8764</v>
      </c>
      <c r="G1892" t="s">
        <v>2224</v>
      </c>
      <c r="H1892" t="s">
        <v>2225</v>
      </c>
      <c r="J1892" t="s">
        <v>2226</v>
      </c>
      <c r="L1892" t="s">
        <v>72</v>
      </c>
      <c r="M1892" t="s">
        <v>73</v>
      </c>
      <c r="R1892" t="s">
        <v>8765</v>
      </c>
      <c r="W1892" t="s">
        <v>8764</v>
      </c>
      <c r="X1892" t="s">
        <v>183</v>
      </c>
      <c r="Y1892" t="s">
        <v>91</v>
      </c>
      <c r="Z1892" t="s">
        <v>74</v>
      </c>
      <c r="AA1892" t="str">
        <f>"10032-3729"</f>
        <v>10032-3729</v>
      </c>
      <c r="AB1892" t="s">
        <v>75</v>
      </c>
      <c r="AC1892" t="s">
        <v>76</v>
      </c>
      <c r="AD1892" t="s">
        <v>73</v>
      </c>
      <c r="AE1892" t="s">
        <v>77</v>
      </c>
      <c r="AF1892" t="s">
        <v>2254</v>
      </c>
      <c r="AG1892" t="s">
        <v>78</v>
      </c>
    </row>
    <row r="1893" spans="1:33" hidden="1" x14ac:dyDescent="0.25">
      <c r="A1893" t="str">
        <f>"1780717868"</f>
        <v>1780717868</v>
      </c>
      <c r="B1893" t="str">
        <f>"03034420"</f>
        <v>03034420</v>
      </c>
      <c r="C1893" t="s">
        <v>8766</v>
      </c>
      <c r="D1893" t="s">
        <v>8767</v>
      </c>
      <c r="E1893" t="s">
        <v>8768</v>
      </c>
      <c r="G1893" t="s">
        <v>2224</v>
      </c>
      <c r="H1893" t="s">
        <v>8321</v>
      </c>
      <c r="J1893" t="s">
        <v>2226</v>
      </c>
      <c r="L1893" t="s">
        <v>80</v>
      </c>
      <c r="M1893" t="s">
        <v>73</v>
      </c>
      <c r="R1893" t="s">
        <v>8769</v>
      </c>
      <c r="W1893" t="s">
        <v>8768</v>
      </c>
      <c r="X1893" t="s">
        <v>167</v>
      </c>
      <c r="Y1893" t="s">
        <v>91</v>
      </c>
      <c r="Z1893" t="s">
        <v>74</v>
      </c>
      <c r="AA1893" t="str">
        <f>"10032-3720"</f>
        <v>10032-3720</v>
      </c>
      <c r="AB1893" t="s">
        <v>75</v>
      </c>
      <c r="AC1893" t="s">
        <v>76</v>
      </c>
      <c r="AD1893" t="s">
        <v>73</v>
      </c>
      <c r="AE1893" t="s">
        <v>77</v>
      </c>
      <c r="AF1893" t="s">
        <v>2234</v>
      </c>
      <c r="AG1893" t="s">
        <v>78</v>
      </c>
    </row>
    <row r="1894" spans="1:33" hidden="1" x14ac:dyDescent="0.25">
      <c r="A1894" t="str">
        <f>"1538331624"</f>
        <v>1538331624</v>
      </c>
      <c r="B1894" t="str">
        <f>"03111653"</f>
        <v>03111653</v>
      </c>
      <c r="C1894" t="s">
        <v>8770</v>
      </c>
      <c r="D1894" t="s">
        <v>8771</v>
      </c>
      <c r="E1894" t="s">
        <v>8772</v>
      </c>
      <c r="G1894" t="s">
        <v>2224</v>
      </c>
      <c r="H1894" t="s">
        <v>8773</v>
      </c>
      <c r="J1894" t="s">
        <v>2226</v>
      </c>
      <c r="L1894" t="s">
        <v>72</v>
      </c>
      <c r="M1894" t="s">
        <v>73</v>
      </c>
      <c r="R1894" t="s">
        <v>8774</v>
      </c>
      <c r="W1894" t="s">
        <v>8772</v>
      </c>
      <c r="X1894" t="s">
        <v>183</v>
      </c>
      <c r="Y1894" t="s">
        <v>91</v>
      </c>
      <c r="Z1894" t="s">
        <v>74</v>
      </c>
      <c r="AA1894" t="str">
        <f>"10032-3729"</f>
        <v>10032-3729</v>
      </c>
      <c r="AB1894" t="s">
        <v>75</v>
      </c>
      <c r="AC1894" t="s">
        <v>76</v>
      </c>
      <c r="AD1894" t="s">
        <v>73</v>
      </c>
      <c r="AE1894" t="s">
        <v>77</v>
      </c>
      <c r="AF1894" t="s">
        <v>2228</v>
      </c>
      <c r="AG1894" t="s">
        <v>78</v>
      </c>
    </row>
    <row r="1895" spans="1:33" hidden="1" x14ac:dyDescent="0.25">
      <c r="A1895" t="str">
        <f>"1386802106"</f>
        <v>1386802106</v>
      </c>
      <c r="B1895" t="str">
        <f>"03582496"</f>
        <v>03582496</v>
      </c>
      <c r="C1895" t="s">
        <v>8775</v>
      </c>
      <c r="D1895" t="s">
        <v>8776</v>
      </c>
      <c r="E1895" t="s">
        <v>8777</v>
      </c>
      <c r="G1895" t="s">
        <v>2514</v>
      </c>
      <c r="H1895" t="s">
        <v>8778</v>
      </c>
      <c r="J1895" t="s">
        <v>2516</v>
      </c>
      <c r="L1895" t="s">
        <v>100</v>
      </c>
      <c r="M1895" t="s">
        <v>73</v>
      </c>
      <c r="R1895" t="s">
        <v>8779</v>
      </c>
      <c r="W1895" t="s">
        <v>8780</v>
      </c>
      <c r="X1895" t="s">
        <v>1377</v>
      </c>
      <c r="Y1895" t="s">
        <v>91</v>
      </c>
      <c r="Z1895" t="s">
        <v>74</v>
      </c>
      <c r="AA1895" t="str">
        <f>"10040-1602"</f>
        <v>10040-1602</v>
      </c>
      <c r="AB1895" t="s">
        <v>75</v>
      </c>
      <c r="AC1895" t="s">
        <v>76</v>
      </c>
      <c r="AD1895" t="s">
        <v>73</v>
      </c>
      <c r="AE1895" t="s">
        <v>77</v>
      </c>
      <c r="AF1895" t="s">
        <v>2518</v>
      </c>
      <c r="AG1895" t="s">
        <v>78</v>
      </c>
    </row>
    <row r="1896" spans="1:33" hidden="1" x14ac:dyDescent="0.25">
      <c r="A1896" t="str">
        <f>"1720248131"</f>
        <v>1720248131</v>
      </c>
      <c r="B1896" t="str">
        <f>"03481023"</f>
        <v>03481023</v>
      </c>
      <c r="C1896" t="s">
        <v>8781</v>
      </c>
      <c r="D1896" t="s">
        <v>8782</v>
      </c>
      <c r="E1896" t="s">
        <v>8783</v>
      </c>
      <c r="G1896" t="s">
        <v>2224</v>
      </c>
      <c r="H1896" t="s">
        <v>2225</v>
      </c>
      <c r="J1896" t="s">
        <v>2226</v>
      </c>
      <c r="L1896" t="s">
        <v>80</v>
      </c>
      <c r="M1896" t="s">
        <v>73</v>
      </c>
      <c r="R1896" t="s">
        <v>8784</v>
      </c>
      <c r="W1896" t="s">
        <v>8783</v>
      </c>
      <c r="X1896" t="s">
        <v>8785</v>
      </c>
      <c r="Y1896" t="s">
        <v>91</v>
      </c>
      <c r="Z1896" t="s">
        <v>74</v>
      </c>
      <c r="AA1896" t="str">
        <f>"10065-4870"</f>
        <v>10065-4870</v>
      </c>
      <c r="AB1896" t="s">
        <v>75</v>
      </c>
      <c r="AC1896" t="s">
        <v>76</v>
      </c>
      <c r="AD1896" t="s">
        <v>73</v>
      </c>
      <c r="AE1896" t="s">
        <v>77</v>
      </c>
      <c r="AF1896" t="s">
        <v>2234</v>
      </c>
      <c r="AG1896" t="s">
        <v>78</v>
      </c>
    </row>
    <row r="1897" spans="1:33" x14ac:dyDescent="0.25">
      <c r="A1897" t="str">
        <f>"1386813657"</f>
        <v>1386813657</v>
      </c>
      <c r="C1897" t="s">
        <v>8786</v>
      </c>
      <c r="K1897" t="s">
        <v>36</v>
      </c>
      <c r="L1897" t="s">
        <v>96</v>
      </c>
      <c r="M1897" t="s">
        <v>73</v>
      </c>
      <c r="R1897" t="s">
        <v>8786</v>
      </c>
      <c r="S1897" t="s">
        <v>170</v>
      </c>
      <c r="T1897" t="s">
        <v>91</v>
      </c>
      <c r="U1897" t="s">
        <v>74</v>
      </c>
      <c r="V1897" t="str">
        <f>"100654870"</f>
        <v>100654870</v>
      </c>
      <c r="AC1897" t="s">
        <v>76</v>
      </c>
      <c r="AD1897" t="s">
        <v>73</v>
      </c>
      <c r="AE1897" t="s">
        <v>97</v>
      </c>
      <c r="AF1897" t="s">
        <v>2242</v>
      </c>
      <c r="AG1897" t="s">
        <v>78</v>
      </c>
    </row>
    <row r="1898" spans="1:33" hidden="1" x14ac:dyDescent="0.25">
      <c r="A1898" t="str">
        <f>"1013958610"</f>
        <v>1013958610</v>
      </c>
      <c r="C1898" t="s">
        <v>3498</v>
      </c>
      <c r="K1898" t="s">
        <v>36</v>
      </c>
      <c r="L1898" t="s">
        <v>96</v>
      </c>
      <c r="M1898" t="s">
        <v>73</v>
      </c>
      <c r="R1898" t="s">
        <v>3498</v>
      </c>
      <c r="S1898" t="s">
        <v>170</v>
      </c>
      <c r="T1898" t="s">
        <v>91</v>
      </c>
      <c r="U1898" t="s">
        <v>74</v>
      </c>
      <c r="V1898" t="str">
        <f>"100654870"</f>
        <v>100654870</v>
      </c>
      <c r="AC1898" t="s">
        <v>76</v>
      </c>
      <c r="AD1898" t="s">
        <v>73</v>
      </c>
      <c r="AE1898" t="s">
        <v>97</v>
      </c>
      <c r="AG1898" t="s">
        <v>78</v>
      </c>
    </row>
    <row r="1899" spans="1:33" hidden="1" x14ac:dyDescent="0.25">
      <c r="A1899" t="str">
        <f>"1538279484"</f>
        <v>1538279484</v>
      </c>
      <c r="B1899" t="str">
        <f>"01365806"</f>
        <v>01365806</v>
      </c>
      <c r="C1899" t="s">
        <v>8787</v>
      </c>
      <c r="D1899" t="s">
        <v>8788</v>
      </c>
      <c r="E1899" t="s">
        <v>8789</v>
      </c>
      <c r="G1899" t="s">
        <v>2224</v>
      </c>
      <c r="H1899" t="s">
        <v>2225</v>
      </c>
      <c r="J1899" t="s">
        <v>2226</v>
      </c>
      <c r="L1899" t="s">
        <v>80</v>
      </c>
      <c r="M1899" t="s">
        <v>73</v>
      </c>
      <c r="R1899" t="s">
        <v>8790</v>
      </c>
      <c r="W1899" t="s">
        <v>8789</v>
      </c>
      <c r="X1899" t="s">
        <v>198</v>
      </c>
      <c r="Y1899" t="s">
        <v>86</v>
      </c>
      <c r="Z1899" t="s">
        <v>74</v>
      </c>
      <c r="AA1899" t="str">
        <f>"11373-1329"</f>
        <v>11373-1329</v>
      </c>
      <c r="AB1899" t="s">
        <v>75</v>
      </c>
      <c r="AC1899" t="s">
        <v>76</v>
      </c>
      <c r="AD1899" t="s">
        <v>73</v>
      </c>
      <c r="AE1899" t="s">
        <v>77</v>
      </c>
      <c r="AF1899" t="s">
        <v>2242</v>
      </c>
      <c r="AG1899" t="s">
        <v>78</v>
      </c>
    </row>
    <row r="1900" spans="1:33" hidden="1" x14ac:dyDescent="0.25">
      <c r="A1900" t="str">
        <f>"1063509156"</f>
        <v>1063509156</v>
      </c>
      <c r="B1900" t="str">
        <f>"00658017"</f>
        <v>00658017</v>
      </c>
      <c r="C1900" t="s">
        <v>8791</v>
      </c>
      <c r="D1900" t="s">
        <v>8792</v>
      </c>
      <c r="E1900" t="s">
        <v>8793</v>
      </c>
      <c r="G1900" t="s">
        <v>2224</v>
      </c>
      <c r="H1900" t="s">
        <v>2225</v>
      </c>
      <c r="J1900" t="s">
        <v>2226</v>
      </c>
      <c r="L1900" t="s">
        <v>80</v>
      </c>
      <c r="M1900" t="s">
        <v>73</v>
      </c>
      <c r="R1900" t="s">
        <v>8794</v>
      </c>
      <c r="W1900" t="s">
        <v>8793</v>
      </c>
      <c r="X1900" t="s">
        <v>170</v>
      </c>
      <c r="Y1900" t="s">
        <v>91</v>
      </c>
      <c r="Z1900" t="s">
        <v>74</v>
      </c>
      <c r="AA1900" t="str">
        <f>"10065-4870"</f>
        <v>10065-4870</v>
      </c>
      <c r="AB1900" t="s">
        <v>75</v>
      </c>
      <c r="AC1900" t="s">
        <v>76</v>
      </c>
      <c r="AD1900" t="s">
        <v>73</v>
      </c>
      <c r="AE1900" t="s">
        <v>77</v>
      </c>
      <c r="AF1900" t="s">
        <v>2242</v>
      </c>
      <c r="AG1900" t="s">
        <v>78</v>
      </c>
    </row>
    <row r="1901" spans="1:33" hidden="1" x14ac:dyDescent="0.25">
      <c r="A1901" t="str">
        <f>"1942382353"</f>
        <v>1942382353</v>
      </c>
      <c r="B1901" t="str">
        <f>"00571417"</f>
        <v>00571417</v>
      </c>
      <c r="C1901" t="s">
        <v>8795</v>
      </c>
      <c r="D1901" t="s">
        <v>8796</v>
      </c>
      <c r="E1901" t="s">
        <v>8797</v>
      </c>
      <c r="G1901" t="s">
        <v>2224</v>
      </c>
      <c r="H1901" t="s">
        <v>2225</v>
      </c>
      <c r="J1901" t="s">
        <v>2226</v>
      </c>
      <c r="L1901" t="s">
        <v>72</v>
      </c>
      <c r="M1901" t="s">
        <v>73</v>
      </c>
      <c r="R1901" t="s">
        <v>8798</v>
      </c>
      <c r="W1901" t="s">
        <v>8797</v>
      </c>
      <c r="X1901" t="s">
        <v>8799</v>
      </c>
      <c r="Y1901" t="s">
        <v>91</v>
      </c>
      <c r="Z1901" t="s">
        <v>74</v>
      </c>
      <c r="AA1901" t="str">
        <f>"10022-1089"</f>
        <v>10022-1089</v>
      </c>
      <c r="AB1901" t="s">
        <v>75</v>
      </c>
      <c r="AC1901" t="s">
        <v>76</v>
      </c>
      <c r="AD1901" t="s">
        <v>73</v>
      </c>
      <c r="AE1901" t="s">
        <v>77</v>
      </c>
      <c r="AF1901" t="s">
        <v>2254</v>
      </c>
      <c r="AG1901" t="s">
        <v>78</v>
      </c>
    </row>
    <row r="1902" spans="1:33" hidden="1" x14ac:dyDescent="0.25">
      <c r="B1902" t="str">
        <f>"03110863"</f>
        <v>03110863</v>
      </c>
      <c r="C1902" t="s">
        <v>1751</v>
      </c>
      <c r="D1902" t="s">
        <v>1752</v>
      </c>
      <c r="E1902" t="s">
        <v>1753</v>
      </c>
      <c r="G1902" t="s">
        <v>4137</v>
      </c>
      <c r="H1902" t="s">
        <v>1498</v>
      </c>
      <c r="J1902" t="s">
        <v>1499</v>
      </c>
      <c r="L1902" t="s">
        <v>36</v>
      </c>
      <c r="M1902" t="s">
        <v>82</v>
      </c>
      <c r="W1902" t="s">
        <v>1754</v>
      </c>
      <c r="X1902" t="s">
        <v>1755</v>
      </c>
      <c r="Y1902" t="s">
        <v>91</v>
      </c>
      <c r="Z1902" t="s">
        <v>74</v>
      </c>
      <c r="AA1902" t="str">
        <f>"10036-2296"</f>
        <v>10036-2296</v>
      </c>
      <c r="AB1902" t="s">
        <v>92</v>
      </c>
      <c r="AC1902" t="s">
        <v>76</v>
      </c>
      <c r="AD1902" t="s">
        <v>73</v>
      </c>
      <c r="AE1902" t="s">
        <v>77</v>
      </c>
      <c r="AG1902" t="s">
        <v>78</v>
      </c>
    </row>
    <row r="1903" spans="1:33" hidden="1" x14ac:dyDescent="0.25">
      <c r="A1903" t="str">
        <f>"1962530055"</f>
        <v>1962530055</v>
      </c>
      <c r="B1903" t="str">
        <f>"01114474"</f>
        <v>01114474</v>
      </c>
      <c r="C1903" t="s">
        <v>8800</v>
      </c>
      <c r="D1903" t="s">
        <v>8801</v>
      </c>
      <c r="E1903" t="s">
        <v>8802</v>
      </c>
      <c r="G1903" t="s">
        <v>2224</v>
      </c>
      <c r="H1903" t="s">
        <v>2225</v>
      </c>
      <c r="J1903" t="s">
        <v>2226</v>
      </c>
      <c r="L1903" t="s">
        <v>96</v>
      </c>
      <c r="M1903" t="s">
        <v>73</v>
      </c>
      <c r="R1903" t="s">
        <v>8803</v>
      </c>
      <c r="W1903" t="s">
        <v>8802</v>
      </c>
      <c r="Y1903" t="s">
        <v>91</v>
      </c>
      <c r="Z1903" t="s">
        <v>74</v>
      </c>
      <c r="AA1903" t="str">
        <f>"10032-3724"</f>
        <v>10032-3724</v>
      </c>
      <c r="AB1903" t="s">
        <v>75</v>
      </c>
      <c r="AC1903" t="s">
        <v>76</v>
      </c>
      <c r="AD1903" t="s">
        <v>73</v>
      </c>
      <c r="AE1903" t="s">
        <v>77</v>
      </c>
      <c r="AF1903" t="s">
        <v>2228</v>
      </c>
      <c r="AG1903" t="s">
        <v>78</v>
      </c>
    </row>
    <row r="1904" spans="1:33" hidden="1" x14ac:dyDescent="0.25">
      <c r="A1904" t="str">
        <f>"1962581728"</f>
        <v>1962581728</v>
      </c>
      <c r="B1904" t="str">
        <f>"01972105"</f>
        <v>01972105</v>
      </c>
      <c r="C1904" t="s">
        <v>8804</v>
      </c>
      <c r="D1904" t="s">
        <v>8805</v>
      </c>
      <c r="E1904" t="s">
        <v>8806</v>
      </c>
      <c r="G1904" t="s">
        <v>2224</v>
      </c>
      <c r="H1904" t="s">
        <v>2225</v>
      </c>
      <c r="J1904" t="s">
        <v>2226</v>
      </c>
      <c r="L1904" t="s">
        <v>72</v>
      </c>
      <c r="M1904" t="s">
        <v>73</v>
      </c>
      <c r="R1904" t="s">
        <v>8807</v>
      </c>
      <c r="W1904" t="s">
        <v>8806</v>
      </c>
      <c r="X1904" t="s">
        <v>8806</v>
      </c>
      <c r="Y1904" t="s">
        <v>377</v>
      </c>
      <c r="Z1904" t="s">
        <v>74</v>
      </c>
      <c r="AA1904" t="str">
        <f>"10510-2096"</f>
        <v>10510-2096</v>
      </c>
      <c r="AB1904" t="s">
        <v>75</v>
      </c>
      <c r="AC1904" t="s">
        <v>76</v>
      </c>
      <c r="AD1904" t="s">
        <v>73</v>
      </c>
      <c r="AE1904" t="s">
        <v>77</v>
      </c>
      <c r="AF1904" t="s">
        <v>2254</v>
      </c>
      <c r="AG1904" t="s">
        <v>78</v>
      </c>
    </row>
    <row r="1905" spans="1:33" hidden="1" x14ac:dyDescent="0.25">
      <c r="A1905" t="str">
        <f>"1619172541"</f>
        <v>1619172541</v>
      </c>
      <c r="B1905" t="str">
        <f>"03421809"</f>
        <v>03421809</v>
      </c>
      <c r="C1905" t="s">
        <v>8808</v>
      </c>
      <c r="D1905" t="s">
        <v>8809</v>
      </c>
      <c r="E1905" t="s">
        <v>8810</v>
      </c>
      <c r="G1905" t="s">
        <v>2224</v>
      </c>
      <c r="H1905" t="s">
        <v>2225</v>
      </c>
      <c r="J1905" t="s">
        <v>2226</v>
      </c>
      <c r="L1905" t="s">
        <v>72</v>
      </c>
      <c r="M1905" t="s">
        <v>73</v>
      </c>
      <c r="R1905" t="s">
        <v>8811</v>
      </c>
      <c r="W1905" t="s">
        <v>8810</v>
      </c>
      <c r="X1905" t="s">
        <v>183</v>
      </c>
      <c r="Y1905" t="s">
        <v>91</v>
      </c>
      <c r="Z1905" t="s">
        <v>74</v>
      </c>
      <c r="AA1905" t="str">
        <f>"10032-3729"</f>
        <v>10032-3729</v>
      </c>
      <c r="AB1905" t="s">
        <v>75</v>
      </c>
      <c r="AC1905" t="s">
        <v>76</v>
      </c>
      <c r="AD1905" t="s">
        <v>73</v>
      </c>
      <c r="AE1905" t="s">
        <v>77</v>
      </c>
      <c r="AF1905" t="s">
        <v>2228</v>
      </c>
      <c r="AG1905" t="s">
        <v>78</v>
      </c>
    </row>
    <row r="1906" spans="1:33" hidden="1" x14ac:dyDescent="0.25">
      <c r="A1906" t="str">
        <f>"1972537967"</f>
        <v>1972537967</v>
      </c>
      <c r="B1906" t="str">
        <f>"01111884"</f>
        <v>01111884</v>
      </c>
      <c r="C1906" t="s">
        <v>8812</v>
      </c>
      <c r="D1906" t="s">
        <v>8813</v>
      </c>
      <c r="E1906" t="s">
        <v>8814</v>
      </c>
      <c r="G1906" t="s">
        <v>2224</v>
      </c>
      <c r="H1906" t="s">
        <v>2225</v>
      </c>
      <c r="J1906" t="s">
        <v>2226</v>
      </c>
      <c r="L1906" t="s">
        <v>72</v>
      </c>
      <c r="M1906" t="s">
        <v>73</v>
      </c>
      <c r="R1906" t="s">
        <v>8815</v>
      </c>
      <c r="W1906" t="s">
        <v>8814</v>
      </c>
      <c r="X1906" t="s">
        <v>8816</v>
      </c>
      <c r="Y1906" t="s">
        <v>91</v>
      </c>
      <c r="Z1906" t="s">
        <v>74</v>
      </c>
      <c r="AA1906" t="str">
        <f>"10037-1802"</f>
        <v>10037-1802</v>
      </c>
      <c r="AB1906" t="s">
        <v>75</v>
      </c>
      <c r="AC1906" t="s">
        <v>76</v>
      </c>
      <c r="AD1906" t="s">
        <v>73</v>
      </c>
      <c r="AE1906" t="s">
        <v>77</v>
      </c>
      <c r="AF1906" t="s">
        <v>2254</v>
      </c>
      <c r="AG1906" t="s">
        <v>78</v>
      </c>
    </row>
    <row r="1907" spans="1:33" hidden="1" x14ac:dyDescent="0.25">
      <c r="A1907" t="str">
        <f>"1194768002"</f>
        <v>1194768002</v>
      </c>
      <c r="B1907" t="str">
        <f>"02912747"</f>
        <v>02912747</v>
      </c>
      <c r="C1907" t="s">
        <v>8817</v>
      </c>
      <c r="D1907" t="s">
        <v>8818</v>
      </c>
      <c r="E1907" t="s">
        <v>8819</v>
      </c>
      <c r="G1907" t="s">
        <v>2224</v>
      </c>
      <c r="H1907" t="s">
        <v>2225</v>
      </c>
      <c r="J1907" t="s">
        <v>2226</v>
      </c>
      <c r="L1907" t="s">
        <v>72</v>
      </c>
      <c r="M1907" t="s">
        <v>73</v>
      </c>
      <c r="R1907" t="s">
        <v>8820</v>
      </c>
      <c r="W1907" t="s">
        <v>8819</v>
      </c>
      <c r="X1907" t="s">
        <v>183</v>
      </c>
      <c r="Y1907" t="s">
        <v>91</v>
      </c>
      <c r="Z1907" t="s">
        <v>74</v>
      </c>
      <c r="AA1907" t="str">
        <f>"10032-3729"</f>
        <v>10032-3729</v>
      </c>
      <c r="AB1907" t="s">
        <v>75</v>
      </c>
      <c r="AC1907" t="s">
        <v>76</v>
      </c>
      <c r="AD1907" t="s">
        <v>73</v>
      </c>
      <c r="AE1907" t="s">
        <v>77</v>
      </c>
      <c r="AF1907" t="s">
        <v>2254</v>
      </c>
      <c r="AG1907" t="s">
        <v>78</v>
      </c>
    </row>
    <row r="1908" spans="1:33" hidden="1" x14ac:dyDescent="0.25">
      <c r="A1908" t="str">
        <f>"1700869294"</f>
        <v>1700869294</v>
      </c>
      <c r="B1908" t="str">
        <f>"00770232"</f>
        <v>00770232</v>
      </c>
      <c r="C1908" t="s">
        <v>8821</v>
      </c>
      <c r="D1908" t="s">
        <v>8822</v>
      </c>
      <c r="E1908" t="s">
        <v>8823</v>
      </c>
      <c r="G1908" t="s">
        <v>2224</v>
      </c>
      <c r="H1908" t="s">
        <v>2225</v>
      </c>
      <c r="J1908" t="s">
        <v>2226</v>
      </c>
      <c r="L1908" t="s">
        <v>72</v>
      </c>
      <c r="M1908" t="s">
        <v>73</v>
      </c>
      <c r="R1908" t="s">
        <v>8824</v>
      </c>
      <c r="W1908" t="s">
        <v>8823</v>
      </c>
      <c r="X1908" t="s">
        <v>7368</v>
      </c>
      <c r="Y1908" t="s">
        <v>91</v>
      </c>
      <c r="Z1908" t="s">
        <v>74</v>
      </c>
      <c r="AA1908" t="str">
        <f>"10032-3729"</f>
        <v>10032-3729</v>
      </c>
      <c r="AB1908" t="s">
        <v>75</v>
      </c>
      <c r="AC1908" t="s">
        <v>76</v>
      </c>
      <c r="AD1908" t="s">
        <v>73</v>
      </c>
      <c r="AE1908" t="s">
        <v>77</v>
      </c>
      <c r="AF1908" t="s">
        <v>2254</v>
      </c>
      <c r="AG1908" t="s">
        <v>78</v>
      </c>
    </row>
    <row r="1909" spans="1:33" hidden="1" x14ac:dyDescent="0.25">
      <c r="A1909" t="str">
        <f>"1124361522"</f>
        <v>1124361522</v>
      </c>
      <c r="C1909" t="s">
        <v>8825</v>
      </c>
      <c r="G1909" t="s">
        <v>2224</v>
      </c>
      <c r="H1909" t="s">
        <v>2225</v>
      </c>
      <c r="J1909" t="s">
        <v>2226</v>
      </c>
      <c r="K1909" t="s">
        <v>93</v>
      </c>
      <c r="L1909" t="s">
        <v>96</v>
      </c>
      <c r="M1909" t="s">
        <v>73</v>
      </c>
      <c r="R1909" t="s">
        <v>8826</v>
      </c>
      <c r="S1909" t="s">
        <v>8827</v>
      </c>
      <c r="T1909" t="s">
        <v>520</v>
      </c>
      <c r="U1909" t="s">
        <v>209</v>
      </c>
      <c r="V1909" t="str">
        <f>"606127232"</f>
        <v>606127232</v>
      </c>
      <c r="AC1909" t="s">
        <v>76</v>
      </c>
      <c r="AD1909" t="s">
        <v>73</v>
      </c>
      <c r="AE1909" t="s">
        <v>97</v>
      </c>
      <c r="AF1909" t="s">
        <v>2234</v>
      </c>
      <c r="AG1909" t="s">
        <v>78</v>
      </c>
    </row>
    <row r="1910" spans="1:33" hidden="1" x14ac:dyDescent="0.25">
      <c r="A1910" t="str">
        <f>"1700128964"</f>
        <v>1700128964</v>
      </c>
      <c r="C1910" t="s">
        <v>8828</v>
      </c>
      <c r="G1910" t="s">
        <v>2224</v>
      </c>
      <c r="H1910" t="s">
        <v>2225</v>
      </c>
      <c r="J1910" t="s">
        <v>2226</v>
      </c>
      <c r="K1910" t="s">
        <v>93</v>
      </c>
      <c r="L1910" t="s">
        <v>96</v>
      </c>
      <c r="M1910" t="s">
        <v>73</v>
      </c>
      <c r="R1910" t="s">
        <v>8829</v>
      </c>
      <c r="S1910" t="s">
        <v>167</v>
      </c>
      <c r="T1910" t="s">
        <v>91</v>
      </c>
      <c r="U1910" t="s">
        <v>74</v>
      </c>
      <c r="V1910" t="str">
        <f>"100323720"</f>
        <v>100323720</v>
      </c>
      <c r="AC1910" t="s">
        <v>76</v>
      </c>
      <c r="AD1910" t="s">
        <v>73</v>
      </c>
      <c r="AE1910" t="s">
        <v>97</v>
      </c>
      <c r="AF1910" t="s">
        <v>2228</v>
      </c>
      <c r="AG1910" t="s">
        <v>78</v>
      </c>
    </row>
    <row r="1911" spans="1:33" hidden="1" x14ac:dyDescent="0.25">
      <c r="A1911" t="str">
        <f>"1659714921"</f>
        <v>1659714921</v>
      </c>
      <c r="C1911" t="s">
        <v>8830</v>
      </c>
      <c r="G1911" t="s">
        <v>2224</v>
      </c>
      <c r="H1911" t="s">
        <v>2225</v>
      </c>
      <c r="J1911" t="s">
        <v>2226</v>
      </c>
      <c r="K1911" t="s">
        <v>93</v>
      </c>
      <c r="L1911" t="s">
        <v>96</v>
      </c>
      <c r="M1911" t="s">
        <v>73</v>
      </c>
      <c r="R1911" t="s">
        <v>8831</v>
      </c>
      <c r="S1911" t="s">
        <v>3407</v>
      </c>
      <c r="T1911" t="s">
        <v>91</v>
      </c>
      <c r="U1911" t="s">
        <v>74</v>
      </c>
      <c r="V1911" t="str">
        <f>"100323720"</f>
        <v>100323720</v>
      </c>
      <c r="AC1911" t="s">
        <v>76</v>
      </c>
      <c r="AD1911" t="s">
        <v>73</v>
      </c>
      <c r="AE1911" t="s">
        <v>97</v>
      </c>
      <c r="AF1911" t="s">
        <v>2228</v>
      </c>
      <c r="AG1911" t="s">
        <v>78</v>
      </c>
    </row>
    <row r="1912" spans="1:33" hidden="1" x14ac:dyDescent="0.25">
      <c r="A1912" t="str">
        <f>"1215279542"</f>
        <v>1215279542</v>
      </c>
      <c r="C1912" t="s">
        <v>8832</v>
      </c>
      <c r="G1912" t="s">
        <v>2224</v>
      </c>
      <c r="H1912" t="s">
        <v>2225</v>
      </c>
      <c r="J1912" t="s">
        <v>2226</v>
      </c>
      <c r="K1912" t="s">
        <v>93</v>
      </c>
      <c r="L1912" t="s">
        <v>96</v>
      </c>
      <c r="M1912" t="s">
        <v>73</v>
      </c>
      <c r="R1912" t="s">
        <v>8833</v>
      </c>
      <c r="S1912" t="s">
        <v>167</v>
      </c>
      <c r="T1912" t="s">
        <v>91</v>
      </c>
      <c r="U1912" t="s">
        <v>74</v>
      </c>
      <c r="V1912" t="str">
        <f>"100323720"</f>
        <v>100323720</v>
      </c>
      <c r="AC1912" t="s">
        <v>76</v>
      </c>
      <c r="AD1912" t="s">
        <v>73</v>
      </c>
      <c r="AE1912" t="s">
        <v>97</v>
      </c>
      <c r="AF1912" t="s">
        <v>2228</v>
      </c>
      <c r="AG1912" t="s">
        <v>78</v>
      </c>
    </row>
    <row r="1913" spans="1:33" hidden="1" x14ac:dyDescent="0.25">
      <c r="A1913" t="str">
        <f>"1861735722"</f>
        <v>1861735722</v>
      </c>
      <c r="C1913" t="s">
        <v>8834</v>
      </c>
      <c r="G1913" t="s">
        <v>2224</v>
      </c>
      <c r="H1913" t="s">
        <v>2225</v>
      </c>
      <c r="J1913" t="s">
        <v>2226</v>
      </c>
      <c r="K1913" t="s">
        <v>93</v>
      </c>
      <c r="L1913" t="s">
        <v>96</v>
      </c>
      <c r="M1913" t="s">
        <v>73</v>
      </c>
      <c r="R1913" t="s">
        <v>8835</v>
      </c>
      <c r="S1913" t="s">
        <v>8836</v>
      </c>
      <c r="T1913" t="s">
        <v>629</v>
      </c>
      <c r="U1913" t="s">
        <v>74</v>
      </c>
      <c r="V1913" t="str">
        <f>"109565852"</f>
        <v>109565852</v>
      </c>
      <c r="AC1913" t="s">
        <v>76</v>
      </c>
      <c r="AD1913" t="s">
        <v>73</v>
      </c>
      <c r="AE1913" t="s">
        <v>97</v>
      </c>
      <c r="AF1913" t="s">
        <v>2228</v>
      </c>
      <c r="AG1913" t="s">
        <v>78</v>
      </c>
    </row>
    <row r="1914" spans="1:33" hidden="1" x14ac:dyDescent="0.25">
      <c r="A1914" t="str">
        <f>"1508200205"</f>
        <v>1508200205</v>
      </c>
      <c r="B1914" t="str">
        <f>"04451378"</f>
        <v>04451378</v>
      </c>
      <c r="C1914" t="s">
        <v>8837</v>
      </c>
      <c r="D1914" t="s">
        <v>8838</v>
      </c>
      <c r="E1914" t="s">
        <v>8839</v>
      </c>
      <c r="G1914" t="s">
        <v>2224</v>
      </c>
      <c r="H1914" t="s">
        <v>2225</v>
      </c>
      <c r="J1914" t="s">
        <v>2226</v>
      </c>
      <c r="L1914" t="s">
        <v>72</v>
      </c>
      <c r="M1914" t="s">
        <v>73</v>
      </c>
      <c r="R1914" t="s">
        <v>8840</v>
      </c>
      <c r="W1914" t="s">
        <v>8841</v>
      </c>
      <c r="AB1914" t="s">
        <v>75</v>
      </c>
      <c r="AC1914" t="s">
        <v>76</v>
      </c>
      <c r="AD1914" t="s">
        <v>73</v>
      </c>
      <c r="AE1914" t="s">
        <v>77</v>
      </c>
      <c r="AF1914" t="s">
        <v>2254</v>
      </c>
      <c r="AG1914" t="s">
        <v>78</v>
      </c>
    </row>
    <row r="1915" spans="1:33" hidden="1" x14ac:dyDescent="0.25">
      <c r="A1915" t="str">
        <f>"1861734188"</f>
        <v>1861734188</v>
      </c>
      <c r="C1915" t="s">
        <v>8842</v>
      </c>
      <c r="G1915" t="s">
        <v>2224</v>
      </c>
      <c r="H1915" t="s">
        <v>2225</v>
      </c>
      <c r="J1915" t="s">
        <v>2226</v>
      </c>
      <c r="K1915" t="s">
        <v>93</v>
      </c>
      <c r="L1915" t="s">
        <v>96</v>
      </c>
      <c r="M1915" t="s">
        <v>73</v>
      </c>
      <c r="R1915" t="s">
        <v>8843</v>
      </c>
      <c r="S1915" t="s">
        <v>170</v>
      </c>
      <c r="T1915" t="s">
        <v>91</v>
      </c>
      <c r="U1915" t="s">
        <v>74</v>
      </c>
      <c r="V1915" t="str">
        <f>"100654870"</f>
        <v>100654870</v>
      </c>
      <c r="AC1915" t="s">
        <v>76</v>
      </c>
      <c r="AD1915" t="s">
        <v>73</v>
      </c>
      <c r="AE1915" t="s">
        <v>97</v>
      </c>
      <c r="AF1915" t="s">
        <v>2228</v>
      </c>
      <c r="AG1915" t="s">
        <v>78</v>
      </c>
    </row>
    <row r="1916" spans="1:33" hidden="1" x14ac:dyDescent="0.25">
      <c r="A1916" t="str">
        <f>"1538401005"</f>
        <v>1538401005</v>
      </c>
      <c r="B1916" t="str">
        <f>"04448468"</f>
        <v>04448468</v>
      </c>
      <c r="C1916" t="s">
        <v>8844</v>
      </c>
      <c r="D1916" t="s">
        <v>8845</v>
      </c>
      <c r="E1916" t="s">
        <v>8846</v>
      </c>
      <c r="G1916" t="s">
        <v>2224</v>
      </c>
      <c r="H1916" t="s">
        <v>2225</v>
      </c>
      <c r="J1916" t="s">
        <v>2226</v>
      </c>
      <c r="L1916" t="s">
        <v>72</v>
      </c>
      <c r="M1916" t="s">
        <v>73</v>
      </c>
      <c r="R1916" t="s">
        <v>8847</v>
      </c>
      <c r="W1916" t="s">
        <v>8846</v>
      </c>
      <c r="AB1916" t="s">
        <v>75</v>
      </c>
      <c r="AC1916" t="s">
        <v>76</v>
      </c>
      <c r="AD1916" t="s">
        <v>73</v>
      </c>
      <c r="AE1916" t="s">
        <v>77</v>
      </c>
      <c r="AF1916" t="s">
        <v>2254</v>
      </c>
      <c r="AG1916" t="s">
        <v>78</v>
      </c>
    </row>
    <row r="1917" spans="1:33" hidden="1" x14ac:dyDescent="0.25">
      <c r="A1917" t="str">
        <f>"1740523125"</f>
        <v>1740523125</v>
      </c>
      <c r="C1917" t="s">
        <v>8848</v>
      </c>
      <c r="G1917" t="s">
        <v>2224</v>
      </c>
      <c r="H1917" t="s">
        <v>2225</v>
      </c>
      <c r="J1917" t="s">
        <v>2226</v>
      </c>
      <c r="K1917" t="s">
        <v>93</v>
      </c>
      <c r="L1917" t="s">
        <v>96</v>
      </c>
      <c r="M1917" t="s">
        <v>73</v>
      </c>
      <c r="R1917" t="s">
        <v>8849</v>
      </c>
      <c r="S1917" t="s">
        <v>167</v>
      </c>
      <c r="T1917" t="s">
        <v>91</v>
      </c>
      <c r="U1917" t="s">
        <v>74</v>
      </c>
      <c r="V1917" t="str">
        <f>"100323720"</f>
        <v>100323720</v>
      </c>
      <c r="AC1917" t="s">
        <v>76</v>
      </c>
      <c r="AD1917" t="s">
        <v>73</v>
      </c>
      <c r="AE1917" t="s">
        <v>97</v>
      </c>
      <c r="AF1917" t="s">
        <v>2228</v>
      </c>
      <c r="AG1917" t="s">
        <v>78</v>
      </c>
    </row>
    <row r="1918" spans="1:33" hidden="1" x14ac:dyDescent="0.25">
      <c r="A1918" t="str">
        <f>"1477895605"</f>
        <v>1477895605</v>
      </c>
      <c r="B1918" t="str">
        <f>"04452200"</f>
        <v>04452200</v>
      </c>
      <c r="C1918" t="s">
        <v>8850</v>
      </c>
      <c r="D1918" t="s">
        <v>8851</v>
      </c>
      <c r="E1918" t="s">
        <v>8852</v>
      </c>
      <c r="G1918" t="s">
        <v>2224</v>
      </c>
      <c r="H1918" t="s">
        <v>2225</v>
      </c>
      <c r="J1918" t="s">
        <v>2226</v>
      </c>
      <c r="L1918" t="s">
        <v>96</v>
      </c>
      <c r="M1918" t="s">
        <v>73</v>
      </c>
      <c r="R1918" t="s">
        <v>8853</v>
      </c>
      <c r="W1918" t="s">
        <v>8854</v>
      </c>
      <c r="AB1918" t="s">
        <v>75</v>
      </c>
      <c r="AC1918" t="s">
        <v>76</v>
      </c>
      <c r="AD1918" t="s">
        <v>73</v>
      </c>
      <c r="AE1918" t="s">
        <v>77</v>
      </c>
      <c r="AF1918" t="s">
        <v>2228</v>
      </c>
      <c r="AG1918" t="s">
        <v>78</v>
      </c>
    </row>
    <row r="1919" spans="1:33" hidden="1" x14ac:dyDescent="0.25">
      <c r="A1919" t="str">
        <f>"1326481466"</f>
        <v>1326481466</v>
      </c>
      <c r="C1919" t="s">
        <v>8855</v>
      </c>
      <c r="G1919" t="s">
        <v>2224</v>
      </c>
      <c r="H1919" t="s">
        <v>2225</v>
      </c>
      <c r="J1919" t="s">
        <v>2226</v>
      </c>
      <c r="K1919" t="s">
        <v>93</v>
      </c>
      <c r="L1919" t="s">
        <v>96</v>
      </c>
      <c r="M1919" t="s">
        <v>73</v>
      </c>
      <c r="R1919" t="s">
        <v>8856</v>
      </c>
      <c r="S1919" t="s">
        <v>8857</v>
      </c>
      <c r="T1919" t="s">
        <v>8858</v>
      </c>
      <c r="U1919" t="s">
        <v>1186</v>
      </c>
      <c r="V1919" t="str">
        <f>"309078998"</f>
        <v>309078998</v>
      </c>
      <c r="AC1919" t="s">
        <v>76</v>
      </c>
      <c r="AD1919" t="s">
        <v>73</v>
      </c>
      <c r="AE1919" t="s">
        <v>97</v>
      </c>
      <c r="AF1919" t="s">
        <v>2228</v>
      </c>
      <c r="AG1919" t="s">
        <v>78</v>
      </c>
    </row>
    <row r="1920" spans="1:33" hidden="1" x14ac:dyDescent="0.25">
      <c r="A1920" t="str">
        <f>"1346683513"</f>
        <v>1346683513</v>
      </c>
      <c r="C1920" t="s">
        <v>8859</v>
      </c>
      <c r="G1920" t="s">
        <v>2224</v>
      </c>
      <c r="H1920" t="s">
        <v>2225</v>
      </c>
      <c r="J1920" t="s">
        <v>2226</v>
      </c>
      <c r="K1920" t="s">
        <v>93</v>
      </c>
      <c r="L1920" t="s">
        <v>96</v>
      </c>
      <c r="M1920" t="s">
        <v>73</v>
      </c>
      <c r="R1920" t="s">
        <v>8860</v>
      </c>
      <c r="S1920" t="s">
        <v>8861</v>
      </c>
      <c r="T1920" t="s">
        <v>91</v>
      </c>
      <c r="U1920" t="s">
        <v>74</v>
      </c>
      <c r="V1920" t="str">
        <f>"10032"</f>
        <v>10032</v>
      </c>
      <c r="AC1920" t="s">
        <v>76</v>
      </c>
      <c r="AD1920" t="s">
        <v>73</v>
      </c>
      <c r="AE1920" t="s">
        <v>97</v>
      </c>
      <c r="AF1920" t="s">
        <v>2228</v>
      </c>
      <c r="AG1920" t="s">
        <v>78</v>
      </c>
    </row>
    <row r="1921" spans="1:33" hidden="1" x14ac:dyDescent="0.25">
      <c r="A1921" t="str">
        <f>"1114360534"</f>
        <v>1114360534</v>
      </c>
      <c r="C1921" t="s">
        <v>8862</v>
      </c>
      <c r="G1921" t="s">
        <v>2224</v>
      </c>
      <c r="H1921" t="s">
        <v>2225</v>
      </c>
      <c r="J1921" t="s">
        <v>2226</v>
      </c>
      <c r="K1921" t="s">
        <v>93</v>
      </c>
      <c r="L1921" t="s">
        <v>96</v>
      </c>
      <c r="M1921" t="s">
        <v>73</v>
      </c>
      <c r="R1921" t="s">
        <v>1155</v>
      </c>
      <c r="S1921" t="s">
        <v>8863</v>
      </c>
      <c r="T1921" t="s">
        <v>518</v>
      </c>
      <c r="U1921" t="s">
        <v>519</v>
      </c>
      <c r="V1921" t="str">
        <f>"19104"</f>
        <v>19104</v>
      </c>
      <c r="AC1921" t="s">
        <v>76</v>
      </c>
      <c r="AD1921" t="s">
        <v>73</v>
      </c>
      <c r="AE1921" t="s">
        <v>97</v>
      </c>
      <c r="AF1921" t="s">
        <v>2228</v>
      </c>
      <c r="AG1921" t="s">
        <v>78</v>
      </c>
    </row>
    <row r="1922" spans="1:33" hidden="1" x14ac:dyDescent="0.25">
      <c r="A1922" t="str">
        <f>"1952745143"</f>
        <v>1952745143</v>
      </c>
      <c r="B1922" t="str">
        <f>"04425210"</f>
        <v>04425210</v>
      </c>
      <c r="C1922" t="s">
        <v>8864</v>
      </c>
      <c r="D1922" t="s">
        <v>8865</v>
      </c>
      <c r="E1922" t="s">
        <v>8866</v>
      </c>
      <c r="G1922" t="s">
        <v>2224</v>
      </c>
      <c r="H1922" t="s">
        <v>2225</v>
      </c>
      <c r="J1922" t="s">
        <v>2226</v>
      </c>
      <c r="L1922" t="s">
        <v>72</v>
      </c>
      <c r="M1922" t="s">
        <v>73</v>
      </c>
      <c r="R1922" t="s">
        <v>8867</v>
      </c>
      <c r="W1922" t="s">
        <v>8866</v>
      </c>
      <c r="X1922" t="s">
        <v>170</v>
      </c>
      <c r="Y1922" t="s">
        <v>91</v>
      </c>
      <c r="Z1922" t="s">
        <v>74</v>
      </c>
      <c r="AA1922" t="str">
        <f>"10065-4870"</f>
        <v>10065-4870</v>
      </c>
      <c r="AB1922" t="s">
        <v>75</v>
      </c>
      <c r="AC1922" t="s">
        <v>76</v>
      </c>
      <c r="AD1922" t="s">
        <v>73</v>
      </c>
      <c r="AE1922" t="s">
        <v>77</v>
      </c>
      <c r="AF1922" t="s">
        <v>2228</v>
      </c>
      <c r="AG1922" t="s">
        <v>78</v>
      </c>
    </row>
    <row r="1923" spans="1:33" hidden="1" x14ac:dyDescent="0.25">
      <c r="A1923" t="str">
        <f>"1336482801"</f>
        <v>1336482801</v>
      </c>
      <c r="C1923" t="s">
        <v>8868</v>
      </c>
      <c r="G1923" t="s">
        <v>2224</v>
      </c>
      <c r="H1923" t="s">
        <v>2225</v>
      </c>
      <c r="J1923" t="s">
        <v>2226</v>
      </c>
      <c r="K1923" t="s">
        <v>93</v>
      </c>
      <c r="L1923" t="s">
        <v>96</v>
      </c>
      <c r="M1923" t="s">
        <v>73</v>
      </c>
      <c r="R1923" t="s">
        <v>8869</v>
      </c>
      <c r="S1923" t="s">
        <v>8015</v>
      </c>
      <c r="T1923" t="s">
        <v>91</v>
      </c>
      <c r="U1923" t="s">
        <v>74</v>
      </c>
      <c r="V1923" t="str">
        <f>"100323725"</f>
        <v>100323725</v>
      </c>
      <c r="AC1923" t="s">
        <v>76</v>
      </c>
      <c r="AD1923" t="s">
        <v>73</v>
      </c>
      <c r="AE1923" t="s">
        <v>97</v>
      </c>
      <c r="AF1923" t="s">
        <v>2228</v>
      </c>
      <c r="AG1923" t="s">
        <v>78</v>
      </c>
    </row>
    <row r="1924" spans="1:33" hidden="1" x14ac:dyDescent="0.25">
      <c r="A1924" t="str">
        <f>"1922441443"</f>
        <v>1922441443</v>
      </c>
      <c r="C1924" t="s">
        <v>8870</v>
      </c>
      <c r="G1924" t="s">
        <v>2224</v>
      </c>
      <c r="H1924" t="s">
        <v>2225</v>
      </c>
      <c r="J1924" t="s">
        <v>2226</v>
      </c>
      <c r="K1924" t="s">
        <v>93</v>
      </c>
      <c r="L1924" t="s">
        <v>96</v>
      </c>
      <c r="M1924" t="s">
        <v>73</v>
      </c>
      <c r="R1924" t="s">
        <v>8871</v>
      </c>
      <c r="S1924" t="s">
        <v>8015</v>
      </c>
      <c r="T1924" t="s">
        <v>91</v>
      </c>
      <c r="U1924" t="s">
        <v>74</v>
      </c>
      <c r="V1924" t="str">
        <f>"100323725"</f>
        <v>100323725</v>
      </c>
      <c r="AC1924" t="s">
        <v>76</v>
      </c>
      <c r="AD1924" t="s">
        <v>73</v>
      </c>
      <c r="AE1924" t="s">
        <v>97</v>
      </c>
      <c r="AF1924" t="s">
        <v>2234</v>
      </c>
      <c r="AG1924" t="s">
        <v>78</v>
      </c>
    </row>
    <row r="1925" spans="1:33" hidden="1" x14ac:dyDescent="0.25">
      <c r="A1925" t="str">
        <f>"1629311790"</f>
        <v>1629311790</v>
      </c>
      <c r="B1925" t="str">
        <f>"04448459"</f>
        <v>04448459</v>
      </c>
      <c r="C1925" t="s">
        <v>8872</v>
      </c>
      <c r="D1925" t="s">
        <v>8873</v>
      </c>
      <c r="E1925" t="s">
        <v>8874</v>
      </c>
      <c r="G1925" t="s">
        <v>2224</v>
      </c>
      <c r="H1925" t="s">
        <v>2225</v>
      </c>
      <c r="J1925" t="s">
        <v>2226</v>
      </c>
      <c r="L1925" t="s">
        <v>72</v>
      </c>
      <c r="M1925" t="s">
        <v>73</v>
      </c>
      <c r="R1925" t="s">
        <v>8875</v>
      </c>
      <c r="W1925" t="s">
        <v>8874</v>
      </c>
      <c r="AB1925" t="s">
        <v>75</v>
      </c>
      <c r="AC1925" t="s">
        <v>76</v>
      </c>
      <c r="AD1925" t="s">
        <v>73</v>
      </c>
      <c r="AE1925" t="s">
        <v>77</v>
      </c>
      <c r="AF1925" t="s">
        <v>2228</v>
      </c>
      <c r="AG1925" t="s">
        <v>78</v>
      </c>
    </row>
    <row r="1926" spans="1:33" hidden="1" x14ac:dyDescent="0.25">
      <c r="A1926" t="str">
        <f>"1992048862"</f>
        <v>1992048862</v>
      </c>
      <c r="B1926" t="str">
        <f>"04418879"</f>
        <v>04418879</v>
      </c>
      <c r="C1926" t="s">
        <v>8876</v>
      </c>
      <c r="D1926" t="s">
        <v>8877</v>
      </c>
      <c r="E1926" t="s">
        <v>8878</v>
      </c>
      <c r="G1926" t="s">
        <v>2224</v>
      </c>
      <c r="H1926" t="s">
        <v>2225</v>
      </c>
      <c r="J1926" t="s">
        <v>2226</v>
      </c>
      <c r="L1926" t="s">
        <v>72</v>
      </c>
      <c r="M1926" t="s">
        <v>73</v>
      </c>
      <c r="R1926" t="s">
        <v>8879</v>
      </c>
      <c r="W1926" t="s">
        <v>8878</v>
      </c>
      <c r="X1926" t="s">
        <v>7489</v>
      </c>
      <c r="Y1926" t="s">
        <v>91</v>
      </c>
      <c r="Z1926" t="s">
        <v>74</v>
      </c>
      <c r="AA1926" t="str">
        <f>"10065-4870"</f>
        <v>10065-4870</v>
      </c>
      <c r="AB1926" t="s">
        <v>75</v>
      </c>
      <c r="AC1926" t="s">
        <v>76</v>
      </c>
      <c r="AD1926" t="s">
        <v>73</v>
      </c>
      <c r="AE1926" t="s">
        <v>77</v>
      </c>
      <c r="AF1926" t="s">
        <v>2228</v>
      </c>
      <c r="AG1926" t="s">
        <v>78</v>
      </c>
    </row>
    <row r="1927" spans="1:33" hidden="1" x14ac:dyDescent="0.25">
      <c r="A1927" t="str">
        <f>"1477896421"</f>
        <v>1477896421</v>
      </c>
      <c r="B1927" t="str">
        <f>"04501786"</f>
        <v>04501786</v>
      </c>
      <c r="C1927" t="s">
        <v>8880</v>
      </c>
      <c r="D1927" t="s">
        <v>8881</v>
      </c>
      <c r="E1927" t="s">
        <v>8882</v>
      </c>
      <c r="G1927" t="s">
        <v>2224</v>
      </c>
      <c r="H1927" t="s">
        <v>2225</v>
      </c>
      <c r="J1927" t="s">
        <v>2226</v>
      </c>
      <c r="L1927" t="s">
        <v>96</v>
      </c>
      <c r="M1927" t="s">
        <v>73</v>
      </c>
      <c r="R1927" t="s">
        <v>8883</v>
      </c>
      <c r="W1927" t="s">
        <v>8882</v>
      </c>
      <c r="AB1927" t="s">
        <v>75</v>
      </c>
      <c r="AC1927" t="s">
        <v>76</v>
      </c>
      <c r="AD1927" t="s">
        <v>73</v>
      </c>
      <c r="AE1927" t="s">
        <v>77</v>
      </c>
      <c r="AF1927" t="s">
        <v>2228</v>
      </c>
      <c r="AG1927" t="s">
        <v>78</v>
      </c>
    </row>
    <row r="1928" spans="1:33" hidden="1" x14ac:dyDescent="0.25">
      <c r="A1928" t="str">
        <f>"1780027862"</f>
        <v>1780027862</v>
      </c>
      <c r="C1928" t="s">
        <v>8884</v>
      </c>
      <c r="G1928" t="s">
        <v>2224</v>
      </c>
      <c r="H1928" t="s">
        <v>2225</v>
      </c>
      <c r="J1928" t="s">
        <v>2226</v>
      </c>
      <c r="K1928" t="s">
        <v>93</v>
      </c>
      <c r="L1928" t="s">
        <v>96</v>
      </c>
      <c r="M1928" t="s">
        <v>73</v>
      </c>
      <c r="R1928" t="s">
        <v>8885</v>
      </c>
      <c r="S1928" t="s">
        <v>167</v>
      </c>
      <c r="T1928" t="s">
        <v>91</v>
      </c>
      <c r="U1928" t="s">
        <v>74</v>
      </c>
      <c r="V1928" t="str">
        <f>"100323720"</f>
        <v>100323720</v>
      </c>
      <c r="AC1928" t="s">
        <v>76</v>
      </c>
      <c r="AD1928" t="s">
        <v>73</v>
      </c>
      <c r="AE1928" t="s">
        <v>97</v>
      </c>
      <c r="AF1928" t="s">
        <v>2228</v>
      </c>
      <c r="AG1928" t="s">
        <v>78</v>
      </c>
    </row>
    <row r="1929" spans="1:33" hidden="1" x14ac:dyDescent="0.25">
      <c r="A1929" t="str">
        <f>"1134462211"</f>
        <v>1134462211</v>
      </c>
      <c r="B1929" t="str">
        <f>"04454808"</f>
        <v>04454808</v>
      </c>
      <c r="C1929" t="s">
        <v>8886</v>
      </c>
      <c r="D1929" t="s">
        <v>2196</v>
      </c>
      <c r="E1929" t="s">
        <v>2197</v>
      </c>
      <c r="G1929" t="s">
        <v>2224</v>
      </c>
      <c r="H1929" t="s">
        <v>2225</v>
      </c>
      <c r="J1929" t="s">
        <v>2226</v>
      </c>
      <c r="L1929" t="s">
        <v>72</v>
      </c>
      <c r="M1929" t="s">
        <v>73</v>
      </c>
      <c r="R1929" t="s">
        <v>2198</v>
      </c>
      <c r="W1929" t="s">
        <v>2197</v>
      </c>
      <c r="AB1929" t="s">
        <v>75</v>
      </c>
      <c r="AC1929" t="s">
        <v>76</v>
      </c>
      <c r="AD1929" t="s">
        <v>73</v>
      </c>
      <c r="AE1929" t="s">
        <v>77</v>
      </c>
      <c r="AF1929" t="s">
        <v>2228</v>
      </c>
      <c r="AG1929" t="s">
        <v>78</v>
      </c>
    </row>
    <row r="1930" spans="1:33" hidden="1" x14ac:dyDescent="0.25">
      <c r="A1930" t="str">
        <f>"1821330218"</f>
        <v>1821330218</v>
      </c>
      <c r="C1930" t="s">
        <v>8887</v>
      </c>
      <c r="G1930" t="s">
        <v>2224</v>
      </c>
      <c r="H1930" t="s">
        <v>2225</v>
      </c>
      <c r="J1930" t="s">
        <v>2226</v>
      </c>
      <c r="K1930" t="s">
        <v>93</v>
      </c>
      <c r="L1930" t="s">
        <v>96</v>
      </c>
      <c r="M1930" t="s">
        <v>73</v>
      </c>
      <c r="R1930" t="s">
        <v>8888</v>
      </c>
      <c r="S1930" t="s">
        <v>8889</v>
      </c>
      <c r="T1930" t="s">
        <v>91</v>
      </c>
      <c r="U1930" t="s">
        <v>74</v>
      </c>
      <c r="V1930" t="str">
        <f>"100323720"</f>
        <v>100323720</v>
      </c>
      <c r="AC1930" t="s">
        <v>76</v>
      </c>
      <c r="AD1930" t="s">
        <v>73</v>
      </c>
      <c r="AE1930" t="s">
        <v>97</v>
      </c>
      <c r="AF1930" t="s">
        <v>2228</v>
      </c>
      <c r="AG1930" t="s">
        <v>78</v>
      </c>
    </row>
    <row r="1931" spans="1:33" hidden="1" x14ac:dyDescent="0.25">
      <c r="A1931" t="str">
        <f>"1831469832"</f>
        <v>1831469832</v>
      </c>
      <c r="C1931" t="s">
        <v>8890</v>
      </c>
      <c r="G1931" t="s">
        <v>2224</v>
      </c>
      <c r="H1931" t="s">
        <v>2225</v>
      </c>
      <c r="J1931" t="s">
        <v>2226</v>
      </c>
      <c r="K1931" t="s">
        <v>93</v>
      </c>
      <c r="L1931" t="s">
        <v>96</v>
      </c>
      <c r="M1931" t="s">
        <v>73</v>
      </c>
      <c r="R1931" t="s">
        <v>8891</v>
      </c>
      <c r="S1931" t="s">
        <v>8892</v>
      </c>
      <c r="T1931" t="s">
        <v>91</v>
      </c>
      <c r="U1931" t="s">
        <v>74</v>
      </c>
      <c r="V1931" t="str">
        <f>"10032"</f>
        <v>10032</v>
      </c>
      <c r="AC1931" t="s">
        <v>76</v>
      </c>
      <c r="AD1931" t="s">
        <v>73</v>
      </c>
      <c r="AE1931" t="s">
        <v>97</v>
      </c>
      <c r="AF1931" t="s">
        <v>2228</v>
      </c>
      <c r="AG1931" t="s">
        <v>78</v>
      </c>
    </row>
    <row r="1932" spans="1:33" hidden="1" x14ac:dyDescent="0.25">
      <c r="A1932" t="str">
        <f>"1013350636"</f>
        <v>1013350636</v>
      </c>
      <c r="C1932" t="s">
        <v>8893</v>
      </c>
      <c r="G1932" t="s">
        <v>2224</v>
      </c>
      <c r="H1932" t="s">
        <v>2225</v>
      </c>
      <c r="J1932" t="s">
        <v>2226</v>
      </c>
      <c r="K1932" t="s">
        <v>93</v>
      </c>
      <c r="L1932" t="s">
        <v>96</v>
      </c>
      <c r="M1932" t="s">
        <v>73</v>
      </c>
      <c r="R1932" t="s">
        <v>8894</v>
      </c>
      <c r="S1932" t="s">
        <v>354</v>
      </c>
      <c r="T1932" t="s">
        <v>91</v>
      </c>
      <c r="U1932" t="s">
        <v>74</v>
      </c>
      <c r="V1932" t="str">
        <f>"100323725"</f>
        <v>100323725</v>
      </c>
      <c r="AC1932" t="s">
        <v>76</v>
      </c>
      <c r="AD1932" t="s">
        <v>73</v>
      </c>
      <c r="AE1932" t="s">
        <v>97</v>
      </c>
      <c r="AF1932" t="s">
        <v>2228</v>
      </c>
      <c r="AG1932" t="s">
        <v>78</v>
      </c>
    </row>
    <row r="1933" spans="1:33" hidden="1" x14ac:dyDescent="0.25">
      <c r="A1933" t="str">
        <f>"1366784423"</f>
        <v>1366784423</v>
      </c>
      <c r="C1933" t="s">
        <v>8895</v>
      </c>
      <c r="G1933" t="s">
        <v>2224</v>
      </c>
      <c r="H1933" t="s">
        <v>2225</v>
      </c>
      <c r="J1933" t="s">
        <v>2226</v>
      </c>
      <c r="K1933" t="s">
        <v>93</v>
      </c>
      <c r="L1933" t="s">
        <v>96</v>
      </c>
      <c r="M1933" t="s">
        <v>73</v>
      </c>
      <c r="R1933" t="s">
        <v>8896</v>
      </c>
      <c r="S1933" t="s">
        <v>8897</v>
      </c>
      <c r="T1933" t="s">
        <v>8898</v>
      </c>
      <c r="U1933" t="s">
        <v>588</v>
      </c>
      <c r="V1933" t="str">
        <f>"221022153"</f>
        <v>221022153</v>
      </c>
      <c r="AC1933" t="s">
        <v>76</v>
      </c>
      <c r="AD1933" t="s">
        <v>73</v>
      </c>
      <c r="AE1933" t="s">
        <v>97</v>
      </c>
      <c r="AF1933" t="s">
        <v>2228</v>
      </c>
      <c r="AG1933" t="s">
        <v>78</v>
      </c>
    </row>
    <row r="1934" spans="1:33" hidden="1" x14ac:dyDescent="0.25">
      <c r="A1934" t="str">
        <f>"1245573369"</f>
        <v>1245573369</v>
      </c>
      <c r="C1934" t="s">
        <v>8899</v>
      </c>
      <c r="G1934" t="s">
        <v>2224</v>
      </c>
      <c r="H1934" t="s">
        <v>2225</v>
      </c>
      <c r="J1934" t="s">
        <v>2226</v>
      </c>
      <c r="K1934" t="s">
        <v>93</v>
      </c>
      <c r="L1934" t="s">
        <v>96</v>
      </c>
      <c r="M1934" t="s">
        <v>73</v>
      </c>
      <c r="R1934" t="s">
        <v>8900</v>
      </c>
      <c r="S1934" t="s">
        <v>8901</v>
      </c>
      <c r="T1934" t="s">
        <v>91</v>
      </c>
      <c r="U1934" t="s">
        <v>74</v>
      </c>
      <c r="V1934" t="str">
        <f>"10029"</f>
        <v>10029</v>
      </c>
      <c r="AC1934" t="s">
        <v>76</v>
      </c>
      <c r="AD1934" t="s">
        <v>73</v>
      </c>
      <c r="AE1934" t="s">
        <v>97</v>
      </c>
      <c r="AF1934" t="s">
        <v>2228</v>
      </c>
      <c r="AG1934" t="s">
        <v>78</v>
      </c>
    </row>
    <row r="1935" spans="1:33" hidden="1" x14ac:dyDescent="0.25">
      <c r="A1935" t="str">
        <f>"1477996643"</f>
        <v>1477996643</v>
      </c>
      <c r="B1935" t="str">
        <f>"04508412"</f>
        <v>04508412</v>
      </c>
      <c r="C1935" t="s">
        <v>8902</v>
      </c>
      <c r="D1935" t="s">
        <v>8903</v>
      </c>
      <c r="E1935" t="s">
        <v>8904</v>
      </c>
      <c r="G1935" t="s">
        <v>2224</v>
      </c>
      <c r="H1935" t="s">
        <v>2225</v>
      </c>
      <c r="J1935" t="s">
        <v>2226</v>
      </c>
      <c r="L1935" t="s">
        <v>96</v>
      </c>
      <c r="M1935" t="s">
        <v>73</v>
      </c>
      <c r="R1935" t="s">
        <v>8905</v>
      </c>
      <c r="W1935" t="s">
        <v>8904</v>
      </c>
      <c r="AB1935" t="s">
        <v>75</v>
      </c>
      <c r="AC1935" t="s">
        <v>76</v>
      </c>
      <c r="AD1935" t="s">
        <v>73</v>
      </c>
      <c r="AE1935" t="s">
        <v>77</v>
      </c>
      <c r="AF1935" t="s">
        <v>2228</v>
      </c>
      <c r="AG1935" t="s">
        <v>78</v>
      </c>
    </row>
    <row r="1936" spans="1:33" hidden="1" x14ac:dyDescent="0.25">
      <c r="A1936" t="str">
        <f>"1447592878"</f>
        <v>1447592878</v>
      </c>
      <c r="B1936" t="str">
        <f>"04451098"</f>
        <v>04451098</v>
      </c>
      <c r="C1936" t="s">
        <v>8906</v>
      </c>
      <c r="D1936" t="s">
        <v>8907</v>
      </c>
      <c r="E1936" t="s">
        <v>8908</v>
      </c>
      <c r="G1936" t="s">
        <v>2224</v>
      </c>
      <c r="H1936" t="s">
        <v>2225</v>
      </c>
      <c r="J1936" t="s">
        <v>2226</v>
      </c>
      <c r="L1936" t="s">
        <v>96</v>
      </c>
      <c r="M1936" t="s">
        <v>73</v>
      </c>
      <c r="R1936" t="s">
        <v>8908</v>
      </c>
      <c r="W1936" t="s">
        <v>8909</v>
      </c>
      <c r="AB1936" t="s">
        <v>75</v>
      </c>
      <c r="AC1936" t="s">
        <v>76</v>
      </c>
      <c r="AD1936" t="s">
        <v>73</v>
      </c>
      <c r="AE1936" t="s">
        <v>77</v>
      </c>
      <c r="AF1936" t="s">
        <v>2228</v>
      </c>
      <c r="AG1936" t="s">
        <v>78</v>
      </c>
    </row>
    <row r="1937" spans="1:33" hidden="1" x14ac:dyDescent="0.25">
      <c r="A1937" t="str">
        <f>"1174966295"</f>
        <v>1174966295</v>
      </c>
      <c r="C1937" t="s">
        <v>8910</v>
      </c>
      <c r="G1937" t="s">
        <v>2224</v>
      </c>
      <c r="H1937" t="s">
        <v>2225</v>
      </c>
      <c r="J1937" t="s">
        <v>2226</v>
      </c>
      <c r="K1937" t="s">
        <v>93</v>
      </c>
      <c r="L1937" t="s">
        <v>96</v>
      </c>
      <c r="M1937" t="s">
        <v>73</v>
      </c>
      <c r="R1937" t="s">
        <v>8911</v>
      </c>
      <c r="S1937" t="s">
        <v>3407</v>
      </c>
      <c r="T1937" t="s">
        <v>91</v>
      </c>
      <c r="U1937" t="s">
        <v>74</v>
      </c>
      <c r="V1937" t="str">
        <f>"100323720"</f>
        <v>100323720</v>
      </c>
      <c r="AC1937" t="s">
        <v>76</v>
      </c>
      <c r="AD1937" t="s">
        <v>73</v>
      </c>
      <c r="AE1937" t="s">
        <v>97</v>
      </c>
      <c r="AF1937" t="s">
        <v>2228</v>
      </c>
      <c r="AG1937" t="s">
        <v>78</v>
      </c>
    </row>
    <row r="1938" spans="1:33" hidden="1" x14ac:dyDescent="0.25">
      <c r="A1938" t="str">
        <f>"1689917908"</f>
        <v>1689917908</v>
      </c>
      <c r="B1938" t="str">
        <f>"04451552"</f>
        <v>04451552</v>
      </c>
      <c r="C1938" t="s">
        <v>8912</v>
      </c>
      <c r="D1938" t="s">
        <v>8913</v>
      </c>
      <c r="E1938" t="s">
        <v>8914</v>
      </c>
      <c r="G1938" t="s">
        <v>2224</v>
      </c>
      <c r="H1938" t="s">
        <v>2225</v>
      </c>
      <c r="J1938" t="s">
        <v>2226</v>
      </c>
      <c r="L1938" t="s">
        <v>72</v>
      </c>
      <c r="M1938" t="s">
        <v>73</v>
      </c>
      <c r="R1938" t="s">
        <v>8915</v>
      </c>
      <c r="W1938" t="s">
        <v>8914</v>
      </c>
      <c r="AB1938" t="s">
        <v>75</v>
      </c>
      <c r="AC1938" t="s">
        <v>76</v>
      </c>
      <c r="AD1938" t="s">
        <v>73</v>
      </c>
      <c r="AE1938" t="s">
        <v>77</v>
      </c>
      <c r="AF1938" t="s">
        <v>2228</v>
      </c>
      <c r="AG1938" t="s">
        <v>78</v>
      </c>
    </row>
    <row r="1939" spans="1:33" hidden="1" x14ac:dyDescent="0.25">
      <c r="A1939" t="str">
        <f>"1033552096"</f>
        <v>1033552096</v>
      </c>
      <c r="B1939" t="str">
        <f>"04425807"</f>
        <v>04425807</v>
      </c>
      <c r="C1939" t="s">
        <v>8916</v>
      </c>
      <c r="D1939" t="s">
        <v>8917</v>
      </c>
      <c r="E1939" t="s">
        <v>8918</v>
      </c>
      <c r="G1939" t="s">
        <v>2224</v>
      </c>
      <c r="H1939" t="s">
        <v>2225</v>
      </c>
      <c r="J1939" t="s">
        <v>2226</v>
      </c>
      <c r="L1939" t="s">
        <v>72</v>
      </c>
      <c r="M1939" t="s">
        <v>73</v>
      </c>
      <c r="R1939" t="s">
        <v>8919</v>
      </c>
      <c r="W1939" t="s">
        <v>8918</v>
      </c>
      <c r="X1939" t="s">
        <v>8920</v>
      </c>
      <c r="Y1939" t="s">
        <v>91</v>
      </c>
      <c r="Z1939" t="s">
        <v>74</v>
      </c>
      <c r="AA1939" t="str">
        <f>"10032"</f>
        <v>10032</v>
      </c>
      <c r="AB1939" t="s">
        <v>75</v>
      </c>
      <c r="AC1939" t="s">
        <v>76</v>
      </c>
      <c r="AD1939" t="s">
        <v>73</v>
      </c>
      <c r="AE1939" t="s">
        <v>77</v>
      </c>
      <c r="AF1939" t="s">
        <v>2228</v>
      </c>
      <c r="AG1939" t="s">
        <v>78</v>
      </c>
    </row>
    <row r="1940" spans="1:33" hidden="1" x14ac:dyDescent="0.25">
      <c r="A1940" t="str">
        <f>"1710220363"</f>
        <v>1710220363</v>
      </c>
      <c r="C1940" t="s">
        <v>8921</v>
      </c>
      <c r="G1940" t="s">
        <v>2224</v>
      </c>
      <c r="H1940" t="s">
        <v>2225</v>
      </c>
      <c r="J1940" t="s">
        <v>2226</v>
      </c>
      <c r="K1940" t="s">
        <v>93</v>
      </c>
      <c r="L1940" t="s">
        <v>96</v>
      </c>
      <c r="M1940" t="s">
        <v>73</v>
      </c>
      <c r="R1940" t="s">
        <v>8922</v>
      </c>
      <c r="S1940" t="s">
        <v>8923</v>
      </c>
      <c r="T1940" t="s">
        <v>91</v>
      </c>
      <c r="U1940" t="s">
        <v>74</v>
      </c>
      <c r="V1940" t="str">
        <f>"100323733"</f>
        <v>100323733</v>
      </c>
      <c r="AC1940" t="s">
        <v>76</v>
      </c>
      <c r="AD1940" t="s">
        <v>73</v>
      </c>
      <c r="AE1940" t="s">
        <v>97</v>
      </c>
      <c r="AF1940" t="s">
        <v>2228</v>
      </c>
      <c r="AG1940" t="s">
        <v>78</v>
      </c>
    </row>
    <row r="1941" spans="1:33" hidden="1" x14ac:dyDescent="0.25">
      <c r="A1941" t="str">
        <f>"1689017451"</f>
        <v>1689017451</v>
      </c>
      <c r="C1941" t="s">
        <v>8924</v>
      </c>
      <c r="G1941" t="s">
        <v>2224</v>
      </c>
      <c r="H1941" t="s">
        <v>2225</v>
      </c>
      <c r="J1941" t="s">
        <v>2226</v>
      </c>
      <c r="K1941" t="s">
        <v>93</v>
      </c>
      <c r="L1941" t="s">
        <v>96</v>
      </c>
      <c r="M1941" t="s">
        <v>73</v>
      </c>
      <c r="R1941" t="s">
        <v>8925</v>
      </c>
      <c r="S1941" t="s">
        <v>8926</v>
      </c>
      <c r="T1941" t="s">
        <v>91</v>
      </c>
      <c r="U1941" t="s">
        <v>74</v>
      </c>
      <c r="V1941" t="str">
        <f>"10032"</f>
        <v>10032</v>
      </c>
      <c r="AC1941" t="s">
        <v>76</v>
      </c>
      <c r="AD1941" t="s">
        <v>73</v>
      </c>
      <c r="AE1941" t="s">
        <v>97</v>
      </c>
      <c r="AF1941" t="s">
        <v>2228</v>
      </c>
      <c r="AG1941" t="s">
        <v>78</v>
      </c>
    </row>
    <row r="1942" spans="1:33" hidden="1" x14ac:dyDescent="0.25">
      <c r="A1942" t="str">
        <f>"1346683463"</f>
        <v>1346683463</v>
      </c>
      <c r="C1942" t="s">
        <v>8927</v>
      </c>
      <c r="G1942" t="s">
        <v>2224</v>
      </c>
      <c r="H1942" t="s">
        <v>2225</v>
      </c>
      <c r="J1942" t="s">
        <v>2226</v>
      </c>
      <c r="K1942" t="s">
        <v>93</v>
      </c>
      <c r="L1942" t="s">
        <v>96</v>
      </c>
      <c r="M1942" t="s">
        <v>73</v>
      </c>
      <c r="R1942" t="s">
        <v>8928</v>
      </c>
      <c r="S1942" t="s">
        <v>8015</v>
      </c>
      <c r="T1942" t="s">
        <v>91</v>
      </c>
      <c r="U1942" t="s">
        <v>74</v>
      </c>
      <c r="V1942" t="str">
        <f>"100323725"</f>
        <v>100323725</v>
      </c>
      <c r="AC1942" t="s">
        <v>76</v>
      </c>
      <c r="AD1942" t="s">
        <v>73</v>
      </c>
      <c r="AE1942" t="s">
        <v>97</v>
      </c>
      <c r="AF1942" t="s">
        <v>2228</v>
      </c>
      <c r="AG1942" t="s">
        <v>78</v>
      </c>
    </row>
    <row r="1943" spans="1:33" hidden="1" x14ac:dyDescent="0.25">
      <c r="A1943" t="str">
        <f>"1376886713"</f>
        <v>1376886713</v>
      </c>
      <c r="C1943" t="s">
        <v>8929</v>
      </c>
      <c r="G1943" t="s">
        <v>2224</v>
      </c>
      <c r="H1943" t="s">
        <v>2225</v>
      </c>
      <c r="J1943" t="s">
        <v>2226</v>
      </c>
      <c r="K1943" t="s">
        <v>93</v>
      </c>
      <c r="L1943" t="s">
        <v>96</v>
      </c>
      <c r="M1943" t="s">
        <v>73</v>
      </c>
      <c r="R1943" t="s">
        <v>8930</v>
      </c>
      <c r="S1943" t="s">
        <v>8931</v>
      </c>
      <c r="T1943" t="s">
        <v>91</v>
      </c>
      <c r="U1943" t="s">
        <v>74</v>
      </c>
      <c r="V1943" t="str">
        <f>"100322645"</f>
        <v>100322645</v>
      </c>
      <c r="AC1943" t="s">
        <v>76</v>
      </c>
      <c r="AD1943" t="s">
        <v>73</v>
      </c>
      <c r="AE1943" t="s">
        <v>97</v>
      </c>
      <c r="AF1943" t="s">
        <v>2228</v>
      </c>
      <c r="AG1943" t="s">
        <v>78</v>
      </c>
    </row>
    <row r="1944" spans="1:33" hidden="1" x14ac:dyDescent="0.25">
      <c r="A1944" t="str">
        <f>"1902993082"</f>
        <v>1902993082</v>
      </c>
      <c r="B1944" t="str">
        <f>"02186914"</f>
        <v>02186914</v>
      </c>
      <c r="C1944" t="s">
        <v>8932</v>
      </c>
      <c r="D1944" t="s">
        <v>8933</v>
      </c>
      <c r="E1944" t="s">
        <v>8934</v>
      </c>
      <c r="G1944" t="s">
        <v>2224</v>
      </c>
      <c r="H1944" t="s">
        <v>2225</v>
      </c>
      <c r="J1944" t="s">
        <v>2226</v>
      </c>
      <c r="L1944" t="s">
        <v>72</v>
      </c>
      <c r="M1944" t="s">
        <v>73</v>
      </c>
      <c r="R1944" t="s">
        <v>8935</v>
      </c>
      <c r="W1944" t="s">
        <v>8934</v>
      </c>
      <c r="X1944" t="s">
        <v>4943</v>
      </c>
      <c r="Y1944" t="s">
        <v>91</v>
      </c>
      <c r="Z1944" t="s">
        <v>74</v>
      </c>
      <c r="AA1944" t="str">
        <f>"10075-2304"</f>
        <v>10075-2304</v>
      </c>
      <c r="AB1944" t="s">
        <v>75</v>
      </c>
      <c r="AC1944" t="s">
        <v>76</v>
      </c>
      <c r="AD1944" t="s">
        <v>73</v>
      </c>
      <c r="AE1944" t="s">
        <v>77</v>
      </c>
      <c r="AF1944" t="s">
        <v>2242</v>
      </c>
      <c r="AG1944" t="s">
        <v>78</v>
      </c>
    </row>
    <row r="1945" spans="1:33" hidden="1" x14ac:dyDescent="0.25">
      <c r="A1945" t="str">
        <f>"1336134600"</f>
        <v>1336134600</v>
      </c>
      <c r="B1945" t="str">
        <f>"02885289"</f>
        <v>02885289</v>
      </c>
      <c r="C1945" t="s">
        <v>8936</v>
      </c>
      <c r="D1945" t="s">
        <v>8937</v>
      </c>
      <c r="E1945" t="s">
        <v>8938</v>
      </c>
      <c r="G1945" t="s">
        <v>2224</v>
      </c>
      <c r="H1945" t="s">
        <v>2225</v>
      </c>
      <c r="J1945" t="s">
        <v>2226</v>
      </c>
      <c r="L1945" t="s">
        <v>72</v>
      </c>
      <c r="M1945" t="s">
        <v>73</v>
      </c>
      <c r="R1945" t="s">
        <v>8939</v>
      </c>
      <c r="W1945" t="s">
        <v>8938</v>
      </c>
      <c r="X1945" t="s">
        <v>4332</v>
      </c>
      <c r="Y1945" t="s">
        <v>91</v>
      </c>
      <c r="Z1945" t="s">
        <v>74</v>
      </c>
      <c r="AA1945" t="str">
        <f>"10032"</f>
        <v>10032</v>
      </c>
      <c r="AB1945" t="s">
        <v>75</v>
      </c>
      <c r="AC1945" t="s">
        <v>76</v>
      </c>
      <c r="AD1945" t="s">
        <v>73</v>
      </c>
      <c r="AE1945" t="s">
        <v>77</v>
      </c>
      <c r="AF1945" t="s">
        <v>2228</v>
      </c>
      <c r="AG1945" t="s">
        <v>78</v>
      </c>
    </row>
    <row r="1946" spans="1:33" hidden="1" x14ac:dyDescent="0.25">
      <c r="B1946" t="str">
        <f>"00647269"</f>
        <v>00647269</v>
      </c>
      <c r="C1946" t="s">
        <v>2240</v>
      </c>
      <c r="D1946" t="s">
        <v>2239</v>
      </c>
      <c r="E1946" t="s">
        <v>2240</v>
      </c>
      <c r="G1946" t="s">
        <v>2224</v>
      </c>
      <c r="H1946" t="s">
        <v>2225</v>
      </c>
      <c r="J1946" t="s">
        <v>2226</v>
      </c>
      <c r="L1946" t="s">
        <v>532</v>
      </c>
      <c r="M1946" t="s">
        <v>73</v>
      </c>
      <c r="W1946" t="s">
        <v>2240</v>
      </c>
      <c r="X1946" t="s">
        <v>8940</v>
      </c>
      <c r="Y1946" t="s">
        <v>91</v>
      </c>
      <c r="Z1946" t="s">
        <v>74</v>
      </c>
      <c r="AA1946" t="str">
        <f>"10038-2612"</f>
        <v>10038-2612</v>
      </c>
      <c r="AB1946" t="s">
        <v>90</v>
      </c>
      <c r="AC1946" t="s">
        <v>76</v>
      </c>
      <c r="AD1946" t="s">
        <v>73</v>
      </c>
      <c r="AE1946" t="s">
        <v>77</v>
      </c>
      <c r="AF1946" t="s">
        <v>2242</v>
      </c>
      <c r="AG1946" t="s">
        <v>78</v>
      </c>
    </row>
    <row r="1947" spans="1:33" hidden="1" x14ac:dyDescent="0.25">
      <c r="A1947" t="str">
        <f>"1104898204"</f>
        <v>1104898204</v>
      </c>
      <c r="B1947" t="str">
        <f>"01834995"</f>
        <v>01834995</v>
      </c>
      <c r="C1947" t="s">
        <v>8941</v>
      </c>
      <c r="D1947" t="s">
        <v>8942</v>
      </c>
      <c r="E1947" t="s">
        <v>8943</v>
      </c>
      <c r="G1947" t="s">
        <v>2224</v>
      </c>
      <c r="H1947" t="s">
        <v>2225</v>
      </c>
      <c r="J1947" t="s">
        <v>2226</v>
      </c>
      <c r="L1947" t="s">
        <v>72</v>
      </c>
      <c r="M1947" t="s">
        <v>73</v>
      </c>
      <c r="R1947" t="s">
        <v>8943</v>
      </c>
      <c r="W1947" t="s">
        <v>8943</v>
      </c>
      <c r="X1947" t="s">
        <v>8943</v>
      </c>
      <c r="Y1947" t="s">
        <v>570</v>
      </c>
      <c r="Z1947" t="s">
        <v>74</v>
      </c>
      <c r="AA1947" t="str">
        <f>"11797-2503"</f>
        <v>11797-2503</v>
      </c>
      <c r="AB1947" t="s">
        <v>75</v>
      </c>
      <c r="AC1947" t="s">
        <v>76</v>
      </c>
      <c r="AD1947" t="s">
        <v>73</v>
      </c>
      <c r="AE1947" t="s">
        <v>77</v>
      </c>
      <c r="AF1947" t="s">
        <v>2228</v>
      </c>
      <c r="AG1947" t="s">
        <v>78</v>
      </c>
    </row>
    <row r="1948" spans="1:33" hidden="1" x14ac:dyDescent="0.25">
      <c r="A1948" t="str">
        <f>"1366595084"</f>
        <v>1366595084</v>
      </c>
      <c r="B1948" t="str">
        <f>"01381222"</f>
        <v>01381222</v>
      </c>
      <c r="C1948" t="s">
        <v>8944</v>
      </c>
      <c r="D1948" t="s">
        <v>8945</v>
      </c>
      <c r="E1948" t="s">
        <v>8946</v>
      </c>
      <c r="L1948" t="s">
        <v>72</v>
      </c>
      <c r="M1948" t="s">
        <v>73</v>
      </c>
      <c r="R1948" t="s">
        <v>8947</v>
      </c>
      <c r="W1948" t="s">
        <v>8946</v>
      </c>
      <c r="X1948" t="s">
        <v>3596</v>
      </c>
      <c r="Y1948" t="s">
        <v>91</v>
      </c>
      <c r="Z1948" t="s">
        <v>74</v>
      </c>
      <c r="AA1948" t="str">
        <f>"10032-3720"</f>
        <v>10032-3720</v>
      </c>
      <c r="AB1948" t="s">
        <v>75</v>
      </c>
      <c r="AC1948" t="s">
        <v>76</v>
      </c>
      <c r="AD1948" t="s">
        <v>73</v>
      </c>
      <c r="AE1948" t="s">
        <v>77</v>
      </c>
      <c r="AF1948" t="s">
        <v>2228</v>
      </c>
      <c r="AG1948" t="s">
        <v>78</v>
      </c>
    </row>
    <row r="1949" spans="1:33" hidden="1" x14ac:dyDescent="0.25">
      <c r="A1949" t="str">
        <f>"1538230222"</f>
        <v>1538230222</v>
      </c>
      <c r="B1949" t="str">
        <f>"02108143"</f>
        <v>02108143</v>
      </c>
      <c r="C1949" t="s">
        <v>8948</v>
      </c>
      <c r="D1949" t="s">
        <v>8949</v>
      </c>
      <c r="E1949" t="s">
        <v>8950</v>
      </c>
      <c r="G1949" t="s">
        <v>2224</v>
      </c>
      <c r="H1949" t="s">
        <v>2225</v>
      </c>
      <c r="J1949" t="s">
        <v>2226</v>
      </c>
      <c r="L1949" t="s">
        <v>72</v>
      </c>
      <c r="M1949" t="s">
        <v>73</v>
      </c>
      <c r="R1949" t="s">
        <v>8951</v>
      </c>
      <c r="W1949" t="s">
        <v>8950</v>
      </c>
      <c r="X1949" t="s">
        <v>290</v>
      </c>
      <c r="Y1949" t="s">
        <v>91</v>
      </c>
      <c r="Z1949" t="s">
        <v>74</v>
      </c>
      <c r="AA1949" t="str">
        <f>"10037-1802"</f>
        <v>10037-1802</v>
      </c>
      <c r="AB1949" t="s">
        <v>75</v>
      </c>
      <c r="AC1949" t="s">
        <v>76</v>
      </c>
      <c r="AD1949" t="s">
        <v>73</v>
      </c>
      <c r="AE1949" t="s">
        <v>77</v>
      </c>
      <c r="AF1949" t="s">
        <v>2228</v>
      </c>
      <c r="AG1949" t="s">
        <v>78</v>
      </c>
    </row>
    <row r="1950" spans="1:33" hidden="1" x14ac:dyDescent="0.25">
      <c r="A1950" t="str">
        <f>"1982754750"</f>
        <v>1982754750</v>
      </c>
      <c r="B1950" t="str">
        <f>"00200353"</f>
        <v>00200353</v>
      </c>
      <c r="C1950" t="s">
        <v>1888</v>
      </c>
      <c r="D1950" t="s">
        <v>1279</v>
      </c>
      <c r="E1950" t="s">
        <v>1280</v>
      </c>
      <c r="G1950" t="s">
        <v>2260</v>
      </c>
      <c r="H1950" t="s">
        <v>8952</v>
      </c>
      <c r="J1950" t="s">
        <v>1512</v>
      </c>
      <c r="L1950" t="s">
        <v>96</v>
      </c>
      <c r="M1950" t="s">
        <v>73</v>
      </c>
      <c r="R1950" t="s">
        <v>1281</v>
      </c>
      <c r="W1950" t="s">
        <v>1280</v>
      </c>
      <c r="X1950" t="s">
        <v>1282</v>
      </c>
      <c r="Y1950" t="s">
        <v>84</v>
      </c>
      <c r="Z1950" t="s">
        <v>74</v>
      </c>
      <c r="AA1950" t="str">
        <f>"11205-3201"</f>
        <v>11205-3201</v>
      </c>
      <c r="AB1950" t="s">
        <v>75</v>
      </c>
      <c r="AC1950" t="s">
        <v>76</v>
      </c>
      <c r="AD1950" t="s">
        <v>73</v>
      </c>
      <c r="AE1950" t="s">
        <v>77</v>
      </c>
      <c r="AG1950" t="s">
        <v>78</v>
      </c>
    </row>
    <row r="1951" spans="1:33" hidden="1" x14ac:dyDescent="0.25">
      <c r="A1951" t="str">
        <f>"1720144108"</f>
        <v>1720144108</v>
      </c>
      <c r="B1951" t="str">
        <f>"01785895"</f>
        <v>01785895</v>
      </c>
      <c r="C1951" t="s">
        <v>1889</v>
      </c>
      <c r="D1951" t="s">
        <v>1356</v>
      </c>
      <c r="E1951" t="s">
        <v>1357</v>
      </c>
      <c r="G1951" t="s">
        <v>2260</v>
      </c>
      <c r="H1951" t="s">
        <v>8953</v>
      </c>
      <c r="J1951" t="s">
        <v>1512</v>
      </c>
      <c r="L1951" t="s">
        <v>72</v>
      </c>
      <c r="M1951" t="s">
        <v>73</v>
      </c>
      <c r="R1951" t="s">
        <v>1358</v>
      </c>
      <c r="W1951" t="s">
        <v>1357</v>
      </c>
      <c r="X1951" t="s">
        <v>905</v>
      </c>
      <c r="Y1951" t="s">
        <v>91</v>
      </c>
      <c r="Z1951" t="s">
        <v>74</v>
      </c>
      <c r="AA1951" t="str">
        <f>"10003-3851"</f>
        <v>10003-3851</v>
      </c>
      <c r="AB1951" t="s">
        <v>75</v>
      </c>
      <c r="AC1951" t="s">
        <v>76</v>
      </c>
      <c r="AD1951" t="s">
        <v>73</v>
      </c>
      <c r="AE1951" t="s">
        <v>77</v>
      </c>
      <c r="AG1951" t="s">
        <v>78</v>
      </c>
    </row>
    <row r="1952" spans="1:33" hidden="1" x14ac:dyDescent="0.25">
      <c r="A1952" t="str">
        <f>"1669581807"</f>
        <v>1669581807</v>
      </c>
      <c r="B1952" t="str">
        <f>"02251949"</f>
        <v>02251949</v>
      </c>
      <c r="C1952" t="s">
        <v>1917</v>
      </c>
      <c r="D1952" t="s">
        <v>1310</v>
      </c>
      <c r="E1952" t="s">
        <v>1311</v>
      </c>
      <c r="G1952" t="s">
        <v>2260</v>
      </c>
      <c r="H1952" t="s">
        <v>8954</v>
      </c>
      <c r="J1952" t="s">
        <v>1512</v>
      </c>
      <c r="L1952" t="s">
        <v>80</v>
      </c>
      <c r="M1952" t="s">
        <v>73</v>
      </c>
      <c r="R1952" t="s">
        <v>1312</v>
      </c>
      <c r="W1952" t="s">
        <v>1311</v>
      </c>
      <c r="X1952" t="s">
        <v>1313</v>
      </c>
      <c r="Y1952" t="s">
        <v>503</v>
      </c>
      <c r="Z1952" t="s">
        <v>74</v>
      </c>
      <c r="AA1952" t="str">
        <f>"12571-1824"</f>
        <v>12571-1824</v>
      </c>
      <c r="AB1952" t="s">
        <v>75</v>
      </c>
      <c r="AC1952" t="s">
        <v>76</v>
      </c>
      <c r="AD1952" t="s">
        <v>73</v>
      </c>
      <c r="AE1952" t="s">
        <v>77</v>
      </c>
      <c r="AG1952" t="s">
        <v>78</v>
      </c>
    </row>
    <row r="1953" spans="1:33" hidden="1" x14ac:dyDescent="0.25">
      <c r="A1953" t="str">
        <f>"1770873010"</f>
        <v>1770873010</v>
      </c>
      <c r="C1953" t="s">
        <v>8955</v>
      </c>
      <c r="G1953" t="s">
        <v>2224</v>
      </c>
      <c r="H1953" t="s">
        <v>2312</v>
      </c>
      <c r="J1953" t="s">
        <v>2226</v>
      </c>
      <c r="K1953" t="s">
        <v>171</v>
      </c>
      <c r="L1953" t="s">
        <v>96</v>
      </c>
      <c r="M1953" t="s">
        <v>73</v>
      </c>
      <c r="R1953" t="s">
        <v>8956</v>
      </c>
      <c r="S1953" t="s">
        <v>3699</v>
      </c>
      <c r="T1953" t="s">
        <v>1570</v>
      </c>
      <c r="U1953" t="s">
        <v>578</v>
      </c>
      <c r="V1953" t="str">
        <f>"94118"</f>
        <v>94118</v>
      </c>
      <c r="AC1953" t="s">
        <v>76</v>
      </c>
      <c r="AD1953" t="s">
        <v>73</v>
      </c>
      <c r="AE1953" t="s">
        <v>97</v>
      </c>
      <c r="AF1953" t="s">
        <v>2228</v>
      </c>
      <c r="AG1953" t="s">
        <v>78</v>
      </c>
    </row>
    <row r="1954" spans="1:33" hidden="1" x14ac:dyDescent="0.25">
      <c r="A1954" t="str">
        <f>"1356786073"</f>
        <v>1356786073</v>
      </c>
      <c r="C1954" t="s">
        <v>8957</v>
      </c>
      <c r="G1954" t="s">
        <v>2224</v>
      </c>
      <c r="H1954" t="s">
        <v>2312</v>
      </c>
      <c r="J1954" t="s">
        <v>2226</v>
      </c>
      <c r="K1954" t="s">
        <v>171</v>
      </c>
      <c r="L1954" t="s">
        <v>96</v>
      </c>
      <c r="M1954" t="s">
        <v>73</v>
      </c>
      <c r="R1954" t="s">
        <v>8958</v>
      </c>
      <c r="S1954" t="s">
        <v>1573</v>
      </c>
      <c r="T1954" t="s">
        <v>91</v>
      </c>
      <c r="U1954" t="s">
        <v>74</v>
      </c>
      <c r="V1954" t="str">
        <f>"100166402"</f>
        <v>100166402</v>
      </c>
      <c r="AC1954" t="s">
        <v>76</v>
      </c>
      <c r="AD1954" t="s">
        <v>73</v>
      </c>
      <c r="AE1954" t="s">
        <v>97</v>
      </c>
      <c r="AF1954" t="s">
        <v>2228</v>
      </c>
      <c r="AG1954" t="s">
        <v>78</v>
      </c>
    </row>
    <row r="1955" spans="1:33" hidden="1" x14ac:dyDescent="0.25">
      <c r="A1955" t="str">
        <f>"1720033764"</f>
        <v>1720033764</v>
      </c>
      <c r="C1955" t="s">
        <v>8959</v>
      </c>
      <c r="G1955" t="s">
        <v>2224</v>
      </c>
      <c r="H1955" t="s">
        <v>2312</v>
      </c>
      <c r="J1955" t="s">
        <v>2226</v>
      </c>
      <c r="K1955" t="s">
        <v>171</v>
      </c>
      <c r="L1955" t="s">
        <v>96</v>
      </c>
      <c r="M1955" t="s">
        <v>73</v>
      </c>
      <c r="R1955" t="s">
        <v>8960</v>
      </c>
      <c r="S1955" t="s">
        <v>236</v>
      </c>
      <c r="T1955" t="s">
        <v>91</v>
      </c>
      <c r="U1955" t="s">
        <v>74</v>
      </c>
      <c r="V1955" t="str">
        <f>"100341159"</f>
        <v>100341159</v>
      </c>
      <c r="AC1955" t="s">
        <v>76</v>
      </c>
      <c r="AD1955" t="s">
        <v>73</v>
      </c>
      <c r="AE1955" t="s">
        <v>97</v>
      </c>
      <c r="AF1955" t="s">
        <v>2228</v>
      </c>
      <c r="AG1955" t="s">
        <v>78</v>
      </c>
    </row>
    <row r="1956" spans="1:33" hidden="1" x14ac:dyDescent="0.25">
      <c r="A1956" t="str">
        <f>"1992012124"</f>
        <v>1992012124</v>
      </c>
      <c r="C1956" t="s">
        <v>8961</v>
      </c>
      <c r="G1956" t="s">
        <v>2224</v>
      </c>
      <c r="H1956" t="s">
        <v>2312</v>
      </c>
      <c r="J1956" t="s">
        <v>2226</v>
      </c>
      <c r="K1956" t="s">
        <v>171</v>
      </c>
      <c r="L1956" t="s">
        <v>96</v>
      </c>
      <c r="M1956" t="s">
        <v>73</v>
      </c>
      <c r="R1956" t="s">
        <v>8962</v>
      </c>
      <c r="S1956" t="s">
        <v>8963</v>
      </c>
      <c r="T1956" t="s">
        <v>91</v>
      </c>
      <c r="U1956" t="s">
        <v>74</v>
      </c>
      <c r="V1956" t="str">
        <f>"100323720"</f>
        <v>100323720</v>
      </c>
      <c r="AC1956" t="s">
        <v>76</v>
      </c>
      <c r="AD1956" t="s">
        <v>73</v>
      </c>
      <c r="AE1956" t="s">
        <v>97</v>
      </c>
      <c r="AF1956" t="s">
        <v>2228</v>
      </c>
      <c r="AG1956" t="s">
        <v>78</v>
      </c>
    </row>
    <row r="1957" spans="1:33" hidden="1" x14ac:dyDescent="0.25">
      <c r="A1957" t="str">
        <f>"1689656217"</f>
        <v>1689656217</v>
      </c>
      <c r="C1957" t="s">
        <v>8964</v>
      </c>
      <c r="G1957" t="s">
        <v>2224</v>
      </c>
      <c r="H1957" t="s">
        <v>2312</v>
      </c>
      <c r="J1957" t="s">
        <v>2226</v>
      </c>
      <c r="K1957" t="s">
        <v>171</v>
      </c>
      <c r="L1957" t="s">
        <v>96</v>
      </c>
      <c r="M1957" t="s">
        <v>73</v>
      </c>
      <c r="R1957" t="s">
        <v>8965</v>
      </c>
      <c r="S1957" t="s">
        <v>8966</v>
      </c>
      <c r="T1957" t="s">
        <v>8967</v>
      </c>
      <c r="U1957" t="s">
        <v>74</v>
      </c>
      <c r="V1957" t="str">
        <f>"105461025"</f>
        <v>105461025</v>
      </c>
      <c r="AC1957" t="s">
        <v>76</v>
      </c>
      <c r="AD1957" t="s">
        <v>73</v>
      </c>
      <c r="AE1957" t="s">
        <v>97</v>
      </c>
      <c r="AF1957" t="s">
        <v>2228</v>
      </c>
      <c r="AG1957" t="s">
        <v>78</v>
      </c>
    </row>
    <row r="1958" spans="1:33" hidden="1" x14ac:dyDescent="0.25">
      <c r="A1958" t="str">
        <f>"1164452140"</f>
        <v>1164452140</v>
      </c>
      <c r="C1958" t="s">
        <v>8968</v>
      </c>
      <c r="G1958" t="s">
        <v>2224</v>
      </c>
      <c r="H1958" t="s">
        <v>2312</v>
      </c>
      <c r="J1958" t="s">
        <v>2226</v>
      </c>
      <c r="K1958" t="s">
        <v>171</v>
      </c>
      <c r="L1958" t="s">
        <v>96</v>
      </c>
      <c r="M1958" t="s">
        <v>73</v>
      </c>
      <c r="R1958" t="s">
        <v>8969</v>
      </c>
      <c r="S1958" t="s">
        <v>8970</v>
      </c>
      <c r="T1958" t="s">
        <v>91</v>
      </c>
      <c r="U1958" t="s">
        <v>74</v>
      </c>
      <c r="V1958" t="str">
        <f>"100214823"</f>
        <v>100214823</v>
      </c>
      <c r="AC1958" t="s">
        <v>76</v>
      </c>
      <c r="AD1958" t="s">
        <v>73</v>
      </c>
      <c r="AE1958" t="s">
        <v>97</v>
      </c>
      <c r="AF1958" t="s">
        <v>2228</v>
      </c>
      <c r="AG1958" t="s">
        <v>78</v>
      </c>
    </row>
    <row r="1959" spans="1:33" hidden="1" x14ac:dyDescent="0.25">
      <c r="A1959" t="str">
        <f>"1730232984"</f>
        <v>1730232984</v>
      </c>
      <c r="B1959" t="str">
        <f>"01244022"</f>
        <v>01244022</v>
      </c>
      <c r="C1959" t="s">
        <v>8971</v>
      </c>
      <c r="D1959" t="s">
        <v>8972</v>
      </c>
      <c r="E1959" t="s">
        <v>8973</v>
      </c>
      <c r="L1959" t="s">
        <v>80</v>
      </c>
      <c r="M1959" t="s">
        <v>73</v>
      </c>
      <c r="R1959" t="s">
        <v>8974</v>
      </c>
      <c r="W1959" t="s">
        <v>8973</v>
      </c>
      <c r="X1959" t="s">
        <v>167</v>
      </c>
      <c r="Y1959" t="s">
        <v>91</v>
      </c>
      <c r="Z1959" t="s">
        <v>74</v>
      </c>
      <c r="AA1959" t="str">
        <f>"10032-3720"</f>
        <v>10032-3720</v>
      </c>
      <c r="AB1959" t="s">
        <v>75</v>
      </c>
      <c r="AC1959" t="s">
        <v>76</v>
      </c>
      <c r="AD1959" t="s">
        <v>73</v>
      </c>
      <c r="AE1959" t="s">
        <v>77</v>
      </c>
      <c r="AF1959" t="s">
        <v>2228</v>
      </c>
      <c r="AG1959" t="s">
        <v>78</v>
      </c>
    </row>
    <row r="1960" spans="1:33" hidden="1" x14ac:dyDescent="0.25">
      <c r="A1960" t="str">
        <f>"1962567180"</f>
        <v>1962567180</v>
      </c>
      <c r="B1960" t="str">
        <f>"02977324"</f>
        <v>02977324</v>
      </c>
      <c r="C1960" t="s">
        <v>8975</v>
      </c>
      <c r="D1960" t="s">
        <v>8976</v>
      </c>
      <c r="E1960" t="s">
        <v>8977</v>
      </c>
      <c r="L1960" t="s">
        <v>80</v>
      </c>
      <c r="M1960" t="s">
        <v>73</v>
      </c>
      <c r="R1960" t="s">
        <v>8978</v>
      </c>
      <c r="W1960" t="s">
        <v>8979</v>
      </c>
      <c r="X1960" t="s">
        <v>167</v>
      </c>
      <c r="Y1960" t="s">
        <v>91</v>
      </c>
      <c r="Z1960" t="s">
        <v>74</v>
      </c>
      <c r="AA1960" t="str">
        <f>"10032-3720"</f>
        <v>10032-3720</v>
      </c>
      <c r="AB1960" t="s">
        <v>75</v>
      </c>
      <c r="AC1960" t="s">
        <v>76</v>
      </c>
      <c r="AD1960" t="s">
        <v>73</v>
      </c>
      <c r="AE1960" t="s">
        <v>77</v>
      </c>
      <c r="AF1960" t="s">
        <v>2228</v>
      </c>
      <c r="AG1960" t="s">
        <v>78</v>
      </c>
    </row>
    <row r="1961" spans="1:33" hidden="1" x14ac:dyDescent="0.25">
      <c r="A1961" t="str">
        <f>"1972657864"</f>
        <v>1972657864</v>
      </c>
      <c r="B1961" t="str">
        <f>"00230644"</f>
        <v>00230644</v>
      </c>
      <c r="C1961" t="s">
        <v>8980</v>
      </c>
      <c r="D1961" t="s">
        <v>8981</v>
      </c>
      <c r="E1961" t="s">
        <v>8982</v>
      </c>
      <c r="L1961" t="s">
        <v>80</v>
      </c>
      <c r="M1961" t="s">
        <v>73</v>
      </c>
      <c r="R1961" t="s">
        <v>8983</v>
      </c>
      <c r="W1961" t="s">
        <v>8984</v>
      </c>
      <c r="Y1961" t="s">
        <v>91</v>
      </c>
      <c r="Z1961" t="s">
        <v>74</v>
      </c>
      <c r="AA1961" t="str">
        <f>"10032-3720"</f>
        <v>10032-3720</v>
      </c>
      <c r="AB1961" t="s">
        <v>75</v>
      </c>
      <c r="AC1961" t="s">
        <v>76</v>
      </c>
      <c r="AD1961" t="s">
        <v>73</v>
      </c>
      <c r="AE1961" t="s">
        <v>77</v>
      </c>
      <c r="AF1961" t="s">
        <v>2228</v>
      </c>
      <c r="AG1961" t="s">
        <v>78</v>
      </c>
    </row>
    <row r="1962" spans="1:33" hidden="1" x14ac:dyDescent="0.25">
      <c r="A1962" t="str">
        <f>"1770669038"</f>
        <v>1770669038</v>
      </c>
      <c r="B1962" t="str">
        <f>"01084573"</f>
        <v>01084573</v>
      </c>
      <c r="C1962" t="s">
        <v>335</v>
      </c>
      <c r="D1962" t="s">
        <v>336</v>
      </c>
      <c r="E1962" t="s">
        <v>337</v>
      </c>
      <c r="G1962" t="s">
        <v>5513</v>
      </c>
      <c r="H1962" t="s">
        <v>338</v>
      </c>
      <c r="J1962" t="s">
        <v>339</v>
      </c>
      <c r="L1962" t="s">
        <v>134</v>
      </c>
      <c r="M1962" t="s">
        <v>82</v>
      </c>
      <c r="R1962" t="s">
        <v>340</v>
      </c>
      <c r="W1962" t="s">
        <v>341</v>
      </c>
      <c r="X1962" t="s">
        <v>342</v>
      </c>
      <c r="Y1962" t="s">
        <v>91</v>
      </c>
      <c r="Z1962" t="s">
        <v>74</v>
      </c>
      <c r="AA1962" t="str">
        <f>"10006-3039"</f>
        <v>10006-3039</v>
      </c>
      <c r="AB1962" t="s">
        <v>110</v>
      </c>
      <c r="AC1962" t="s">
        <v>76</v>
      </c>
      <c r="AD1962" t="s">
        <v>73</v>
      </c>
      <c r="AE1962" t="s">
        <v>77</v>
      </c>
      <c r="AG1962" t="s">
        <v>78</v>
      </c>
    </row>
    <row r="1963" spans="1:33" hidden="1" x14ac:dyDescent="0.25">
      <c r="A1963" t="str">
        <f>"1841263878"</f>
        <v>1841263878</v>
      </c>
      <c r="B1963" t="str">
        <f>"01765599"</f>
        <v>01765599</v>
      </c>
      <c r="C1963" t="s">
        <v>8985</v>
      </c>
      <c r="D1963" t="s">
        <v>8986</v>
      </c>
      <c r="E1963" t="s">
        <v>8987</v>
      </c>
      <c r="G1963" t="s">
        <v>2224</v>
      </c>
      <c r="H1963" t="s">
        <v>2225</v>
      </c>
      <c r="J1963" t="s">
        <v>2226</v>
      </c>
      <c r="L1963" t="s">
        <v>80</v>
      </c>
      <c r="M1963" t="s">
        <v>73</v>
      </c>
      <c r="R1963" t="s">
        <v>8988</v>
      </c>
      <c r="W1963" t="s">
        <v>8989</v>
      </c>
      <c r="X1963" t="s">
        <v>8990</v>
      </c>
      <c r="Y1963" t="s">
        <v>91</v>
      </c>
      <c r="Z1963" t="s">
        <v>74</v>
      </c>
      <c r="AA1963" t="str">
        <f>"10032-3735"</f>
        <v>10032-3735</v>
      </c>
      <c r="AB1963" t="s">
        <v>75</v>
      </c>
      <c r="AC1963" t="s">
        <v>76</v>
      </c>
      <c r="AD1963" t="s">
        <v>73</v>
      </c>
      <c r="AE1963" t="s">
        <v>77</v>
      </c>
      <c r="AF1963" t="s">
        <v>2242</v>
      </c>
      <c r="AG1963" t="s">
        <v>78</v>
      </c>
    </row>
    <row r="1964" spans="1:33" hidden="1" x14ac:dyDescent="0.25">
      <c r="A1964" t="str">
        <f>"1841342656"</f>
        <v>1841342656</v>
      </c>
      <c r="B1964" t="str">
        <f>"00214957"</f>
        <v>00214957</v>
      </c>
      <c r="C1964" t="s">
        <v>8991</v>
      </c>
      <c r="D1964" t="s">
        <v>8992</v>
      </c>
      <c r="E1964" t="s">
        <v>8993</v>
      </c>
      <c r="G1964" t="s">
        <v>2224</v>
      </c>
      <c r="H1964" t="s">
        <v>2225</v>
      </c>
      <c r="J1964" t="s">
        <v>2226</v>
      </c>
      <c r="L1964" t="s">
        <v>72</v>
      </c>
      <c r="M1964" t="s">
        <v>73</v>
      </c>
      <c r="R1964" t="s">
        <v>8994</v>
      </c>
      <c r="W1964" t="s">
        <v>8993</v>
      </c>
      <c r="X1964" t="s">
        <v>496</v>
      </c>
      <c r="Y1964" t="s">
        <v>91</v>
      </c>
      <c r="Z1964" t="s">
        <v>74</v>
      </c>
      <c r="AA1964" t="str">
        <f>"10032-3726"</f>
        <v>10032-3726</v>
      </c>
      <c r="AB1964" t="s">
        <v>75</v>
      </c>
      <c r="AC1964" t="s">
        <v>76</v>
      </c>
      <c r="AD1964" t="s">
        <v>73</v>
      </c>
      <c r="AE1964" t="s">
        <v>77</v>
      </c>
      <c r="AF1964" t="s">
        <v>2228</v>
      </c>
      <c r="AG1964" t="s">
        <v>78</v>
      </c>
    </row>
    <row r="1965" spans="1:33" hidden="1" x14ac:dyDescent="0.25">
      <c r="A1965" t="str">
        <f>"1841344652"</f>
        <v>1841344652</v>
      </c>
      <c r="B1965" t="str">
        <f>"02845370"</f>
        <v>02845370</v>
      </c>
      <c r="C1965" t="s">
        <v>8995</v>
      </c>
      <c r="D1965" t="s">
        <v>1531</v>
      </c>
      <c r="E1965" t="s">
        <v>1532</v>
      </c>
      <c r="G1965" t="s">
        <v>2224</v>
      </c>
      <c r="H1965" t="s">
        <v>2225</v>
      </c>
      <c r="J1965" t="s">
        <v>2226</v>
      </c>
      <c r="L1965" t="s">
        <v>100</v>
      </c>
      <c r="M1965" t="s">
        <v>73</v>
      </c>
      <c r="R1965" t="s">
        <v>1533</v>
      </c>
      <c r="W1965" t="s">
        <v>1532</v>
      </c>
      <c r="X1965" t="s">
        <v>1397</v>
      </c>
      <c r="Y1965" t="s">
        <v>91</v>
      </c>
      <c r="Z1965" t="s">
        <v>74</v>
      </c>
      <c r="AA1965" t="str">
        <f>"10032-3724"</f>
        <v>10032-3724</v>
      </c>
      <c r="AB1965" t="s">
        <v>75</v>
      </c>
      <c r="AC1965" t="s">
        <v>76</v>
      </c>
      <c r="AD1965" t="s">
        <v>73</v>
      </c>
      <c r="AE1965" t="s">
        <v>77</v>
      </c>
      <c r="AF1965" t="s">
        <v>2228</v>
      </c>
      <c r="AG1965" t="s">
        <v>78</v>
      </c>
    </row>
    <row r="1966" spans="1:33" hidden="1" x14ac:dyDescent="0.25">
      <c r="A1966" t="str">
        <f>"1841351277"</f>
        <v>1841351277</v>
      </c>
      <c r="B1966" t="str">
        <f>"03367122"</f>
        <v>03367122</v>
      </c>
      <c r="C1966" t="s">
        <v>8996</v>
      </c>
      <c r="D1966" t="s">
        <v>8997</v>
      </c>
      <c r="E1966" t="s">
        <v>8998</v>
      </c>
      <c r="G1966" t="s">
        <v>2224</v>
      </c>
      <c r="H1966" t="s">
        <v>2225</v>
      </c>
      <c r="J1966" t="s">
        <v>2226</v>
      </c>
      <c r="L1966" t="s">
        <v>72</v>
      </c>
      <c r="M1966" t="s">
        <v>73</v>
      </c>
      <c r="R1966" t="s">
        <v>8999</v>
      </c>
      <c r="W1966" t="s">
        <v>8998</v>
      </c>
      <c r="X1966" t="s">
        <v>9000</v>
      </c>
      <c r="Y1966" t="s">
        <v>91</v>
      </c>
      <c r="Z1966" t="s">
        <v>74</v>
      </c>
      <c r="AA1966" t="str">
        <f>"10011-6609"</f>
        <v>10011-6609</v>
      </c>
      <c r="AB1966" t="s">
        <v>75</v>
      </c>
      <c r="AC1966" t="s">
        <v>76</v>
      </c>
      <c r="AD1966" t="s">
        <v>73</v>
      </c>
      <c r="AE1966" t="s">
        <v>77</v>
      </c>
      <c r="AF1966" t="s">
        <v>2254</v>
      </c>
      <c r="AG1966" t="s">
        <v>78</v>
      </c>
    </row>
    <row r="1967" spans="1:33" hidden="1" x14ac:dyDescent="0.25">
      <c r="A1967" t="str">
        <f>"1750524203"</f>
        <v>1750524203</v>
      </c>
      <c r="B1967" t="str">
        <f>"03500025"</f>
        <v>03500025</v>
      </c>
      <c r="C1967" t="s">
        <v>9001</v>
      </c>
      <c r="D1967" t="s">
        <v>9002</v>
      </c>
      <c r="E1967" t="s">
        <v>9003</v>
      </c>
      <c r="L1967" t="s">
        <v>72</v>
      </c>
      <c r="M1967" t="s">
        <v>73</v>
      </c>
      <c r="R1967" t="s">
        <v>9003</v>
      </c>
      <c r="W1967" t="s">
        <v>9003</v>
      </c>
      <c r="AB1967" t="s">
        <v>75</v>
      </c>
      <c r="AC1967" t="s">
        <v>76</v>
      </c>
      <c r="AD1967" t="s">
        <v>73</v>
      </c>
      <c r="AE1967" t="s">
        <v>77</v>
      </c>
      <c r="AF1967" t="s">
        <v>2242</v>
      </c>
      <c r="AG1967" t="s">
        <v>78</v>
      </c>
    </row>
    <row r="1968" spans="1:33" hidden="1" x14ac:dyDescent="0.25">
      <c r="A1968" t="str">
        <f>"1881852911"</f>
        <v>1881852911</v>
      </c>
      <c r="B1968" t="str">
        <f>"03472960"</f>
        <v>03472960</v>
      </c>
      <c r="C1968" t="s">
        <v>9004</v>
      </c>
      <c r="D1968" t="s">
        <v>2030</v>
      </c>
      <c r="E1968" t="s">
        <v>1464</v>
      </c>
      <c r="L1968" t="s">
        <v>88</v>
      </c>
      <c r="M1968" t="s">
        <v>73</v>
      </c>
      <c r="R1968" t="s">
        <v>2031</v>
      </c>
      <c r="W1968" t="s">
        <v>1464</v>
      </c>
      <c r="X1968" t="s">
        <v>222</v>
      </c>
      <c r="Y1968" t="s">
        <v>91</v>
      </c>
      <c r="Z1968" t="s">
        <v>74</v>
      </c>
      <c r="AA1968" t="str">
        <f>"10016-9196"</f>
        <v>10016-9196</v>
      </c>
      <c r="AB1968" t="s">
        <v>75</v>
      </c>
      <c r="AC1968" t="s">
        <v>76</v>
      </c>
      <c r="AD1968" t="s">
        <v>73</v>
      </c>
      <c r="AE1968" t="s">
        <v>77</v>
      </c>
      <c r="AF1968" t="s">
        <v>2242</v>
      </c>
      <c r="AG1968" t="s">
        <v>78</v>
      </c>
    </row>
    <row r="1969" spans="1:33" hidden="1" x14ac:dyDescent="0.25">
      <c r="A1969" t="str">
        <f>"1871853663"</f>
        <v>1871853663</v>
      </c>
      <c r="C1969" t="s">
        <v>9005</v>
      </c>
      <c r="G1969" t="s">
        <v>2224</v>
      </c>
      <c r="H1969" t="s">
        <v>2312</v>
      </c>
      <c r="J1969" t="s">
        <v>2226</v>
      </c>
      <c r="K1969" t="s">
        <v>171</v>
      </c>
      <c r="L1969" t="s">
        <v>96</v>
      </c>
      <c r="M1969" t="s">
        <v>73</v>
      </c>
      <c r="R1969" t="s">
        <v>9006</v>
      </c>
      <c r="S1969" t="s">
        <v>9007</v>
      </c>
      <c r="T1969" t="s">
        <v>91</v>
      </c>
      <c r="U1969" t="s">
        <v>74</v>
      </c>
      <c r="V1969" t="str">
        <f>"100323733"</f>
        <v>100323733</v>
      </c>
      <c r="AC1969" t="s">
        <v>76</v>
      </c>
      <c r="AD1969" t="s">
        <v>73</v>
      </c>
      <c r="AE1969" t="s">
        <v>97</v>
      </c>
      <c r="AF1969" t="s">
        <v>2228</v>
      </c>
      <c r="AG1969" t="s">
        <v>78</v>
      </c>
    </row>
    <row r="1970" spans="1:33" hidden="1" x14ac:dyDescent="0.25">
      <c r="A1970" t="str">
        <f>"1447340617"</f>
        <v>1447340617</v>
      </c>
      <c r="B1970" t="str">
        <f>"02544338"</f>
        <v>02544338</v>
      </c>
      <c r="C1970" t="s">
        <v>9008</v>
      </c>
      <c r="D1970" t="s">
        <v>9009</v>
      </c>
      <c r="E1970" t="s">
        <v>9010</v>
      </c>
      <c r="G1970" t="s">
        <v>2224</v>
      </c>
      <c r="H1970" t="s">
        <v>2225</v>
      </c>
      <c r="J1970" t="s">
        <v>2226</v>
      </c>
      <c r="L1970" t="s">
        <v>80</v>
      </c>
      <c r="M1970" t="s">
        <v>73</v>
      </c>
      <c r="R1970" t="s">
        <v>9011</v>
      </c>
      <c r="W1970" t="s">
        <v>9010</v>
      </c>
      <c r="X1970" t="s">
        <v>9012</v>
      </c>
      <c r="Y1970" t="s">
        <v>91</v>
      </c>
      <c r="Z1970" t="s">
        <v>74</v>
      </c>
      <c r="AA1970" t="str">
        <f>"10021-9800"</f>
        <v>10021-9800</v>
      </c>
      <c r="AB1970" t="s">
        <v>75</v>
      </c>
      <c r="AC1970" t="s">
        <v>76</v>
      </c>
      <c r="AD1970" t="s">
        <v>73</v>
      </c>
      <c r="AE1970" t="s">
        <v>77</v>
      </c>
      <c r="AF1970" t="s">
        <v>2398</v>
      </c>
      <c r="AG1970" t="s">
        <v>78</v>
      </c>
    </row>
    <row r="1971" spans="1:33" hidden="1" x14ac:dyDescent="0.25">
      <c r="A1971" t="str">
        <f>"1811254139"</f>
        <v>1811254139</v>
      </c>
      <c r="B1971" t="str">
        <f>"03464711"</f>
        <v>03464711</v>
      </c>
      <c r="C1971" t="s">
        <v>736</v>
      </c>
      <c r="D1971" t="s">
        <v>735</v>
      </c>
      <c r="E1971" t="s">
        <v>736</v>
      </c>
      <c r="G1971" t="s">
        <v>3651</v>
      </c>
      <c r="H1971" t="s">
        <v>1509</v>
      </c>
      <c r="J1971" t="s">
        <v>1510</v>
      </c>
      <c r="L1971" t="s">
        <v>11</v>
      </c>
      <c r="M1971" t="s">
        <v>73</v>
      </c>
      <c r="R1971" t="s">
        <v>736</v>
      </c>
      <c r="W1971" t="s">
        <v>736</v>
      </c>
      <c r="X1971" t="s">
        <v>737</v>
      </c>
      <c r="Y1971" t="s">
        <v>91</v>
      </c>
      <c r="Z1971" t="s">
        <v>74</v>
      </c>
      <c r="AA1971" t="str">
        <f>"10031-5101"</f>
        <v>10031-5101</v>
      </c>
      <c r="AB1971" t="s">
        <v>110</v>
      </c>
      <c r="AC1971" t="s">
        <v>76</v>
      </c>
      <c r="AD1971" t="s">
        <v>73</v>
      </c>
      <c r="AE1971" t="s">
        <v>77</v>
      </c>
      <c r="AF1971" t="s">
        <v>3652</v>
      </c>
      <c r="AG1971" t="s">
        <v>78</v>
      </c>
    </row>
    <row r="1972" spans="1:33" hidden="1" x14ac:dyDescent="0.25">
      <c r="A1972" t="str">
        <f>"1235104118"</f>
        <v>1235104118</v>
      </c>
      <c r="B1972" t="str">
        <f>"02862999"</f>
        <v>02862999</v>
      </c>
      <c r="C1972" t="s">
        <v>9013</v>
      </c>
      <c r="D1972" t="s">
        <v>9014</v>
      </c>
      <c r="E1972" t="s">
        <v>9015</v>
      </c>
      <c r="L1972" t="s">
        <v>80</v>
      </c>
      <c r="M1972" t="s">
        <v>73</v>
      </c>
      <c r="R1972" t="s">
        <v>9015</v>
      </c>
      <c r="W1972" t="s">
        <v>9015</v>
      </c>
      <c r="X1972" t="s">
        <v>3477</v>
      </c>
      <c r="Y1972" t="s">
        <v>91</v>
      </c>
      <c r="Z1972" t="s">
        <v>74</v>
      </c>
      <c r="AA1972" t="str">
        <f>"10032-3725"</f>
        <v>10032-3725</v>
      </c>
      <c r="AB1972" t="s">
        <v>75</v>
      </c>
      <c r="AC1972" t="s">
        <v>76</v>
      </c>
      <c r="AD1972" t="s">
        <v>73</v>
      </c>
      <c r="AE1972" t="s">
        <v>77</v>
      </c>
      <c r="AF1972" t="s">
        <v>2228</v>
      </c>
      <c r="AG1972" t="s">
        <v>78</v>
      </c>
    </row>
    <row r="1973" spans="1:33" hidden="1" x14ac:dyDescent="0.25">
      <c r="A1973" t="str">
        <f>"1649324302"</f>
        <v>1649324302</v>
      </c>
      <c r="B1973" t="str">
        <f>"01801505"</f>
        <v>01801505</v>
      </c>
      <c r="C1973" t="s">
        <v>9016</v>
      </c>
      <c r="D1973" t="s">
        <v>9017</v>
      </c>
      <c r="E1973" t="s">
        <v>9018</v>
      </c>
      <c r="L1973" t="s">
        <v>72</v>
      </c>
      <c r="M1973" t="s">
        <v>73</v>
      </c>
      <c r="R1973" t="s">
        <v>9019</v>
      </c>
      <c r="W1973" t="s">
        <v>9018</v>
      </c>
      <c r="X1973" t="s">
        <v>9020</v>
      </c>
      <c r="Y1973" t="s">
        <v>91</v>
      </c>
      <c r="Z1973" t="s">
        <v>74</v>
      </c>
      <c r="AA1973" t="str">
        <f>"10032-3720"</f>
        <v>10032-3720</v>
      </c>
      <c r="AB1973" t="s">
        <v>75</v>
      </c>
      <c r="AC1973" t="s">
        <v>76</v>
      </c>
      <c r="AD1973" t="s">
        <v>73</v>
      </c>
      <c r="AE1973" t="s">
        <v>77</v>
      </c>
      <c r="AF1973" t="s">
        <v>2228</v>
      </c>
      <c r="AG1973" t="s">
        <v>78</v>
      </c>
    </row>
    <row r="1974" spans="1:33" hidden="1" x14ac:dyDescent="0.25">
      <c r="A1974" t="str">
        <f>"1093940348"</f>
        <v>1093940348</v>
      </c>
      <c r="B1974" t="str">
        <f>"03376625"</f>
        <v>03376625</v>
      </c>
      <c r="C1974" t="s">
        <v>9021</v>
      </c>
      <c r="D1974" t="s">
        <v>9022</v>
      </c>
      <c r="E1974" t="s">
        <v>9023</v>
      </c>
      <c r="L1974" t="s">
        <v>80</v>
      </c>
      <c r="M1974" t="s">
        <v>73</v>
      </c>
      <c r="R1974" t="s">
        <v>9024</v>
      </c>
      <c r="W1974" t="s">
        <v>9023</v>
      </c>
      <c r="AB1974" t="s">
        <v>75</v>
      </c>
      <c r="AC1974" t="s">
        <v>76</v>
      </c>
      <c r="AD1974" t="s">
        <v>73</v>
      </c>
      <c r="AE1974" t="s">
        <v>77</v>
      </c>
      <c r="AF1974" t="s">
        <v>2228</v>
      </c>
      <c r="AG1974" t="s">
        <v>78</v>
      </c>
    </row>
    <row r="1975" spans="1:33" hidden="1" x14ac:dyDescent="0.25">
      <c r="A1975" t="str">
        <f>"1760402341"</f>
        <v>1760402341</v>
      </c>
      <c r="B1975" t="str">
        <f>"02978696"</f>
        <v>02978696</v>
      </c>
      <c r="C1975" t="s">
        <v>9025</v>
      </c>
      <c r="D1975" t="s">
        <v>9026</v>
      </c>
      <c r="E1975" t="s">
        <v>9027</v>
      </c>
      <c r="L1975" t="s">
        <v>96</v>
      </c>
      <c r="M1975" t="s">
        <v>73</v>
      </c>
      <c r="R1975" t="s">
        <v>9028</v>
      </c>
      <c r="W1975" t="s">
        <v>9029</v>
      </c>
      <c r="X1975" t="s">
        <v>253</v>
      </c>
      <c r="Y1975" t="s">
        <v>91</v>
      </c>
      <c r="Z1975" t="s">
        <v>74</v>
      </c>
      <c r="AA1975" t="str">
        <f>"10011-8305"</f>
        <v>10011-8305</v>
      </c>
      <c r="AB1975" t="s">
        <v>75</v>
      </c>
      <c r="AC1975" t="s">
        <v>76</v>
      </c>
      <c r="AD1975" t="s">
        <v>73</v>
      </c>
      <c r="AE1975" t="s">
        <v>77</v>
      </c>
      <c r="AF1975" t="s">
        <v>2228</v>
      </c>
      <c r="AG1975" t="s">
        <v>78</v>
      </c>
    </row>
    <row r="1976" spans="1:33" hidden="1" x14ac:dyDescent="0.25">
      <c r="A1976" t="str">
        <f>"1679732614"</f>
        <v>1679732614</v>
      </c>
      <c r="B1976" t="str">
        <f>"03790801"</f>
        <v>03790801</v>
      </c>
      <c r="C1976" t="s">
        <v>9030</v>
      </c>
      <c r="D1976" t="s">
        <v>9031</v>
      </c>
      <c r="E1976" t="s">
        <v>9032</v>
      </c>
      <c r="L1976" t="s">
        <v>72</v>
      </c>
      <c r="M1976" t="s">
        <v>73</v>
      </c>
      <c r="R1976" t="s">
        <v>9033</v>
      </c>
      <c r="W1976" t="s">
        <v>9032</v>
      </c>
      <c r="X1976" t="s">
        <v>1214</v>
      </c>
      <c r="Y1976" t="s">
        <v>91</v>
      </c>
      <c r="Z1976" t="s">
        <v>74</v>
      </c>
      <c r="AA1976" t="str">
        <f>"10021-4823"</f>
        <v>10021-4823</v>
      </c>
      <c r="AB1976" t="s">
        <v>75</v>
      </c>
      <c r="AC1976" t="s">
        <v>76</v>
      </c>
      <c r="AD1976" t="s">
        <v>73</v>
      </c>
      <c r="AE1976" t="s">
        <v>77</v>
      </c>
      <c r="AF1976" t="s">
        <v>2242</v>
      </c>
      <c r="AG1976" t="s">
        <v>78</v>
      </c>
    </row>
    <row r="1977" spans="1:33" hidden="1" x14ac:dyDescent="0.25">
      <c r="A1977" t="str">
        <f>"1285691394"</f>
        <v>1285691394</v>
      </c>
      <c r="B1977" t="str">
        <f>"02859823"</f>
        <v>02859823</v>
      </c>
      <c r="C1977" t="s">
        <v>9034</v>
      </c>
      <c r="D1977" t="s">
        <v>9035</v>
      </c>
      <c r="E1977" t="s">
        <v>9036</v>
      </c>
      <c r="G1977" t="s">
        <v>2224</v>
      </c>
      <c r="H1977" t="s">
        <v>2225</v>
      </c>
      <c r="J1977" t="s">
        <v>2226</v>
      </c>
      <c r="L1977" t="s">
        <v>80</v>
      </c>
      <c r="M1977" t="s">
        <v>73</v>
      </c>
      <c r="R1977" t="s">
        <v>9037</v>
      </c>
      <c r="W1977" t="s">
        <v>9036</v>
      </c>
      <c r="X1977" t="s">
        <v>1583</v>
      </c>
      <c r="Y1977" t="s">
        <v>91</v>
      </c>
      <c r="Z1977" t="s">
        <v>74</v>
      </c>
      <c r="AA1977" t="str">
        <f>"10021-9800"</f>
        <v>10021-9800</v>
      </c>
      <c r="AB1977" t="s">
        <v>75</v>
      </c>
      <c r="AC1977" t="s">
        <v>76</v>
      </c>
      <c r="AD1977" t="s">
        <v>73</v>
      </c>
      <c r="AE1977" t="s">
        <v>77</v>
      </c>
      <c r="AF1977" t="s">
        <v>2398</v>
      </c>
      <c r="AG1977" t="s">
        <v>78</v>
      </c>
    </row>
    <row r="1978" spans="1:33" hidden="1" x14ac:dyDescent="0.25">
      <c r="C1978" t="s">
        <v>9038</v>
      </c>
      <c r="G1978" t="s">
        <v>9039</v>
      </c>
      <c r="H1978" t="s">
        <v>1515</v>
      </c>
      <c r="J1978" t="s">
        <v>1516</v>
      </c>
      <c r="K1978" t="s">
        <v>9040</v>
      </c>
      <c r="L1978" t="s">
        <v>94</v>
      </c>
      <c r="M1978" t="s">
        <v>73</v>
      </c>
      <c r="AC1978" t="s">
        <v>76</v>
      </c>
      <c r="AD1978" t="s">
        <v>73</v>
      </c>
      <c r="AE1978" t="s">
        <v>95</v>
      </c>
      <c r="AG1978" t="s">
        <v>78</v>
      </c>
    </row>
    <row r="1979" spans="1:33" hidden="1" x14ac:dyDescent="0.25">
      <c r="A1979" t="str">
        <f>"1265676092"</f>
        <v>1265676092</v>
      </c>
      <c r="B1979" t="str">
        <f>"03274251"</f>
        <v>03274251</v>
      </c>
      <c r="C1979" t="s">
        <v>9041</v>
      </c>
      <c r="D1979" t="s">
        <v>9042</v>
      </c>
      <c r="E1979" t="s">
        <v>9043</v>
      </c>
      <c r="G1979" t="s">
        <v>9044</v>
      </c>
      <c r="H1979" t="s">
        <v>9045</v>
      </c>
      <c r="I1979">
        <v>261</v>
      </c>
      <c r="J1979" t="s">
        <v>9046</v>
      </c>
      <c r="L1979" t="s">
        <v>161</v>
      </c>
      <c r="M1979" t="s">
        <v>73</v>
      </c>
      <c r="R1979" t="s">
        <v>9047</v>
      </c>
      <c r="W1979" t="s">
        <v>9043</v>
      </c>
      <c r="X1979" t="s">
        <v>439</v>
      </c>
      <c r="Y1979" t="s">
        <v>162</v>
      </c>
      <c r="Z1979" t="s">
        <v>74</v>
      </c>
      <c r="AA1979" t="str">
        <f>"11101-4130"</f>
        <v>11101-4130</v>
      </c>
      <c r="AB1979" t="s">
        <v>87</v>
      </c>
      <c r="AC1979" t="s">
        <v>76</v>
      </c>
      <c r="AD1979" t="s">
        <v>73</v>
      </c>
      <c r="AE1979" t="s">
        <v>77</v>
      </c>
      <c r="AG1979" t="s">
        <v>78</v>
      </c>
    </row>
    <row r="1980" spans="1:33" hidden="1" x14ac:dyDescent="0.25">
      <c r="A1980" t="str">
        <f>"1174620314"</f>
        <v>1174620314</v>
      </c>
      <c r="B1980" t="str">
        <f>"01764878"</f>
        <v>01764878</v>
      </c>
      <c r="C1980" t="s">
        <v>9048</v>
      </c>
      <c r="D1980" t="s">
        <v>9049</v>
      </c>
      <c r="E1980" t="s">
        <v>9050</v>
      </c>
      <c r="G1980" t="s">
        <v>9051</v>
      </c>
      <c r="H1980" t="s">
        <v>9052</v>
      </c>
      <c r="I1980">
        <v>328</v>
      </c>
      <c r="J1980" t="s">
        <v>9053</v>
      </c>
      <c r="L1980" t="s">
        <v>109</v>
      </c>
      <c r="M1980" t="s">
        <v>82</v>
      </c>
      <c r="R1980" t="s">
        <v>9054</v>
      </c>
      <c r="W1980" t="s">
        <v>9050</v>
      </c>
      <c r="X1980" t="s">
        <v>9055</v>
      </c>
      <c r="Y1980" t="s">
        <v>91</v>
      </c>
      <c r="Z1980" t="s">
        <v>74</v>
      </c>
      <c r="AA1980" t="str">
        <f>"10026-3007"</f>
        <v>10026-3007</v>
      </c>
      <c r="AB1980" t="s">
        <v>110</v>
      </c>
      <c r="AC1980" t="s">
        <v>76</v>
      </c>
      <c r="AD1980" t="s">
        <v>73</v>
      </c>
      <c r="AE1980" t="s">
        <v>77</v>
      </c>
      <c r="AG1980" t="s">
        <v>78</v>
      </c>
    </row>
    <row r="1981" spans="1:33" hidden="1" x14ac:dyDescent="0.25">
      <c r="A1981" t="str">
        <f>"1174668032"</f>
        <v>1174668032</v>
      </c>
      <c r="C1981" t="s">
        <v>9051</v>
      </c>
      <c r="G1981" t="s">
        <v>9051</v>
      </c>
      <c r="H1981" t="s">
        <v>9052</v>
      </c>
      <c r="I1981">
        <v>328</v>
      </c>
      <c r="J1981" t="s">
        <v>9053</v>
      </c>
      <c r="K1981" t="s">
        <v>93</v>
      </c>
      <c r="L1981" t="s">
        <v>96</v>
      </c>
      <c r="M1981" t="s">
        <v>73</v>
      </c>
      <c r="R1981" t="s">
        <v>9056</v>
      </c>
      <c r="S1981" t="s">
        <v>9057</v>
      </c>
      <c r="T1981" t="s">
        <v>91</v>
      </c>
      <c r="U1981" t="s">
        <v>74</v>
      </c>
      <c r="V1981" t="str">
        <f>"100102935"</f>
        <v>100102935</v>
      </c>
      <c r="AC1981" t="s">
        <v>76</v>
      </c>
      <c r="AD1981" t="s">
        <v>73</v>
      </c>
      <c r="AE1981" t="s">
        <v>97</v>
      </c>
      <c r="AG1981" t="s">
        <v>78</v>
      </c>
    </row>
    <row r="1982" spans="1:33" hidden="1" x14ac:dyDescent="0.25">
      <c r="A1982" t="str">
        <f>"1093991630"</f>
        <v>1093991630</v>
      </c>
      <c r="C1982" t="s">
        <v>9058</v>
      </c>
      <c r="G1982" t="s">
        <v>9051</v>
      </c>
      <c r="H1982" t="s">
        <v>9052</v>
      </c>
      <c r="I1982">
        <v>328</v>
      </c>
      <c r="J1982" t="s">
        <v>9053</v>
      </c>
      <c r="K1982" t="s">
        <v>93</v>
      </c>
      <c r="L1982" t="s">
        <v>72</v>
      </c>
      <c r="M1982" t="s">
        <v>73</v>
      </c>
      <c r="R1982" t="s">
        <v>1930</v>
      </c>
      <c r="S1982" t="s">
        <v>9059</v>
      </c>
      <c r="T1982" t="s">
        <v>91</v>
      </c>
      <c r="U1982" t="s">
        <v>74</v>
      </c>
      <c r="V1982" t="str">
        <f>"100296574"</f>
        <v>100296574</v>
      </c>
      <c r="AC1982" t="s">
        <v>76</v>
      </c>
      <c r="AD1982" t="s">
        <v>73</v>
      </c>
      <c r="AE1982" t="s">
        <v>97</v>
      </c>
      <c r="AG1982" t="s">
        <v>78</v>
      </c>
    </row>
    <row r="1983" spans="1:33" hidden="1" x14ac:dyDescent="0.25">
      <c r="A1983" t="str">
        <f>"1689087025"</f>
        <v>1689087025</v>
      </c>
      <c r="C1983" t="s">
        <v>9060</v>
      </c>
      <c r="G1983" t="s">
        <v>9051</v>
      </c>
      <c r="H1983" t="s">
        <v>9052</v>
      </c>
      <c r="I1983">
        <v>328</v>
      </c>
      <c r="J1983" t="s">
        <v>9053</v>
      </c>
      <c r="K1983" t="s">
        <v>93</v>
      </c>
      <c r="L1983" t="s">
        <v>96</v>
      </c>
      <c r="M1983" t="s">
        <v>73</v>
      </c>
      <c r="R1983" t="s">
        <v>9061</v>
      </c>
      <c r="S1983" t="s">
        <v>2138</v>
      </c>
      <c r="T1983" t="s">
        <v>91</v>
      </c>
      <c r="U1983" t="s">
        <v>74</v>
      </c>
      <c r="V1983" t="str">
        <f>"100263007"</f>
        <v>100263007</v>
      </c>
      <c r="AC1983" t="s">
        <v>76</v>
      </c>
      <c r="AD1983" t="s">
        <v>73</v>
      </c>
      <c r="AE1983" t="s">
        <v>97</v>
      </c>
      <c r="AG1983" t="s">
        <v>78</v>
      </c>
    </row>
    <row r="1984" spans="1:33" hidden="1" x14ac:dyDescent="0.25">
      <c r="C1984" t="s">
        <v>9062</v>
      </c>
      <c r="G1984" t="s">
        <v>9051</v>
      </c>
      <c r="H1984" t="s">
        <v>9052</v>
      </c>
      <c r="I1984">
        <v>328</v>
      </c>
      <c r="J1984" t="s">
        <v>9053</v>
      </c>
      <c r="K1984" t="s">
        <v>93</v>
      </c>
      <c r="L1984" t="s">
        <v>94</v>
      </c>
      <c r="M1984" t="s">
        <v>73</v>
      </c>
      <c r="N1984" t="s">
        <v>9063</v>
      </c>
      <c r="O1984" t="s">
        <v>475</v>
      </c>
      <c r="P1984" t="s">
        <v>475</v>
      </c>
      <c r="Q1984" t="str">
        <f>"10026"</f>
        <v>10026</v>
      </c>
      <c r="AC1984" t="s">
        <v>76</v>
      </c>
      <c r="AD1984" t="s">
        <v>73</v>
      </c>
      <c r="AE1984" t="s">
        <v>95</v>
      </c>
      <c r="AG1984" t="s">
        <v>78</v>
      </c>
    </row>
    <row r="1985" spans="1:33" hidden="1" x14ac:dyDescent="0.25">
      <c r="A1985" t="str">
        <f>"1942612213"</f>
        <v>1942612213</v>
      </c>
      <c r="C1985" t="s">
        <v>9064</v>
      </c>
      <c r="G1985" t="s">
        <v>9051</v>
      </c>
      <c r="H1985" t="s">
        <v>9052</v>
      </c>
      <c r="I1985">
        <v>328</v>
      </c>
      <c r="J1985" t="s">
        <v>9053</v>
      </c>
      <c r="K1985" t="s">
        <v>93</v>
      </c>
      <c r="L1985" t="s">
        <v>96</v>
      </c>
      <c r="M1985" t="s">
        <v>73</v>
      </c>
      <c r="R1985" t="s">
        <v>9065</v>
      </c>
      <c r="S1985" t="s">
        <v>2138</v>
      </c>
      <c r="T1985" t="s">
        <v>91</v>
      </c>
      <c r="U1985" t="s">
        <v>74</v>
      </c>
      <c r="V1985" t="str">
        <f>"100263007"</f>
        <v>100263007</v>
      </c>
      <c r="AC1985" t="s">
        <v>76</v>
      </c>
      <c r="AD1985" t="s">
        <v>73</v>
      </c>
      <c r="AE1985" t="s">
        <v>97</v>
      </c>
      <c r="AG1985" t="s">
        <v>78</v>
      </c>
    </row>
    <row r="1986" spans="1:33" hidden="1" x14ac:dyDescent="0.25">
      <c r="A1986" t="str">
        <f>"1053731034"</f>
        <v>1053731034</v>
      </c>
      <c r="C1986" t="s">
        <v>9066</v>
      </c>
      <c r="G1986" t="s">
        <v>9051</v>
      </c>
      <c r="H1986" t="s">
        <v>9052</v>
      </c>
      <c r="I1986">
        <v>328</v>
      </c>
      <c r="J1986" t="s">
        <v>9053</v>
      </c>
      <c r="K1986" t="s">
        <v>93</v>
      </c>
      <c r="L1986" t="s">
        <v>96</v>
      </c>
      <c r="M1986" t="s">
        <v>73</v>
      </c>
      <c r="R1986" t="s">
        <v>2108</v>
      </c>
      <c r="S1986" t="s">
        <v>2109</v>
      </c>
      <c r="T1986" t="s">
        <v>74</v>
      </c>
      <c r="U1986" t="s">
        <v>74</v>
      </c>
      <c r="V1986" t="str">
        <f>"10035"</f>
        <v>10035</v>
      </c>
      <c r="AC1986" t="s">
        <v>76</v>
      </c>
      <c r="AD1986" t="s">
        <v>73</v>
      </c>
      <c r="AE1986" t="s">
        <v>97</v>
      </c>
      <c r="AG1986" t="s">
        <v>78</v>
      </c>
    </row>
    <row r="1987" spans="1:33" hidden="1" x14ac:dyDescent="0.25">
      <c r="A1987" t="str">
        <f>"1518387190"</f>
        <v>1518387190</v>
      </c>
      <c r="C1987" t="s">
        <v>9067</v>
      </c>
      <c r="G1987" t="s">
        <v>9051</v>
      </c>
      <c r="H1987" t="s">
        <v>9052</v>
      </c>
      <c r="I1987">
        <v>328</v>
      </c>
      <c r="J1987" t="s">
        <v>9053</v>
      </c>
      <c r="K1987" t="s">
        <v>93</v>
      </c>
      <c r="L1987" t="s">
        <v>96</v>
      </c>
      <c r="M1987" t="s">
        <v>73</v>
      </c>
      <c r="R1987" t="s">
        <v>9068</v>
      </c>
      <c r="S1987" t="s">
        <v>9069</v>
      </c>
      <c r="T1987" t="s">
        <v>1702</v>
      </c>
      <c r="U1987" t="s">
        <v>139</v>
      </c>
      <c r="V1987" t="str">
        <f>"07065"</f>
        <v>07065</v>
      </c>
      <c r="AC1987" t="s">
        <v>76</v>
      </c>
      <c r="AD1987" t="s">
        <v>73</v>
      </c>
      <c r="AE1987" t="s">
        <v>97</v>
      </c>
      <c r="AG1987" t="s">
        <v>78</v>
      </c>
    </row>
    <row r="1988" spans="1:33" hidden="1" x14ac:dyDescent="0.25">
      <c r="A1988" t="str">
        <f>"1952714180"</f>
        <v>1952714180</v>
      </c>
      <c r="C1988" t="s">
        <v>9070</v>
      </c>
      <c r="G1988" t="s">
        <v>9051</v>
      </c>
      <c r="H1988" t="s">
        <v>9052</v>
      </c>
      <c r="I1988">
        <v>328</v>
      </c>
      <c r="J1988" t="s">
        <v>9053</v>
      </c>
      <c r="K1988" t="s">
        <v>93</v>
      </c>
      <c r="L1988" t="s">
        <v>96</v>
      </c>
      <c r="M1988" t="s">
        <v>73</v>
      </c>
      <c r="R1988" t="s">
        <v>9071</v>
      </c>
      <c r="S1988" t="s">
        <v>9072</v>
      </c>
      <c r="T1988" t="s">
        <v>91</v>
      </c>
      <c r="U1988" t="s">
        <v>74</v>
      </c>
      <c r="V1988" t="str">
        <f>"10026"</f>
        <v>10026</v>
      </c>
      <c r="AC1988" t="s">
        <v>76</v>
      </c>
      <c r="AD1988" t="s">
        <v>73</v>
      </c>
      <c r="AE1988" t="s">
        <v>97</v>
      </c>
      <c r="AG1988" t="s">
        <v>78</v>
      </c>
    </row>
    <row r="1989" spans="1:33" hidden="1" x14ac:dyDescent="0.25">
      <c r="A1989" t="str">
        <f>"1245642479"</f>
        <v>1245642479</v>
      </c>
      <c r="C1989" t="s">
        <v>9073</v>
      </c>
      <c r="G1989" t="s">
        <v>9051</v>
      </c>
      <c r="H1989" t="s">
        <v>9052</v>
      </c>
      <c r="I1989">
        <v>328</v>
      </c>
      <c r="J1989" t="s">
        <v>9053</v>
      </c>
      <c r="K1989" t="s">
        <v>93</v>
      </c>
      <c r="L1989" t="s">
        <v>96</v>
      </c>
      <c r="M1989" t="s">
        <v>73</v>
      </c>
      <c r="R1989" t="s">
        <v>9074</v>
      </c>
      <c r="S1989" t="s">
        <v>2138</v>
      </c>
      <c r="T1989" t="s">
        <v>91</v>
      </c>
      <c r="U1989" t="s">
        <v>74</v>
      </c>
      <c r="V1989" t="str">
        <f>"100263007"</f>
        <v>100263007</v>
      </c>
      <c r="AC1989" t="s">
        <v>76</v>
      </c>
      <c r="AD1989" t="s">
        <v>73</v>
      </c>
      <c r="AE1989" t="s">
        <v>97</v>
      </c>
      <c r="AG1989" t="s">
        <v>78</v>
      </c>
    </row>
    <row r="1990" spans="1:33" hidden="1" x14ac:dyDescent="0.25">
      <c r="C1990" t="s">
        <v>9075</v>
      </c>
      <c r="G1990" t="s">
        <v>9051</v>
      </c>
      <c r="H1990" t="s">
        <v>9052</v>
      </c>
      <c r="I1990">
        <v>328</v>
      </c>
      <c r="J1990" t="s">
        <v>9053</v>
      </c>
      <c r="K1990" t="s">
        <v>93</v>
      </c>
      <c r="L1990" t="s">
        <v>94</v>
      </c>
      <c r="M1990" t="s">
        <v>73</v>
      </c>
      <c r="N1990" t="s">
        <v>9063</v>
      </c>
      <c r="O1990" t="s">
        <v>475</v>
      </c>
      <c r="P1990" t="s">
        <v>475</v>
      </c>
      <c r="Q1990" t="str">
        <f>"10026"</f>
        <v>10026</v>
      </c>
      <c r="AC1990" t="s">
        <v>76</v>
      </c>
      <c r="AD1990" t="s">
        <v>73</v>
      </c>
      <c r="AE1990" t="s">
        <v>95</v>
      </c>
      <c r="AG1990" t="s">
        <v>78</v>
      </c>
    </row>
    <row r="1991" spans="1:33" hidden="1" x14ac:dyDescent="0.25">
      <c r="C1991" t="s">
        <v>9076</v>
      </c>
      <c r="G1991" t="s">
        <v>9051</v>
      </c>
      <c r="H1991" t="s">
        <v>9052</v>
      </c>
      <c r="I1991">
        <v>328</v>
      </c>
      <c r="J1991" t="s">
        <v>9053</v>
      </c>
      <c r="K1991" t="s">
        <v>93</v>
      </c>
      <c r="L1991" t="s">
        <v>94</v>
      </c>
      <c r="M1991" t="s">
        <v>73</v>
      </c>
      <c r="N1991" t="s">
        <v>9063</v>
      </c>
      <c r="O1991" t="s">
        <v>475</v>
      </c>
      <c r="P1991" t="s">
        <v>475</v>
      </c>
      <c r="Q1991" t="str">
        <f>"10026"</f>
        <v>10026</v>
      </c>
      <c r="AC1991" t="s">
        <v>76</v>
      </c>
      <c r="AD1991" t="s">
        <v>73</v>
      </c>
      <c r="AE1991" t="s">
        <v>95</v>
      </c>
      <c r="AG1991" t="s">
        <v>78</v>
      </c>
    </row>
    <row r="1992" spans="1:33" hidden="1" x14ac:dyDescent="0.25">
      <c r="C1992" t="s">
        <v>9077</v>
      </c>
      <c r="G1992" t="s">
        <v>9051</v>
      </c>
      <c r="H1992" t="s">
        <v>9052</v>
      </c>
      <c r="I1992">
        <v>328</v>
      </c>
      <c r="J1992" t="s">
        <v>9053</v>
      </c>
      <c r="K1992" t="s">
        <v>93</v>
      </c>
      <c r="L1992" t="s">
        <v>94</v>
      </c>
      <c r="M1992" t="s">
        <v>73</v>
      </c>
      <c r="N1992" t="s">
        <v>9063</v>
      </c>
      <c r="O1992" t="s">
        <v>475</v>
      </c>
      <c r="P1992" t="s">
        <v>475</v>
      </c>
      <c r="Q1992" t="str">
        <f>"10026"</f>
        <v>10026</v>
      </c>
      <c r="AC1992" t="s">
        <v>76</v>
      </c>
      <c r="AD1992" t="s">
        <v>73</v>
      </c>
      <c r="AE1992" t="s">
        <v>95</v>
      </c>
      <c r="AG1992" t="s">
        <v>78</v>
      </c>
    </row>
    <row r="1993" spans="1:33" hidden="1" x14ac:dyDescent="0.25">
      <c r="A1993" t="str">
        <f>"1881777464"</f>
        <v>1881777464</v>
      </c>
      <c r="B1993" t="str">
        <f>"01018079"</f>
        <v>01018079</v>
      </c>
      <c r="C1993" t="s">
        <v>9078</v>
      </c>
      <c r="D1993" t="s">
        <v>1284</v>
      </c>
      <c r="E1993" t="s">
        <v>1285</v>
      </c>
      <c r="G1993" t="s">
        <v>9051</v>
      </c>
      <c r="H1993" t="s">
        <v>9052</v>
      </c>
      <c r="I1993">
        <v>328</v>
      </c>
      <c r="J1993" t="s">
        <v>9053</v>
      </c>
      <c r="L1993" t="s">
        <v>72</v>
      </c>
      <c r="M1993" t="s">
        <v>82</v>
      </c>
      <c r="R1993" t="s">
        <v>1286</v>
      </c>
      <c r="W1993" t="s">
        <v>1285</v>
      </c>
      <c r="X1993" t="s">
        <v>1287</v>
      </c>
      <c r="Y1993" t="s">
        <v>91</v>
      </c>
      <c r="Z1993" t="s">
        <v>74</v>
      </c>
      <c r="AA1993" t="str">
        <f>"10026-3007"</f>
        <v>10026-3007</v>
      </c>
      <c r="AB1993" t="s">
        <v>75</v>
      </c>
      <c r="AC1993" t="s">
        <v>76</v>
      </c>
      <c r="AD1993" t="s">
        <v>73</v>
      </c>
      <c r="AE1993" t="s">
        <v>77</v>
      </c>
      <c r="AG1993" t="s">
        <v>78</v>
      </c>
    </row>
    <row r="1994" spans="1:33" hidden="1" x14ac:dyDescent="0.25">
      <c r="A1994" t="str">
        <f>"1255442513"</f>
        <v>1255442513</v>
      </c>
      <c r="B1994" t="str">
        <f>"01701431"</f>
        <v>01701431</v>
      </c>
      <c r="C1994" t="s">
        <v>9079</v>
      </c>
      <c r="D1994" t="s">
        <v>9080</v>
      </c>
      <c r="E1994" t="s">
        <v>9081</v>
      </c>
      <c r="G1994" t="s">
        <v>9051</v>
      </c>
      <c r="H1994" t="s">
        <v>9052</v>
      </c>
      <c r="I1994">
        <v>328</v>
      </c>
      <c r="J1994" t="s">
        <v>9053</v>
      </c>
      <c r="L1994" t="s">
        <v>72</v>
      </c>
      <c r="M1994" t="s">
        <v>82</v>
      </c>
      <c r="R1994" t="s">
        <v>9082</v>
      </c>
      <c r="W1994" t="s">
        <v>9082</v>
      </c>
      <c r="X1994" t="s">
        <v>9083</v>
      </c>
      <c r="Y1994" t="s">
        <v>91</v>
      </c>
      <c r="Z1994" t="s">
        <v>74</v>
      </c>
      <c r="AA1994" t="str">
        <f>"10035-2906"</f>
        <v>10035-2906</v>
      </c>
      <c r="AB1994" t="s">
        <v>75</v>
      </c>
      <c r="AC1994" t="s">
        <v>76</v>
      </c>
      <c r="AD1994" t="s">
        <v>73</v>
      </c>
      <c r="AE1994" t="s">
        <v>77</v>
      </c>
      <c r="AG1994" t="s">
        <v>78</v>
      </c>
    </row>
    <row r="1995" spans="1:33" hidden="1" x14ac:dyDescent="0.25">
      <c r="A1995" t="str">
        <f>"1992116644"</f>
        <v>1992116644</v>
      </c>
      <c r="C1995" t="s">
        <v>9084</v>
      </c>
      <c r="G1995" t="s">
        <v>9051</v>
      </c>
      <c r="H1995" t="s">
        <v>9052</v>
      </c>
      <c r="I1995">
        <v>328</v>
      </c>
      <c r="J1995" t="s">
        <v>9053</v>
      </c>
      <c r="K1995" t="s">
        <v>93</v>
      </c>
      <c r="L1995" t="s">
        <v>96</v>
      </c>
      <c r="M1995" t="s">
        <v>73</v>
      </c>
      <c r="R1995" t="s">
        <v>9085</v>
      </c>
      <c r="S1995" t="s">
        <v>2138</v>
      </c>
      <c r="T1995" t="s">
        <v>91</v>
      </c>
      <c r="U1995" t="s">
        <v>74</v>
      </c>
      <c r="V1995" t="str">
        <f>"100263007"</f>
        <v>100263007</v>
      </c>
      <c r="AC1995" t="s">
        <v>76</v>
      </c>
      <c r="AD1995" t="s">
        <v>73</v>
      </c>
      <c r="AE1995" t="s">
        <v>97</v>
      </c>
      <c r="AG1995" t="s">
        <v>78</v>
      </c>
    </row>
    <row r="1996" spans="1:33" hidden="1" x14ac:dyDescent="0.25">
      <c r="A1996" t="str">
        <f>"1730348780"</f>
        <v>1730348780</v>
      </c>
      <c r="B1996" t="str">
        <f>"03892748"</f>
        <v>03892748</v>
      </c>
      <c r="C1996" t="s">
        <v>9086</v>
      </c>
      <c r="D1996" t="s">
        <v>9087</v>
      </c>
      <c r="E1996" t="s">
        <v>9088</v>
      </c>
      <c r="G1996" t="s">
        <v>2224</v>
      </c>
      <c r="H1996" t="s">
        <v>2225</v>
      </c>
      <c r="J1996" t="s">
        <v>2226</v>
      </c>
      <c r="L1996" t="s">
        <v>80</v>
      </c>
      <c r="M1996" t="s">
        <v>73</v>
      </c>
      <c r="R1996" t="s">
        <v>9089</v>
      </c>
      <c r="W1996" t="s">
        <v>9088</v>
      </c>
      <c r="X1996" t="s">
        <v>1583</v>
      </c>
      <c r="Y1996" t="s">
        <v>91</v>
      </c>
      <c r="Z1996" t="s">
        <v>74</v>
      </c>
      <c r="AA1996" t="str">
        <f>"10021-9800"</f>
        <v>10021-9800</v>
      </c>
      <c r="AB1996" t="s">
        <v>75</v>
      </c>
      <c r="AC1996" t="s">
        <v>76</v>
      </c>
      <c r="AD1996" t="s">
        <v>73</v>
      </c>
      <c r="AE1996" t="s">
        <v>77</v>
      </c>
      <c r="AF1996" t="s">
        <v>2398</v>
      </c>
      <c r="AG1996" t="s">
        <v>78</v>
      </c>
    </row>
    <row r="1997" spans="1:33" hidden="1" x14ac:dyDescent="0.25">
      <c r="A1997" t="str">
        <f>"1396946232"</f>
        <v>1396946232</v>
      </c>
      <c r="B1997" t="str">
        <f>"03991788"</f>
        <v>03991788</v>
      </c>
      <c r="C1997" t="s">
        <v>9090</v>
      </c>
      <c r="D1997" t="s">
        <v>9091</v>
      </c>
      <c r="E1997" t="s">
        <v>9092</v>
      </c>
      <c r="G1997" t="s">
        <v>2224</v>
      </c>
      <c r="H1997" t="s">
        <v>2225</v>
      </c>
      <c r="J1997" t="s">
        <v>2226</v>
      </c>
      <c r="L1997" t="s">
        <v>80</v>
      </c>
      <c r="M1997" t="s">
        <v>73</v>
      </c>
      <c r="R1997" t="s">
        <v>9093</v>
      </c>
      <c r="W1997" t="s">
        <v>9092</v>
      </c>
      <c r="X1997" t="s">
        <v>167</v>
      </c>
      <c r="Y1997" t="s">
        <v>91</v>
      </c>
      <c r="Z1997" t="s">
        <v>74</v>
      </c>
      <c r="AA1997" t="str">
        <f>"10032-3720"</f>
        <v>10032-3720</v>
      </c>
      <c r="AB1997" t="s">
        <v>75</v>
      </c>
      <c r="AC1997" t="s">
        <v>76</v>
      </c>
      <c r="AD1997" t="s">
        <v>73</v>
      </c>
      <c r="AE1997" t="s">
        <v>77</v>
      </c>
      <c r="AF1997" t="s">
        <v>2254</v>
      </c>
      <c r="AG1997" t="s">
        <v>78</v>
      </c>
    </row>
    <row r="1998" spans="1:33" hidden="1" x14ac:dyDescent="0.25">
      <c r="A1998" t="str">
        <f>"1306160213"</f>
        <v>1306160213</v>
      </c>
      <c r="B1998" t="str">
        <f>"03920376"</f>
        <v>03920376</v>
      </c>
      <c r="C1998" t="s">
        <v>9094</v>
      </c>
      <c r="D1998" t="s">
        <v>9095</v>
      </c>
      <c r="E1998" t="s">
        <v>9096</v>
      </c>
      <c r="G1998" t="s">
        <v>2224</v>
      </c>
      <c r="H1998" t="s">
        <v>2225</v>
      </c>
      <c r="J1998" t="s">
        <v>2226</v>
      </c>
      <c r="L1998" t="s">
        <v>80</v>
      </c>
      <c r="M1998" t="s">
        <v>73</v>
      </c>
      <c r="R1998" t="s">
        <v>9096</v>
      </c>
      <c r="W1998" t="s">
        <v>9096</v>
      </c>
      <c r="X1998" t="s">
        <v>236</v>
      </c>
      <c r="Y1998" t="s">
        <v>91</v>
      </c>
      <c r="Z1998" t="s">
        <v>74</v>
      </c>
      <c r="AA1998" t="str">
        <f>"10034-1159"</f>
        <v>10034-1159</v>
      </c>
      <c r="AB1998" t="s">
        <v>75</v>
      </c>
      <c r="AC1998" t="s">
        <v>76</v>
      </c>
      <c r="AD1998" t="s">
        <v>73</v>
      </c>
      <c r="AE1998" t="s">
        <v>77</v>
      </c>
      <c r="AF1998" t="s">
        <v>2234</v>
      </c>
      <c r="AG1998" t="s">
        <v>78</v>
      </c>
    </row>
    <row r="1999" spans="1:33" hidden="1" x14ac:dyDescent="0.25">
      <c r="A1999" t="str">
        <f>"1851428379"</f>
        <v>1851428379</v>
      </c>
      <c r="B1999" t="str">
        <f>"01644733"</f>
        <v>01644733</v>
      </c>
      <c r="C1999" t="s">
        <v>9097</v>
      </c>
      <c r="D1999" t="s">
        <v>9098</v>
      </c>
      <c r="E1999" t="s">
        <v>9099</v>
      </c>
      <c r="G1999" t="s">
        <v>2224</v>
      </c>
      <c r="H1999" t="s">
        <v>2225</v>
      </c>
      <c r="J1999" t="s">
        <v>2226</v>
      </c>
      <c r="L1999" t="s">
        <v>72</v>
      </c>
      <c r="M1999" t="s">
        <v>82</v>
      </c>
      <c r="R1999" t="s">
        <v>9100</v>
      </c>
      <c r="W1999" t="s">
        <v>9099</v>
      </c>
      <c r="X1999" t="s">
        <v>9101</v>
      </c>
      <c r="Y1999" t="s">
        <v>91</v>
      </c>
      <c r="Z1999" t="s">
        <v>74</v>
      </c>
      <c r="AA1999" t="str">
        <f>"10032-3720"</f>
        <v>10032-3720</v>
      </c>
      <c r="AB1999" t="s">
        <v>75</v>
      </c>
      <c r="AC1999" t="s">
        <v>76</v>
      </c>
      <c r="AD1999" t="s">
        <v>73</v>
      </c>
      <c r="AE1999" t="s">
        <v>77</v>
      </c>
      <c r="AF1999" t="s">
        <v>2254</v>
      </c>
      <c r="AG1999" t="s">
        <v>78</v>
      </c>
    </row>
    <row r="2000" spans="1:33" hidden="1" x14ac:dyDescent="0.25">
      <c r="A2000" t="str">
        <f>"1932362472"</f>
        <v>1932362472</v>
      </c>
      <c r="B2000" t="str">
        <f>"03485421"</f>
        <v>03485421</v>
      </c>
      <c r="C2000" t="s">
        <v>9102</v>
      </c>
      <c r="D2000" t="s">
        <v>9103</v>
      </c>
      <c r="E2000" t="s">
        <v>9104</v>
      </c>
      <c r="G2000" t="s">
        <v>2224</v>
      </c>
      <c r="H2000" t="s">
        <v>2225</v>
      </c>
      <c r="J2000" t="s">
        <v>2226</v>
      </c>
      <c r="L2000" t="s">
        <v>72</v>
      </c>
      <c r="M2000" t="s">
        <v>73</v>
      </c>
      <c r="R2000" t="s">
        <v>9105</v>
      </c>
      <c r="W2000" t="s">
        <v>9104</v>
      </c>
      <c r="X2000" t="s">
        <v>5205</v>
      </c>
      <c r="Y2000" t="s">
        <v>91</v>
      </c>
      <c r="Z2000" t="s">
        <v>74</v>
      </c>
      <c r="AA2000" t="str">
        <f>"10021-5663"</f>
        <v>10021-5663</v>
      </c>
      <c r="AB2000" t="s">
        <v>75</v>
      </c>
      <c r="AC2000" t="s">
        <v>76</v>
      </c>
      <c r="AD2000" t="s">
        <v>73</v>
      </c>
      <c r="AE2000" t="s">
        <v>77</v>
      </c>
      <c r="AF2000" t="s">
        <v>2398</v>
      </c>
      <c r="AG2000" t="s">
        <v>78</v>
      </c>
    </row>
    <row r="2001" spans="1:33" hidden="1" x14ac:dyDescent="0.25">
      <c r="A2001" t="str">
        <f>"1649327362"</f>
        <v>1649327362</v>
      </c>
      <c r="B2001" t="str">
        <f>"01929657"</f>
        <v>01929657</v>
      </c>
      <c r="C2001" t="s">
        <v>9106</v>
      </c>
      <c r="D2001" t="s">
        <v>9107</v>
      </c>
      <c r="E2001" t="s">
        <v>9108</v>
      </c>
      <c r="G2001" t="s">
        <v>2224</v>
      </c>
      <c r="H2001" t="s">
        <v>2225</v>
      </c>
      <c r="J2001" t="s">
        <v>2226</v>
      </c>
      <c r="L2001" t="s">
        <v>72</v>
      </c>
      <c r="M2001" t="s">
        <v>73</v>
      </c>
      <c r="R2001" t="s">
        <v>9108</v>
      </c>
      <c r="W2001" t="s">
        <v>9109</v>
      </c>
      <c r="X2001" t="s">
        <v>6125</v>
      </c>
      <c r="Y2001" t="s">
        <v>91</v>
      </c>
      <c r="Z2001" t="s">
        <v>74</v>
      </c>
      <c r="AA2001" t="str">
        <f>"10032-0001"</f>
        <v>10032-0001</v>
      </c>
      <c r="AB2001" t="s">
        <v>75</v>
      </c>
      <c r="AC2001" t="s">
        <v>76</v>
      </c>
      <c r="AD2001" t="s">
        <v>73</v>
      </c>
      <c r="AE2001" t="s">
        <v>77</v>
      </c>
      <c r="AF2001" t="s">
        <v>2228</v>
      </c>
      <c r="AG2001" t="s">
        <v>78</v>
      </c>
    </row>
    <row r="2002" spans="1:33" hidden="1" x14ac:dyDescent="0.25">
      <c r="A2002" t="str">
        <f>"1235334764"</f>
        <v>1235334764</v>
      </c>
      <c r="B2002" t="str">
        <f>"03776652"</f>
        <v>03776652</v>
      </c>
      <c r="C2002" t="s">
        <v>9110</v>
      </c>
      <c r="D2002" t="s">
        <v>9111</v>
      </c>
      <c r="E2002" t="s">
        <v>9112</v>
      </c>
      <c r="G2002" t="s">
        <v>2224</v>
      </c>
      <c r="H2002" t="s">
        <v>2225</v>
      </c>
      <c r="J2002" t="s">
        <v>2226</v>
      </c>
      <c r="L2002" t="s">
        <v>72</v>
      </c>
      <c r="M2002" t="s">
        <v>73</v>
      </c>
      <c r="R2002" t="s">
        <v>9113</v>
      </c>
      <c r="W2002" t="s">
        <v>9112</v>
      </c>
      <c r="X2002" t="s">
        <v>167</v>
      </c>
      <c r="Y2002" t="s">
        <v>91</v>
      </c>
      <c r="Z2002" t="s">
        <v>74</v>
      </c>
      <c r="AA2002" t="str">
        <f>"10032-3720"</f>
        <v>10032-3720</v>
      </c>
      <c r="AB2002" t="s">
        <v>75</v>
      </c>
      <c r="AC2002" t="s">
        <v>76</v>
      </c>
      <c r="AD2002" t="s">
        <v>73</v>
      </c>
      <c r="AE2002" t="s">
        <v>77</v>
      </c>
      <c r="AF2002" t="s">
        <v>2228</v>
      </c>
      <c r="AG2002" t="s">
        <v>78</v>
      </c>
    </row>
    <row r="2003" spans="1:33" hidden="1" x14ac:dyDescent="0.25">
      <c r="A2003" t="str">
        <f>"1780603191"</f>
        <v>1780603191</v>
      </c>
      <c r="B2003" t="str">
        <f>"00997640"</f>
        <v>00997640</v>
      </c>
      <c r="C2003" t="s">
        <v>9114</v>
      </c>
      <c r="D2003" t="s">
        <v>9115</v>
      </c>
      <c r="E2003" t="s">
        <v>9116</v>
      </c>
      <c r="G2003" t="s">
        <v>2224</v>
      </c>
      <c r="H2003" t="s">
        <v>2225</v>
      </c>
      <c r="J2003" t="s">
        <v>2226</v>
      </c>
      <c r="L2003" t="s">
        <v>72</v>
      </c>
      <c r="M2003" t="s">
        <v>73</v>
      </c>
      <c r="R2003" t="s">
        <v>9117</v>
      </c>
      <c r="W2003" t="s">
        <v>9116</v>
      </c>
      <c r="Y2003" t="s">
        <v>91</v>
      </c>
      <c r="Z2003" t="s">
        <v>74</v>
      </c>
      <c r="AA2003" t="str">
        <f>"10032-3720"</f>
        <v>10032-3720</v>
      </c>
      <c r="AB2003" t="s">
        <v>75</v>
      </c>
      <c r="AC2003" t="s">
        <v>76</v>
      </c>
      <c r="AD2003" t="s">
        <v>73</v>
      </c>
      <c r="AE2003" t="s">
        <v>77</v>
      </c>
      <c r="AF2003" t="s">
        <v>2228</v>
      </c>
      <c r="AG2003" t="s">
        <v>78</v>
      </c>
    </row>
    <row r="2004" spans="1:33" hidden="1" x14ac:dyDescent="0.25">
      <c r="A2004" t="str">
        <f>"1639195209"</f>
        <v>1639195209</v>
      </c>
      <c r="B2004" t="str">
        <f>"02408973"</f>
        <v>02408973</v>
      </c>
      <c r="C2004" t="s">
        <v>9118</v>
      </c>
      <c r="D2004" t="s">
        <v>9119</v>
      </c>
      <c r="E2004" t="s">
        <v>9120</v>
      </c>
      <c r="G2004" t="s">
        <v>2224</v>
      </c>
      <c r="H2004" t="s">
        <v>2225</v>
      </c>
      <c r="J2004" t="s">
        <v>2226</v>
      </c>
      <c r="L2004" t="s">
        <v>80</v>
      </c>
      <c r="M2004" t="s">
        <v>82</v>
      </c>
      <c r="R2004" t="s">
        <v>9121</v>
      </c>
      <c r="W2004" t="s">
        <v>9120</v>
      </c>
      <c r="X2004" t="s">
        <v>9122</v>
      </c>
      <c r="Y2004" t="s">
        <v>91</v>
      </c>
      <c r="Z2004" t="s">
        <v>74</v>
      </c>
      <c r="AA2004" t="str">
        <f>"10032-3720"</f>
        <v>10032-3720</v>
      </c>
      <c r="AB2004" t="s">
        <v>75</v>
      </c>
      <c r="AC2004" t="s">
        <v>76</v>
      </c>
      <c r="AD2004" t="s">
        <v>73</v>
      </c>
      <c r="AE2004" t="s">
        <v>77</v>
      </c>
      <c r="AF2004" t="s">
        <v>2228</v>
      </c>
      <c r="AG2004" t="s">
        <v>78</v>
      </c>
    </row>
    <row r="2005" spans="1:33" hidden="1" x14ac:dyDescent="0.25">
      <c r="A2005" t="str">
        <f>"1245393875"</f>
        <v>1245393875</v>
      </c>
      <c r="B2005" t="str">
        <f>"02831758"</f>
        <v>02831758</v>
      </c>
      <c r="C2005" t="s">
        <v>9123</v>
      </c>
      <c r="D2005" t="s">
        <v>773</v>
      </c>
      <c r="E2005" t="s">
        <v>774</v>
      </c>
      <c r="G2005" t="s">
        <v>2224</v>
      </c>
      <c r="H2005" t="s">
        <v>2225</v>
      </c>
      <c r="J2005" t="s">
        <v>2226</v>
      </c>
      <c r="L2005" t="s">
        <v>81</v>
      </c>
      <c r="M2005" t="s">
        <v>82</v>
      </c>
      <c r="R2005" t="s">
        <v>775</v>
      </c>
      <c r="W2005" t="s">
        <v>774</v>
      </c>
      <c r="X2005" t="s">
        <v>167</v>
      </c>
      <c r="Y2005" t="s">
        <v>91</v>
      </c>
      <c r="Z2005" t="s">
        <v>74</v>
      </c>
      <c r="AA2005" t="str">
        <f>"10032-3720"</f>
        <v>10032-3720</v>
      </c>
      <c r="AB2005" t="s">
        <v>75</v>
      </c>
      <c r="AC2005" t="s">
        <v>76</v>
      </c>
      <c r="AD2005" t="s">
        <v>73</v>
      </c>
      <c r="AE2005" t="s">
        <v>77</v>
      </c>
      <c r="AF2005" t="s">
        <v>2398</v>
      </c>
      <c r="AG2005" t="s">
        <v>78</v>
      </c>
    </row>
    <row r="2006" spans="1:33" hidden="1" x14ac:dyDescent="0.25">
      <c r="A2006" t="str">
        <f>"1609104314"</f>
        <v>1609104314</v>
      </c>
      <c r="B2006" t="str">
        <f>"03252600"</f>
        <v>03252600</v>
      </c>
      <c r="C2006" t="s">
        <v>9124</v>
      </c>
      <c r="D2006" t="s">
        <v>9125</v>
      </c>
      <c r="E2006" t="s">
        <v>9126</v>
      </c>
      <c r="G2006" t="s">
        <v>2224</v>
      </c>
      <c r="H2006" t="s">
        <v>2225</v>
      </c>
      <c r="J2006" t="s">
        <v>2226</v>
      </c>
      <c r="L2006" t="s">
        <v>80</v>
      </c>
      <c r="M2006" t="s">
        <v>82</v>
      </c>
      <c r="R2006" t="s">
        <v>9126</v>
      </c>
      <c r="W2006" t="s">
        <v>9126</v>
      </c>
      <c r="X2006" t="s">
        <v>236</v>
      </c>
      <c r="Y2006" t="s">
        <v>91</v>
      </c>
      <c r="Z2006" t="s">
        <v>74</v>
      </c>
      <c r="AA2006" t="str">
        <f>"10034-1159"</f>
        <v>10034-1159</v>
      </c>
      <c r="AB2006" t="s">
        <v>75</v>
      </c>
      <c r="AC2006" t="s">
        <v>76</v>
      </c>
      <c r="AD2006" t="s">
        <v>73</v>
      </c>
      <c r="AE2006" t="s">
        <v>77</v>
      </c>
      <c r="AF2006" t="s">
        <v>2234</v>
      </c>
      <c r="AG2006" t="s">
        <v>78</v>
      </c>
    </row>
    <row r="2007" spans="1:33" hidden="1" x14ac:dyDescent="0.25">
      <c r="A2007" t="str">
        <f>"1346403961"</f>
        <v>1346403961</v>
      </c>
      <c r="B2007" t="str">
        <f>"03922209"</f>
        <v>03922209</v>
      </c>
      <c r="C2007" t="s">
        <v>9127</v>
      </c>
      <c r="D2007" t="s">
        <v>9128</v>
      </c>
      <c r="E2007" t="s">
        <v>9129</v>
      </c>
      <c r="G2007" t="s">
        <v>2224</v>
      </c>
      <c r="H2007" t="s">
        <v>2225</v>
      </c>
      <c r="J2007" t="s">
        <v>2226</v>
      </c>
      <c r="L2007" t="s">
        <v>80</v>
      </c>
      <c r="M2007" t="s">
        <v>73</v>
      </c>
      <c r="R2007" t="s">
        <v>1460</v>
      </c>
      <c r="W2007" t="s">
        <v>9129</v>
      </c>
      <c r="X2007" t="s">
        <v>9130</v>
      </c>
      <c r="Y2007" t="s">
        <v>91</v>
      </c>
      <c r="Z2007" t="s">
        <v>74</v>
      </c>
      <c r="AA2007" t="str">
        <f>"10032-0000"</f>
        <v>10032-0000</v>
      </c>
      <c r="AB2007" t="s">
        <v>75</v>
      </c>
      <c r="AC2007" t="s">
        <v>76</v>
      </c>
      <c r="AD2007" t="s">
        <v>73</v>
      </c>
      <c r="AE2007" t="s">
        <v>77</v>
      </c>
      <c r="AF2007" t="s">
        <v>2254</v>
      </c>
      <c r="AG2007" t="s">
        <v>78</v>
      </c>
    </row>
    <row r="2008" spans="1:33" hidden="1" x14ac:dyDescent="0.25">
      <c r="A2008" t="str">
        <f>"1063468429"</f>
        <v>1063468429</v>
      </c>
      <c r="B2008" t="str">
        <f>"01862688"</f>
        <v>01862688</v>
      </c>
      <c r="C2008" t="s">
        <v>9131</v>
      </c>
      <c r="D2008" t="s">
        <v>9132</v>
      </c>
      <c r="E2008" t="s">
        <v>9133</v>
      </c>
      <c r="G2008" t="s">
        <v>2224</v>
      </c>
      <c r="H2008" t="s">
        <v>2225</v>
      </c>
      <c r="J2008" t="s">
        <v>2226</v>
      </c>
      <c r="L2008" t="s">
        <v>80</v>
      </c>
      <c r="M2008" t="s">
        <v>82</v>
      </c>
      <c r="R2008" t="s">
        <v>9134</v>
      </c>
      <c r="W2008" t="s">
        <v>9133</v>
      </c>
      <c r="X2008" t="s">
        <v>9135</v>
      </c>
      <c r="Y2008" t="s">
        <v>91</v>
      </c>
      <c r="Z2008" t="s">
        <v>74</v>
      </c>
      <c r="AA2008" t="str">
        <f>"10065-4870"</f>
        <v>10065-4870</v>
      </c>
      <c r="AB2008" t="s">
        <v>75</v>
      </c>
      <c r="AC2008" t="s">
        <v>76</v>
      </c>
      <c r="AD2008" t="s">
        <v>73</v>
      </c>
      <c r="AE2008" t="s">
        <v>77</v>
      </c>
      <c r="AF2008" t="s">
        <v>2398</v>
      </c>
      <c r="AG2008" t="s">
        <v>78</v>
      </c>
    </row>
    <row r="2009" spans="1:33" hidden="1" x14ac:dyDescent="0.25">
      <c r="A2009" t="str">
        <f>"1023257672"</f>
        <v>1023257672</v>
      </c>
      <c r="B2009" t="str">
        <f>"03949153"</f>
        <v>03949153</v>
      </c>
      <c r="C2009" t="s">
        <v>9136</v>
      </c>
      <c r="D2009" t="s">
        <v>9137</v>
      </c>
      <c r="E2009" t="s">
        <v>9138</v>
      </c>
      <c r="G2009" t="s">
        <v>2224</v>
      </c>
      <c r="H2009" t="s">
        <v>2225</v>
      </c>
      <c r="J2009" t="s">
        <v>2226</v>
      </c>
      <c r="L2009" t="s">
        <v>80</v>
      </c>
      <c r="M2009" t="s">
        <v>73</v>
      </c>
      <c r="R2009" t="s">
        <v>9139</v>
      </c>
      <c r="W2009" t="s">
        <v>9138</v>
      </c>
      <c r="X2009" t="s">
        <v>1397</v>
      </c>
      <c r="Y2009" t="s">
        <v>91</v>
      </c>
      <c r="Z2009" t="s">
        <v>74</v>
      </c>
      <c r="AA2009" t="str">
        <f>"10032-3724"</f>
        <v>10032-3724</v>
      </c>
      <c r="AB2009" t="s">
        <v>75</v>
      </c>
      <c r="AC2009" t="s">
        <v>76</v>
      </c>
      <c r="AD2009" t="s">
        <v>73</v>
      </c>
      <c r="AE2009" t="s">
        <v>77</v>
      </c>
      <c r="AF2009" t="s">
        <v>2254</v>
      </c>
      <c r="AG2009" t="s">
        <v>78</v>
      </c>
    </row>
    <row r="2010" spans="1:33" hidden="1" x14ac:dyDescent="0.25">
      <c r="A2010" t="str">
        <f>"1982846812"</f>
        <v>1982846812</v>
      </c>
      <c r="B2010" t="str">
        <f>"03921946"</f>
        <v>03921946</v>
      </c>
      <c r="C2010" t="s">
        <v>9140</v>
      </c>
      <c r="D2010" t="s">
        <v>9141</v>
      </c>
      <c r="E2010" t="s">
        <v>9142</v>
      </c>
      <c r="G2010" t="s">
        <v>2224</v>
      </c>
      <c r="H2010" t="s">
        <v>2225</v>
      </c>
      <c r="J2010" t="s">
        <v>2226</v>
      </c>
      <c r="L2010" t="s">
        <v>72</v>
      </c>
      <c r="M2010" t="s">
        <v>73</v>
      </c>
      <c r="R2010" t="s">
        <v>9142</v>
      </c>
      <c r="W2010" t="s">
        <v>9142</v>
      </c>
      <c r="X2010" t="s">
        <v>9143</v>
      </c>
      <c r="Y2010" t="s">
        <v>91</v>
      </c>
      <c r="Z2010" t="s">
        <v>74</v>
      </c>
      <c r="AA2010" t="str">
        <f>"10038-2602"</f>
        <v>10038-2602</v>
      </c>
      <c r="AB2010" t="s">
        <v>75</v>
      </c>
      <c r="AC2010" t="s">
        <v>76</v>
      </c>
      <c r="AD2010" t="s">
        <v>73</v>
      </c>
      <c r="AE2010" t="s">
        <v>77</v>
      </c>
      <c r="AF2010" t="s">
        <v>2398</v>
      </c>
      <c r="AG2010" t="s">
        <v>78</v>
      </c>
    </row>
    <row r="2011" spans="1:33" hidden="1" x14ac:dyDescent="0.25">
      <c r="A2011" t="str">
        <f>"1376702407"</f>
        <v>1376702407</v>
      </c>
      <c r="B2011" t="str">
        <f>"03152150"</f>
        <v>03152150</v>
      </c>
      <c r="C2011" t="s">
        <v>9144</v>
      </c>
      <c r="D2011" t="s">
        <v>9145</v>
      </c>
      <c r="E2011" t="s">
        <v>9146</v>
      </c>
      <c r="G2011" t="s">
        <v>2224</v>
      </c>
      <c r="H2011" t="s">
        <v>2225</v>
      </c>
      <c r="J2011" t="s">
        <v>2226</v>
      </c>
      <c r="L2011" t="s">
        <v>80</v>
      </c>
      <c r="M2011" t="s">
        <v>73</v>
      </c>
      <c r="R2011" t="s">
        <v>9147</v>
      </c>
      <c r="W2011" t="s">
        <v>9146</v>
      </c>
      <c r="X2011" t="s">
        <v>3433</v>
      </c>
      <c r="Y2011" t="s">
        <v>91</v>
      </c>
      <c r="Z2011" t="s">
        <v>74</v>
      </c>
      <c r="AA2011" t="str">
        <f>"10032-4220"</f>
        <v>10032-4220</v>
      </c>
      <c r="AB2011" t="s">
        <v>75</v>
      </c>
      <c r="AC2011" t="s">
        <v>76</v>
      </c>
      <c r="AD2011" t="s">
        <v>73</v>
      </c>
      <c r="AE2011" t="s">
        <v>77</v>
      </c>
      <c r="AF2011" t="s">
        <v>2254</v>
      </c>
      <c r="AG2011" t="s">
        <v>78</v>
      </c>
    </row>
    <row r="2012" spans="1:33" hidden="1" x14ac:dyDescent="0.25">
      <c r="A2012" t="str">
        <f>"1437582988"</f>
        <v>1437582988</v>
      </c>
      <c r="B2012" t="str">
        <f>"03688240"</f>
        <v>03688240</v>
      </c>
      <c r="C2012" t="s">
        <v>9148</v>
      </c>
      <c r="D2012" t="s">
        <v>1227</v>
      </c>
      <c r="E2012" t="s">
        <v>1228</v>
      </c>
      <c r="G2012" t="s">
        <v>2224</v>
      </c>
      <c r="H2012" t="s">
        <v>2225</v>
      </c>
      <c r="J2012" t="s">
        <v>2226</v>
      </c>
      <c r="L2012" t="s">
        <v>81</v>
      </c>
      <c r="M2012" t="s">
        <v>73</v>
      </c>
      <c r="R2012" t="s">
        <v>1228</v>
      </c>
      <c r="W2012" t="s">
        <v>1228</v>
      </c>
      <c r="X2012" t="s">
        <v>193</v>
      </c>
      <c r="Y2012" t="s">
        <v>118</v>
      </c>
      <c r="Z2012" t="s">
        <v>74</v>
      </c>
      <c r="AA2012" t="str">
        <f>"10467-2401"</f>
        <v>10467-2401</v>
      </c>
      <c r="AB2012" t="s">
        <v>75</v>
      </c>
      <c r="AC2012" t="s">
        <v>76</v>
      </c>
      <c r="AD2012" t="s">
        <v>73</v>
      </c>
      <c r="AE2012" t="s">
        <v>77</v>
      </c>
      <c r="AF2012" t="s">
        <v>2254</v>
      </c>
      <c r="AG2012" t="s">
        <v>78</v>
      </c>
    </row>
    <row r="2013" spans="1:33" hidden="1" x14ac:dyDescent="0.25">
      <c r="A2013" t="str">
        <f>"1316946916"</f>
        <v>1316946916</v>
      </c>
      <c r="B2013" t="str">
        <f>"01342350"</f>
        <v>01342350</v>
      </c>
      <c r="C2013" t="s">
        <v>9149</v>
      </c>
      <c r="D2013" t="s">
        <v>9150</v>
      </c>
      <c r="E2013" t="s">
        <v>9151</v>
      </c>
      <c r="G2013" t="s">
        <v>2224</v>
      </c>
      <c r="H2013" t="s">
        <v>2225</v>
      </c>
      <c r="J2013" t="s">
        <v>2226</v>
      </c>
      <c r="L2013" t="s">
        <v>81</v>
      </c>
      <c r="M2013" t="s">
        <v>73</v>
      </c>
      <c r="R2013" t="s">
        <v>9152</v>
      </c>
      <c r="W2013" t="s">
        <v>9151</v>
      </c>
      <c r="X2013" t="s">
        <v>9153</v>
      </c>
      <c r="Y2013" t="s">
        <v>346</v>
      </c>
      <c r="Z2013" t="s">
        <v>74</v>
      </c>
      <c r="AA2013" t="str">
        <f>"10543-4106"</f>
        <v>10543-4106</v>
      </c>
      <c r="AB2013" t="s">
        <v>75</v>
      </c>
      <c r="AC2013" t="s">
        <v>76</v>
      </c>
      <c r="AD2013" t="s">
        <v>73</v>
      </c>
      <c r="AE2013" t="s">
        <v>77</v>
      </c>
      <c r="AF2013" t="s">
        <v>2398</v>
      </c>
      <c r="AG2013" t="s">
        <v>78</v>
      </c>
    </row>
    <row r="2014" spans="1:33" hidden="1" x14ac:dyDescent="0.25">
      <c r="A2014" t="str">
        <f>"1245556901"</f>
        <v>1245556901</v>
      </c>
      <c r="B2014" t="str">
        <f>"03922185"</f>
        <v>03922185</v>
      </c>
      <c r="C2014" t="s">
        <v>9154</v>
      </c>
      <c r="D2014" t="s">
        <v>9155</v>
      </c>
      <c r="E2014" t="s">
        <v>9156</v>
      </c>
      <c r="G2014" t="s">
        <v>2224</v>
      </c>
      <c r="H2014" t="s">
        <v>2225</v>
      </c>
      <c r="J2014" t="s">
        <v>2226</v>
      </c>
      <c r="L2014" t="s">
        <v>72</v>
      </c>
      <c r="M2014" t="s">
        <v>73</v>
      </c>
      <c r="R2014" t="s">
        <v>9156</v>
      </c>
      <c r="W2014" t="s">
        <v>9157</v>
      </c>
      <c r="X2014" t="s">
        <v>496</v>
      </c>
      <c r="Y2014" t="s">
        <v>91</v>
      </c>
      <c r="Z2014" t="s">
        <v>74</v>
      </c>
      <c r="AA2014" t="str">
        <f>"10032-3726"</f>
        <v>10032-3726</v>
      </c>
      <c r="AB2014" t="s">
        <v>75</v>
      </c>
      <c r="AC2014" t="s">
        <v>76</v>
      </c>
      <c r="AD2014" t="s">
        <v>73</v>
      </c>
      <c r="AE2014" t="s">
        <v>77</v>
      </c>
      <c r="AF2014" t="s">
        <v>2254</v>
      </c>
      <c r="AG2014" t="s">
        <v>78</v>
      </c>
    </row>
    <row r="2015" spans="1:33" hidden="1" x14ac:dyDescent="0.25">
      <c r="A2015" t="str">
        <f>"1285926402"</f>
        <v>1285926402</v>
      </c>
      <c r="B2015" t="str">
        <f>"03912521"</f>
        <v>03912521</v>
      </c>
      <c r="C2015" t="s">
        <v>9158</v>
      </c>
      <c r="D2015" t="s">
        <v>9159</v>
      </c>
      <c r="E2015" t="s">
        <v>9160</v>
      </c>
      <c r="G2015" t="s">
        <v>2224</v>
      </c>
      <c r="H2015" t="s">
        <v>2225</v>
      </c>
      <c r="J2015" t="s">
        <v>2226</v>
      </c>
      <c r="L2015" t="s">
        <v>88</v>
      </c>
      <c r="M2015" t="s">
        <v>73</v>
      </c>
      <c r="R2015" t="s">
        <v>9161</v>
      </c>
      <c r="W2015" t="s">
        <v>9160</v>
      </c>
      <c r="X2015" t="s">
        <v>410</v>
      </c>
      <c r="Y2015" t="s">
        <v>91</v>
      </c>
      <c r="Z2015" t="s">
        <v>74</v>
      </c>
      <c r="AA2015" t="str">
        <f>"10032-1559"</f>
        <v>10032-1559</v>
      </c>
      <c r="AB2015" t="s">
        <v>75</v>
      </c>
      <c r="AC2015" t="s">
        <v>76</v>
      </c>
      <c r="AD2015" t="s">
        <v>73</v>
      </c>
      <c r="AE2015" t="s">
        <v>77</v>
      </c>
      <c r="AF2015" t="s">
        <v>2254</v>
      </c>
      <c r="AG2015" t="s">
        <v>78</v>
      </c>
    </row>
    <row r="2016" spans="1:33" hidden="1" x14ac:dyDescent="0.25">
      <c r="A2016" t="str">
        <f>"1316235666"</f>
        <v>1316235666</v>
      </c>
      <c r="B2016" t="str">
        <f>"03918889"</f>
        <v>03918889</v>
      </c>
      <c r="C2016" t="s">
        <v>9162</v>
      </c>
      <c r="D2016" t="s">
        <v>9163</v>
      </c>
      <c r="E2016" t="s">
        <v>9164</v>
      </c>
      <c r="G2016" t="s">
        <v>2224</v>
      </c>
      <c r="H2016" t="s">
        <v>2225</v>
      </c>
      <c r="J2016" t="s">
        <v>2226</v>
      </c>
      <c r="L2016" t="s">
        <v>120</v>
      </c>
      <c r="M2016" t="s">
        <v>73</v>
      </c>
      <c r="R2016" t="s">
        <v>9165</v>
      </c>
      <c r="W2016" t="s">
        <v>9166</v>
      </c>
      <c r="X2016" t="s">
        <v>410</v>
      </c>
      <c r="Y2016" t="s">
        <v>91</v>
      </c>
      <c r="Z2016" t="s">
        <v>74</v>
      </c>
      <c r="AA2016" t="str">
        <f>"10032-1559"</f>
        <v>10032-1559</v>
      </c>
      <c r="AB2016" t="s">
        <v>75</v>
      </c>
      <c r="AC2016" t="s">
        <v>76</v>
      </c>
      <c r="AD2016" t="s">
        <v>73</v>
      </c>
      <c r="AE2016" t="s">
        <v>77</v>
      </c>
      <c r="AF2016" t="s">
        <v>2254</v>
      </c>
      <c r="AG2016" t="s">
        <v>78</v>
      </c>
    </row>
    <row r="2017" spans="1:33" hidden="1" x14ac:dyDescent="0.25">
      <c r="A2017" t="str">
        <f>"1487815551"</f>
        <v>1487815551</v>
      </c>
      <c r="B2017" t="str">
        <f>"03866680"</f>
        <v>03866680</v>
      </c>
      <c r="C2017" t="s">
        <v>9167</v>
      </c>
      <c r="D2017" t="s">
        <v>9168</v>
      </c>
      <c r="E2017" t="s">
        <v>9169</v>
      </c>
      <c r="G2017" t="s">
        <v>2224</v>
      </c>
      <c r="H2017" t="s">
        <v>2225</v>
      </c>
      <c r="J2017" t="s">
        <v>2226</v>
      </c>
      <c r="L2017" t="s">
        <v>72</v>
      </c>
      <c r="M2017" t="s">
        <v>73</v>
      </c>
      <c r="R2017" t="s">
        <v>9170</v>
      </c>
      <c r="W2017" t="s">
        <v>9169</v>
      </c>
      <c r="X2017" t="s">
        <v>183</v>
      </c>
      <c r="Y2017" t="s">
        <v>91</v>
      </c>
      <c r="Z2017" t="s">
        <v>74</v>
      </c>
      <c r="AA2017" t="str">
        <f>"10032-3729"</f>
        <v>10032-3729</v>
      </c>
      <c r="AB2017" t="s">
        <v>75</v>
      </c>
      <c r="AC2017" t="s">
        <v>76</v>
      </c>
      <c r="AD2017" t="s">
        <v>73</v>
      </c>
      <c r="AE2017" t="s">
        <v>77</v>
      </c>
      <c r="AF2017" t="s">
        <v>2254</v>
      </c>
      <c r="AG2017" t="s">
        <v>78</v>
      </c>
    </row>
    <row r="2018" spans="1:33" hidden="1" x14ac:dyDescent="0.25">
      <c r="A2018" t="str">
        <f>"1487953162"</f>
        <v>1487953162</v>
      </c>
      <c r="B2018" t="str">
        <f>"03919326"</f>
        <v>03919326</v>
      </c>
      <c r="C2018" t="s">
        <v>9171</v>
      </c>
      <c r="D2018" t="s">
        <v>9172</v>
      </c>
      <c r="E2018" t="s">
        <v>9173</v>
      </c>
      <c r="G2018" t="s">
        <v>2224</v>
      </c>
      <c r="H2018" t="s">
        <v>2225</v>
      </c>
      <c r="J2018" t="s">
        <v>2226</v>
      </c>
      <c r="L2018" t="s">
        <v>88</v>
      </c>
      <c r="M2018" t="s">
        <v>73</v>
      </c>
      <c r="R2018" t="s">
        <v>9173</v>
      </c>
      <c r="W2018" t="s">
        <v>9173</v>
      </c>
      <c r="X2018" t="s">
        <v>410</v>
      </c>
      <c r="Y2018" t="s">
        <v>91</v>
      </c>
      <c r="Z2018" t="s">
        <v>74</v>
      </c>
      <c r="AA2018" t="str">
        <f>"10032-1559"</f>
        <v>10032-1559</v>
      </c>
      <c r="AB2018" t="s">
        <v>75</v>
      </c>
      <c r="AC2018" t="s">
        <v>76</v>
      </c>
      <c r="AD2018" t="s">
        <v>73</v>
      </c>
      <c r="AE2018" t="s">
        <v>77</v>
      </c>
      <c r="AF2018" t="s">
        <v>2254</v>
      </c>
      <c r="AG2018" t="s">
        <v>78</v>
      </c>
    </row>
    <row r="2019" spans="1:33" hidden="1" x14ac:dyDescent="0.25">
      <c r="A2019" t="str">
        <f>"1104910421"</f>
        <v>1104910421</v>
      </c>
      <c r="B2019" t="str">
        <f>"00465412"</f>
        <v>00465412</v>
      </c>
      <c r="C2019" t="s">
        <v>9174</v>
      </c>
      <c r="D2019" t="s">
        <v>9175</v>
      </c>
      <c r="E2019" t="s">
        <v>9176</v>
      </c>
      <c r="G2019" t="s">
        <v>2224</v>
      </c>
      <c r="H2019" t="s">
        <v>2225</v>
      </c>
      <c r="J2019" t="s">
        <v>2226</v>
      </c>
      <c r="L2019" t="s">
        <v>72</v>
      </c>
      <c r="M2019" t="s">
        <v>73</v>
      </c>
      <c r="R2019" t="s">
        <v>9177</v>
      </c>
      <c r="W2019" t="s">
        <v>9178</v>
      </c>
      <c r="X2019" t="s">
        <v>183</v>
      </c>
      <c r="Y2019" t="s">
        <v>91</v>
      </c>
      <c r="Z2019" t="s">
        <v>74</v>
      </c>
      <c r="AA2019" t="str">
        <f>"10032-3729"</f>
        <v>10032-3729</v>
      </c>
      <c r="AB2019" t="s">
        <v>75</v>
      </c>
      <c r="AC2019" t="s">
        <v>76</v>
      </c>
      <c r="AD2019" t="s">
        <v>73</v>
      </c>
      <c r="AE2019" t="s">
        <v>77</v>
      </c>
      <c r="AF2019" t="s">
        <v>2228</v>
      </c>
      <c r="AG2019" t="s">
        <v>78</v>
      </c>
    </row>
    <row r="2020" spans="1:33" hidden="1" x14ac:dyDescent="0.25">
      <c r="A2020" t="str">
        <f>"1407006539"</f>
        <v>1407006539</v>
      </c>
      <c r="B2020" t="str">
        <f>"03042055"</f>
        <v>03042055</v>
      </c>
      <c r="C2020" t="s">
        <v>9179</v>
      </c>
      <c r="D2020" t="s">
        <v>9180</v>
      </c>
      <c r="E2020" t="s">
        <v>9181</v>
      </c>
      <c r="G2020" t="s">
        <v>2224</v>
      </c>
      <c r="H2020" t="s">
        <v>2225</v>
      </c>
      <c r="J2020" t="s">
        <v>2226</v>
      </c>
      <c r="L2020" t="s">
        <v>72</v>
      </c>
      <c r="M2020" t="s">
        <v>73</v>
      </c>
      <c r="R2020" t="s">
        <v>9181</v>
      </c>
      <c r="W2020" t="s">
        <v>9181</v>
      </c>
      <c r="X2020" t="s">
        <v>1695</v>
      </c>
      <c r="Y2020" t="s">
        <v>91</v>
      </c>
      <c r="Z2020" t="s">
        <v>74</v>
      </c>
      <c r="AA2020" t="str">
        <f>"10032"</f>
        <v>10032</v>
      </c>
      <c r="AB2020" t="s">
        <v>106</v>
      </c>
      <c r="AC2020" t="s">
        <v>76</v>
      </c>
      <c r="AD2020" t="s">
        <v>73</v>
      </c>
      <c r="AE2020" t="s">
        <v>77</v>
      </c>
      <c r="AF2020" t="s">
        <v>2234</v>
      </c>
      <c r="AG2020" t="s">
        <v>78</v>
      </c>
    </row>
    <row r="2021" spans="1:33" hidden="1" x14ac:dyDescent="0.25">
      <c r="A2021" t="str">
        <f>"1407018310"</f>
        <v>1407018310</v>
      </c>
      <c r="B2021" t="str">
        <f>"03918825"</f>
        <v>03918825</v>
      </c>
      <c r="C2021" t="s">
        <v>9182</v>
      </c>
      <c r="D2021" t="s">
        <v>9183</v>
      </c>
      <c r="E2021" t="s">
        <v>9184</v>
      </c>
      <c r="G2021" t="s">
        <v>2224</v>
      </c>
      <c r="H2021" t="s">
        <v>2225</v>
      </c>
      <c r="J2021" t="s">
        <v>2226</v>
      </c>
      <c r="L2021" t="s">
        <v>80</v>
      </c>
      <c r="M2021" t="s">
        <v>73</v>
      </c>
      <c r="R2021" t="s">
        <v>9185</v>
      </c>
      <c r="W2021" t="s">
        <v>9186</v>
      </c>
      <c r="X2021" t="s">
        <v>9187</v>
      </c>
      <c r="Y2021" t="s">
        <v>91</v>
      </c>
      <c r="Z2021" t="s">
        <v>74</v>
      </c>
      <c r="AA2021" t="str">
        <f>"10065-4870"</f>
        <v>10065-4870</v>
      </c>
      <c r="AB2021" t="s">
        <v>75</v>
      </c>
      <c r="AC2021" t="s">
        <v>76</v>
      </c>
      <c r="AD2021" t="s">
        <v>73</v>
      </c>
      <c r="AE2021" t="s">
        <v>77</v>
      </c>
      <c r="AF2021" t="s">
        <v>2398</v>
      </c>
      <c r="AG2021" t="s">
        <v>78</v>
      </c>
    </row>
    <row r="2022" spans="1:33" hidden="1" x14ac:dyDescent="0.25">
      <c r="A2022" t="str">
        <f>"1538327788"</f>
        <v>1538327788</v>
      </c>
      <c r="B2022" t="str">
        <f>"02982236"</f>
        <v>02982236</v>
      </c>
      <c r="C2022" t="s">
        <v>9188</v>
      </c>
      <c r="D2022" t="s">
        <v>9189</v>
      </c>
      <c r="E2022" t="s">
        <v>9190</v>
      </c>
      <c r="L2022" t="s">
        <v>80</v>
      </c>
      <c r="M2022" t="s">
        <v>73</v>
      </c>
      <c r="R2022" t="s">
        <v>9191</v>
      </c>
      <c r="W2022" t="s">
        <v>9192</v>
      </c>
      <c r="X2022" t="s">
        <v>167</v>
      </c>
      <c r="Y2022" t="s">
        <v>91</v>
      </c>
      <c r="Z2022" t="s">
        <v>74</v>
      </c>
      <c r="AA2022" t="str">
        <f>"10032-3720"</f>
        <v>10032-3720</v>
      </c>
      <c r="AB2022" t="s">
        <v>75</v>
      </c>
      <c r="AC2022" t="s">
        <v>76</v>
      </c>
      <c r="AD2022" t="s">
        <v>73</v>
      </c>
      <c r="AE2022" t="s">
        <v>77</v>
      </c>
      <c r="AG2022" t="s">
        <v>78</v>
      </c>
    </row>
    <row r="2023" spans="1:33" hidden="1" x14ac:dyDescent="0.25">
      <c r="A2023" t="str">
        <f>"1689728412"</f>
        <v>1689728412</v>
      </c>
      <c r="B2023" t="str">
        <f>"00590294"</f>
        <v>00590294</v>
      </c>
      <c r="C2023" t="s">
        <v>9193</v>
      </c>
      <c r="D2023" t="s">
        <v>9194</v>
      </c>
      <c r="E2023" t="s">
        <v>9195</v>
      </c>
      <c r="L2023" t="s">
        <v>80</v>
      </c>
      <c r="M2023" t="s">
        <v>73</v>
      </c>
      <c r="R2023" t="s">
        <v>9196</v>
      </c>
      <c r="W2023" t="s">
        <v>9195</v>
      </c>
      <c r="X2023" t="s">
        <v>167</v>
      </c>
      <c r="Y2023" t="s">
        <v>91</v>
      </c>
      <c r="Z2023" t="s">
        <v>74</v>
      </c>
      <c r="AA2023" t="str">
        <f>"10032-3720"</f>
        <v>10032-3720</v>
      </c>
      <c r="AB2023" t="s">
        <v>75</v>
      </c>
      <c r="AC2023" t="s">
        <v>76</v>
      </c>
      <c r="AD2023" t="s">
        <v>73</v>
      </c>
      <c r="AE2023" t="s">
        <v>77</v>
      </c>
      <c r="AF2023" t="s">
        <v>2228</v>
      </c>
      <c r="AG2023" t="s">
        <v>78</v>
      </c>
    </row>
    <row r="2024" spans="1:33" hidden="1" x14ac:dyDescent="0.25">
      <c r="A2024" t="str">
        <f>"1023275104"</f>
        <v>1023275104</v>
      </c>
      <c r="B2024" t="str">
        <f>"03277007"</f>
        <v>03277007</v>
      </c>
      <c r="C2024" t="s">
        <v>9197</v>
      </c>
      <c r="D2024" t="s">
        <v>9198</v>
      </c>
      <c r="E2024" t="s">
        <v>9199</v>
      </c>
      <c r="G2024" t="s">
        <v>2224</v>
      </c>
      <c r="H2024" t="s">
        <v>9200</v>
      </c>
      <c r="J2024" t="s">
        <v>2226</v>
      </c>
      <c r="L2024" t="s">
        <v>80</v>
      </c>
      <c r="M2024" t="s">
        <v>73</v>
      </c>
      <c r="R2024" t="s">
        <v>9199</v>
      </c>
      <c r="W2024" t="s">
        <v>9199</v>
      </c>
      <c r="X2024" t="s">
        <v>170</v>
      </c>
      <c r="Y2024" t="s">
        <v>91</v>
      </c>
      <c r="Z2024" t="s">
        <v>74</v>
      </c>
      <c r="AA2024" t="str">
        <f>"10065-4870"</f>
        <v>10065-4870</v>
      </c>
      <c r="AB2024" t="s">
        <v>75</v>
      </c>
      <c r="AC2024" t="s">
        <v>76</v>
      </c>
      <c r="AD2024" t="s">
        <v>73</v>
      </c>
      <c r="AE2024" t="s">
        <v>77</v>
      </c>
      <c r="AF2024" t="s">
        <v>2242</v>
      </c>
      <c r="AG2024" t="s">
        <v>78</v>
      </c>
    </row>
    <row r="2025" spans="1:33" hidden="1" x14ac:dyDescent="0.25">
      <c r="A2025" t="str">
        <f>"1508821521"</f>
        <v>1508821521</v>
      </c>
      <c r="B2025" t="str">
        <f>"02945320"</f>
        <v>02945320</v>
      </c>
      <c r="C2025" t="s">
        <v>9201</v>
      </c>
      <c r="D2025" t="s">
        <v>9202</v>
      </c>
      <c r="E2025" t="s">
        <v>1461</v>
      </c>
      <c r="G2025" t="s">
        <v>2224</v>
      </c>
      <c r="H2025" t="s">
        <v>9203</v>
      </c>
      <c r="J2025" t="s">
        <v>2226</v>
      </c>
      <c r="L2025" t="s">
        <v>72</v>
      </c>
      <c r="M2025" t="s">
        <v>73</v>
      </c>
      <c r="R2025" t="s">
        <v>1461</v>
      </c>
      <c r="W2025" t="s">
        <v>1461</v>
      </c>
      <c r="X2025" t="s">
        <v>170</v>
      </c>
      <c r="Y2025" t="s">
        <v>91</v>
      </c>
      <c r="Z2025" t="s">
        <v>74</v>
      </c>
      <c r="AA2025" t="str">
        <f>"10065-4870"</f>
        <v>10065-4870</v>
      </c>
      <c r="AB2025" t="s">
        <v>75</v>
      </c>
      <c r="AC2025" t="s">
        <v>76</v>
      </c>
      <c r="AD2025" t="s">
        <v>73</v>
      </c>
      <c r="AE2025" t="s">
        <v>77</v>
      </c>
      <c r="AF2025" t="s">
        <v>2242</v>
      </c>
      <c r="AG2025" t="s">
        <v>78</v>
      </c>
    </row>
    <row r="2026" spans="1:33" hidden="1" x14ac:dyDescent="0.25">
      <c r="A2026" t="str">
        <f>"1710938048"</f>
        <v>1710938048</v>
      </c>
      <c r="B2026" t="str">
        <f>"02862848"</f>
        <v>02862848</v>
      </c>
      <c r="C2026" t="s">
        <v>9204</v>
      </c>
      <c r="D2026" t="s">
        <v>9205</v>
      </c>
      <c r="E2026" t="s">
        <v>9206</v>
      </c>
      <c r="G2026" t="s">
        <v>2224</v>
      </c>
      <c r="H2026" t="s">
        <v>9207</v>
      </c>
      <c r="J2026" t="s">
        <v>2226</v>
      </c>
      <c r="L2026" t="s">
        <v>80</v>
      </c>
      <c r="M2026" t="s">
        <v>73</v>
      </c>
      <c r="R2026" t="s">
        <v>9208</v>
      </c>
      <c r="W2026" t="s">
        <v>9206</v>
      </c>
      <c r="X2026" t="s">
        <v>170</v>
      </c>
      <c r="Y2026" t="s">
        <v>91</v>
      </c>
      <c r="Z2026" t="s">
        <v>74</v>
      </c>
      <c r="AA2026" t="str">
        <f>"10065-4870"</f>
        <v>10065-4870</v>
      </c>
      <c r="AB2026" t="s">
        <v>75</v>
      </c>
      <c r="AC2026" t="s">
        <v>76</v>
      </c>
      <c r="AD2026" t="s">
        <v>73</v>
      </c>
      <c r="AE2026" t="s">
        <v>77</v>
      </c>
      <c r="AF2026" t="s">
        <v>2242</v>
      </c>
      <c r="AG2026" t="s">
        <v>78</v>
      </c>
    </row>
    <row r="2027" spans="1:33" hidden="1" x14ac:dyDescent="0.25">
      <c r="A2027" t="str">
        <f>"1972599322"</f>
        <v>1972599322</v>
      </c>
      <c r="B2027" t="str">
        <f>"01360636"</f>
        <v>01360636</v>
      </c>
      <c r="C2027" t="s">
        <v>1985</v>
      </c>
      <c r="D2027" t="s">
        <v>1983</v>
      </c>
      <c r="E2027" t="s">
        <v>1984</v>
      </c>
      <c r="L2027" t="s">
        <v>101</v>
      </c>
      <c r="M2027" t="s">
        <v>82</v>
      </c>
      <c r="R2027" t="s">
        <v>1985</v>
      </c>
      <c r="W2027" t="s">
        <v>1982</v>
      </c>
      <c r="X2027" t="s">
        <v>1986</v>
      </c>
      <c r="Y2027" t="s">
        <v>91</v>
      </c>
      <c r="Z2027" t="s">
        <v>74</v>
      </c>
      <c r="AA2027" t="str">
        <f>"10027-2406"</f>
        <v>10027-2406</v>
      </c>
      <c r="AB2027" t="s">
        <v>102</v>
      </c>
      <c r="AC2027" t="s">
        <v>76</v>
      </c>
      <c r="AD2027" t="s">
        <v>73</v>
      </c>
      <c r="AE2027" t="s">
        <v>77</v>
      </c>
      <c r="AG2027" t="s">
        <v>78</v>
      </c>
    </row>
    <row r="2028" spans="1:33" hidden="1" x14ac:dyDescent="0.25">
      <c r="A2028" t="str">
        <f>"1558707299"</f>
        <v>1558707299</v>
      </c>
      <c r="B2028" t="str">
        <f>"03941797"</f>
        <v>03941797</v>
      </c>
      <c r="C2028" t="s">
        <v>9209</v>
      </c>
      <c r="D2028" t="s">
        <v>9210</v>
      </c>
      <c r="E2028" t="s">
        <v>9209</v>
      </c>
      <c r="L2028" t="s">
        <v>36</v>
      </c>
      <c r="M2028" t="s">
        <v>73</v>
      </c>
      <c r="R2028" t="s">
        <v>9209</v>
      </c>
      <c r="W2028" t="s">
        <v>9209</v>
      </c>
      <c r="X2028" t="s">
        <v>9211</v>
      </c>
      <c r="Y2028" t="s">
        <v>84</v>
      </c>
      <c r="Z2028" t="s">
        <v>74</v>
      </c>
      <c r="AA2028" t="str">
        <f>"11215-6179"</f>
        <v>11215-6179</v>
      </c>
      <c r="AB2028" t="s">
        <v>114</v>
      </c>
      <c r="AC2028" t="s">
        <v>76</v>
      </c>
      <c r="AD2028" t="s">
        <v>73</v>
      </c>
      <c r="AE2028" t="s">
        <v>77</v>
      </c>
      <c r="AG2028" t="s">
        <v>78</v>
      </c>
    </row>
    <row r="2029" spans="1:33" hidden="1" x14ac:dyDescent="0.25">
      <c r="A2029" t="str">
        <f>"1831145648"</f>
        <v>1831145648</v>
      </c>
      <c r="B2029" t="str">
        <f>"00345946"</f>
        <v>00345946</v>
      </c>
      <c r="C2029" t="s">
        <v>1711</v>
      </c>
      <c r="D2029" t="s">
        <v>1709</v>
      </c>
      <c r="E2029" t="s">
        <v>1710</v>
      </c>
      <c r="L2029" t="s">
        <v>81</v>
      </c>
      <c r="M2029" t="s">
        <v>73</v>
      </c>
      <c r="R2029" t="s">
        <v>1711</v>
      </c>
      <c r="W2029" t="s">
        <v>1710</v>
      </c>
      <c r="X2029" t="s">
        <v>1712</v>
      </c>
      <c r="Y2029" t="s">
        <v>84</v>
      </c>
      <c r="Z2029" t="s">
        <v>74</v>
      </c>
      <c r="AA2029" t="str">
        <f>"11215"</f>
        <v>11215</v>
      </c>
      <c r="AB2029" t="s">
        <v>75</v>
      </c>
      <c r="AC2029" t="s">
        <v>76</v>
      </c>
      <c r="AD2029" t="s">
        <v>73</v>
      </c>
      <c r="AE2029" t="s">
        <v>77</v>
      </c>
      <c r="AG2029" t="s">
        <v>78</v>
      </c>
    </row>
    <row r="2030" spans="1:33" hidden="1" x14ac:dyDescent="0.25">
      <c r="A2030" t="str">
        <f>"1871852772"</f>
        <v>1871852772</v>
      </c>
      <c r="B2030" t="str">
        <f>"03489998"</f>
        <v>03489998</v>
      </c>
      <c r="C2030" t="s">
        <v>9212</v>
      </c>
      <c r="D2030" t="s">
        <v>9213</v>
      </c>
      <c r="E2030" t="s">
        <v>9212</v>
      </c>
      <c r="L2030" t="s">
        <v>16</v>
      </c>
      <c r="M2030" t="s">
        <v>82</v>
      </c>
      <c r="R2030" t="s">
        <v>9212</v>
      </c>
      <c r="W2030" t="s">
        <v>9212</v>
      </c>
      <c r="X2030" t="s">
        <v>9214</v>
      </c>
      <c r="Y2030" t="s">
        <v>558</v>
      </c>
      <c r="Z2030" t="s">
        <v>74</v>
      </c>
      <c r="AA2030" t="str">
        <f>"11747-3109"</f>
        <v>11747-3109</v>
      </c>
      <c r="AB2030" t="s">
        <v>119</v>
      </c>
      <c r="AC2030" t="s">
        <v>76</v>
      </c>
      <c r="AD2030" t="s">
        <v>73</v>
      </c>
      <c r="AE2030" t="s">
        <v>77</v>
      </c>
      <c r="AG2030" t="s">
        <v>78</v>
      </c>
    </row>
    <row r="2031" spans="1:33" hidden="1" x14ac:dyDescent="0.25">
      <c r="A2031" t="str">
        <f>"1639197551"</f>
        <v>1639197551</v>
      </c>
      <c r="B2031" t="str">
        <f>"00273056"</f>
        <v>00273056</v>
      </c>
      <c r="C2031" t="s">
        <v>205</v>
      </c>
      <c r="D2031" t="s">
        <v>203</v>
      </c>
      <c r="E2031" t="s">
        <v>204</v>
      </c>
      <c r="L2031" t="s">
        <v>109</v>
      </c>
      <c r="M2031" t="s">
        <v>82</v>
      </c>
      <c r="R2031" t="s">
        <v>205</v>
      </c>
      <c r="W2031" t="s">
        <v>204</v>
      </c>
      <c r="X2031" t="s">
        <v>206</v>
      </c>
      <c r="Y2031" t="s">
        <v>207</v>
      </c>
      <c r="Z2031" t="s">
        <v>74</v>
      </c>
      <c r="AA2031" t="str">
        <f>"11366-1950"</f>
        <v>11366-1950</v>
      </c>
      <c r="AB2031" t="s">
        <v>90</v>
      </c>
      <c r="AC2031" t="s">
        <v>76</v>
      </c>
      <c r="AD2031" t="s">
        <v>73</v>
      </c>
      <c r="AE2031" t="s">
        <v>77</v>
      </c>
      <c r="AG2031" t="s">
        <v>78</v>
      </c>
    </row>
    <row r="2032" spans="1:33" hidden="1" x14ac:dyDescent="0.25">
      <c r="A2032" t="str">
        <f>"1659317030"</f>
        <v>1659317030</v>
      </c>
      <c r="B2032" t="str">
        <f>"02673210"</f>
        <v>02673210</v>
      </c>
      <c r="C2032" t="s">
        <v>9215</v>
      </c>
      <c r="D2032" t="s">
        <v>9216</v>
      </c>
      <c r="E2032" t="s">
        <v>9215</v>
      </c>
      <c r="L2032" t="s">
        <v>16</v>
      </c>
      <c r="M2032" t="s">
        <v>82</v>
      </c>
      <c r="R2032" t="s">
        <v>9215</v>
      </c>
      <c r="W2032" t="s">
        <v>9215</v>
      </c>
      <c r="X2032" t="s">
        <v>9217</v>
      </c>
      <c r="Y2032" t="s">
        <v>91</v>
      </c>
      <c r="Z2032" t="s">
        <v>74</v>
      </c>
      <c r="AA2032" t="str">
        <f>"10032-3705"</f>
        <v>10032-3705</v>
      </c>
      <c r="AB2032" t="s">
        <v>119</v>
      </c>
      <c r="AC2032" t="s">
        <v>76</v>
      </c>
      <c r="AD2032" t="s">
        <v>73</v>
      </c>
      <c r="AE2032" t="s">
        <v>77</v>
      </c>
      <c r="AG2032" t="s">
        <v>78</v>
      </c>
    </row>
    <row r="2033" spans="1:33" hidden="1" x14ac:dyDescent="0.25">
      <c r="A2033" t="str">
        <f>"1346589215"</f>
        <v>1346589215</v>
      </c>
      <c r="C2033" t="s">
        <v>9218</v>
      </c>
      <c r="K2033" t="s">
        <v>36</v>
      </c>
      <c r="L2033" t="s">
        <v>96</v>
      </c>
      <c r="M2033" t="s">
        <v>73</v>
      </c>
      <c r="R2033" t="s">
        <v>9218</v>
      </c>
      <c r="S2033" t="s">
        <v>9219</v>
      </c>
      <c r="T2033" t="s">
        <v>84</v>
      </c>
      <c r="U2033" t="s">
        <v>74</v>
      </c>
      <c r="V2033" t="str">
        <f>"112353979"</f>
        <v>112353979</v>
      </c>
      <c r="AC2033" t="s">
        <v>76</v>
      </c>
      <c r="AD2033" t="s">
        <v>73</v>
      </c>
      <c r="AE2033" t="s">
        <v>97</v>
      </c>
      <c r="AG2033" t="s">
        <v>78</v>
      </c>
    </row>
    <row r="2034" spans="1:33" hidden="1" x14ac:dyDescent="0.25">
      <c r="A2034" t="str">
        <f>"1174611446"</f>
        <v>1174611446</v>
      </c>
      <c r="B2034" t="str">
        <f>"02152207"</f>
        <v>02152207</v>
      </c>
      <c r="C2034" t="s">
        <v>9220</v>
      </c>
      <c r="D2034" t="s">
        <v>9221</v>
      </c>
      <c r="E2034" t="s">
        <v>9222</v>
      </c>
      <c r="G2034" t="s">
        <v>2224</v>
      </c>
      <c r="H2034" t="s">
        <v>2225</v>
      </c>
      <c r="J2034" t="s">
        <v>2226</v>
      </c>
      <c r="L2034" t="s">
        <v>88</v>
      </c>
      <c r="M2034" t="s">
        <v>73</v>
      </c>
      <c r="R2034" t="s">
        <v>9223</v>
      </c>
      <c r="W2034" t="s">
        <v>9222</v>
      </c>
      <c r="X2034" t="s">
        <v>1579</v>
      </c>
      <c r="Y2034" t="s">
        <v>91</v>
      </c>
      <c r="Z2034" t="s">
        <v>74</v>
      </c>
      <c r="AA2034" t="str">
        <f>"10021"</f>
        <v>10021</v>
      </c>
      <c r="AB2034" t="s">
        <v>75</v>
      </c>
      <c r="AC2034" t="s">
        <v>76</v>
      </c>
      <c r="AD2034" t="s">
        <v>73</v>
      </c>
      <c r="AE2034" t="s">
        <v>77</v>
      </c>
      <c r="AF2034" t="s">
        <v>2398</v>
      </c>
      <c r="AG2034" t="s">
        <v>78</v>
      </c>
    </row>
    <row r="2035" spans="1:33" hidden="1" x14ac:dyDescent="0.25">
      <c r="A2035" t="str">
        <f>"1578652806"</f>
        <v>1578652806</v>
      </c>
      <c r="B2035" t="str">
        <f>"01348681"</f>
        <v>01348681</v>
      </c>
      <c r="C2035" t="s">
        <v>9224</v>
      </c>
      <c r="D2035" t="s">
        <v>9225</v>
      </c>
      <c r="E2035" t="s">
        <v>9226</v>
      </c>
      <c r="G2035" t="s">
        <v>2224</v>
      </c>
      <c r="H2035" t="s">
        <v>2225</v>
      </c>
      <c r="J2035" t="s">
        <v>2226</v>
      </c>
      <c r="L2035" t="s">
        <v>81</v>
      </c>
      <c r="M2035" t="s">
        <v>82</v>
      </c>
      <c r="R2035" t="s">
        <v>9227</v>
      </c>
      <c r="W2035" t="s">
        <v>9226</v>
      </c>
      <c r="X2035" t="s">
        <v>1616</v>
      </c>
      <c r="Y2035" t="s">
        <v>118</v>
      </c>
      <c r="Z2035" t="s">
        <v>74</v>
      </c>
      <c r="AA2035" t="str">
        <f>"10467-2401"</f>
        <v>10467-2401</v>
      </c>
      <c r="AB2035" t="s">
        <v>75</v>
      </c>
      <c r="AC2035" t="s">
        <v>76</v>
      </c>
      <c r="AD2035" t="s">
        <v>73</v>
      </c>
      <c r="AE2035" t="s">
        <v>77</v>
      </c>
      <c r="AF2035" t="s">
        <v>2242</v>
      </c>
      <c r="AG2035" t="s">
        <v>78</v>
      </c>
    </row>
    <row r="2036" spans="1:33" hidden="1" x14ac:dyDescent="0.25">
      <c r="A2036" t="str">
        <f>"1588631527"</f>
        <v>1588631527</v>
      </c>
      <c r="B2036" t="str">
        <f>"00708470"</f>
        <v>00708470</v>
      </c>
      <c r="C2036" t="s">
        <v>9228</v>
      </c>
      <c r="D2036" t="s">
        <v>9229</v>
      </c>
      <c r="E2036" t="s">
        <v>9230</v>
      </c>
      <c r="G2036" t="s">
        <v>2224</v>
      </c>
      <c r="H2036" t="s">
        <v>2225</v>
      </c>
      <c r="J2036" t="s">
        <v>2226</v>
      </c>
      <c r="L2036" t="s">
        <v>81</v>
      </c>
      <c r="M2036" t="s">
        <v>82</v>
      </c>
      <c r="R2036" t="s">
        <v>9231</v>
      </c>
      <c r="W2036" t="s">
        <v>9230</v>
      </c>
      <c r="Y2036" t="s">
        <v>91</v>
      </c>
      <c r="Z2036" t="s">
        <v>74</v>
      </c>
      <c r="AA2036" t="str">
        <f>"10032-1559"</f>
        <v>10032-1559</v>
      </c>
      <c r="AB2036" t="s">
        <v>75</v>
      </c>
      <c r="AC2036" t="s">
        <v>76</v>
      </c>
      <c r="AD2036" t="s">
        <v>73</v>
      </c>
      <c r="AE2036" t="s">
        <v>77</v>
      </c>
      <c r="AF2036" t="s">
        <v>2228</v>
      </c>
      <c r="AG2036" t="s">
        <v>78</v>
      </c>
    </row>
    <row r="2037" spans="1:33" hidden="1" x14ac:dyDescent="0.25">
      <c r="C2037" t="s">
        <v>2056</v>
      </c>
      <c r="G2037" t="s">
        <v>9232</v>
      </c>
      <c r="H2037" t="s">
        <v>9233</v>
      </c>
      <c r="J2037" t="s">
        <v>9234</v>
      </c>
      <c r="K2037" t="s">
        <v>587</v>
      </c>
      <c r="L2037" t="s">
        <v>94</v>
      </c>
      <c r="M2037" t="s">
        <v>73</v>
      </c>
      <c r="N2037" t="s">
        <v>9235</v>
      </c>
      <c r="O2037" t="s">
        <v>9236</v>
      </c>
      <c r="P2037" t="s">
        <v>74</v>
      </c>
      <c r="Q2037" t="str">
        <f>"10021"</f>
        <v>10021</v>
      </c>
      <c r="AC2037" t="s">
        <v>76</v>
      </c>
      <c r="AD2037" t="s">
        <v>73</v>
      </c>
      <c r="AE2037" t="s">
        <v>95</v>
      </c>
      <c r="AG2037" t="s">
        <v>78</v>
      </c>
    </row>
    <row r="2038" spans="1:33" hidden="1" x14ac:dyDescent="0.25">
      <c r="A2038" t="str">
        <f>"1225172265"</f>
        <v>1225172265</v>
      </c>
      <c r="B2038" t="str">
        <f>"02838833"</f>
        <v>02838833</v>
      </c>
      <c r="C2038" t="s">
        <v>9237</v>
      </c>
      <c r="D2038" t="s">
        <v>9238</v>
      </c>
      <c r="E2038" t="s">
        <v>9239</v>
      </c>
      <c r="G2038" t="s">
        <v>2224</v>
      </c>
      <c r="H2038" t="s">
        <v>2225</v>
      </c>
      <c r="J2038" t="s">
        <v>2226</v>
      </c>
      <c r="L2038" t="s">
        <v>72</v>
      </c>
      <c r="M2038" t="s">
        <v>73</v>
      </c>
      <c r="R2038" t="s">
        <v>9240</v>
      </c>
      <c r="W2038" t="s">
        <v>9239</v>
      </c>
      <c r="X2038" t="s">
        <v>9241</v>
      </c>
      <c r="Y2038" t="s">
        <v>91</v>
      </c>
      <c r="Z2038" t="s">
        <v>74</v>
      </c>
      <c r="AA2038" t="str">
        <f>"10029-1620"</f>
        <v>10029-1620</v>
      </c>
      <c r="AB2038" t="s">
        <v>79</v>
      </c>
      <c r="AC2038" t="s">
        <v>76</v>
      </c>
      <c r="AD2038" t="s">
        <v>73</v>
      </c>
      <c r="AE2038" t="s">
        <v>77</v>
      </c>
      <c r="AF2038" t="s">
        <v>2234</v>
      </c>
      <c r="AG2038" t="s">
        <v>78</v>
      </c>
    </row>
    <row r="2039" spans="1:33" hidden="1" x14ac:dyDescent="0.25">
      <c r="A2039" t="str">
        <f>"1871868679"</f>
        <v>1871868679</v>
      </c>
      <c r="C2039" t="s">
        <v>9242</v>
      </c>
      <c r="G2039" t="s">
        <v>2224</v>
      </c>
      <c r="H2039" t="s">
        <v>2312</v>
      </c>
      <c r="J2039" t="s">
        <v>2226</v>
      </c>
      <c r="K2039" t="s">
        <v>171</v>
      </c>
      <c r="L2039" t="s">
        <v>96</v>
      </c>
      <c r="M2039" t="s">
        <v>73</v>
      </c>
      <c r="R2039" t="s">
        <v>9243</v>
      </c>
      <c r="S2039" t="s">
        <v>167</v>
      </c>
      <c r="T2039" t="s">
        <v>91</v>
      </c>
      <c r="U2039" t="s">
        <v>74</v>
      </c>
      <c r="V2039" t="str">
        <f>"100323720"</f>
        <v>100323720</v>
      </c>
      <c r="AC2039" t="s">
        <v>76</v>
      </c>
      <c r="AD2039" t="s">
        <v>73</v>
      </c>
      <c r="AE2039" t="s">
        <v>97</v>
      </c>
      <c r="AF2039" t="s">
        <v>2228</v>
      </c>
      <c r="AG2039" t="s">
        <v>78</v>
      </c>
    </row>
    <row r="2040" spans="1:33" hidden="1" x14ac:dyDescent="0.25">
      <c r="A2040" t="str">
        <f>"1902846132"</f>
        <v>1902846132</v>
      </c>
      <c r="B2040" t="str">
        <f>"02863005"</f>
        <v>02863005</v>
      </c>
      <c r="C2040" t="s">
        <v>9244</v>
      </c>
      <c r="D2040" t="s">
        <v>9245</v>
      </c>
      <c r="E2040" t="s">
        <v>9246</v>
      </c>
      <c r="L2040" t="s">
        <v>80</v>
      </c>
      <c r="M2040" t="s">
        <v>73</v>
      </c>
      <c r="R2040" t="s">
        <v>9247</v>
      </c>
      <c r="W2040" t="s">
        <v>9246</v>
      </c>
      <c r="X2040" t="s">
        <v>170</v>
      </c>
      <c r="Y2040" t="s">
        <v>91</v>
      </c>
      <c r="Z2040" t="s">
        <v>74</v>
      </c>
      <c r="AA2040" t="str">
        <f>"10065-4870"</f>
        <v>10065-4870</v>
      </c>
      <c r="AB2040" t="s">
        <v>75</v>
      </c>
      <c r="AC2040" t="s">
        <v>76</v>
      </c>
      <c r="AD2040" t="s">
        <v>73</v>
      </c>
      <c r="AE2040" t="s">
        <v>77</v>
      </c>
      <c r="AF2040" t="s">
        <v>2228</v>
      </c>
      <c r="AG2040" t="s">
        <v>78</v>
      </c>
    </row>
    <row r="2041" spans="1:33" hidden="1" x14ac:dyDescent="0.25">
      <c r="A2041" t="str">
        <f>"1659462323"</f>
        <v>1659462323</v>
      </c>
      <c r="B2041" t="str">
        <f>"03296366"</f>
        <v>03296366</v>
      </c>
      <c r="C2041" t="s">
        <v>9248</v>
      </c>
      <c r="D2041" t="s">
        <v>9249</v>
      </c>
      <c r="E2041" t="s">
        <v>9250</v>
      </c>
      <c r="L2041" t="s">
        <v>80</v>
      </c>
      <c r="M2041" t="s">
        <v>73</v>
      </c>
      <c r="R2041" t="s">
        <v>9251</v>
      </c>
      <c r="W2041" t="s">
        <v>9250</v>
      </c>
      <c r="X2041" t="s">
        <v>7079</v>
      </c>
      <c r="Y2041" t="s">
        <v>91</v>
      </c>
      <c r="Z2041" t="s">
        <v>74</v>
      </c>
      <c r="AA2041" t="str">
        <f>"10065-4870"</f>
        <v>10065-4870</v>
      </c>
      <c r="AB2041" t="s">
        <v>75</v>
      </c>
      <c r="AC2041" t="s">
        <v>76</v>
      </c>
      <c r="AD2041" t="s">
        <v>73</v>
      </c>
      <c r="AE2041" t="s">
        <v>77</v>
      </c>
      <c r="AF2041" t="s">
        <v>2242</v>
      </c>
      <c r="AG2041" t="s">
        <v>78</v>
      </c>
    </row>
    <row r="2042" spans="1:33" hidden="1" x14ac:dyDescent="0.25">
      <c r="A2042" t="str">
        <f>"1205056447"</f>
        <v>1205056447</v>
      </c>
      <c r="B2042" t="str">
        <f>"02737593"</f>
        <v>02737593</v>
      </c>
      <c r="C2042" t="s">
        <v>9252</v>
      </c>
      <c r="D2042" t="s">
        <v>9253</v>
      </c>
      <c r="E2042" t="s">
        <v>9254</v>
      </c>
      <c r="G2042" t="s">
        <v>2224</v>
      </c>
      <c r="H2042" t="s">
        <v>2225</v>
      </c>
      <c r="J2042" t="s">
        <v>2226</v>
      </c>
      <c r="L2042" t="s">
        <v>80</v>
      </c>
      <c r="M2042" t="s">
        <v>73</v>
      </c>
      <c r="R2042" t="s">
        <v>9255</v>
      </c>
      <c r="W2042" t="s">
        <v>9254</v>
      </c>
      <c r="X2042" t="s">
        <v>1583</v>
      </c>
      <c r="Y2042" t="s">
        <v>91</v>
      </c>
      <c r="Z2042" t="s">
        <v>74</v>
      </c>
      <c r="AA2042" t="str">
        <f>"10021-9800"</f>
        <v>10021-9800</v>
      </c>
      <c r="AB2042" t="s">
        <v>75</v>
      </c>
      <c r="AC2042" t="s">
        <v>76</v>
      </c>
      <c r="AD2042" t="s">
        <v>73</v>
      </c>
      <c r="AE2042" t="s">
        <v>77</v>
      </c>
      <c r="AF2042" t="s">
        <v>2398</v>
      </c>
      <c r="AG2042" t="s">
        <v>78</v>
      </c>
    </row>
    <row r="2043" spans="1:33" hidden="1" x14ac:dyDescent="0.25">
      <c r="A2043" t="str">
        <f>"1205058187"</f>
        <v>1205058187</v>
      </c>
      <c r="B2043" t="str">
        <f>"03279518"</f>
        <v>03279518</v>
      </c>
      <c r="C2043" t="s">
        <v>9256</v>
      </c>
      <c r="D2043" t="s">
        <v>9257</v>
      </c>
      <c r="E2043" t="s">
        <v>9258</v>
      </c>
      <c r="G2043" t="s">
        <v>2224</v>
      </c>
      <c r="H2043" t="s">
        <v>2225</v>
      </c>
      <c r="J2043" t="s">
        <v>2226</v>
      </c>
      <c r="L2043" t="s">
        <v>80</v>
      </c>
      <c r="M2043" t="s">
        <v>73</v>
      </c>
      <c r="R2043" t="s">
        <v>9258</v>
      </c>
      <c r="W2043" t="s">
        <v>9258</v>
      </c>
      <c r="X2043" t="s">
        <v>220</v>
      </c>
      <c r="Y2043" t="s">
        <v>91</v>
      </c>
      <c r="Z2043" t="s">
        <v>74</v>
      </c>
      <c r="AA2043" t="str">
        <f>"10029-6500"</f>
        <v>10029-6500</v>
      </c>
      <c r="AB2043" t="s">
        <v>75</v>
      </c>
      <c r="AC2043" t="s">
        <v>76</v>
      </c>
      <c r="AD2043" t="s">
        <v>73</v>
      </c>
      <c r="AE2043" t="s">
        <v>77</v>
      </c>
      <c r="AF2043" t="s">
        <v>2242</v>
      </c>
      <c r="AG2043" t="s">
        <v>78</v>
      </c>
    </row>
    <row r="2044" spans="1:33" hidden="1" x14ac:dyDescent="0.25">
      <c r="A2044" t="str">
        <f>"1205145075"</f>
        <v>1205145075</v>
      </c>
      <c r="B2044" t="str">
        <f>"03347371"</f>
        <v>03347371</v>
      </c>
      <c r="C2044" t="s">
        <v>9259</v>
      </c>
      <c r="D2044" t="s">
        <v>9260</v>
      </c>
      <c r="E2044" t="s">
        <v>9261</v>
      </c>
      <c r="G2044" t="s">
        <v>2224</v>
      </c>
      <c r="H2044" t="s">
        <v>2225</v>
      </c>
      <c r="J2044" t="s">
        <v>2226</v>
      </c>
      <c r="L2044" t="s">
        <v>72</v>
      </c>
      <c r="M2044" t="s">
        <v>73</v>
      </c>
      <c r="R2044" t="s">
        <v>9262</v>
      </c>
      <c r="W2044" t="s">
        <v>9261</v>
      </c>
      <c r="X2044" t="s">
        <v>410</v>
      </c>
      <c r="Y2044" t="s">
        <v>91</v>
      </c>
      <c r="Z2044" t="s">
        <v>74</v>
      </c>
      <c r="AA2044" t="str">
        <f>"10032-1559"</f>
        <v>10032-1559</v>
      </c>
      <c r="AB2044" t="s">
        <v>113</v>
      </c>
      <c r="AC2044" t="s">
        <v>76</v>
      </c>
      <c r="AD2044" t="s">
        <v>73</v>
      </c>
      <c r="AE2044" t="s">
        <v>77</v>
      </c>
      <c r="AF2044" t="s">
        <v>2228</v>
      </c>
      <c r="AG2044" t="s">
        <v>78</v>
      </c>
    </row>
    <row r="2045" spans="1:33" hidden="1" x14ac:dyDescent="0.25">
      <c r="A2045" t="str">
        <f>"1164519237"</f>
        <v>1164519237</v>
      </c>
      <c r="B2045" t="str">
        <f>"02384825"</f>
        <v>02384825</v>
      </c>
      <c r="C2045" t="s">
        <v>9263</v>
      </c>
      <c r="D2045" t="s">
        <v>1807</v>
      </c>
      <c r="E2045" t="s">
        <v>1808</v>
      </c>
      <c r="G2045" t="s">
        <v>2224</v>
      </c>
      <c r="H2045" t="s">
        <v>2225</v>
      </c>
      <c r="J2045" t="s">
        <v>2226</v>
      </c>
      <c r="L2045" t="s">
        <v>81</v>
      </c>
      <c r="M2045" t="s">
        <v>73</v>
      </c>
      <c r="R2045" t="s">
        <v>1809</v>
      </c>
      <c r="W2045" t="s">
        <v>1808</v>
      </c>
      <c r="X2045" t="s">
        <v>1125</v>
      </c>
      <c r="Y2045" t="s">
        <v>1810</v>
      </c>
      <c r="Z2045" t="s">
        <v>74</v>
      </c>
      <c r="AA2045" t="str">
        <f>"11106"</f>
        <v>11106</v>
      </c>
      <c r="AB2045" t="s">
        <v>75</v>
      </c>
      <c r="AC2045" t="s">
        <v>76</v>
      </c>
      <c r="AD2045" t="s">
        <v>73</v>
      </c>
      <c r="AE2045" t="s">
        <v>77</v>
      </c>
      <c r="AF2045" t="s">
        <v>2242</v>
      </c>
      <c r="AG2045" t="s">
        <v>78</v>
      </c>
    </row>
    <row r="2046" spans="1:33" hidden="1" x14ac:dyDescent="0.25">
      <c r="A2046" t="str">
        <f>"1598923161"</f>
        <v>1598923161</v>
      </c>
      <c r="B2046" t="str">
        <f>"03026684"</f>
        <v>03026684</v>
      </c>
      <c r="C2046" t="s">
        <v>9264</v>
      </c>
      <c r="D2046" t="s">
        <v>9265</v>
      </c>
      <c r="E2046" t="s">
        <v>9266</v>
      </c>
      <c r="L2046" t="s">
        <v>80</v>
      </c>
      <c r="M2046" t="s">
        <v>73</v>
      </c>
      <c r="R2046" t="s">
        <v>9267</v>
      </c>
      <c r="W2046" t="s">
        <v>9268</v>
      </c>
      <c r="X2046" t="s">
        <v>9269</v>
      </c>
      <c r="Y2046" t="s">
        <v>91</v>
      </c>
      <c r="Z2046" t="s">
        <v>74</v>
      </c>
      <c r="AA2046" t="str">
        <f>"10021-5663"</f>
        <v>10021-5663</v>
      </c>
      <c r="AB2046" t="s">
        <v>75</v>
      </c>
      <c r="AC2046" t="s">
        <v>76</v>
      </c>
      <c r="AD2046" t="s">
        <v>73</v>
      </c>
      <c r="AE2046" t="s">
        <v>77</v>
      </c>
      <c r="AF2046" t="s">
        <v>2242</v>
      </c>
      <c r="AG2046" t="s">
        <v>78</v>
      </c>
    </row>
    <row r="2047" spans="1:33" hidden="1" x14ac:dyDescent="0.25">
      <c r="A2047" t="str">
        <f>"1912029232"</f>
        <v>1912029232</v>
      </c>
      <c r="C2047" t="s">
        <v>9270</v>
      </c>
      <c r="G2047" t="s">
        <v>2224</v>
      </c>
      <c r="H2047" t="s">
        <v>2312</v>
      </c>
      <c r="J2047" t="s">
        <v>2226</v>
      </c>
      <c r="K2047" t="s">
        <v>171</v>
      </c>
      <c r="L2047" t="s">
        <v>96</v>
      </c>
      <c r="M2047" t="s">
        <v>73</v>
      </c>
      <c r="R2047" t="s">
        <v>3462</v>
      </c>
      <c r="S2047" t="s">
        <v>410</v>
      </c>
      <c r="T2047" t="s">
        <v>91</v>
      </c>
      <c r="U2047" t="s">
        <v>74</v>
      </c>
      <c r="V2047" t="str">
        <f>"100321559"</f>
        <v>100321559</v>
      </c>
      <c r="AC2047" t="s">
        <v>76</v>
      </c>
      <c r="AD2047" t="s">
        <v>73</v>
      </c>
      <c r="AE2047" t="s">
        <v>97</v>
      </c>
      <c r="AF2047" t="s">
        <v>2228</v>
      </c>
      <c r="AG2047" t="s">
        <v>78</v>
      </c>
    </row>
    <row r="2048" spans="1:33" hidden="1" x14ac:dyDescent="0.25">
      <c r="A2048" t="str">
        <f>"1821269937"</f>
        <v>1821269937</v>
      </c>
      <c r="B2048" t="str">
        <f>"02426731"</f>
        <v>02426731</v>
      </c>
      <c r="C2048" t="s">
        <v>2122</v>
      </c>
      <c r="D2048" t="s">
        <v>875</v>
      </c>
      <c r="E2048" t="s">
        <v>876</v>
      </c>
      <c r="L2048" t="s">
        <v>80</v>
      </c>
      <c r="M2048" t="s">
        <v>82</v>
      </c>
      <c r="R2048" t="s">
        <v>877</v>
      </c>
      <c r="W2048" t="s">
        <v>878</v>
      </c>
      <c r="X2048" t="s">
        <v>879</v>
      </c>
      <c r="Y2048" t="s">
        <v>91</v>
      </c>
      <c r="Z2048" t="s">
        <v>74</v>
      </c>
      <c r="AA2048" t="str">
        <f>"10011-3126"</f>
        <v>10011-3126</v>
      </c>
      <c r="AB2048" t="s">
        <v>79</v>
      </c>
      <c r="AC2048" t="s">
        <v>76</v>
      </c>
      <c r="AD2048" t="s">
        <v>73</v>
      </c>
      <c r="AE2048" t="s">
        <v>77</v>
      </c>
      <c r="AG2048" t="s">
        <v>78</v>
      </c>
    </row>
    <row r="2049" spans="1:33" hidden="1" x14ac:dyDescent="0.25">
      <c r="A2049" t="str">
        <f>"1043224009"</f>
        <v>1043224009</v>
      </c>
      <c r="B2049" t="str">
        <f>"02621709"</f>
        <v>02621709</v>
      </c>
      <c r="C2049" t="s">
        <v>9271</v>
      </c>
      <c r="D2049" t="s">
        <v>9272</v>
      </c>
      <c r="E2049" t="s">
        <v>9273</v>
      </c>
      <c r="G2049" t="s">
        <v>2224</v>
      </c>
      <c r="H2049" t="s">
        <v>2225</v>
      </c>
      <c r="J2049" t="s">
        <v>2226</v>
      </c>
      <c r="L2049" t="s">
        <v>72</v>
      </c>
      <c r="M2049" t="s">
        <v>73</v>
      </c>
      <c r="R2049" t="s">
        <v>9274</v>
      </c>
      <c r="W2049" t="s">
        <v>9273</v>
      </c>
      <c r="X2049" t="s">
        <v>1958</v>
      </c>
      <c r="Y2049" t="s">
        <v>91</v>
      </c>
      <c r="Z2049" t="s">
        <v>74</v>
      </c>
      <c r="AA2049" t="str">
        <f>"10032-3735"</f>
        <v>10032-3735</v>
      </c>
      <c r="AB2049" t="s">
        <v>75</v>
      </c>
      <c r="AC2049" t="s">
        <v>76</v>
      </c>
      <c r="AD2049" t="s">
        <v>73</v>
      </c>
      <c r="AE2049" t="s">
        <v>77</v>
      </c>
      <c r="AF2049" t="s">
        <v>2254</v>
      </c>
      <c r="AG2049" t="s">
        <v>78</v>
      </c>
    </row>
    <row r="2050" spans="1:33" hidden="1" x14ac:dyDescent="0.25">
      <c r="A2050" t="str">
        <f>"1043233166"</f>
        <v>1043233166</v>
      </c>
      <c r="B2050" t="str">
        <f>"01836979"</f>
        <v>01836979</v>
      </c>
      <c r="C2050" t="s">
        <v>9275</v>
      </c>
      <c r="D2050" t="s">
        <v>9276</v>
      </c>
      <c r="E2050" t="s">
        <v>9277</v>
      </c>
      <c r="G2050" t="s">
        <v>2224</v>
      </c>
      <c r="H2050" t="s">
        <v>2225</v>
      </c>
      <c r="J2050" t="s">
        <v>2226</v>
      </c>
      <c r="L2050" t="s">
        <v>72</v>
      </c>
      <c r="M2050" t="s">
        <v>73</v>
      </c>
      <c r="R2050" t="s">
        <v>9277</v>
      </c>
      <c r="W2050" t="s">
        <v>9277</v>
      </c>
      <c r="X2050" t="s">
        <v>9277</v>
      </c>
      <c r="Y2050" t="s">
        <v>186</v>
      </c>
      <c r="Z2050" t="s">
        <v>74</v>
      </c>
      <c r="AA2050" t="str">
        <f>"11530-5806"</f>
        <v>11530-5806</v>
      </c>
      <c r="AB2050" t="s">
        <v>75</v>
      </c>
      <c r="AC2050" t="s">
        <v>76</v>
      </c>
      <c r="AD2050" t="s">
        <v>73</v>
      </c>
      <c r="AE2050" t="s">
        <v>77</v>
      </c>
      <c r="AF2050" t="s">
        <v>2228</v>
      </c>
      <c r="AG2050" t="s">
        <v>78</v>
      </c>
    </row>
    <row r="2051" spans="1:33" hidden="1" x14ac:dyDescent="0.25">
      <c r="A2051" t="str">
        <f>"1548577208"</f>
        <v>1548577208</v>
      </c>
      <c r="C2051" t="s">
        <v>9278</v>
      </c>
      <c r="G2051" t="s">
        <v>2224</v>
      </c>
      <c r="H2051" t="s">
        <v>2312</v>
      </c>
      <c r="J2051" t="s">
        <v>2226</v>
      </c>
      <c r="K2051" t="s">
        <v>171</v>
      </c>
      <c r="L2051" t="s">
        <v>96</v>
      </c>
      <c r="M2051" t="s">
        <v>73</v>
      </c>
      <c r="R2051" t="s">
        <v>9279</v>
      </c>
      <c r="S2051" t="s">
        <v>9280</v>
      </c>
      <c r="T2051" t="s">
        <v>91</v>
      </c>
      <c r="U2051" t="s">
        <v>74</v>
      </c>
      <c r="V2051" t="str">
        <f>"101285696"</f>
        <v>101285696</v>
      </c>
      <c r="AC2051" t="s">
        <v>76</v>
      </c>
      <c r="AD2051" t="s">
        <v>73</v>
      </c>
      <c r="AE2051" t="s">
        <v>97</v>
      </c>
      <c r="AF2051" t="s">
        <v>2242</v>
      </c>
      <c r="AG2051" t="s">
        <v>78</v>
      </c>
    </row>
    <row r="2052" spans="1:33" hidden="1" x14ac:dyDescent="0.25">
      <c r="A2052" t="str">
        <f>"1679980494"</f>
        <v>1679980494</v>
      </c>
      <c r="C2052" t="s">
        <v>9281</v>
      </c>
      <c r="G2052" t="s">
        <v>2224</v>
      </c>
      <c r="H2052" t="s">
        <v>2312</v>
      </c>
      <c r="J2052" t="s">
        <v>2226</v>
      </c>
      <c r="K2052" t="s">
        <v>171</v>
      </c>
      <c r="L2052" t="s">
        <v>96</v>
      </c>
      <c r="M2052" t="s">
        <v>73</v>
      </c>
      <c r="R2052" t="s">
        <v>9282</v>
      </c>
      <c r="S2052" t="s">
        <v>2314</v>
      </c>
      <c r="T2052" t="s">
        <v>91</v>
      </c>
      <c r="U2052" t="s">
        <v>74</v>
      </c>
      <c r="V2052" t="str">
        <f>"100654870"</f>
        <v>100654870</v>
      </c>
      <c r="AC2052" t="s">
        <v>76</v>
      </c>
      <c r="AD2052" t="s">
        <v>73</v>
      </c>
      <c r="AE2052" t="s">
        <v>97</v>
      </c>
      <c r="AF2052" t="s">
        <v>2242</v>
      </c>
      <c r="AG2052" t="s">
        <v>78</v>
      </c>
    </row>
    <row r="2053" spans="1:33" hidden="1" x14ac:dyDescent="0.25">
      <c r="A2053" t="str">
        <f>"1962639286"</f>
        <v>1962639286</v>
      </c>
      <c r="B2053" t="str">
        <f>"04166758"</f>
        <v>04166758</v>
      </c>
      <c r="C2053" t="s">
        <v>9283</v>
      </c>
      <c r="D2053" t="s">
        <v>9284</v>
      </c>
      <c r="E2053" t="s">
        <v>9285</v>
      </c>
      <c r="G2053" t="s">
        <v>2224</v>
      </c>
      <c r="H2053" t="s">
        <v>2312</v>
      </c>
      <c r="J2053" t="s">
        <v>2226</v>
      </c>
      <c r="L2053" t="s">
        <v>80</v>
      </c>
      <c r="M2053" t="s">
        <v>73</v>
      </c>
      <c r="R2053" t="s">
        <v>9286</v>
      </c>
      <c r="W2053" t="s">
        <v>9285</v>
      </c>
      <c r="X2053" t="s">
        <v>170</v>
      </c>
      <c r="Y2053" t="s">
        <v>91</v>
      </c>
      <c r="Z2053" t="s">
        <v>74</v>
      </c>
      <c r="AA2053" t="str">
        <f>"10065-4870"</f>
        <v>10065-4870</v>
      </c>
      <c r="AB2053" t="s">
        <v>75</v>
      </c>
      <c r="AC2053" t="s">
        <v>76</v>
      </c>
      <c r="AD2053" t="s">
        <v>73</v>
      </c>
      <c r="AE2053" t="s">
        <v>77</v>
      </c>
      <c r="AF2053" t="s">
        <v>2242</v>
      </c>
      <c r="AG2053" t="s">
        <v>78</v>
      </c>
    </row>
    <row r="2054" spans="1:33" hidden="1" x14ac:dyDescent="0.25">
      <c r="A2054" t="str">
        <f>"1700819208"</f>
        <v>1700819208</v>
      </c>
      <c r="B2054" t="str">
        <f>"01663583"</f>
        <v>01663583</v>
      </c>
      <c r="C2054" t="s">
        <v>9287</v>
      </c>
      <c r="D2054" t="s">
        <v>2053</v>
      </c>
      <c r="E2054" t="s">
        <v>2054</v>
      </c>
      <c r="G2054" t="s">
        <v>2224</v>
      </c>
      <c r="H2054" t="s">
        <v>2225</v>
      </c>
      <c r="J2054" t="s">
        <v>2226</v>
      </c>
      <c r="L2054" t="s">
        <v>81</v>
      </c>
      <c r="M2054" t="s">
        <v>82</v>
      </c>
      <c r="R2054" t="s">
        <v>2055</v>
      </c>
      <c r="W2054" t="s">
        <v>2054</v>
      </c>
      <c r="X2054" t="s">
        <v>763</v>
      </c>
      <c r="Y2054" t="s">
        <v>91</v>
      </c>
      <c r="Z2054" t="s">
        <v>74</v>
      </c>
      <c r="AA2054" t="str">
        <f>"10029-1147"</f>
        <v>10029-1147</v>
      </c>
      <c r="AB2054" t="s">
        <v>75</v>
      </c>
      <c r="AC2054" t="s">
        <v>76</v>
      </c>
      <c r="AD2054" t="s">
        <v>73</v>
      </c>
      <c r="AE2054" t="s">
        <v>77</v>
      </c>
      <c r="AF2054" t="s">
        <v>2228</v>
      </c>
      <c r="AG2054" t="s">
        <v>78</v>
      </c>
    </row>
    <row r="2055" spans="1:33" hidden="1" x14ac:dyDescent="0.25">
      <c r="A2055" t="str">
        <f>"1700984648"</f>
        <v>1700984648</v>
      </c>
      <c r="B2055" t="str">
        <f>"01749471"</f>
        <v>01749471</v>
      </c>
      <c r="C2055" t="s">
        <v>9288</v>
      </c>
      <c r="D2055" t="s">
        <v>9289</v>
      </c>
      <c r="E2055" t="s">
        <v>9290</v>
      </c>
      <c r="G2055" t="s">
        <v>2224</v>
      </c>
      <c r="H2055" t="s">
        <v>2225</v>
      </c>
      <c r="J2055" t="s">
        <v>2226</v>
      </c>
      <c r="L2055" t="s">
        <v>81</v>
      </c>
      <c r="M2055" t="s">
        <v>82</v>
      </c>
      <c r="R2055" t="s">
        <v>9291</v>
      </c>
      <c r="W2055" t="s">
        <v>9290</v>
      </c>
      <c r="Y2055" t="s">
        <v>91</v>
      </c>
      <c r="Z2055" t="s">
        <v>74</v>
      </c>
      <c r="AA2055" t="str">
        <f>"10032-3720"</f>
        <v>10032-3720</v>
      </c>
      <c r="AB2055" t="s">
        <v>75</v>
      </c>
      <c r="AC2055" t="s">
        <v>76</v>
      </c>
      <c r="AD2055" t="s">
        <v>73</v>
      </c>
      <c r="AE2055" t="s">
        <v>77</v>
      </c>
      <c r="AF2055" t="s">
        <v>2228</v>
      </c>
      <c r="AG2055" t="s">
        <v>78</v>
      </c>
    </row>
    <row r="2056" spans="1:33" hidden="1" x14ac:dyDescent="0.25">
      <c r="A2056" t="str">
        <f>"1578726386"</f>
        <v>1578726386</v>
      </c>
      <c r="B2056" t="str">
        <f>"03918930"</f>
        <v>03918930</v>
      </c>
      <c r="C2056" t="s">
        <v>9292</v>
      </c>
      <c r="D2056" t="s">
        <v>9293</v>
      </c>
      <c r="E2056" t="s">
        <v>9294</v>
      </c>
      <c r="L2056" t="s">
        <v>80</v>
      </c>
      <c r="M2056" t="s">
        <v>73</v>
      </c>
      <c r="R2056" t="s">
        <v>9295</v>
      </c>
      <c r="W2056" t="s">
        <v>9294</v>
      </c>
      <c r="X2056" t="s">
        <v>170</v>
      </c>
      <c r="Y2056" t="s">
        <v>91</v>
      </c>
      <c r="Z2056" t="s">
        <v>74</v>
      </c>
      <c r="AA2056" t="str">
        <f>"10065-4870"</f>
        <v>10065-4870</v>
      </c>
      <c r="AB2056" t="s">
        <v>75</v>
      </c>
      <c r="AC2056" t="s">
        <v>76</v>
      </c>
      <c r="AD2056" t="s">
        <v>73</v>
      </c>
      <c r="AE2056" t="s">
        <v>77</v>
      </c>
      <c r="AG2056" t="s">
        <v>78</v>
      </c>
    </row>
    <row r="2057" spans="1:33" hidden="1" x14ac:dyDescent="0.25">
      <c r="A2057" t="str">
        <f>"1548328586"</f>
        <v>1548328586</v>
      </c>
      <c r="B2057" t="str">
        <f>"03128705"</f>
        <v>03128705</v>
      </c>
      <c r="C2057" t="s">
        <v>9296</v>
      </c>
      <c r="D2057" t="s">
        <v>9297</v>
      </c>
      <c r="E2057" t="s">
        <v>9298</v>
      </c>
      <c r="L2057" t="s">
        <v>80</v>
      </c>
      <c r="M2057" t="s">
        <v>73</v>
      </c>
      <c r="R2057" t="s">
        <v>9299</v>
      </c>
      <c r="W2057" t="s">
        <v>9300</v>
      </c>
      <c r="X2057" t="s">
        <v>167</v>
      </c>
      <c r="Y2057" t="s">
        <v>91</v>
      </c>
      <c r="Z2057" t="s">
        <v>74</v>
      </c>
      <c r="AA2057" t="str">
        <f>"10032-3720"</f>
        <v>10032-3720</v>
      </c>
      <c r="AB2057" t="s">
        <v>75</v>
      </c>
      <c r="AC2057" t="s">
        <v>76</v>
      </c>
      <c r="AD2057" t="s">
        <v>73</v>
      </c>
      <c r="AE2057" t="s">
        <v>77</v>
      </c>
      <c r="AG2057" t="s">
        <v>78</v>
      </c>
    </row>
    <row r="2058" spans="1:33" hidden="1" x14ac:dyDescent="0.25">
      <c r="A2058" t="str">
        <f>"1467506162"</f>
        <v>1467506162</v>
      </c>
      <c r="B2058" t="str">
        <f>"02631758"</f>
        <v>02631758</v>
      </c>
      <c r="C2058" t="s">
        <v>9301</v>
      </c>
      <c r="D2058" t="s">
        <v>9302</v>
      </c>
      <c r="E2058" t="s">
        <v>9303</v>
      </c>
      <c r="L2058" t="s">
        <v>72</v>
      </c>
      <c r="M2058" t="s">
        <v>73</v>
      </c>
      <c r="R2058" t="s">
        <v>9304</v>
      </c>
      <c r="W2058" t="s">
        <v>9303</v>
      </c>
      <c r="X2058" t="s">
        <v>9305</v>
      </c>
      <c r="Y2058" t="s">
        <v>91</v>
      </c>
      <c r="Z2058" t="s">
        <v>74</v>
      </c>
      <c r="AA2058" t="str">
        <f>"10032-3720"</f>
        <v>10032-3720</v>
      </c>
      <c r="AB2058" t="s">
        <v>75</v>
      </c>
      <c r="AC2058" t="s">
        <v>76</v>
      </c>
      <c r="AD2058" t="s">
        <v>73</v>
      </c>
      <c r="AE2058" t="s">
        <v>77</v>
      </c>
      <c r="AF2058" t="s">
        <v>2228</v>
      </c>
      <c r="AG2058" t="s">
        <v>78</v>
      </c>
    </row>
    <row r="2059" spans="1:33" hidden="1" x14ac:dyDescent="0.25">
      <c r="A2059" t="str">
        <f>"1508009010"</f>
        <v>1508009010</v>
      </c>
      <c r="B2059" t="str">
        <f>"03579348"</f>
        <v>03579348</v>
      </c>
      <c r="C2059" t="s">
        <v>9306</v>
      </c>
      <c r="D2059" t="s">
        <v>9307</v>
      </c>
      <c r="E2059" t="s">
        <v>9308</v>
      </c>
      <c r="G2059" t="s">
        <v>2224</v>
      </c>
      <c r="H2059" t="s">
        <v>2225</v>
      </c>
      <c r="J2059" t="s">
        <v>2226</v>
      </c>
      <c r="L2059" t="s">
        <v>88</v>
      </c>
      <c r="M2059" t="s">
        <v>73</v>
      </c>
      <c r="R2059" t="s">
        <v>9309</v>
      </c>
      <c r="W2059" t="s">
        <v>9308</v>
      </c>
      <c r="X2059" t="s">
        <v>4819</v>
      </c>
      <c r="Y2059" t="s">
        <v>91</v>
      </c>
      <c r="Z2059" t="s">
        <v>74</v>
      </c>
      <c r="AA2059" t="str">
        <f>"10032-7104"</f>
        <v>10032-7104</v>
      </c>
      <c r="AB2059" t="s">
        <v>75</v>
      </c>
      <c r="AC2059" t="s">
        <v>76</v>
      </c>
      <c r="AD2059" t="s">
        <v>73</v>
      </c>
      <c r="AE2059" t="s">
        <v>77</v>
      </c>
      <c r="AF2059" t="s">
        <v>2254</v>
      </c>
      <c r="AG2059" t="s">
        <v>78</v>
      </c>
    </row>
    <row r="2060" spans="1:33" hidden="1" x14ac:dyDescent="0.25">
      <c r="A2060" t="str">
        <f>"1508023573"</f>
        <v>1508023573</v>
      </c>
      <c r="B2060" t="str">
        <f>"03102283"</f>
        <v>03102283</v>
      </c>
      <c r="C2060" t="s">
        <v>9310</v>
      </c>
      <c r="D2060" t="s">
        <v>9311</v>
      </c>
      <c r="E2060" t="s">
        <v>9312</v>
      </c>
      <c r="G2060" t="s">
        <v>2224</v>
      </c>
      <c r="H2060" t="s">
        <v>2225</v>
      </c>
      <c r="J2060" t="s">
        <v>2226</v>
      </c>
      <c r="L2060" t="s">
        <v>88</v>
      </c>
      <c r="M2060" t="s">
        <v>73</v>
      </c>
      <c r="R2060" t="s">
        <v>9313</v>
      </c>
      <c r="W2060" t="s">
        <v>9312</v>
      </c>
      <c r="X2060" t="s">
        <v>170</v>
      </c>
      <c r="Y2060" t="s">
        <v>91</v>
      </c>
      <c r="Z2060" t="s">
        <v>74</v>
      </c>
      <c r="AA2060" t="str">
        <f>"10065-4885"</f>
        <v>10065-4885</v>
      </c>
      <c r="AB2060" t="s">
        <v>75</v>
      </c>
      <c r="AC2060" t="s">
        <v>76</v>
      </c>
      <c r="AD2060" t="s">
        <v>73</v>
      </c>
      <c r="AE2060" t="s">
        <v>77</v>
      </c>
      <c r="AF2060" t="s">
        <v>2398</v>
      </c>
      <c r="AG2060" t="s">
        <v>78</v>
      </c>
    </row>
    <row r="2061" spans="1:33" hidden="1" x14ac:dyDescent="0.25">
      <c r="A2061" t="str">
        <f>"1770705634"</f>
        <v>1770705634</v>
      </c>
      <c r="B2061" t="str">
        <f>"03254377"</f>
        <v>03254377</v>
      </c>
      <c r="C2061" t="s">
        <v>2113</v>
      </c>
      <c r="D2061" t="s">
        <v>838</v>
      </c>
      <c r="E2061" t="s">
        <v>839</v>
      </c>
      <c r="L2061" t="s">
        <v>72</v>
      </c>
      <c r="M2061" t="s">
        <v>82</v>
      </c>
      <c r="R2061" t="s">
        <v>840</v>
      </c>
      <c r="W2061" t="s">
        <v>839</v>
      </c>
      <c r="X2061" t="s">
        <v>636</v>
      </c>
      <c r="Y2061" t="s">
        <v>91</v>
      </c>
      <c r="Z2061" t="s">
        <v>74</v>
      </c>
      <c r="AA2061" t="str">
        <f>"10026-3138"</f>
        <v>10026-3138</v>
      </c>
      <c r="AB2061" t="s">
        <v>79</v>
      </c>
      <c r="AC2061" t="s">
        <v>76</v>
      </c>
      <c r="AD2061" t="s">
        <v>73</v>
      </c>
      <c r="AE2061" t="s">
        <v>77</v>
      </c>
      <c r="AG2061" t="s">
        <v>78</v>
      </c>
    </row>
    <row r="2062" spans="1:33" hidden="1" x14ac:dyDescent="0.25">
      <c r="A2062" t="str">
        <f>"1548693211"</f>
        <v>1548693211</v>
      </c>
      <c r="C2062" t="s">
        <v>9314</v>
      </c>
      <c r="G2062" t="s">
        <v>2224</v>
      </c>
      <c r="H2062" t="s">
        <v>2312</v>
      </c>
      <c r="J2062" t="s">
        <v>2226</v>
      </c>
      <c r="K2062" t="s">
        <v>171</v>
      </c>
      <c r="L2062" t="s">
        <v>72</v>
      </c>
      <c r="M2062" t="s">
        <v>73</v>
      </c>
      <c r="R2062" t="s">
        <v>653</v>
      </c>
      <c r="S2062" t="s">
        <v>654</v>
      </c>
      <c r="T2062" t="s">
        <v>162</v>
      </c>
      <c r="U2062" t="s">
        <v>74</v>
      </c>
      <c r="V2062" t="str">
        <f>"111064705"</f>
        <v>111064705</v>
      </c>
      <c r="AC2062" t="s">
        <v>76</v>
      </c>
      <c r="AD2062" t="s">
        <v>73</v>
      </c>
      <c r="AE2062" t="s">
        <v>97</v>
      </c>
      <c r="AF2062" t="s">
        <v>2234</v>
      </c>
      <c r="AG2062" t="s">
        <v>78</v>
      </c>
    </row>
    <row r="2063" spans="1:33" hidden="1" x14ac:dyDescent="0.25">
      <c r="A2063" t="str">
        <f>"1750435731"</f>
        <v>1750435731</v>
      </c>
      <c r="B2063" t="str">
        <f>"03462613"</f>
        <v>03462613</v>
      </c>
      <c r="C2063" t="s">
        <v>9315</v>
      </c>
      <c r="D2063" t="s">
        <v>9316</v>
      </c>
      <c r="E2063" t="s">
        <v>9317</v>
      </c>
      <c r="L2063" t="s">
        <v>72</v>
      </c>
      <c r="M2063" t="s">
        <v>73</v>
      </c>
      <c r="R2063" t="s">
        <v>9318</v>
      </c>
      <c r="W2063" t="s">
        <v>9317</v>
      </c>
      <c r="X2063" t="s">
        <v>167</v>
      </c>
      <c r="Y2063" t="s">
        <v>91</v>
      </c>
      <c r="Z2063" t="s">
        <v>74</v>
      </c>
      <c r="AA2063" t="str">
        <f>"10032-3720"</f>
        <v>10032-3720</v>
      </c>
      <c r="AB2063" t="s">
        <v>75</v>
      </c>
      <c r="AC2063" t="s">
        <v>76</v>
      </c>
      <c r="AD2063" t="s">
        <v>73</v>
      </c>
      <c r="AE2063" t="s">
        <v>77</v>
      </c>
      <c r="AF2063" t="s">
        <v>2254</v>
      </c>
      <c r="AG2063" t="s">
        <v>78</v>
      </c>
    </row>
    <row r="2064" spans="1:33" hidden="1" x14ac:dyDescent="0.25">
      <c r="A2064" t="str">
        <f>"1356500219"</f>
        <v>1356500219</v>
      </c>
      <c r="C2064" t="s">
        <v>9319</v>
      </c>
      <c r="G2064" t="s">
        <v>2224</v>
      </c>
      <c r="H2064" t="s">
        <v>2312</v>
      </c>
      <c r="J2064" t="s">
        <v>2226</v>
      </c>
      <c r="K2064" t="s">
        <v>171</v>
      </c>
      <c r="L2064" t="s">
        <v>96</v>
      </c>
      <c r="M2064" t="s">
        <v>73</v>
      </c>
      <c r="R2064" t="s">
        <v>9320</v>
      </c>
      <c r="S2064" t="s">
        <v>9321</v>
      </c>
      <c r="T2064" t="s">
        <v>91</v>
      </c>
      <c r="U2064" t="s">
        <v>74</v>
      </c>
      <c r="V2064" t="str">
        <f>"10032"</f>
        <v>10032</v>
      </c>
      <c r="AC2064" t="s">
        <v>76</v>
      </c>
      <c r="AD2064" t="s">
        <v>73</v>
      </c>
      <c r="AE2064" t="s">
        <v>97</v>
      </c>
      <c r="AF2064" t="s">
        <v>2228</v>
      </c>
      <c r="AG2064" t="s">
        <v>78</v>
      </c>
    </row>
    <row r="2065" spans="1:33" hidden="1" x14ac:dyDescent="0.25">
      <c r="A2065" t="str">
        <f>"1093949166"</f>
        <v>1093949166</v>
      </c>
      <c r="B2065" t="str">
        <f>"03122869"</f>
        <v>03122869</v>
      </c>
      <c r="C2065" t="s">
        <v>9322</v>
      </c>
      <c r="D2065" t="s">
        <v>9323</v>
      </c>
      <c r="E2065" t="s">
        <v>9324</v>
      </c>
      <c r="L2065" t="s">
        <v>80</v>
      </c>
      <c r="M2065" t="s">
        <v>73</v>
      </c>
      <c r="R2065" t="s">
        <v>9325</v>
      </c>
      <c r="W2065" t="s">
        <v>9324</v>
      </c>
      <c r="X2065" t="s">
        <v>167</v>
      </c>
      <c r="Y2065" t="s">
        <v>91</v>
      </c>
      <c r="Z2065" t="s">
        <v>74</v>
      </c>
      <c r="AA2065" t="str">
        <f>"10032-3720"</f>
        <v>10032-3720</v>
      </c>
      <c r="AB2065" t="s">
        <v>75</v>
      </c>
      <c r="AC2065" t="s">
        <v>76</v>
      </c>
      <c r="AD2065" t="s">
        <v>73</v>
      </c>
      <c r="AE2065" t="s">
        <v>77</v>
      </c>
      <c r="AF2065" t="s">
        <v>2228</v>
      </c>
      <c r="AG2065" t="s">
        <v>78</v>
      </c>
    </row>
    <row r="2066" spans="1:33" hidden="1" x14ac:dyDescent="0.25">
      <c r="A2066" t="str">
        <f>"1063532984"</f>
        <v>1063532984</v>
      </c>
      <c r="B2066" t="str">
        <f>"03096173"</f>
        <v>03096173</v>
      </c>
      <c r="C2066" t="s">
        <v>9326</v>
      </c>
      <c r="D2066" t="s">
        <v>9327</v>
      </c>
      <c r="E2066" t="s">
        <v>9328</v>
      </c>
      <c r="L2066" t="s">
        <v>80</v>
      </c>
      <c r="M2066" t="s">
        <v>73</v>
      </c>
      <c r="R2066" t="s">
        <v>9329</v>
      </c>
      <c r="W2066" t="s">
        <v>9330</v>
      </c>
      <c r="X2066" t="s">
        <v>167</v>
      </c>
      <c r="Y2066" t="s">
        <v>91</v>
      </c>
      <c r="Z2066" t="s">
        <v>74</v>
      </c>
      <c r="AA2066" t="str">
        <f>"10032-3720"</f>
        <v>10032-3720</v>
      </c>
      <c r="AB2066" t="s">
        <v>75</v>
      </c>
      <c r="AC2066" t="s">
        <v>76</v>
      </c>
      <c r="AD2066" t="s">
        <v>73</v>
      </c>
      <c r="AE2066" t="s">
        <v>77</v>
      </c>
      <c r="AG2066" t="s">
        <v>78</v>
      </c>
    </row>
    <row r="2067" spans="1:33" hidden="1" x14ac:dyDescent="0.25">
      <c r="A2067" t="str">
        <f>"1710138615"</f>
        <v>1710138615</v>
      </c>
      <c r="B2067" t="str">
        <f>"03109840"</f>
        <v>03109840</v>
      </c>
      <c r="C2067" t="s">
        <v>9331</v>
      </c>
      <c r="D2067" t="s">
        <v>9332</v>
      </c>
      <c r="E2067" t="s">
        <v>9333</v>
      </c>
      <c r="L2067" t="s">
        <v>80</v>
      </c>
      <c r="M2067" t="s">
        <v>73</v>
      </c>
      <c r="R2067" t="s">
        <v>9334</v>
      </c>
      <c r="W2067" t="s">
        <v>9333</v>
      </c>
      <c r="X2067" t="s">
        <v>170</v>
      </c>
      <c r="Y2067" t="s">
        <v>91</v>
      </c>
      <c r="Z2067" t="s">
        <v>74</v>
      </c>
      <c r="AA2067" t="str">
        <f>"10065-4870"</f>
        <v>10065-4870</v>
      </c>
      <c r="AB2067" t="s">
        <v>75</v>
      </c>
      <c r="AC2067" t="s">
        <v>76</v>
      </c>
      <c r="AD2067" t="s">
        <v>73</v>
      </c>
      <c r="AE2067" t="s">
        <v>77</v>
      </c>
      <c r="AF2067" t="s">
        <v>2242</v>
      </c>
      <c r="AG2067" t="s">
        <v>78</v>
      </c>
    </row>
    <row r="2068" spans="1:33" hidden="1" x14ac:dyDescent="0.25">
      <c r="A2068" t="str">
        <f>"1447245097"</f>
        <v>1447245097</v>
      </c>
      <c r="B2068" t="str">
        <f>"02822122"</f>
        <v>02822122</v>
      </c>
      <c r="C2068" t="s">
        <v>9335</v>
      </c>
      <c r="D2068" t="s">
        <v>9336</v>
      </c>
      <c r="E2068" t="s">
        <v>9337</v>
      </c>
      <c r="L2068" t="s">
        <v>80</v>
      </c>
      <c r="M2068" t="s">
        <v>73</v>
      </c>
      <c r="R2068" t="s">
        <v>9338</v>
      </c>
      <c r="W2068" t="s">
        <v>9337</v>
      </c>
      <c r="X2068" t="s">
        <v>170</v>
      </c>
      <c r="Y2068" t="s">
        <v>91</v>
      </c>
      <c r="Z2068" t="s">
        <v>74</v>
      </c>
      <c r="AA2068" t="str">
        <f>"10065-4870"</f>
        <v>10065-4870</v>
      </c>
      <c r="AB2068" t="s">
        <v>75</v>
      </c>
      <c r="AC2068" t="s">
        <v>76</v>
      </c>
      <c r="AD2068" t="s">
        <v>73</v>
      </c>
      <c r="AE2068" t="s">
        <v>77</v>
      </c>
      <c r="AF2068" t="s">
        <v>2242</v>
      </c>
      <c r="AG2068" t="s">
        <v>78</v>
      </c>
    </row>
    <row r="2069" spans="1:33" hidden="1" x14ac:dyDescent="0.25">
      <c r="A2069" t="str">
        <f>"1396786398"</f>
        <v>1396786398</v>
      </c>
      <c r="B2069" t="str">
        <f>"03589228"</f>
        <v>03589228</v>
      </c>
      <c r="C2069" t="s">
        <v>9339</v>
      </c>
      <c r="D2069" t="s">
        <v>9340</v>
      </c>
      <c r="E2069" t="s">
        <v>9341</v>
      </c>
      <c r="G2069" t="s">
        <v>2224</v>
      </c>
      <c r="H2069" t="s">
        <v>9342</v>
      </c>
      <c r="J2069" t="s">
        <v>2226</v>
      </c>
      <c r="L2069" t="s">
        <v>80</v>
      </c>
      <c r="M2069" t="s">
        <v>73</v>
      </c>
      <c r="R2069" t="s">
        <v>9341</v>
      </c>
      <c r="W2069" t="s">
        <v>9341</v>
      </c>
      <c r="X2069" t="s">
        <v>272</v>
      </c>
      <c r="Y2069" t="s">
        <v>91</v>
      </c>
      <c r="Z2069" t="s">
        <v>74</v>
      </c>
      <c r="AA2069" t="str">
        <f>"10038-2612"</f>
        <v>10038-2612</v>
      </c>
      <c r="AB2069" t="s">
        <v>75</v>
      </c>
      <c r="AC2069" t="s">
        <v>76</v>
      </c>
      <c r="AD2069" t="s">
        <v>73</v>
      </c>
      <c r="AE2069" t="s">
        <v>77</v>
      </c>
      <c r="AF2069" t="s">
        <v>2242</v>
      </c>
      <c r="AG2069" t="s">
        <v>78</v>
      </c>
    </row>
    <row r="2070" spans="1:33" hidden="1" x14ac:dyDescent="0.25">
      <c r="A2070" t="str">
        <f>"1427374081"</f>
        <v>1427374081</v>
      </c>
      <c r="B2070" t="str">
        <f>"03599002"</f>
        <v>03599002</v>
      </c>
      <c r="C2070" t="s">
        <v>9343</v>
      </c>
      <c r="D2070" t="s">
        <v>1198</v>
      </c>
      <c r="E2070" t="s">
        <v>1199</v>
      </c>
      <c r="L2070" t="s">
        <v>72</v>
      </c>
      <c r="M2070" t="s">
        <v>73</v>
      </c>
      <c r="R2070" t="s">
        <v>1200</v>
      </c>
      <c r="W2070" t="s">
        <v>1201</v>
      </c>
      <c r="X2070" t="s">
        <v>191</v>
      </c>
      <c r="Y2070" t="s">
        <v>118</v>
      </c>
      <c r="Z2070" t="s">
        <v>74</v>
      </c>
      <c r="AA2070" t="str">
        <f>"10466-2604"</f>
        <v>10466-2604</v>
      </c>
      <c r="AB2070" t="s">
        <v>75</v>
      </c>
      <c r="AC2070" t="s">
        <v>76</v>
      </c>
      <c r="AD2070" t="s">
        <v>73</v>
      </c>
      <c r="AE2070" t="s">
        <v>77</v>
      </c>
      <c r="AF2070" t="s">
        <v>2228</v>
      </c>
      <c r="AG2070" t="s">
        <v>78</v>
      </c>
    </row>
    <row r="2071" spans="1:33" hidden="1" x14ac:dyDescent="0.25">
      <c r="A2071" t="str">
        <f>"1902979289"</f>
        <v>1902979289</v>
      </c>
      <c r="B2071" t="str">
        <f>"01421690"</f>
        <v>01421690</v>
      </c>
      <c r="C2071" t="s">
        <v>9344</v>
      </c>
      <c r="D2071" t="s">
        <v>9345</v>
      </c>
      <c r="E2071" t="s">
        <v>9346</v>
      </c>
      <c r="L2071" t="s">
        <v>72</v>
      </c>
      <c r="M2071" t="s">
        <v>73</v>
      </c>
      <c r="R2071" t="s">
        <v>9347</v>
      </c>
      <c r="W2071" t="s">
        <v>9346</v>
      </c>
      <c r="X2071" t="s">
        <v>167</v>
      </c>
      <c r="Y2071" t="s">
        <v>91</v>
      </c>
      <c r="Z2071" t="s">
        <v>74</v>
      </c>
      <c r="AA2071" t="str">
        <f>"10032-3720"</f>
        <v>10032-3720</v>
      </c>
      <c r="AB2071" t="s">
        <v>75</v>
      </c>
      <c r="AC2071" t="s">
        <v>76</v>
      </c>
      <c r="AD2071" t="s">
        <v>73</v>
      </c>
      <c r="AE2071" t="s">
        <v>77</v>
      </c>
      <c r="AF2071" t="s">
        <v>2228</v>
      </c>
      <c r="AG2071" t="s">
        <v>78</v>
      </c>
    </row>
    <row r="2072" spans="1:33" hidden="1" x14ac:dyDescent="0.25">
      <c r="A2072" t="str">
        <f>"1033499157"</f>
        <v>1033499157</v>
      </c>
      <c r="C2072" t="s">
        <v>9348</v>
      </c>
      <c r="G2072" t="s">
        <v>2224</v>
      </c>
      <c r="H2072" t="s">
        <v>2312</v>
      </c>
      <c r="J2072" t="s">
        <v>2226</v>
      </c>
      <c r="K2072" t="s">
        <v>171</v>
      </c>
      <c r="L2072" t="s">
        <v>96</v>
      </c>
      <c r="M2072" t="s">
        <v>73</v>
      </c>
      <c r="R2072" t="s">
        <v>9349</v>
      </c>
      <c r="S2072" t="s">
        <v>170</v>
      </c>
      <c r="T2072" t="s">
        <v>91</v>
      </c>
      <c r="U2072" t="s">
        <v>74</v>
      </c>
      <c r="V2072" t="str">
        <f>"100654870"</f>
        <v>100654870</v>
      </c>
      <c r="AC2072" t="s">
        <v>76</v>
      </c>
      <c r="AD2072" t="s">
        <v>73</v>
      </c>
      <c r="AE2072" t="s">
        <v>97</v>
      </c>
      <c r="AF2072" t="s">
        <v>2242</v>
      </c>
      <c r="AG2072" t="s">
        <v>78</v>
      </c>
    </row>
    <row r="2073" spans="1:33" hidden="1" x14ac:dyDescent="0.25">
      <c r="A2073" t="str">
        <f>"1275746596"</f>
        <v>1275746596</v>
      </c>
      <c r="B2073" t="str">
        <f>"02870560"</f>
        <v>02870560</v>
      </c>
      <c r="C2073" t="s">
        <v>9350</v>
      </c>
      <c r="D2073" t="s">
        <v>9351</v>
      </c>
      <c r="E2073" t="s">
        <v>9352</v>
      </c>
      <c r="G2073" t="s">
        <v>2224</v>
      </c>
      <c r="H2073" t="s">
        <v>2225</v>
      </c>
      <c r="J2073" t="s">
        <v>2226</v>
      </c>
      <c r="L2073" t="s">
        <v>80</v>
      </c>
      <c r="M2073" t="s">
        <v>82</v>
      </c>
      <c r="R2073" t="s">
        <v>9353</v>
      </c>
      <c r="W2073" t="s">
        <v>9352</v>
      </c>
      <c r="X2073" t="s">
        <v>236</v>
      </c>
      <c r="Y2073" t="s">
        <v>91</v>
      </c>
      <c r="Z2073" t="s">
        <v>74</v>
      </c>
      <c r="AA2073" t="str">
        <f>"10034-1159"</f>
        <v>10034-1159</v>
      </c>
      <c r="AB2073" t="s">
        <v>75</v>
      </c>
      <c r="AC2073" t="s">
        <v>76</v>
      </c>
      <c r="AD2073" t="s">
        <v>73</v>
      </c>
      <c r="AE2073" t="s">
        <v>77</v>
      </c>
      <c r="AF2073" t="s">
        <v>2254</v>
      </c>
      <c r="AG2073" t="s">
        <v>78</v>
      </c>
    </row>
    <row r="2074" spans="1:33" hidden="1" x14ac:dyDescent="0.25">
      <c r="A2074" t="str">
        <f>"1336110378"</f>
        <v>1336110378</v>
      </c>
      <c r="B2074" t="str">
        <f>"03421932"</f>
        <v>03421932</v>
      </c>
      <c r="C2074" t="s">
        <v>9354</v>
      </c>
      <c r="D2074" t="s">
        <v>9355</v>
      </c>
      <c r="E2074" t="s">
        <v>9356</v>
      </c>
      <c r="G2074" t="s">
        <v>2224</v>
      </c>
      <c r="H2074" t="s">
        <v>2225</v>
      </c>
      <c r="J2074" t="s">
        <v>2226</v>
      </c>
      <c r="L2074" t="s">
        <v>72</v>
      </c>
      <c r="M2074" t="s">
        <v>73</v>
      </c>
      <c r="R2074" t="s">
        <v>9357</v>
      </c>
      <c r="W2074" t="s">
        <v>9356</v>
      </c>
      <c r="X2074" t="s">
        <v>496</v>
      </c>
      <c r="Y2074" t="s">
        <v>91</v>
      </c>
      <c r="Z2074" t="s">
        <v>74</v>
      </c>
      <c r="AA2074" t="str">
        <f>"10032-3726"</f>
        <v>10032-3726</v>
      </c>
      <c r="AB2074" t="s">
        <v>75</v>
      </c>
      <c r="AC2074" t="s">
        <v>76</v>
      </c>
      <c r="AD2074" t="s">
        <v>73</v>
      </c>
      <c r="AE2074" t="s">
        <v>77</v>
      </c>
      <c r="AF2074" t="s">
        <v>2228</v>
      </c>
      <c r="AG2074" t="s">
        <v>78</v>
      </c>
    </row>
    <row r="2075" spans="1:33" hidden="1" x14ac:dyDescent="0.25">
      <c r="A2075" t="str">
        <f>"1952618399"</f>
        <v>1952618399</v>
      </c>
      <c r="B2075" t="str">
        <f>"03972218"</f>
        <v>03972218</v>
      </c>
      <c r="C2075" t="s">
        <v>9358</v>
      </c>
      <c r="D2075" t="s">
        <v>9359</v>
      </c>
      <c r="E2075" t="s">
        <v>9360</v>
      </c>
      <c r="G2075" t="s">
        <v>2224</v>
      </c>
      <c r="H2075" t="s">
        <v>2225</v>
      </c>
      <c r="J2075" t="s">
        <v>2226</v>
      </c>
      <c r="L2075" t="s">
        <v>80</v>
      </c>
      <c r="M2075" t="s">
        <v>73</v>
      </c>
      <c r="R2075" t="s">
        <v>9361</v>
      </c>
      <c r="W2075" t="s">
        <v>9362</v>
      </c>
      <c r="X2075" t="s">
        <v>170</v>
      </c>
      <c r="Y2075" t="s">
        <v>91</v>
      </c>
      <c r="Z2075" t="s">
        <v>74</v>
      </c>
      <c r="AA2075" t="str">
        <f>"10065-4870"</f>
        <v>10065-4870</v>
      </c>
      <c r="AB2075" t="s">
        <v>75</v>
      </c>
      <c r="AC2075" t="s">
        <v>76</v>
      </c>
      <c r="AD2075" t="s">
        <v>73</v>
      </c>
      <c r="AE2075" t="s">
        <v>77</v>
      </c>
      <c r="AF2075" t="s">
        <v>2242</v>
      </c>
      <c r="AG2075" t="s">
        <v>78</v>
      </c>
    </row>
    <row r="2076" spans="1:33" hidden="1" x14ac:dyDescent="0.25">
      <c r="A2076" t="str">
        <f>"1427148691"</f>
        <v>1427148691</v>
      </c>
      <c r="B2076" t="str">
        <f>"02490453"</f>
        <v>02490453</v>
      </c>
      <c r="C2076" t="s">
        <v>9363</v>
      </c>
      <c r="D2076" t="s">
        <v>9364</v>
      </c>
      <c r="E2076" t="s">
        <v>9365</v>
      </c>
      <c r="G2076" t="s">
        <v>2224</v>
      </c>
      <c r="H2076" t="s">
        <v>2225</v>
      </c>
      <c r="J2076" t="s">
        <v>2226</v>
      </c>
      <c r="L2076" t="s">
        <v>72</v>
      </c>
      <c r="M2076" t="s">
        <v>73</v>
      </c>
      <c r="R2076" t="s">
        <v>9366</v>
      </c>
      <c r="W2076" t="s">
        <v>9365</v>
      </c>
      <c r="X2076" t="s">
        <v>9367</v>
      </c>
      <c r="Y2076" t="s">
        <v>91</v>
      </c>
      <c r="Z2076" t="s">
        <v>74</v>
      </c>
      <c r="AA2076" t="str">
        <f>"10021"</f>
        <v>10021</v>
      </c>
      <c r="AB2076" t="s">
        <v>75</v>
      </c>
      <c r="AC2076" t="s">
        <v>76</v>
      </c>
      <c r="AD2076" t="s">
        <v>73</v>
      </c>
      <c r="AE2076" t="s">
        <v>77</v>
      </c>
      <c r="AF2076" t="s">
        <v>2242</v>
      </c>
      <c r="AG2076" t="s">
        <v>78</v>
      </c>
    </row>
    <row r="2077" spans="1:33" hidden="1" x14ac:dyDescent="0.25">
      <c r="A2077" t="str">
        <f>"1164685699"</f>
        <v>1164685699</v>
      </c>
      <c r="B2077" t="str">
        <f>"03374641"</f>
        <v>03374641</v>
      </c>
      <c r="C2077" t="s">
        <v>9368</v>
      </c>
      <c r="D2077" t="s">
        <v>9369</v>
      </c>
      <c r="E2077" t="s">
        <v>9370</v>
      </c>
      <c r="G2077" t="s">
        <v>282</v>
      </c>
      <c r="H2077" t="s">
        <v>248</v>
      </c>
      <c r="I2077">
        <v>2604</v>
      </c>
      <c r="J2077" t="s">
        <v>283</v>
      </c>
      <c r="L2077" t="s">
        <v>81</v>
      </c>
      <c r="M2077" t="s">
        <v>82</v>
      </c>
      <c r="R2077" t="s">
        <v>9371</v>
      </c>
      <c r="W2077" t="s">
        <v>9370</v>
      </c>
      <c r="X2077" t="s">
        <v>249</v>
      </c>
      <c r="Y2077" t="s">
        <v>91</v>
      </c>
      <c r="Z2077" t="s">
        <v>74</v>
      </c>
      <c r="AA2077" t="str">
        <f>"10013-3599"</f>
        <v>10013-3599</v>
      </c>
      <c r="AB2077" t="s">
        <v>75</v>
      </c>
      <c r="AC2077" t="s">
        <v>76</v>
      </c>
      <c r="AD2077" t="s">
        <v>73</v>
      </c>
      <c r="AE2077" t="s">
        <v>77</v>
      </c>
      <c r="AF2077" t="s">
        <v>2319</v>
      </c>
      <c r="AG2077" t="s">
        <v>78</v>
      </c>
    </row>
    <row r="2078" spans="1:33" hidden="1" x14ac:dyDescent="0.25">
      <c r="A2078" t="str">
        <f>"1285737536"</f>
        <v>1285737536</v>
      </c>
      <c r="B2078" t="str">
        <f>"01421049"</f>
        <v>01421049</v>
      </c>
      <c r="C2078" t="s">
        <v>9372</v>
      </c>
      <c r="D2078" t="s">
        <v>9373</v>
      </c>
      <c r="E2078" t="s">
        <v>9374</v>
      </c>
      <c r="G2078" t="s">
        <v>2224</v>
      </c>
      <c r="H2078" t="s">
        <v>2225</v>
      </c>
      <c r="J2078" t="s">
        <v>2226</v>
      </c>
      <c r="L2078" t="s">
        <v>88</v>
      </c>
      <c r="M2078" t="s">
        <v>82</v>
      </c>
      <c r="R2078" t="s">
        <v>9375</v>
      </c>
      <c r="W2078" t="s">
        <v>9374</v>
      </c>
      <c r="X2078" t="s">
        <v>522</v>
      </c>
      <c r="Y2078" t="s">
        <v>89</v>
      </c>
      <c r="Z2078" t="s">
        <v>74</v>
      </c>
      <c r="AA2078" t="str">
        <f>"12208-3401"</f>
        <v>12208-3401</v>
      </c>
      <c r="AB2078" t="s">
        <v>75</v>
      </c>
      <c r="AC2078" t="s">
        <v>76</v>
      </c>
      <c r="AD2078" t="s">
        <v>73</v>
      </c>
      <c r="AE2078" t="s">
        <v>77</v>
      </c>
      <c r="AF2078" t="s">
        <v>2254</v>
      </c>
      <c r="AG2078" t="s">
        <v>78</v>
      </c>
    </row>
    <row r="2079" spans="1:33" hidden="1" x14ac:dyDescent="0.25">
      <c r="A2079" t="str">
        <f>"1750575155"</f>
        <v>1750575155</v>
      </c>
      <c r="C2079" t="s">
        <v>3498</v>
      </c>
      <c r="K2079" t="s">
        <v>36</v>
      </c>
      <c r="L2079" t="s">
        <v>96</v>
      </c>
      <c r="M2079" t="s">
        <v>73</v>
      </c>
      <c r="R2079" t="s">
        <v>3498</v>
      </c>
      <c r="S2079" t="s">
        <v>124</v>
      </c>
      <c r="T2079" t="s">
        <v>125</v>
      </c>
      <c r="U2079" t="s">
        <v>74</v>
      </c>
      <c r="V2079" t="str">
        <f>"113555045"</f>
        <v>113555045</v>
      </c>
      <c r="AC2079" t="s">
        <v>76</v>
      </c>
      <c r="AD2079" t="s">
        <v>73</v>
      </c>
      <c r="AE2079" t="s">
        <v>97</v>
      </c>
      <c r="AG2079" t="s">
        <v>78</v>
      </c>
    </row>
    <row r="2080" spans="1:33" hidden="1" x14ac:dyDescent="0.25">
      <c r="C2080" t="s">
        <v>9376</v>
      </c>
      <c r="G2080" t="s">
        <v>5291</v>
      </c>
      <c r="H2080" t="s">
        <v>5292</v>
      </c>
      <c r="I2080">
        <v>528</v>
      </c>
      <c r="J2080" t="s">
        <v>5293</v>
      </c>
      <c r="K2080" t="s">
        <v>93</v>
      </c>
      <c r="L2080" t="s">
        <v>94</v>
      </c>
      <c r="M2080" t="s">
        <v>73</v>
      </c>
      <c r="AC2080" t="s">
        <v>76</v>
      </c>
      <c r="AD2080" t="s">
        <v>73</v>
      </c>
      <c r="AE2080" t="s">
        <v>95</v>
      </c>
      <c r="AG2080" t="s">
        <v>78</v>
      </c>
    </row>
    <row r="2081" spans="1:33" hidden="1" x14ac:dyDescent="0.25">
      <c r="C2081" t="s">
        <v>9377</v>
      </c>
      <c r="G2081" t="s">
        <v>5291</v>
      </c>
      <c r="H2081" t="s">
        <v>5292</v>
      </c>
      <c r="I2081">
        <v>528</v>
      </c>
      <c r="J2081" t="s">
        <v>5293</v>
      </c>
      <c r="K2081" t="s">
        <v>93</v>
      </c>
      <c r="L2081" t="s">
        <v>94</v>
      </c>
      <c r="M2081" t="s">
        <v>73</v>
      </c>
      <c r="AC2081" t="s">
        <v>76</v>
      </c>
      <c r="AD2081" t="s">
        <v>73</v>
      </c>
      <c r="AE2081" t="s">
        <v>95</v>
      </c>
      <c r="AG2081" t="s">
        <v>78</v>
      </c>
    </row>
    <row r="2082" spans="1:33" hidden="1" x14ac:dyDescent="0.25">
      <c r="A2082" t="str">
        <f>"1609876671"</f>
        <v>1609876671</v>
      </c>
      <c r="B2082" t="str">
        <f>"00837105"</f>
        <v>00837105</v>
      </c>
      <c r="C2082" t="s">
        <v>9378</v>
      </c>
      <c r="D2082" t="s">
        <v>9379</v>
      </c>
      <c r="E2082" t="s">
        <v>9380</v>
      </c>
      <c r="G2082" t="s">
        <v>2224</v>
      </c>
      <c r="H2082" t="s">
        <v>2225</v>
      </c>
      <c r="J2082" t="s">
        <v>2226</v>
      </c>
      <c r="L2082" t="s">
        <v>72</v>
      </c>
      <c r="M2082" t="s">
        <v>73</v>
      </c>
      <c r="R2082" t="s">
        <v>9381</v>
      </c>
      <c r="W2082" t="s">
        <v>9380</v>
      </c>
      <c r="X2082" t="s">
        <v>170</v>
      </c>
      <c r="Y2082" t="s">
        <v>91</v>
      </c>
      <c r="Z2082" t="s">
        <v>74</v>
      </c>
      <c r="AA2082" t="str">
        <f>"10065-4870"</f>
        <v>10065-4870</v>
      </c>
      <c r="AB2082" t="s">
        <v>79</v>
      </c>
      <c r="AC2082" t="s">
        <v>76</v>
      </c>
      <c r="AD2082" t="s">
        <v>73</v>
      </c>
      <c r="AE2082" t="s">
        <v>77</v>
      </c>
      <c r="AF2082" t="s">
        <v>2398</v>
      </c>
      <c r="AG2082" t="s">
        <v>78</v>
      </c>
    </row>
    <row r="2083" spans="1:33" hidden="1" x14ac:dyDescent="0.25">
      <c r="A2083" t="str">
        <f>"1306105820"</f>
        <v>1306105820</v>
      </c>
      <c r="B2083" t="str">
        <f>"03923017"</f>
        <v>03923017</v>
      </c>
      <c r="C2083" t="s">
        <v>9382</v>
      </c>
      <c r="D2083" t="s">
        <v>9383</v>
      </c>
      <c r="E2083" t="s">
        <v>9384</v>
      </c>
      <c r="G2083" t="s">
        <v>2224</v>
      </c>
      <c r="H2083" t="s">
        <v>2225</v>
      </c>
      <c r="J2083" t="s">
        <v>2226</v>
      </c>
      <c r="L2083" t="s">
        <v>72</v>
      </c>
      <c r="M2083" t="s">
        <v>73</v>
      </c>
      <c r="R2083" t="s">
        <v>9384</v>
      </c>
      <c r="W2083" t="s">
        <v>9384</v>
      </c>
      <c r="X2083" t="s">
        <v>170</v>
      </c>
      <c r="Y2083" t="s">
        <v>91</v>
      </c>
      <c r="Z2083" t="s">
        <v>74</v>
      </c>
      <c r="AA2083" t="str">
        <f>"10065-4870"</f>
        <v>10065-4870</v>
      </c>
      <c r="AB2083" t="s">
        <v>75</v>
      </c>
      <c r="AC2083" t="s">
        <v>76</v>
      </c>
      <c r="AD2083" t="s">
        <v>73</v>
      </c>
      <c r="AE2083" t="s">
        <v>77</v>
      </c>
      <c r="AF2083" t="s">
        <v>2242</v>
      </c>
      <c r="AG2083" t="s">
        <v>78</v>
      </c>
    </row>
    <row r="2084" spans="1:33" hidden="1" x14ac:dyDescent="0.25">
      <c r="A2084" t="str">
        <f>"1316226707"</f>
        <v>1316226707</v>
      </c>
      <c r="B2084" t="str">
        <f>"03370541"</f>
        <v>03370541</v>
      </c>
      <c r="C2084" t="s">
        <v>9385</v>
      </c>
      <c r="D2084" t="s">
        <v>9386</v>
      </c>
      <c r="E2084" t="s">
        <v>9387</v>
      </c>
      <c r="G2084" t="s">
        <v>2224</v>
      </c>
      <c r="H2084" t="s">
        <v>2225</v>
      </c>
      <c r="J2084" t="s">
        <v>2226</v>
      </c>
      <c r="L2084" t="s">
        <v>81</v>
      </c>
      <c r="M2084" t="s">
        <v>73</v>
      </c>
      <c r="R2084" t="s">
        <v>9388</v>
      </c>
      <c r="W2084" t="s">
        <v>9387</v>
      </c>
      <c r="X2084" t="s">
        <v>628</v>
      </c>
      <c r="Y2084" t="s">
        <v>91</v>
      </c>
      <c r="Z2084" t="s">
        <v>74</v>
      </c>
      <c r="AA2084" t="str">
        <f>"10021-4872"</f>
        <v>10021-4872</v>
      </c>
      <c r="AB2084" t="s">
        <v>75</v>
      </c>
      <c r="AC2084" t="s">
        <v>76</v>
      </c>
      <c r="AD2084" t="s">
        <v>73</v>
      </c>
      <c r="AE2084" t="s">
        <v>77</v>
      </c>
      <c r="AF2084" t="s">
        <v>2398</v>
      </c>
      <c r="AG2084" t="s">
        <v>78</v>
      </c>
    </row>
    <row r="2085" spans="1:33" hidden="1" x14ac:dyDescent="0.25">
      <c r="A2085" t="str">
        <f>"1477720977"</f>
        <v>1477720977</v>
      </c>
      <c r="B2085" t="str">
        <f>"03569028"</f>
        <v>03569028</v>
      </c>
      <c r="C2085" t="s">
        <v>9389</v>
      </c>
      <c r="D2085" t="s">
        <v>1418</v>
      </c>
      <c r="E2085" t="s">
        <v>1419</v>
      </c>
      <c r="G2085" t="s">
        <v>2224</v>
      </c>
      <c r="H2085" t="s">
        <v>2225</v>
      </c>
      <c r="J2085" t="s">
        <v>2226</v>
      </c>
      <c r="L2085" t="s">
        <v>72</v>
      </c>
      <c r="M2085" t="s">
        <v>73</v>
      </c>
      <c r="R2085" t="s">
        <v>1420</v>
      </c>
      <c r="W2085" t="s">
        <v>1421</v>
      </c>
      <c r="X2085" t="s">
        <v>1422</v>
      </c>
      <c r="Y2085" t="s">
        <v>568</v>
      </c>
      <c r="Z2085" t="s">
        <v>74</v>
      </c>
      <c r="AA2085" t="str">
        <f>"10583-5326"</f>
        <v>10583-5326</v>
      </c>
      <c r="AB2085" t="s">
        <v>75</v>
      </c>
      <c r="AC2085" t="s">
        <v>76</v>
      </c>
      <c r="AD2085" t="s">
        <v>73</v>
      </c>
      <c r="AE2085" t="s">
        <v>77</v>
      </c>
      <c r="AF2085" t="s">
        <v>2228</v>
      </c>
      <c r="AG2085" t="s">
        <v>78</v>
      </c>
    </row>
    <row r="2086" spans="1:33" hidden="1" x14ac:dyDescent="0.25">
      <c r="A2086" t="str">
        <f>"1639110307"</f>
        <v>1639110307</v>
      </c>
      <c r="B2086" t="str">
        <f>"00627716"</f>
        <v>00627716</v>
      </c>
      <c r="C2086" t="s">
        <v>9390</v>
      </c>
      <c r="D2086" t="s">
        <v>9391</v>
      </c>
      <c r="E2086" t="s">
        <v>9392</v>
      </c>
      <c r="G2086" t="s">
        <v>2224</v>
      </c>
      <c r="H2086" t="s">
        <v>2225</v>
      </c>
      <c r="J2086" t="s">
        <v>2226</v>
      </c>
      <c r="L2086" t="s">
        <v>80</v>
      </c>
      <c r="M2086" t="s">
        <v>73</v>
      </c>
      <c r="R2086" t="s">
        <v>9393</v>
      </c>
      <c r="W2086" t="s">
        <v>9394</v>
      </c>
      <c r="X2086" t="s">
        <v>368</v>
      </c>
      <c r="Y2086" t="s">
        <v>91</v>
      </c>
      <c r="Z2086" t="s">
        <v>74</v>
      </c>
      <c r="AA2086" t="str">
        <f>"10019-1104"</f>
        <v>10019-1104</v>
      </c>
      <c r="AB2086" t="s">
        <v>75</v>
      </c>
      <c r="AC2086" t="s">
        <v>76</v>
      </c>
      <c r="AD2086" t="s">
        <v>73</v>
      </c>
      <c r="AE2086" t="s">
        <v>77</v>
      </c>
      <c r="AF2086" t="s">
        <v>2254</v>
      </c>
      <c r="AG2086" t="s">
        <v>78</v>
      </c>
    </row>
    <row r="2087" spans="1:33" hidden="1" x14ac:dyDescent="0.25">
      <c r="A2087" t="str">
        <f>"1851416879"</f>
        <v>1851416879</v>
      </c>
      <c r="B2087" t="str">
        <f>"01457047"</f>
        <v>01457047</v>
      </c>
      <c r="C2087" t="s">
        <v>9395</v>
      </c>
      <c r="D2087" t="s">
        <v>9396</v>
      </c>
      <c r="E2087" t="s">
        <v>9397</v>
      </c>
      <c r="G2087" t="s">
        <v>282</v>
      </c>
      <c r="H2087" t="s">
        <v>248</v>
      </c>
      <c r="I2087">
        <v>2604</v>
      </c>
      <c r="J2087" t="s">
        <v>283</v>
      </c>
      <c r="L2087" t="s">
        <v>80</v>
      </c>
      <c r="M2087" t="s">
        <v>82</v>
      </c>
      <c r="R2087" t="s">
        <v>9398</v>
      </c>
      <c r="W2087" t="s">
        <v>9397</v>
      </c>
      <c r="X2087" t="s">
        <v>9399</v>
      </c>
      <c r="Y2087" t="s">
        <v>91</v>
      </c>
      <c r="Z2087" t="s">
        <v>74</v>
      </c>
      <c r="AA2087" t="str">
        <f>"10003-3105"</f>
        <v>10003-3105</v>
      </c>
      <c r="AB2087" t="s">
        <v>75</v>
      </c>
      <c r="AC2087" t="s">
        <v>76</v>
      </c>
      <c r="AD2087" t="s">
        <v>73</v>
      </c>
      <c r="AE2087" t="s">
        <v>77</v>
      </c>
      <c r="AF2087" t="s">
        <v>2319</v>
      </c>
      <c r="AG2087" t="s">
        <v>78</v>
      </c>
    </row>
    <row r="2088" spans="1:33" hidden="1" x14ac:dyDescent="0.25">
      <c r="A2088" t="str">
        <f>"1669459392"</f>
        <v>1669459392</v>
      </c>
      <c r="B2088" t="str">
        <f>"01848553"</f>
        <v>01848553</v>
      </c>
      <c r="C2088" t="s">
        <v>9400</v>
      </c>
      <c r="D2088" t="s">
        <v>9401</v>
      </c>
      <c r="E2088" t="s">
        <v>9402</v>
      </c>
      <c r="L2088" t="s">
        <v>80</v>
      </c>
      <c r="M2088" t="s">
        <v>73</v>
      </c>
      <c r="R2088" t="s">
        <v>9403</v>
      </c>
      <c r="W2088" t="s">
        <v>9402</v>
      </c>
      <c r="X2088" t="s">
        <v>2365</v>
      </c>
      <c r="Y2088" t="s">
        <v>91</v>
      </c>
      <c r="Z2088" t="s">
        <v>74</v>
      </c>
      <c r="AA2088" t="str">
        <f>"10065-4870"</f>
        <v>10065-4870</v>
      </c>
      <c r="AB2088" t="s">
        <v>75</v>
      </c>
      <c r="AC2088" t="s">
        <v>76</v>
      </c>
      <c r="AD2088" t="s">
        <v>73</v>
      </c>
      <c r="AE2088" t="s">
        <v>77</v>
      </c>
      <c r="AF2088" t="s">
        <v>2242</v>
      </c>
      <c r="AG2088" t="s">
        <v>78</v>
      </c>
    </row>
    <row r="2089" spans="1:33" hidden="1" x14ac:dyDescent="0.25">
      <c r="A2089" t="str">
        <f>"1801950480"</f>
        <v>1801950480</v>
      </c>
      <c r="B2089" t="str">
        <f>"02819854"</f>
        <v>02819854</v>
      </c>
      <c r="C2089" t="s">
        <v>9404</v>
      </c>
      <c r="D2089" t="s">
        <v>9405</v>
      </c>
      <c r="E2089" t="s">
        <v>9406</v>
      </c>
      <c r="G2089" t="s">
        <v>2224</v>
      </c>
      <c r="H2089" t="s">
        <v>2225</v>
      </c>
      <c r="J2089" t="s">
        <v>2226</v>
      </c>
      <c r="L2089" t="s">
        <v>72</v>
      </c>
      <c r="M2089" t="s">
        <v>73</v>
      </c>
      <c r="R2089" t="s">
        <v>9407</v>
      </c>
      <c r="W2089" t="s">
        <v>9406</v>
      </c>
      <c r="X2089" t="s">
        <v>183</v>
      </c>
      <c r="Y2089" t="s">
        <v>91</v>
      </c>
      <c r="Z2089" t="s">
        <v>74</v>
      </c>
      <c r="AA2089" t="str">
        <f>"10032-3729"</f>
        <v>10032-3729</v>
      </c>
      <c r="AB2089" t="s">
        <v>75</v>
      </c>
      <c r="AC2089" t="s">
        <v>76</v>
      </c>
      <c r="AD2089" t="s">
        <v>73</v>
      </c>
      <c r="AE2089" t="s">
        <v>77</v>
      </c>
      <c r="AF2089" t="s">
        <v>2254</v>
      </c>
      <c r="AG2089" t="s">
        <v>78</v>
      </c>
    </row>
    <row r="2090" spans="1:33" hidden="1" x14ac:dyDescent="0.25">
      <c r="A2090" t="str">
        <f>"1801983986"</f>
        <v>1801983986</v>
      </c>
      <c r="B2090" t="str">
        <f>"01172458"</f>
        <v>01172458</v>
      </c>
      <c r="C2090" t="s">
        <v>9408</v>
      </c>
      <c r="D2090" t="s">
        <v>9409</v>
      </c>
      <c r="E2090" t="s">
        <v>9410</v>
      </c>
      <c r="G2090" t="s">
        <v>2224</v>
      </c>
      <c r="H2090" t="s">
        <v>2225</v>
      </c>
      <c r="J2090" t="s">
        <v>2226</v>
      </c>
      <c r="L2090" t="s">
        <v>80</v>
      </c>
      <c r="M2090" t="s">
        <v>73</v>
      </c>
      <c r="R2090" t="s">
        <v>9411</v>
      </c>
      <c r="W2090" t="s">
        <v>9410</v>
      </c>
      <c r="X2090" t="s">
        <v>9412</v>
      </c>
      <c r="Y2090" t="s">
        <v>91</v>
      </c>
      <c r="Z2090" t="s">
        <v>74</v>
      </c>
      <c r="AA2090" t="str">
        <f>"10065-4870"</f>
        <v>10065-4870</v>
      </c>
      <c r="AB2090" t="s">
        <v>75</v>
      </c>
      <c r="AC2090" t="s">
        <v>76</v>
      </c>
      <c r="AD2090" t="s">
        <v>73</v>
      </c>
      <c r="AE2090" t="s">
        <v>77</v>
      </c>
      <c r="AF2090" t="s">
        <v>2242</v>
      </c>
      <c r="AG2090" t="s">
        <v>78</v>
      </c>
    </row>
    <row r="2091" spans="1:33" hidden="1" x14ac:dyDescent="0.25">
      <c r="A2091" t="str">
        <f>"1427123652"</f>
        <v>1427123652</v>
      </c>
      <c r="B2091" t="str">
        <f>"02311879"</f>
        <v>02311879</v>
      </c>
      <c r="C2091" t="s">
        <v>9413</v>
      </c>
      <c r="D2091" t="s">
        <v>9414</v>
      </c>
      <c r="E2091" t="s">
        <v>9415</v>
      </c>
      <c r="G2091" t="s">
        <v>2224</v>
      </c>
      <c r="H2091" t="s">
        <v>2225</v>
      </c>
      <c r="J2091" t="s">
        <v>2226</v>
      </c>
      <c r="L2091" t="s">
        <v>72</v>
      </c>
      <c r="M2091" t="s">
        <v>73</v>
      </c>
      <c r="R2091" t="s">
        <v>9416</v>
      </c>
      <c r="W2091" t="s">
        <v>9415</v>
      </c>
      <c r="X2091" t="s">
        <v>167</v>
      </c>
      <c r="Y2091" t="s">
        <v>91</v>
      </c>
      <c r="Z2091" t="s">
        <v>74</v>
      </c>
      <c r="AA2091" t="str">
        <f>"10032-3720"</f>
        <v>10032-3720</v>
      </c>
      <c r="AB2091" t="s">
        <v>75</v>
      </c>
      <c r="AC2091" t="s">
        <v>76</v>
      </c>
      <c r="AD2091" t="s">
        <v>73</v>
      </c>
      <c r="AE2091" t="s">
        <v>77</v>
      </c>
      <c r="AF2091" t="s">
        <v>2254</v>
      </c>
      <c r="AG2091" t="s">
        <v>78</v>
      </c>
    </row>
    <row r="2092" spans="1:33" hidden="1" x14ac:dyDescent="0.25">
      <c r="A2092" t="str">
        <f>"1306083472"</f>
        <v>1306083472</v>
      </c>
      <c r="B2092" t="str">
        <f>"03090159"</f>
        <v>03090159</v>
      </c>
      <c r="C2092" t="s">
        <v>9417</v>
      </c>
      <c r="D2092" t="s">
        <v>9418</v>
      </c>
      <c r="E2092" t="s">
        <v>9419</v>
      </c>
      <c r="G2092" t="s">
        <v>2224</v>
      </c>
      <c r="H2092" t="s">
        <v>2225</v>
      </c>
      <c r="J2092" t="s">
        <v>2226</v>
      </c>
      <c r="L2092" t="s">
        <v>72</v>
      </c>
      <c r="M2092" t="s">
        <v>73</v>
      </c>
      <c r="R2092" t="s">
        <v>9419</v>
      </c>
      <c r="W2092" t="s">
        <v>9420</v>
      </c>
      <c r="X2092" t="s">
        <v>167</v>
      </c>
      <c r="Y2092" t="s">
        <v>91</v>
      </c>
      <c r="Z2092" t="s">
        <v>74</v>
      </c>
      <c r="AA2092" t="str">
        <f>"10032-3720"</f>
        <v>10032-3720</v>
      </c>
      <c r="AB2092" t="s">
        <v>106</v>
      </c>
      <c r="AC2092" t="s">
        <v>76</v>
      </c>
      <c r="AD2092" t="s">
        <v>73</v>
      </c>
      <c r="AE2092" t="s">
        <v>77</v>
      </c>
      <c r="AF2092" t="s">
        <v>2234</v>
      </c>
      <c r="AG2092" t="s">
        <v>78</v>
      </c>
    </row>
    <row r="2093" spans="1:33" hidden="1" x14ac:dyDescent="0.25">
      <c r="A2093" t="str">
        <f>"1306155544"</f>
        <v>1306155544</v>
      </c>
      <c r="B2093" t="str">
        <f>"03696279"</f>
        <v>03696279</v>
      </c>
      <c r="C2093" t="s">
        <v>9421</v>
      </c>
      <c r="D2093" t="s">
        <v>9422</v>
      </c>
      <c r="E2093" t="s">
        <v>9423</v>
      </c>
      <c r="G2093" t="s">
        <v>2224</v>
      </c>
      <c r="H2093" t="s">
        <v>2225</v>
      </c>
      <c r="J2093" t="s">
        <v>2226</v>
      </c>
      <c r="L2093" t="s">
        <v>72</v>
      </c>
      <c r="M2093" t="s">
        <v>73</v>
      </c>
      <c r="R2093" t="s">
        <v>9424</v>
      </c>
      <c r="W2093" t="s">
        <v>9423</v>
      </c>
      <c r="X2093" t="s">
        <v>410</v>
      </c>
      <c r="Y2093" t="s">
        <v>91</v>
      </c>
      <c r="Z2093" t="s">
        <v>74</v>
      </c>
      <c r="AA2093" t="str">
        <f>"10032-1559"</f>
        <v>10032-1559</v>
      </c>
      <c r="AB2093" t="s">
        <v>113</v>
      </c>
      <c r="AC2093" t="s">
        <v>76</v>
      </c>
      <c r="AD2093" t="s">
        <v>73</v>
      </c>
      <c r="AE2093" t="s">
        <v>77</v>
      </c>
      <c r="AF2093" t="s">
        <v>2228</v>
      </c>
      <c r="AG2093" t="s">
        <v>78</v>
      </c>
    </row>
    <row r="2094" spans="1:33" hidden="1" x14ac:dyDescent="0.25">
      <c r="A2094" t="str">
        <f>"1356503155"</f>
        <v>1356503155</v>
      </c>
      <c r="B2094" t="str">
        <f>"03406008"</f>
        <v>03406008</v>
      </c>
      <c r="C2094" t="s">
        <v>9425</v>
      </c>
      <c r="D2094" t="s">
        <v>9426</v>
      </c>
      <c r="E2094" t="s">
        <v>9427</v>
      </c>
      <c r="G2094" t="s">
        <v>2224</v>
      </c>
      <c r="H2094" t="s">
        <v>9428</v>
      </c>
      <c r="J2094" t="s">
        <v>2226</v>
      </c>
      <c r="L2094" t="s">
        <v>72</v>
      </c>
      <c r="M2094" t="s">
        <v>73</v>
      </c>
      <c r="R2094" t="s">
        <v>9429</v>
      </c>
      <c r="W2094" t="s">
        <v>9427</v>
      </c>
      <c r="X2094" t="s">
        <v>1379</v>
      </c>
      <c r="Y2094" t="s">
        <v>91</v>
      </c>
      <c r="Z2094" t="s">
        <v>74</v>
      </c>
      <c r="AA2094" t="str">
        <f>"10032-3720"</f>
        <v>10032-3720</v>
      </c>
      <c r="AB2094" t="s">
        <v>75</v>
      </c>
      <c r="AC2094" t="s">
        <v>76</v>
      </c>
      <c r="AD2094" t="s">
        <v>73</v>
      </c>
      <c r="AE2094" t="s">
        <v>77</v>
      </c>
      <c r="AF2094" t="s">
        <v>2228</v>
      </c>
      <c r="AG2094" t="s">
        <v>78</v>
      </c>
    </row>
    <row r="2095" spans="1:33" hidden="1" x14ac:dyDescent="0.25">
      <c r="A2095" t="str">
        <f>"1144203498"</f>
        <v>1144203498</v>
      </c>
      <c r="B2095" t="str">
        <f>"00356318"</f>
        <v>00356318</v>
      </c>
      <c r="C2095" t="s">
        <v>279</v>
      </c>
      <c r="D2095" t="s">
        <v>280</v>
      </c>
      <c r="E2095" t="s">
        <v>281</v>
      </c>
      <c r="G2095" t="s">
        <v>4346</v>
      </c>
      <c r="H2095" t="s">
        <v>248</v>
      </c>
      <c r="I2095">
        <v>2604</v>
      </c>
      <c r="J2095" t="s">
        <v>283</v>
      </c>
      <c r="L2095" t="s">
        <v>108</v>
      </c>
      <c r="M2095" t="s">
        <v>82</v>
      </c>
      <c r="R2095" t="s">
        <v>284</v>
      </c>
      <c r="W2095" t="s">
        <v>281</v>
      </c>
      <c r="X2095" t="s">
        <v>285</v>
      </c>
      <c r="Y2095" t="s">
        <v>91</v>
      </c>
      <c r="Z2095" t="s">
        <v>74</v>
      </c>
      <c r="AA2095" t="str">
        <f>"10013-4135"</f>
        <v>10013-4135</v>
      </c>
      <c r="AB2095" t="s">
        <v>110</v>
      </c>
      <c r="AC2095" t="s">
        <v>76</v>
      </c>
      <c r="AD2095" t="s">
        <v>73</v>
      </c>
      <c r="AE2095" t="s">
        <v>77</v>
      </c>
      <c r="AF2095" t="s">
        <v>2319</v>
      </c>
      <c r="AG2095" t="s">
        <v>78</v>
      </c>
    </row>
    <row r="2096" spans="1:33" hidden="1" x14ac:dyDescent="0.25">
      <c r="A2096" t="str">
        <f>"1013982586"</f>
        <v>1013982586</v>
      </c>
      <c r="B2096" t="str">
        <f>"03441063"</f>
        <v>03441063</v>
      </c>
      <c r="C2096" t="s">
        <v>9430</v>
      </c>
      <c r="D2096" t="s">
        <v>9431</v>
      </c>
      <c r="E2096" t="s">
        <v>9432</v>
      </c>
      <c r="G2096" t="s">
        <v>2224</v>
      </c>
      <c r="H2096" t="s">
        <v>2225</v>
      </c>
      <c r="J2096" t="s">
        <v>2226</v>
      </c>
      <c r="L2096" t="s">
        <v>72</v>
      </c>
      <c r="M2096" t="s">
        <v>73</v>
      </c>
      <c r="R2096" t="s">
        <v>9433</v>
      </c>
      <c r="W2096" t="s">
        <v>9432</v>
      </c>
      <c r="X2096" t="s">
        <v>183</v>
      </c>
      <c r="Y2096" t="s">
        <v>91</v>
      </c>
      <c r="Z2096" t="s">
        <v>74</v>
      </c>
      <c r="AA2096" t="str">
        <f>"10032-3729"</f>
        <v>10032-3729</v>
      </c>
      <c r="AB2096" t="s">
        <v>75</v>
      </c>
      <c r="AC2096" t="s">
        <v>76</v>
      </c>
      <c r="AD2096" t="s">
        <v>73</v>
      </c>
      <c r="AE2096" t="s">
        <v>77</v>
      </c>
      <c r="AF2096" t="s">
        <v>2228</v>
      </c>
      <c r="AG2096" t="s">
        <v>78</v>
      </c>
    </row>
    <row r="2097" spans="1:33" hidden="1" x14ac:dyDescent="0.25">
      <c r="A2097" t="str">
        <f>"1578570073"</f>
        <v>1578570073</v>
      </c>
      <c r="B2097" t="str">
        <f>"02803607"</f>
        <v>02803607</v>
      </c>
      <c r="C2097" t="s">
        <v>9434</v>
      </c>
      <c r="D2097" t="s">
        <v>9435</v>
      </c>
      <c r="E2097" t="s">
        <v>9436</v>
      </c>
      <c r="G2097" t="s">
        <v>2224</v>
      </c>
      <c r="H2097" t="s">
        <v>2225</v>
      </c>
      <c r="J2097" t="s">
        <v>2226</v>
      </c>
      <c r="L2097" t="s">
        <v>80</v>
      </c>
      <c r="M2097" t="s">
        <v>73</v>
      </c>
      <c r="R2097" t="s">
        <v>9437</v>
      </c>
      <c r="W2097" t="s">
        <v>9436</v>
      </c>
      <c r="X2097" t="s">
        <v>1096</v>
      </c>
      <c r="Y2097" t="s">
        <v>91</v>
      </c>
      <c r="Z2097" t="s">
        <v>74</v>
      </c>
      <c r="AA2097" t="str">
        <f>"10065-4870"</f>
        <v>10065-4870</v>
      </c>
      <c r="AB2097" t="s">
        <v>75</v>
      </c>
      <c r="AC2097" t="s">
        <v>76</v>
      </c>
      <c r="AD2097" t="s">
        <v>73</v>
      </c>
      <c r="AE2097" t="s">
        <v>77</v>
      </c>
      <c r="AF2097" t="s">
        <v>2242</v>
      </c>
      <c r="AG2097" t="s">
        <v>78</v>
      </c>
    </row>
    <row r="2098" spans="1:33" hidden="1" x14ac:dyDescent="0.25">
      <c r="A2098" t="str">
        <f>"1982987327"</f>
        <v>1982987327</v>
      </c>
      <c r="B2098" t="str">
        <f>"03379004"</f>
        <v>03379004</v>
      </c>
      <c r="C2098" t="s">
        <v>9438</v>
      </c>
      <c r="D2098" t="s">
        <v>1814</v>
      </c>
      <c r="E2098" t="s">
        <v>1815</v>
      </c>
      <c r="L2098" t="s">
        <v>80</v>
      </c>
      <c r="M2098" t="s">
        <v>82</v>
      </c>
      <c r="R2098" t="s">
        <v>1816</v>
      </c>
      <c r="W2098" t="s">
        <v>1815</v>
      </c>
      <c r="X2098" t="s">
        <v>1817</v>
      </c>
      <c r="Y2098" t="s">
        <v>175</v>
      </c>
      <c r="Z2098" t="s">
        <v>74</v>
      </c>
      <c r="AA2098" t="str">
        <f>"11801-5851"</f>
        <v>11801-5851</v>
      </c>
      <c r="AB2098" t="s">
        <v>79</v>
      </c>
      <c r="AC2098" t="s">
        <v>76</v>
      </c>
      <c r="AD2098" t="s">
        <v>73</v>
      </c>
      <c r="AE2098" t="s">
        <v>77</v>
      </c>
      <c r="AG2098" t="s">
        <v>78</v>
      </c>
    </row>
    <row r="2099" spans="1:33" hidden="1" x14ac:dyDescent="0.25">
      <c r="A2099" t="str">
        <f>"1275506297"</f>
        <v>1275506297</v>
      </c>
      <c r="B2099" t="str">
        <f>"01045192"</f>
        <v>01045192</v>
      </c>
      <c r="C2099" t="s">
        <v>9439</v>
      </c>
      <c r="D2099" t="s">
        <v>9440</v>
      </c>
      <c r="E2099" t="s">
        <v>9441</v>
      </c>
      <c r="L2099" t="s">
        <v>80</v>
      </c>
      <c r="M2099" t="s">
        <v>73</v>
      </c>
      <c r="R2099" t="s">
        <v>9442</v>
      </c>
      <c r="W2099" t="s">
        <v>9441</v>
      </c>
      <c r="X2099" t="s">
        <v>9443</v>
      </c>
      <c r="Y2099" t="s">
        <v>352</v>
      </c>
      <c r="Z2099" t="s">
        <v>74</v>
      </c>
      <c r="AA2099" t="str">
        <f>"10549-3460"</f>
        <v>10549-3460</v>
      </c>
      <c r="AB2099" t="s">
        <v>75</v>
      </c>
      <c r="AC2099" t="s">
        <v>76</v>
      </c>
      <c r="AD2099" t="s">
        <v>73</v>
      </c>
      <c r="AE2099" t="s">
        <v>77</v>
      </c>
      <c r="AF2099" t="s">
        <v>2242</v>
      </c>
      <c r="AG2099" t="s">
        <v>78</v>
      </c>
    </row>
    <row r="2100" spans="1:33" hidden="1" x14ac:dyDescent="0.25">
      <c r="A2100" t="str">
        <f>"1881678100"</f>
        <v>1881678100</v>
      </c>
      <c r="B2100" t="str">
        <f>"01472444"</f>
        <v>01472444</v>
      </c>
      <c r="C2100" t="s">
        <v>9444</v>
      </c>
      <c r="D2100" t="s">
        <v>1407</v>
      </c>
      <c r="E2100" t="s">
        <v>1408</v>
      </c>
      <c r="L2100" t="s">
        <v>80</v>
      </c>
      <c r="M2100" t="s">
        <v>73</v>
      </c>
      <c r="R2100" t="s">
        <v>1409</v>
      </c>
      <c r="W2100" t="s">
        <v>1408</v>
      </c>
      <c r="Y2100" t="s">
        <v>91</v>
      </c>
      <c r="Z2100" t="s">
        <v>74</v>
      </c>
      <c r="AA2100" t="str">
        <f>"10032-3720"</f>
        <v>10032-3720</v>
      </c>
      <c r="AB2100" t="s">
        <v>75</v>
      </c>
      <c r="AC2100" t="s">
        <v>76</v>
      </c>
      <c r="AD2100" t="s">
        <v>73</v>
      </c>
      <c r="AE2100" t="s">
        <v>77</v>
      </c>
      <c r="AF2100" t="s">
        <v>2242</v>
      </c>
      <c r="AG2100" t="s">
        <v>78</v>
      </c>
    </row>
    <row r="2101" spans="1:33" hidden="1" x14ac:dyDescent="0.25">
      <c r="A2101" t="str">
        <f>"1609991058"</f>
        <v>1609991058</v>
      </c>
      <c r="B2101" t="str">
        <f>"02381262"</f>
        <v>02381262</v>
      </c>
      <c r="C2101" t="s">
        <v>9445</v>
      </c>
      <c r="D2101" t="s">
        <v>9446</v>
      </c>
      <c r="E2101" t="s">
        <v>9447</v>
      </c>
      <c r="G2101" t="s">
        <v>2224</v>
      </c>
      <c r="H2101" t="s">
        <v>2225</v>
      </c>
      <c r="J2101" t="s">
        <v>2226</v>
      </c>
      <c r="L2101" t="s">
        <v>80</v>
      </c>
      <c r="M2101" t="s">
        <v>82</v>
      </c>
      <c r="R2101" t="s">
        <v>9448</v>
      </c>
      <c r="W2101" t="s">
        <v>9447</v>
      </c>
      <c r="X2101" t="s">
        <v>9449</v>
      </c>
      <c r="Y2101" t="s">
        <v>91</v>
      </c>
      <c r="Z2101" t="s">
        <v>74</v>
      </c>
      <c r="AA2101" t="str">
        <f>"10024-3671"</f>
        <v>10024-3671</v>
      </c>
      <c r="AB2101" t="s">
        <v>75</v>
      </c>
      <c r="AC2101" t="s">
        <v>76</v>
      </c>
      <c r="AD2101" t="s">
        <v>73</v>
      </c>
      <c r="AE2101" t="s">
        <v>77</v>
      </c>
      <c r="AF2101" t="s">
        <v>2254</v>
      </c>
      <c r="AG2101" t="s">
        <v>78</v>
      </c>
    </row>
    <row r="2102" spans="1:33" hidden="1" x14ac:dyDescent="0.25">
      <c r="A2102" t="str">
        <f>"1619061652"</f>
        <v>1619061652</v>
      </c>
      <c r="B2102" t="str">
        <f>"02663129"</f>
        <v>02663129</v>
      </c>
      <c r="C2102" t="s">
        <v>9450</v>
      </c>
      <c r="D2102" t="s">
        <v>1257</v>
      </c>
      <c r="E2102" t="s">
        <v>1258</v>
      </c>
      <c r="G2102" t="s">
        <v>2224</v>
      </c>
      <c r="H2102" t="s">
        <v>2225</v>
      </c>
      <c r="J2102" t="s">
        <v>2226</v>
      </c>
      <c r="L2102" t="s">
        <v>72</v>
      </c>
      <c r="M2102" t="s">
        <v>73</v>
      </c>
      <c r="R2102" t="s">
        <v>1259</v>
      </c>
      <c r="W2102" t="s">
        <v>1258</v>
      </c>
      <c r="X2102" t="s">
        <v>1213</v>
      </c>
      <c r="Y2102" t="s">
        <v>566</v>
      </c>
      <c r="Z2102" t="s">
        <v>74</v>
      </c>
      <c r="AA2102" t="str">
        <f>"12701-7013"</f>
        <v>12701-7013</v>
      </c>
      <c r="AB2102" t="s">
        <v>75</v>
      </c>
      <c r="AC2102" t="s">
        <v>76</v>
      </c>
      <c r="AD2102" t="s">
        <v>73</v>
      </c>
      <c r="AE2102" t="s">
        <v>77</v>
      </c>
      <c r="AF2102" t="s">
        <v>2254</v>
      </c>
      <c r="AG2102" t="s">
        <v>78</v>
      </c>
    </row>
    <row r="2103" spans="1:33" hidden="1" x14ac:dyDescent="0.25">
      <c r="A2103" t="str">
        <f>"1225066368"</f>
        <v>1225066368</v>
      </c>
      <c r="B2103" t="str">
        <f>"03510345"</f>
        <v>03510345</v>
      </c>
      <c r="C2103" t="s">
        <v>9451</v>
      </c>
      <c r="D2103" t="s">
        <v>9452</v>
      </c>
      <c r="E2103" t="s">
        <v>9453</v>
      </c>
      <c r="G2103" t="s">
        <v>2224</v>
      </c>
      <c r="H2103" t="s">
        <v>9454</v>
      </c>
      <c r="J2103" t="s">
        <v>2226</v>
      </c>
      <c r="L2103" t="s">
        <v>80</v>
      </c>
      <c r="M2103" t="s">
        <v>73</v>
      </c>
      <c r="R2103" t="s">
        <v>9453</v>
      </c>
      <c r="W2103" t="s">
        <v>9453</v>
      </c>
      <c r="X2103" t="s">
        <v>9455</v>
      </c>
      <c r="Y2103" t="s">
        <v>91</v>
      </c>
      <c r="Z2103" t="s">
        <v>74</v>
      </c>
      <c r="AA2103" t="str">
        <f>"10024-4332"</f>
        <v>10024-4332</v>
      </c>
      <c r="AB2103" t="s">
        <v>75</v>
      </c>
      <c r="AC2103" t="s">
        <v>76</v>
      </c>
      <c r="AD2103" t="s">
        <v>73</v>
      </c>
      <c r="AE2103" t="s">
        <v>77</v>
      </c>
      <c r="AF2103" t="s">
        <v>2242</v>
      </c>
      <c r="AG2103" t="s">
        <v>78</v>
      </c>
    </row>
    <row r="2104" spans="1:33" hidden="1" x14ac:dyDescent="0.25">
      <c r="A2104" t="str">
        <f>"1003074311"</f>
        <v>1003074311</v>
      </c>
      <c r="B2104" t="str">
        <f>"03056860"</f>
        <v>03056860</v>
      </c>
      <c r="C2104" t="s">
        <v>9456</v>
      </c>
      <c r="D2104" t="s">
        <v>9457</v>
      </c>
      <c r="E2104" t="s">
        <v>9458</v>
      </c>
      <c r="L2104" t="s">
        <v>72</v>
      </c>
      <c r="M2104" t="s">
        <v>73</v>
      </c>
      <c r="R2104" t="s">
        <v>9459</v>
      </c>
      <c r="W2104" t="s">
        <v>9458</v>
      </c>
      <c r="X2104" t="s">
        <v>628</v>
      </c>
      <c r="Y2104" t="s">
        <v>91</v>
      </c>
      <c r="Z2104" t="s">
        <v>74</v>
      </c>
      <c r="AA2104" t="str">
        <f>"10021-4872"</f>
        <v>10021-4872</v>
      </c>
      <c r="AB2104" t="s">
        <v>75</v>
      </c>
      <c r="AC2104" t="s">
        <v>76</v>
      </c>
      <c r="AD2104" t="s">
        <v>73</v>
      </c>
      <c r="AE2104" t="s">
        <v>77</v>
      </c>
      <c r="AF2104" t="s">
        <v>2242</v>
      </c>
      <c r="AG2104" t="s">
        <v>78</v>
      </c>
    </row>
    <row r="2105" spans="1:33" hidden="1" x14ac:dyDescent="0.25">
      <c r="A2105" t="str">
        <f>"1710927868"</f>
        <v>1710927868</v>
      </c>
      <c r="B2105" t="str">
        <f>"02236217"</f>
        <v>02236217</v>
      </c>
      <c r="C2105" t="s">
        <v>9460</v>
      </c>
      <c r="D2105" t="s">
        <v>9461</v>
      </c>
      <c r="E2105" t="s">
        <v>9462</v>
      </c>
      <c r="G2105" t="s">
        <v>2224</v>
      </c>
      <c r="H2105" t="s">
        <v>9463</v>
      </c>
      <c r="J2105" t="s">
        <v>2226</v>
      </c>
      <c r="L2105" t="s">
        <v>80</v>
      </c>
      <c r="M2105" t="s">
        <v>73</v>
      </c>
      <c r="R2105" t="s">
        <v>9464</v>
      </c>
      <c r="W2105" t="s">
        <v>9462</v>
      </c>
      <c r="X2105" t="s">
        <v>9462</v>
      </c>
      <c r="Y2105" t="s">
        <v>91</v>
      </c>
      <c r="Z2105" t="s">
        <v>74</v>
      </c>
      <c r="AA2105" t="str">
        <f>"10065-4870"</f>
        <v>10065-4870</v>
      </c>
      <c r="AB2105" t="s">
        <v>75</v>
      </c>
      <c r="AC2105" t="s">
        <v>76</v>
      </c>
      <c r="AD2105" t="s">
        <v>73</v>
      </c>
      <c r="AE2105" t="s">
        <v>77</v>
      </c>
      <c r="AF2105" t="s">
        <v>2242</v>
      </c>
      <c r="AG2105" t="s">
        <v>78</v>
      </c>
    </row>
    <row r="2106" spans="1:33" hidden="1" x14ac:dyDescent="0.25">
      <c r="A2106" t="str">
        <f>"1295725430"</f>
        <v>1295725430</v>
      </c>
      <c r="B2106" t="str">
        <f>"02863261"</f>
        <v>02863261</v>
      </c>
      <c r="C2106" t="s">
        <v>9465</v>
      </c>
      <c r="D2106" t="s">
        <v>9466</v>
      </c>
      <c r="E2106" t="s">
        <v>9467</v>
      </c>
      <c r="G2106" t="s">
        <v>2224</v>
      </c>
      <c r="H2106" t="s">
        <v>7151</v>
      </c>
      <c r="J2106" t="s">
        <v>2226</v>
      </c>
      <c r="L2106" t="s">
        <v>80</v>
      </c>
      <c r="M2106" t="s">
        <v>73</v>
      </c>
      <c r="R2106" t="s">
        <v>9468</v>
      </c>
      <c r="W2106" t="s">
        <v>9467</v>
      </c>
      <c r="X2106" t="s">
        <v>170</v>
      </c>
      <c r="Y2106" t="s">
        <v>91</v>
      </c>
      <c r="Z2106" t="s">
        <v>74</v>
      </c>
      <c r="AA2106" t="str">
        <f>"10065-4870"</f>
        <v>10065-4870</v>
      </c>
      <c r="AB2106" t="s">
        <v>75</v>
      </c>
      <c r="AC2106" t="s">
        <v>76</v>
      </c>
      <c r="AD2106" t="s">
        <v>73</v>
      </c>
      <c r="AE2106" t="s">
        <v>77</v>
      </c>
      <c r="AF2106" t="s">
        <v>2242</v>
      </c>
      <c r="AG2106" t="s">
        <v>78</v>
      </c>
    </row>
    <row r="2107" spans="1:33" hidden="1" x14ac:dyDescent="0.25">
      <c r="A2107" t="str">
        <f>"1376523746"</f>
        <v>1376523746</v>
      </c>
      <c r="B2107" t="str">
        <f>"03142725"</f>
        <v>03142725</v>
      </c>
      <c r="C2107" t="s">
        <v>9469</v>
      </c>
      <c r="D2107" t="s">
        <v>9470</v>
      </c>
      <c r="E2107" t="s">
        <v>9471</v>
      </c>
      <c r="L2107" t="s">
        <v>80</v>
      </c>
      <c r="M2107" t="s">
        <v>73</v>
      </c>
      <c r="R2107" t="s">
        <v>9472</v>
      </c>
      <c r="W2107" t="s">
        <v>9471</v>
      </c>
      <c r="X2107" t="s">
        <v>167</v>
      </c>
      <c r="Y2107" t="s">
        <v>91</v>
      </c>
      <c r="Z2107" t="s">
        <v>74</v>
      </c>
      <c r="AA2107" t="str">
        <f t="shared" ref="AA2107:AA2112" si="2">"10032-3720"</f>
        <v>10032-3720</v>
      </c>
      <c r="AB2107" t="s">
        <v>75</v>
      </c>
      <c r="AC2107" t="s">
        <v>76</v>
      </c>
      <c r="AD2107" t="s">
        <v>73</v>
      </c>
      <c r="AE2107" t="s">
        <v>77</v>
      </c>
      <c r="AF2107" t="s">
        <v>2228</v>
      </c>
      <c r="AG2107" t="s">
        <v>78</v>
      </c>
    </row>
    <row r="2108" spans="1:33" hidden="1" x14ac:dyDescent="0.25">
      <c r="A2108" t="str">
        <f>"1194760108"</f>
        <v>1194760108</v>
      </c>
      <c r="B2108" t="str">
        <f>"01424666"</f>
        <v>01424666</v>
      </c>
      <c r="C2108" t="s">
        <v>9473</v>
      </c>
      <c r="D2108" t="s">
        <v>9474</v>
      </c>
      <c r="E2108" t="s">
        <v>9475</v>
      </c>
      <c r="L2108" t="s">
        <v>80</v>
      </c>
      <c r="M2108" t="s">
        <v>73</v>
      </c>
      <c r="R2108" t="s">
        <v>9476</v>
      </c>
      <c r="W2108" t="s">
        <v>9475</v>
      </c>
      <c r="X2108" t="s">
        <v>2071</v>
      </c>
      <c r="Y2108" t="s">
        <v>91</v>
      </c>
      <c r="Z2108" t="s">
        <v>74</v>
      </c>
      <c r="AA2108" t="str">
        <f t="shared" si="2"/>
        <v>10032-3720</v>
      </c>
      <c r="AB2108" t="s">
        <v>75</v>
      </c>
      <c r="AC2108" t="s">
        <v>76</v>
      </c>
      <c r="AD2108" t="s">
        <v>73</v>
      </c>
      <c r="AE2108" t="s">
        <v>77</v>
      </c>
      <c r="AF2108" t="s">
        <v>2228</v>
      </c>
      <c r="AG2108" t="s">
        <v>78</v>
      </c>
    </row>
    <row r="2109" spans="1:33" hidden="1" x14ac:dyDescent="0.25">
      <c r="A2109" t="str">
        <f>"1184669004"</f>
        <v>1184669004</v>
      </c>
      <c r="B2109" t="str">
        <f>"01252271"</f>
        <v>01252271</v>
      </c>
      <c r="C2109" t="s">
        <v>9477</v>
      </c>
      <c r="D2109" t="s">
        <v>9478</v>
      </c>
      <c r="E2109" t="s">
        <v>9479</v>
      </c>
      <c r="L2109" t="s">
        <v>80</v>
      </c>
      <c r="M2109" t="s">
        <v>73</v>
      </c>
      <c r="R2109" t="s">
        <v>9480</v>
      </c>
      <c r="W2109" t="s">
        <v>9479</v>
      </c>
      <c r="Y2109" t="s">
        <v>91</v>
      </c>
      <c r="Z2109" t="s">
        <v>74</v>
      </c>
      <c r="AA2109" t="str">
        <f t="shared" si="2"/>
        <v>10032-3720</v>
      </c>
      <c r="AB2109" t="s">
        <v>75</v>
      </c>
      <c r="AC2109" t="s">
        <v>76</v>
      </c>
      <c r="AD2109" t="s">
        <v>73</v>
      </c>
      <c r="AE2109" t="s">
        <v>77</v>
      </c>
      <c r="AF2109" t="s">
        <v>2228</v>
      </c>
      <c r="AG2109" t="s">
        <v>78</v>
      </c>
    </row>
    <row r="2110" spans="1:33" hidden="1" x14ac:dyDescent="0.25">
      <c r="A2110" t="str">
        <f>"1407884133"</f>
        <v>1407884133</v>
      </c>
      <c r="B2110" t="str">
        <f>"01670153"</f>
        <v>01670153</v>
      </c>
      <c r="C2110" t="s">
        <v>9481</v>
      </c>
      <c r="D2110" t="s">
        <v>9482</v>
      </c>
      <c r="E2110" t="s">
        <v>9483</v>
      </c>
      <c r="L2110" t="s">
        <v>80</v>
      </c>
      <c r="M2110" t="s">
        <v>73</v>
      </c>
      <c r="R2110" t="s">
        <v>1164</v>
      </c>
      <c r="W2110" t="s">
        <v>9483</v>
      </c>
      <c r="X2110" t="s">
        <v>167</v>
      </c>
      <c r="Y2110" t="s">
        <v>91</v>
      </c>
      <c r="Z2110" t="s">
        <v>74</v>
      </c>
      <c r="AA2110" t="str">
        <f t="shared" si="2"/>
        <v>10032-3720</v>
      </c>
      <c r="AB2110" t="s">
        <v>75</v>
      </c>
      <c r="AC2110" t="s">
        <v>76</v>
      </c>
      <c r="AD2110" t="s">
        <v>73</v>
      </c>
      <c r="AE2110" t="s">
        <v>77</v>
      </c>
      <c r="AF2110" t="s">
        <v>2228</v>
      </c>
      <c r="AG2110" t="s">
        <v>78</v>
      </c>
    </row>
    <row r="2111" spans="1:33" hidden="1" x14ac:dyDescent="0.25">
      <c r="A2111" t="str">
        <f>"1962555896"</f>
        <v>1962555896</v>
      </c>
      <c r="B2111" t="str">
        <f>"00727440"</f>
        <v>00727440</v>
      </c>
      <c r="C2111" t="s">
        <v>9484</v>
      </c>
      <c r="D2111" t="s">
        <v>9485</v>
      </c>
      <c r="E2111" t="s">
        <v>9486</v>
      </c>
      <c r="L2111" t="s">
        <v>80</v>
      </c>
      <c r="M2111" t="s">
        <v>73</v>
      </c>
      <c r="R2111" t="s">
        <v>9487</v>
      </c>
      <c r="W2111" t="s">
        <v>9488</v>
      </c>
      <c r="X2111" t="s">
        <v>167</v>
      </c>
      <c r="Y2111" t="s">
        <v>91</v>
      </c>
      <c r="Z2111" t="s">
        <v>74</v>
      </c>
      <c r="AA2111" t="str">
        <f t="shared" si="2"/>
        <v>10032-3720</v>
      </c>
      <c r="AB2111" t="s">
        <v>75</v>
      </c>
      <c r="AC2111" t="s">
        <v>76</v>
      </c>
      <c r="AD2111" t="s">
        <v>73</v>
      </c>
      <c r="AE2111" t="s">
        <v>77</v>
      </c>
      <c r="AF2111" t="s">
        <v>2228</v>
      </c>
      <c r="AG2111" t="s">
        <v>78</v>
      </c>
    </row>
    <row r="2112" spans="1:33" hidden="1" x14ac:dyDescent="0.25">
      <c r="A2112" t="str">
        <f>"1750554861"</f>
        <v>1750554861</v>
      </c>
      <c r="B2112" t="str">
        <f>"02982245"</f>
        <v>02982245</v>
      </c>
      <c r="C2112" t="s">
        <v>9489</v>
      </c>
      <c r="D2112" t="s">
        <v>9490</v>
      </c>
      <c r="E2112" t="s">
        <v>9491</v>
      </c>
      <c r="L2112" t="s">
        <v>80</v>
      </c>
      <c r="M2112" t="s">
        <v>73</v>
      </c>
      <c r="R2112" t="s">
        <v>9492</v>
      </c>
      <c r="W2112" t="s">
        <v>9493</v>
      </c>
      <c r="X2112" t="s">
        <v>167</v>
      </c>
      <c r="Y2112" t="s">
        <v>91</v>
      </c>
      <c r="Z2112" t="s">
        <v>74</v>
      </c>
      <c r="AA2112" t="str">
        <f t="shared" si="2"/>
        <v>10032-3720</v>
      </c>
      <c r="AB2112" t="s">
        <v>75</v>
      </c>
      <c r="AC2112" t="s">
        <v>76</v>
      </c>
      <c r="AD2112" t="s">
        <v>73</v>
      </c>
      <c r="AE2112" t="s">
        <v>77</v>
      </c>
      <c r="AF2112" t="s">
        <v>2228</v>
      </c>
      <c r="AG2112" t="s">
        <v>78</v>
      </c>
    </row>
    <row r="2113" spans="1:33" hidden="1" x14ac:dyDescent="0.25">
      <c r="A2113" t="str">
        <f>"1730487554"</f>
        <v>1730487554</v>
      </c>
      <c r="C2113" t="s">
        <v>9494</v>
      </c>
      <c r="G2113" t="s">
        <v>2224</v>
      </c>
      <c r="H2113" t="s">
        <v>2312</v>
      </c>
      <c r="J2113" t="s">
        <v>2226</v>
      </c>
      <c r="K2113" t="s">
        <v>171</v>
      </c>
      <c r="L2113" t="s">
        <v>72</v>
      </c>
      <c r="M2113" t="s">
        <v>73</v>
      </c>
      <c r="R2113" t="s">
        <v>9495</v>
      </c>
      <c r="S2113" t="s">
        <v>167</v>
      </c>
      <c r="T2113" t="s">
        <v>91</v>
      </c>
      <c r="U2113" t="s">
        <v>74</v>
      </c>
      <c r="V2113" t="str">
        <f>"100323720"</f>
        <v>100323720</v>
      </c>
      <c r="AC2113" t="s">
        <v>76</v>
      </c>
      <c r="AD2113" t="s">
        <v>73</v>
      </c>
      <c r="AE2113" t="s">
        <v>97</v>
      </c>
      <c r="AF2113" t="s">
        <v>2228</v>
      </c>
      <c r="AG2113" t="s">
        <v>78</v>
      </c>
    </row>
    <row r="2114" spans="1:33" hidden="1" x14ac:dyDescent="0.25">
      <c r="A2114" t="str">
        <f>"1750542999"</f>
        <v>1750542999</v>
      </c>
      <c r="B2114" t="str">
        <f>"03623690"</f>
        <v>03623690</v>
      </c>
      <c r="C2114" t="s">
        <v>9496</v>
      </c>
      <c r="D2114" t="s">
        <v>9497</v>
      </c>
      <c r="E2114" t="s">
        <v>9498</v>
      </c>
      <c r="G2114" t="s">
        <v>2224</v>
      </c>
      <c r="H2114" t="s">
        <v>2225</v>
      </c>
      <c r="J2114" t="s">
        <v>2226</v>
      </c>
      <c r="L2114" t="s">
        <v>81</v>
      </c>
      <c r="M2114" t="s">
        <v>73</v>
      </c>
      <c r="R2114" t="s">
        <v>9499</v>
      </c>
      <c r="W2114" t="s">
        <v>9498</v>
      </c>
      <c r="X2114" t="s">
        <v>167</v>
      </c>
      <c r="Y2114" t="s">
        <v>91</v>
      </c>
      <c r="Z2114" t="s">
        <v>74</v>
      </c>
      <c r="AA2114" t="str">
        <f>"10032-3720"</f>
        <v>10032-3720</v>
      </c>
      <c r="AB2114" t="s">
        <v>75</v>
      </c>
      <c r="AC2114" t="s">
        <v>76</v>
      </c>
      <c r="AD2114" t="s">
        <v>73</v>
      </c>
      <c r="AE2114" t="s">
        <v>77</v>
      </c>
      <c r="AF2114" t="s">
        <v>2228</v>
      </c>
      <c r="AG2114" t="s">
        <v>78</v>
      </c>
    </row>
    <row r="2115" spans="1:33" hidden="1" x14ac:dyDescent="0.25">
      <c r="A2115" t="str">
        <f>"1750548210"</f>
        <v>1750548210</v>
      </c>
      <c r="B2115" t="str">
        <f>"03576854"</f>
        <v>03576854</v>
      </c>
      <c r="C2115" t="s">
        <v>9500</v>
      </c>
      <c r="D2115" t="s">
        <v>9501</v>
      </c>
      <c r="E2115" t="s">
        <v>9502</v>
      </c>
      <c r="G2115" t="s">
        <v>2224</v>
      </c>
      <c r="H2115" t="s">
        <v>2225</v>
      </c>
      <c r="J2115" t="s">
        <v>2226</v>
      </c>
      <c r="L2115" t="s">
        <v>80</v>
      </c>
      <c r="M2115" t="s">
        <v>73</v>
      </c>
      <c r="R2115" t="s">
        <v>9503</v>
      </c>
      <c r="W2115" t="s">
        <v>9502</v>
      </c>
      <c r="X2115" t="s">
        <v>1583</v>
      </c>
      <c r="Y2115" t="s">
        <v>91</v>
      </c>
      <c r="Z2115" t="s">
        <v>74</v>
      </c>
      <c r="AA2115" t="str">
        <f>"10021-9800"</f>
        <v>10021-9800</v>
      </c>
      <c r="AB2115" t="s">
        <v>75</v>
      </c>
      <c r="AC2115" t="s">
        <v>76</v>
      </c>
      <c r="AD2115" t="s">
        <v>73</v>
      </c>
      <c r="AE2115" t="s">
        <v>77</v>
      </c>
      <c r="AF2115" t="s">
        <v>2398</v>
      </c>
      <c r="AG2115" t="s">
        <v>78</v>
      </c>
    </row>
    <row r="2116" spans="1:33" hidden="1" x14ac:dyDescent="0.25">
      <c r="A2116" t="str">
        <f>"1750566469"</f>
        <v>1750566469</v>
      </c>
      <c r="B2116" t="str">
        <f>"03367228"</f>
        <v>03367228</v>
      </c>
      <c r="C2116" t="s">
        <v>9504</v>
      </c>
      <c r="D2116" t="s">
        <v>9505</v>
      </c>
      <c r="E2116" t="s">
        <v>9506</v>
      </c>
      <c r="G2116" t="s">
        <v>2224</v>
      </c>
      <c r="H2116" t="s">
        <v>2225</v>
      </c>
      <c r="J2116" t="s">
        <v>2226</v>
      </c>
      <c r="L2116" t="s">
        <v>72</v>
      </c>
      <c r="M2116" t="s">
        <v>73</v>
      </c>
      <c r="R2116" t="s">
        <v>9507</v>
      </c>
      <c r="W2116" t="s">
        <v>9506</v>
      </c>
      <c r="X2116" t="s">
        <v>9508</v>
      </c>
      <c r="Y2116" t="s">
        <v>1381</v>
      </c>
      <c r="Z2116" t="s">
        <v>74</v>
      </c>
      <c r="AA2116" t="str">
        <f>"10577-2561"</f>
        <v>10577-2561</v>
      </c>
      <c r="AB2116" t="s">
        <v>75</v>
      </c>
      <c r="AC2116" t="s">
        <v>76</v>
      </c>
      <c r="AD2116" t="s">
        <v>73</v>
      </c>
      <c r="AE2116" t="s">
        <v>77</v>
      </c>
      <c r="AF2116" t="s">
        <v>2254</v>
      </c>
      <c r="AG2116" t="s">
        <v>78</v>
      </c>
    </row>
    <row r="2117" spans="1:33" hidden="1" x14ac:dyDescent="0.25">
      <c r="A2117" t="str">
        <f>"1407806664"</f>
        <v>1407806664</v>
      </c>
      <c r="B2117" t="str">
        <f>"03244846"</f>
        <v>03244846</v>
      </c>
      <c r="C2117" t="s">
        <v>9509</v>
      </c>
      <c r="D2117" t="s">
        <v>9510</v>
      </c>
      <c r="E2117" t="s">
        <v>9511</v>
      </c>
      <c r="G2117" t="s">
        <v>2224</v>
      </c>
      <c r="H2117" t="s">
        <v>2225</v>
      </c>
      <c r="J2117" t="s">
        <v>2226</v>
      </c>
      <c r="L2117" t="s">
        <v>72</v>
      </c>
      <c r="M2117" t="s">
        <v>73</v>
      </c>
      <c r="R2117" t="s">
        <v>9512</v>
      </c>
      <c r="W2117" t="s">
        <v>9511</v>
      </c>
      <c r="X2117" t="s">
        <v>184</v>
      </c>
      <c r="Y2117" t="s">
        <v>162</v>
      </c>
      <c r="Z2117" t="s">
        <v>74</v>
      </c>
      <c r="AA2117" t="str">
        <f>"11102-2448"</f>
        <v>11102-2448</v>
      </c>
      <c r="AB2117" t="s">
        <v>75</v>
      </c>
      <c r="AC2117" t="s">
        <v>76</v>
      </c>
      <c r="AD2117" t="s">
        <v>73</v>
      </c>
      <c r="AE2117" t="s">
        <v>77</v>
      </c>
      <c r="AF2117" t="s">
        <v>2242</v>
      </c>
      <c r="AG2117" t="s">
        <v>78</v>
      </c>
    </row>
    <row r="2118" spans="1:33" hidden="1" x14ac:dyDescent="0.25">
      <c r="A2118" t="str">
        <f>"1174634406"</f>
        <v>1174634406</v>
      </c>
      <c r="B2118" t="str">
        <f>"03448611"</f>
        <v>03448611</v>
      </c>
      <c r="C2118" t="s">
        <v>3498</v>
      </c>
      <c r="D2118" t="s">
        <v>9513</v>
      </c>
      <c r="E2118" t="s">
        <v>4418</v>
      </c>
      <c r="L2118" t="s">
        <v>36</v>
      </c>
      <c r="M2118" t="s">
        <v>73</v>
      </c>
      <c r="R2118" t="s">
        <v>3498</v>
      </c>
      <c r="W2118" t="s">
        <v>4418</v>
      </c>
      <c r="X2118" t="s">
        <v>1583</v>
      </c>
      <c r="Y2118" t="s">
        <v>91</v>
      </c>
      <c r="Z2118" t="s">
        <v>74</v>
      </c>
      <c r="AA2118" t="str">
        <f>"10021-9800"</f>
        <v>10021-9800</v>
      </c>
      <c r="AB2118" t="s">
        <v>114</v>
      </c>
      <c r="AC2118" t="s">
        <v>76</v>
      </c>
      <c r="AD2118" t="s">
        <v>73</v>
      </c>
      <c r="AE2118" t="s">
        <v>77</v>
      </c>
      <c r="AG2118" t="s">
        <v>78</v>
      </c>
    </row>
    <row r="2119" spans="1:33" hidden="1" x14ac:dyDescent="0.25">
      <c r="A2119" t="str">
        <f>"1730304270"</f>
        <v>1730304270</v>
      </c>
      <c r="B2119" t="str">
        <f>"03014317"</f>
        <v>03014317</v>
      </c>
      <c r="C2119" t="s">
        <v>9514</v>
      </c>
      <c r="D2119" t="s">
        <v>9515</v>
      </c>
      <c r="E2119" t="s">
        <v>9516</v>
      </c>
      <c r="L2119" t="s">
        <v>81</v>
      </c>
      <c r="M2119" t="s">
        <v>73</v>
      </c>
      <c r="R2119" t="s">
        <v>9514</v>
      </c>
      <c r="W2119" t="s">
        <v>9516</v>
      </c>
      <c r="X2119" t="s">
        <v>9517</v>
      </c>
      <c r="Y2119" t="s">
        <v>91</v>
      </c>
      <c r="Z2119" t="s">
        <v>74</v>
      </c>
      <c r="AA2119" t="str">
        <f>"10033-2081"</f>
        <v>10033-2081</v>
      </c>
      <c r="AB2119" t="s">
        <v>114</v>
      </c>
      <c r="AC2119" t="s">
        <v>76</v>
      </c>
      <c r="AD2119" t="s">
        <v>73</v>
      </c>
      <c r="AE2119" t="s">
        <v>77</v>
      </c>
      <c r="AF2119" t="s">
        <v>2228</v>
      </c>
      <c r="AG2119" t="s">
        <v>78</v>
      </c>
    </row>
    <row r="2120" spans="1:33" hidden="1" x14ac:dyDescent="0.25">
      <c r="A2120" t="str">
        <f>"1033323522"</f>
        <v>1033323522</v>
      </c>
      <c r="B2120" t="str">
        <f>"02889114"</f>
        <v>02889114</v>
      </c>
      <c r="C2120" t="s">
        <v>1128</v>
      </c>
      <c r="D2120" t="s">
        <v>1126</v>
      </c>
      <c r="E2120" t="s">
        <v>1127</v>
      </c>
      <c r="L2120" t="s">
        <v>16</v>
      </c>
      <c r="M2120" t="s">
        <v>82</v>
      </c>
      <c r="R2120" t="s">
        <v>1128</v>
      </c>
      <c r="W2120" t="s">
        <v>1127</v>
      </c>
      <c r="X2120" t="s">
        <v>1129</v>
      </c>
      <c r="Y2120" t="s">
        <v>91</v>
      </c>
      <c r="Z2120" t="s">
        <v>74</v>
      </c>
      <c r="AA2120" t="str">
        <f>"10035-4733"</f>
        <v>10035-4733</v>
      </c>
      <c r="AB2120" t="s">
        <v>119</v>
      </c>
      <c r="AC2120" t="s">
        <v>76</v>
      </c>
      <c r="AD2120" t="s">
        <v>73</v>
      </c>
      <c r="AE2120" t="s">
        <v>77</v>
      </c>
      <c r="AG2120" t="s">
        <v>78</v>
      </c>
    </row>
    <row r="2121" spans="1:33" hidden="1" x14ac:dyDescent="0.25">
      <c r="A2121" t="str">
        <f>"1669559753"</f>
        <v>1669559753</v>
      </c>
      <c r="B2121" t="str">
        <f>"02428191"</f>
        <v>02428191</v>
      </c>
      <c r="C2121" t="s">
        <v>9518</v>
      </c>
      <c r="D2121" t="s">
        <v>9519</v>
      </c>
      <c r="E2121" t="s">
        <v>9518</v>
      </c>
      <c r="L2121" t="s">
        <v>16</v>
      </c>
      <c r="M2121" t="s">
        <v>73</v>
      </c>
      <c r="R2121" t="s">
        <v>9518</v>
      </c>
      <c r="W2121" t="s">
        <v>9518</v>
      </c>
      <c r="X2121" t="s">
        <v>9520</v>
      </c>
      <c r="Y2121" t="s">
        <v>186</v>
      </c>
      <c r="Z2121" t="s">
        <v>1186</v>
      </c>
      <c r="AA2121" t="str">
        <f>"31408-3108"</f>
        <v>31408-3108</v>
      </c>
      <c r="AB2121" t="s">
        <v>119</v>
      </c>
      <c r="AC2121" t="s">
        <v>76</v>
      </c>
      <c r="AD2121" t="s">
        <v>73</v>
      </c>
      <c r="AE2121" t="s">
        <v>77</v>
      </c>
      <c r="AG2121" t="s">
        <v>78</v>
      </c>
    </row>
    <row r="2122" spans="1:33" hidden="1" x14ac:dyDescent="0.25">
      <c r="A2122" t="str">
        <f>"1538320940"</f>
        <v>1538320940</v>
      </c>
      <c r="B2122" t="str">
        <f>"04328745"</f>
        <v>04328745</v>
      </c>
      <c r="C2122" t="s">
        <v>9521</v>
      </c>
      <c r="D2122" t="s">
        <v>9522</v>
      </c>
      <c r="E2122" t="s">
        <v>9523</v>
      </c>
      <c r="L2122" t="s">
        <v>36</v>
      </c>
      <c r="M2122" t="s">
        <v>73</v>
      </c>
      <c r="R2122" t="s">
        <v>9523</v>
      </c>
      <c r="W2122" t="s">
        <v>9523</v>
      </c>
      <c r="X2122" t="s">
        <v>9524</v>
      </c>
      <c r="Y2122" t="s">
        <v>91</v>
      </c>
      <c r="Z2122" t="s">
        <v>74</v>
      </c>
      <c r="AA2122" t="str">
        <f>"10032-0422"</f>
        <v>10032-0422</v>
      </c>
      <c r="AB2122" t="s">
        <v>92</v>
      </c>
      <c r="AC2122" t="s">
        <v>76</v>
      </c>
      <c r="AD2122" t="s">
        <v>73</v>
      </c>
      <c r="AE2122" t="s">
        <v>77</v>
      </c>
      <c r="AG2122" t="s">
        <v>78</v>
      </c>
    </row>
    <row r="2123" spans="1:33" hidden="1" x14ac:dyDescent="0.25">
      <c r="A2123" t="str">
        <f>"1881609428"</f>
        <v>1881609428</v>
      </c>
      <c r="B2123" t="str">
        <f>"02700609"</f>
        <v>02700609</v>
      </c>
      <c r="C2123" t="s">
        <v>1942</v>
      </c>
      <c r="D2123" t="s">
        <v>1940</v>
      </c>
      <c r="E2123" t="s">
        <v>1941</v>
      </c>
      <c r="L2123" t="s">
        <v>16</v>
      </c>
      <c r="M2123" t="s">
        <v>73</v>
      </c>
      <c r="R2123" t="s">
        <v>1942</v>
      </c>
      <c r="W2123" t="s">
        <v>1941</v>
      </c>
      <c r="X2123" t="s">
        <v>1943</v>
      </c>
      <c r="Y2123" t="s">
        <v>558</v>
      </c>
      <c r="Z2123" t="s">
        <v>74</v>
      </c>
      <c r="AA2123" t="str">
        <f>"11747-3098"</f>
        <v>11747-3098</v>
      </c>
      <c r="AB2123" t="s">
        <v>119</v>
      </c>
      <c r="AC2123" t="s">
        <v>76</v>
      </c>
      <c r="AD2123" t="s">
        <v>73</v>
      </c>
      <c r="AE2123" t="s">
        <v>77</v>
      </c>
      <c r="AG2123" t="s">
        <v>78</v>
      </c>
    </row>
    <row r="2124" spans="1:33" hidden="1" x14ac:dyDescent="0.25">
      <c r="A2124" t="str">
        <f>"1578656708"</f>
        <v>1578656708</v>
      </c>
      <c r="B2124" t="str">
        <f>"03447812"</f>
        <v>03447812</v>
      </c>
      <c r="C2124" t="s">
        <v>9525</v>
      </c>
      <c r="D2124" t="s">
        <v>9526</v>
      </c>
      <c r="E2124" t="s">
        <v>9527</v>
      </c>
      <c r="L2124" t="s">
        <v>80</v>
      </c>
      <c r="M2124" t="s">
        <v>73</v>
      </c>
      <c r="R2124" t="s">
        <v>9528</v>
      </c>
      <c r="W2124" t="s">
        <v>9527</v>
      </c>
      <c r="X2124" t="s">
        <v>170</v>
      </c>
      <c r="Y2124" t="s">
        <v>91</v>
      </c>
      <c r="Z2124" t="s">
        <v>74</v>
      </c>
      <c r="AA2124" t="str">
        <f>"10065-4870"</f>
        <v>10065-4870</v>
      </c>
      <c r="AB2124" t="s">
        <v>75</v>
      </c>
      <c r="AC2124" t="s">
        <v>76</v>
      </c>
      <c r="AD2124" t="s">
        <v>73</v>
      </c>
      <c r="AE2124" t="s">
        <v>77</v>
      </c>
      <c r="AG2124" t="s">
        <v>78</v>
      </c>
    </row>
    <row r="2125" spans="1:33" hidden="1" x14ac:dyDescent="0.25">
      <c r="A2125" t="str">
        <f>"1851544001"</f>
        <v>1851544001</v>
      </c>
      <c r="B2125" t="str">
        <f>"03152292"</f>
        <v>03152292</v>
      </c>
      <c r="C2125" t="s">
        <v>9529</v>
      </c>
      <c r="D2125" t="s">
        <v>9530</v>
      </c>
      <c r="E2125" t="s">
        <v>9531</v>
      </c>
      <c r="L2125" t="s">
        <v>80</v>
      </c>
      <c r="M2125" t="s">
        <v>73</v>
      </c>
      <c r="R2125" t="s">
        <v>9532</v>
      </c>
      <c r="W2125" t="s">
        <v>9531</v>
      </c>
      <c r="X2125" t="s">
        <v>170</v>
      </c>
      <c r="Y2125" t="s">
        <v>91</v>
      </c>
      <c r="Z2125" t="s">
        <v>74</v>
      </c>
      <c r="AA2125" t="str">
        <f>"10065-4870"</f>
        <v>10065-4870</v>
      </c>
      <c r="AB2125" t="s">
        <v>75</v>
      </c>
      <c r="AC2125" t="s">
        <v>76</v>
      </c>
      <c r="AD2125" t="s">
        <v>73</v>
      </c>
      <c r="AE2125" t="s">
        <v>77</v>
      </c>
      <c r="AF2125" t="s">
        <v>2242</v>
      </c>
      <c r="AG2125" t="s">
        <v>78</v>
      </c>
    </row>
    <row r="2126" spans="1:33" hidden="1" x14ac:dyDescent="0.25">
      <c r="A2126" t="str">
        <f>"1538451950"</f>
        <v>1538451950</v>
      </c>
      <c r="C2126" t="s">
        <v>9533</v>
      </c>
      <c r="G2126" t="s">
        <v>2224</v>
      </c>
      <c r="H2126" t="s">
        <v>2312</v>
      </c>
      <c r="J2126" t="s">
        <v>2226</v>
      </c>
      <c r="K2126" t="s">
        <v>171</v>
      </c>
      <c r="L2126" t="s">
        <v>96</v>
      </c>
      <c r="M2126" t="s">
        <v>73</v>
      </c>
      <c r="R2126" t="s">
        <v>9534</v>
      </c>
      <c r="S2126" t="s">
        <v>3527</v>
      </c>
      <c r="T2126" t="s">
        <v>91</v>
      </c>
      <c r="U2126" t="s">
        <v>74</v>
      </c>
      <c r="V2126" t="str">
        <f>"100654870"</f>
        <v>100654870</v>
      </c>
      <c r="AC2126" t="s">
        <v>76</v>
      </c>
      <c r="AD2126" t="s">
        <v>73</v>
      </c>
      <c r="AE2126" t="s">
        <v>97</v>
      </c>
      <c r="AF2126" t="s">
        <v>2234</v>
      </c>
      <c r="AG2126" t="s">
        <v>78</v>
      </c>
    </row>
    <row r="2127" spans="1:33" hidden="1" x14ac:dyDescent="0.25">
      <c r="A2127" t="str">
        <f>"1285977827"</f>
        <v>1285977827</v>
      </c>
      <c r="C2127" t="s">
        <v>9535</v>
      </c>
      <c r="G2127" t="s">
        <v>2224</v>
      </c>
      <c r="H2127" t="s">
        <v>2312</v>
      </c>
      <c r="J2127" t="s">
        <v>2226</v>
      </c>
      <c r="K2127" t="s">
        <v>171</v>
      </c>
      <c r="L2127" t="s">
        <v>96</v>
      </c>
      <c r="M2127" t="s">
        <v>73</v>
      </c>
      <c r="R2127" t="s">
        <v>9536</v>
      </c>
      <c r="S2127" t="s">
        <v>9537</v>
      </c>
      <c r="T2127" t="s">
        <v>91</v>
      </c>
      <c r="U2127" t="s">
        <v>74</v>
      </c>
      <c r="V2127" t="str">
        <f>"100654870"</f>
        <v>100654870</v>
      </c>
      <c r="AC2127" t="s">
        <v>76</v>
      </c>
      <c r="AD2127" t="s">
        <v>73</v>
      </c>
      <c r="AE2127" t="s">
        <v>97</v>
      </c>
      <c r="AF2127" t="s">
        <v>2242</v>
      </c>
      <c r="AG2127" t="s">
        <v>78</v>
      </c>
    </row>
    <row r="2128" spans="1:33" hidden="1" x14ac:dyDescent="0.25">
      <c r="A2128" t="str">
        <f>"1174967822"</f>
        <v>1174967822</v>
      </c>
      <c r="C2128" t="s">
        <v>9538</v>
      </c>
      <c r="G2128" t="s">
        <v>2224</v>
      </c>
      <c r="H2128" t="s">
        <v>2312</v>
      </c>
      <c r="J2128" t="s">
        <v>2226</v>
      </c>
      <c r="K2128" t="s">
        <v>171</v>
      </c>
      <c r="L2128" t="s">
        <v>96</v>
      </c>
      <c r="M2128" t="s">
        <v>73</v>
      </c>
      <c r="R2128" t="s">
        <v>9539</v>
      </c>
      <c r="S2128" t="s">
        <v>170</v>
      </c>
      <c r="T2128" t="s">
        <v>91</v>
      </c>
      <c r="U2128" t="s">
        <v>74</v>
      </c>
      <c r="V2128" t="str">
        <f>"100654870"</f>
        <v>100654870</v>
      </c>
      <c r="AC2128" t="s">
        <v>76</v>
      </c>
      <c r="AD2128" t="s">
        <v>73</v>
      </c>
      <c r="AE2128" t="s">
        <v>97</v>
      </c>
      <c r="AF2128" t="s">
        <v>2242</v>
      </c>
      <c r="AG2128" t="s">
        <v>78</v>
      </c>
    </row>
    <row r="2129" spans="1:33" hidden="1" x14ac:dyDescent="0.25">
      <c r="A2129" t="str">
        <f>"1245573500"</f>
        <v>1245573500</v>
      </c>
      <c r="C2129" t="s">
        <v>9540</v>
      </c>
      <c r="G2129" t="s">
        <v>2224</v>
      </c>
      <c r="H2129" t="s">
        <v>2312</v>
      </c>
      <c r="J2129" t="s">
        <v>2226</v>
      </c>
      <c r="K2129" t="s">
        <v>171</v>
      </c>
      <c r="L2129" t="s">
        <v>96</v>
      </c>
      <c r="M2129" t="s">
        <v>73</v>
      </c>
      <c r="R2129" t="s">
        <v>9541</v>
      </c>
      <c r="S2129" t="s">
        <v>9542</v>
      </c>
      <c r="T2129" t="s">
        <v>91</v>
      </c>
      <c r="U2129" t="s">
        <v>74</v>
      </c>
      <c r="V2129" t="str">
        <f>"100654870"</f>
        <v>100654870</v>
      </c>
      <c r="AC2129" t="s">
        <v>76</v>
      </c>
      <c r="AD2129" t="s">
        <v>73</v>
      </c>
      <c r="AE2129" t="s">
        <v>97</v>
      </c>
      <c r="AF2129" t="s">
        <v>2242</v>
      </c>
      <c r="AG2129" t="s">
        <v>78</v>
      </c>
    </row>
    <row r="2130" spans="1:33" hidden="1" x14ac:dyDescent="0.25">
      <c r="A2130" t="str">
        <f>"1780028571"</f>
        <v>1780028571</v>
      </c>
      <c r="C2130" t="s">
        <v>9543</v>
      </c>
      <c r="G2130" t="s">
        <v>2224</v>
      </c>
      <c r="H2130" t="s">
        <v>2312</v>
      </c>
      <c r="J2130" t="s">
        <v>2226</v>
      </c>
      <c r="K2130" t="s">
        <v>171</v>
      </c>
      <c r="L2130" t="s">
        <v>96</v>
      </c>
      <c r="M2130" t="s">
        <v>73</v>
      </c>
      <c r="R2130" t="s">
        <v>9544</v>
      </c>
      <c r="S2130" t="s">
        <v>2314</v>
      </c>
      <c r="T2130" t="s">
        <v>91</v>
      </c>
      <c r="U2130" t="s">
        <v>74</v>
      </c>
      <c r="V2130" t="str">
        <f>"100654870"</f>
        <v>100654870</v>
      </c>
      <c r="AC2130" t="s">
        <v>76</v>
      </c>
      <c r="AD2130" t="s">
        <v>73</v>
      </c>
      <c r="AE2130" t="s">
        <v>97</v>
      </c>
      <c r="AF2130" t="s">
        <v>2242</v>
      </c>
      <c r="AG2130" t="s">
        <v>78</v>
      </c>
    </row>
    <row r="2131" spans="1:33" hidden="1" x14ac:dyDescent="0.25">
      <c r="A2131" t="str">
        <f>"1548408404"</f>
        <v>1548408404</v>
      </c>
      <c r="B2131" t="str">
        <f>"03254097"</f>
        <v>03254097</v>
      </c>
      <c r="C2131" t="s">
        <v>9545</v>
      </c>
      <c r="D2131" t="s">
        <v>9546</v>
      </c>
      <c r="E2131" t="s">
        <v>9547</v>
      </c>
      <c r="L2131" t="s">
        <v>80</v>
      </c>
      <c r="M2131" t="s">
        <v>73</v>
      </c>
      <c r="R2131" t="s">
        <v>9548</v>
      </c>
      <c r="W2131" t="s">
        <v>9549</v>
      </c>
      <c r="X2131" t="s">
        <v>170</v>
      </c>
      <c r="Y2131" t="s">
        <v>91</v>
      </c>
      <c r="Z2131" t="s">
        <v>74</v>
      </c>
      <c r="AA2131" t="str">
        <f>"10065-4870"</f>
        <v>10065-4870</v>
      </c>
      <c r="AB2131" t="s">
        <v>75</v>
      </c>
      <c r="AC2131" t="s">
        <v>76</v>
      </c>
      <c r="AD2131" t="s">
        <v>73</v>
      </c>
      <c r="AE2131" t="s">
        <v>77</v>
      </c>
      <c r="AF2131" t="s">
        <v>2242</v>
      </c>
      <c r="AG2131" t="s">
        <v>78</v>
      </c>
    </row>
    <row r="2132" spans="1:33" hidden="1" x14ac:dyDescent="0.25">
      <c r="A2132" t="str">
        <f>"1457440745"</f>
        <v>1457440745</v>
      </c>
      <c r="B2132" t="str">
        <f>"03377084"</f>
        <v>03377084</v>
      </c>
      <c r="C2132" t="s">
        <v>9550</v>
      </c>
      <c r="D2132" t="s">
        <v>9551</v>
      </c>
      <c r="E2132" t="s">
        <v>9552</v>
      </c>
      <c r="G2132" t="s">
        <v>2224</v>
      </c>
      <c r="H2132" t="s">
        <v>9553</v>
      </c>
      <c r="J2132" t="s">
        <v>2226</v>
      </c>
      <c r="L2132" t="s">
        <v>72</v>
      </c>
      <c r="M2132" t="s">
        <v>73</v>
      </c>
      <c r="R2132" t="s">
        <v>9554</v>
      </c>
      <c r="W2132" t="s">
        <v>9554</v>
      </c>
      <c r="X2132" t="s">
        <v>183</v>
      </c>
      <c r="Y2132" t="s">
        <v>91</v>
      </c>
      <c r="Z2132" t="s">
        <v>74</v>
      </c>
      <c r="AA2132" t="str">
        <f>"10032-3729"</f>
        <v>10032-3729</v>
      </c>
      <c r="AB2132" t="s">
        <v>75</v>
      </c>
      <c r="AC2132" t="s">
        <v>76</v>
      </c>
      <c r="AD2132" t="s">
        <v>73</v>
      </c>
      <c r="AE2132" t="s">
        <v>77</v>
      </c>
      <c r="AF2132" t="s">
        <v>2228</v>
      </c>
      <c r="AG2132" t="s">
        <v>78</v>
      </c>
    </row>
    <row r="2133" spans="1:33" hidden="1" x14ac:dyDescent="0.25">
      <c r="A2133" t="str">
        <f>"1215196928"</f>
        <v>1215196928</v>
      </c>
      <c r="B2133" t="str">
        <f>"03261254"</f>
        <v>03261254</v>
      </c>
      <c r="C2133" t="s">
        <v>9555</v>
      </c>
      <c r="D2133" t="s">
        <v>9556</v>
      </c>
      <c r="E2133" t="s">
        <v>9557</v>
      </c>
      <c r="G2133" t="s">
        <v>2224</v>
      </c>
      <c r="H2133" t="s">
        <v>2225</v>
      </c>
      <c r="J2133" t="s">
        <v>2226</v>
      </c>
      <c r="L2133" t="s">
        <v>72</v>
      </c>
      <c r="M2133" t="s">
        <v>73</v>
      </c>
      <c r="R2133" t="s">
        <v>9558</v>
      </c>
      <c r="W2133" t="s">
        <v>9557</v>
      </c>
      <c r="X2133" t="s">
        <v>9559</v>
      </c>
      <c r="Y2133" t="s">
        <v>138</v>
      </c>
      <c r="Z2133" t="s">
        <v>74</v>
      </c>
      <c r="AA2133" t="str">
        <f>"10301-2108"</f>
        <v>10301-2108</v>
      </c>
      <c r="AB2133" t="s">
        <v>75</v>
      </c>
      <c r="AC2133" t="s">
        <v>76</v>
      </c>
      <c r="AD2133" t="s">
        <v>73</v>
      </c>
      <c r="AE2133" t="s">
        <v>77</v>
      </c>
      <c r="AF2133" t="s">
        <v>2398</v>
      </c>
      <c r="AG2133" t="s">
        <v>78</v>
      </c>
    </row>
    <row r="2134" spans="1:33" hidden="1" x14ac:dyDescent="0.25">
      <c r="A2134" t="str">
        <f>"1548278773"</f>
        <v>1548278773</v>
      </c>
      <c r="B2134" t="str">
        <f>"02781753"</f>
        <v>02781753</v>
      </c>
      <c r="C2134" t="s">
        <v>9560</v>
      </c>
      <c r="D2134" t="s">
        <v>9561</v>
      </c>
      <c r="E2134" t="s">
        <v>9562</v>
      </c>
      <c r="L2134" t="s">
        <v>72</v>
      </c>
      <c r="M2134" t="s">
        <v>73</v>
      </c>
      <c r="R2134" t="s">
        <v>9563</v>
      </c>
      <c r="W2134" t="s">
        <v>9564</v>
      </c>
      <c r="X2134" t="s">
        <v>167</v>
      </c>
      <c r="Y2134" t="s">
        <v>91</v>
      </c>
      <c r="Z2134" t="s">
        <v>74</v>
      </c>
      <c r="AA2134" t="str">
        <f>"10032-3720"</f>
        <v>10032-3720</v>
      </c>
      <c r="AB2134" t="s">
        <v>75</v>
      </c>
      <c r="AC2134" t="s">
        <v>76</v>
      </c>
      <c r="AD2134" t="s">
        <v>73</v>
      </c>
      <c r="AE2134" t="s">
        <v>77</v>
      </c>
      <c r="AF2134" t="s">
        <v>2228</v>
      </c>
      <c r="AG2134" t="s">
        <v>78</v>
      </c>
    </row>
    <row r="2135" spans="1:33" hidden="1" x14ac:dyDescent="0.25">
      <c r="A2135" t="str">
        <f>"1902873227"</f>
        <v>1902873227</v>
      </c>
      <c r="C2135" t="s">
        <v>9565</v>
      </c>
      <c r="G2135" t="s">
        <v>2224</v>
      </c>
      <c r="H2135" t="s">
        <v>2312</v>
      </c>
      <c r="J2135" t="s">
        <v>2226</v>
      </c>
      <c r="K2135" t="s">
        <v>171</v>
      </c>
      <c r="L2135" t="s">
        <v>96</v>
      </c>
      <c r="M2135" t="s">
        <v>73</v>
      </c>
      <c r="R2135" t="s">
        <v>2168</v>
      </c>
      <c r="S2135" t="s">
        <v>2169</v>
      </c>
      <c r="T2135" t="s">
        <v>2028</v>
      </c>
      <c r="U2135" t="s">
        <v>224</v>
      </c>
      <c r="V2135" t="str">
        <f>"334184033"</f>
        <v>334184033</v>
      </c>
      <c r="AC2135" t="s">
        <v>76</v>
      </c>
      <c r="AD2135" t="s">
        <v>73</v>
      </c>
      <c r="AE2135" t="s">
        <v>97</v>
      </c>
      <c r="AF2135" t="s">
        <v>2228</v>
      </c>
      <c r="AG2135" t="s">
        <v>78</v>
      </c>
    </row>
    <row r="2136" spans="1:33" hidden="1" x14ac:dyDescent="0.25">
      <c r="A2136" t="str">
        <f>"1407900756"</f>
        <v>1407900756</v>
      </c>
      <c r="B2136" t="str">
        <f>"01652271"</f>
        <v>01652271</v>
      </c>
      <c r="C2136" t="s">
        <v>9566</v>
      </c>
      <c r="D2136" t="s">
        <v>9567</v>
      </c>
      <c r="E2136" t="s">
        <v>9568</v>
      </c>
      <c r="L2136" t="s">
        <v>96</v>
      </c>
      <c r="M2136" t="s">
        <v>73</v>
      </c>
      <c r="R2136" t="s">
        <v>9569</v>
      </c>
      <c r="W2136" t="s">
        <v>9568</v>
      </c>
      <c r="Y2136" t="s">
        <v>91</v>
      </c>
      <c r="Z2136" t="s">
        <v>74</v>
      </c>
      <c r="AA2136" t="str">
        <f>"10032-3720"</f>
        <v>10032-3720</v>
      </c>
      <c r="AB2136" t="s">
        <v>75</v>
      </c>
      <c r="AC2136" t="s">
        <v>76</v>
      </c>
      <c r="AD2136" t="s">
        <v>73</v>
      </c>
      <c r="AE2136" t="s">
        <v>77</v>
      </c>
      <c r="AF2136" t="s">
        <v>2228</v>
      </c>
      <c r="AG2136" t="s">
        <v>78</v>
      </c>
    </row>
    <row r="2137" spans="1:33" hidden="1" x14ac:dyDescent="0.25">
      <c r="A2137" t="str">
        <f>"1740336874"</f>
        <v>1740336874</v>
      </c>
      <c r="B2137" t="str">
        <f>"02643694"</f>
        <v>02643694</v>
      </c>
      <c r="C2137" t="s">
        <v>9570</v>
      </c>
      <c r="D2137" t="s">
        <v>9571</v>
      </c>
      <c r="E2137" t="s">
        <v>9572</v>
      </c>
      <c r="L2137" t="s">
        <v>80</v>
      </c>
      <c r="M2137" t="s">
        <v>73</v>
      </c>
      <c r="R2137" t="s">
        <v>9573</v>
      </c>
      <c r="W2137" t="s">
        <v>9574</v>
      </c>
      <c r="X2137" t="s">
        <v>167</v>
      </c>
      <c r="Y2137" t="s">
        <v>91</v>
      </c>
      <c r="Z2137" t="s">
        <v>74</v>
      </c>
      <c r="AA2137" t="str">
        <f>"10032-3720"</f>
        <v>10032-3720</v>
      </c>
      <c r="AB2137" t="s">
        <v>75</v>
      </c>
      <c r="AC2137" t="s">
        <v>76</v>
      </c>
      <c r="AD2137" t="s">
        <v>73</v>
      </c>
      <c r="AE2137" t="s">
        <v>77</v>
      </c>
      <c r="AF2137" t="s">
        <v>2228</v>
      </c>
      <c r="AG2137" t="s">
        <v>78</v>
      </c>
    </row>
    <row r="2138" spans="1:33" hidden="1" x14ac:dyDescent="0.25">
      <c r="A2138" t="str">
        <f>"1841478732"</f>
        <v>1841478732</v>
      </c>
      <c r="B2138" t="str">
        <f>"03286317"</f>
        <v>03286317</v>
      </c>
      <c r="C2138" t="s">
        <v>9575</v>
      </c>
      <c r="D2138" t="s">
        <v>9576</v>
      </c>
      <c r="E2138" t="s">
        <v>1477</v>
      </c>
      <c r="G2138" t="s">
        <v>2224</v>
      </c>
      <c r="H2138" t="s">
        <v>2225</v>
      </c>
      <c r="J2138" t="s">
        <v>2226</v>
      </c>
      <c r="L2138" t="s">
        <v>72</v>
      </c>
      <c r="M2138" t="s">
        <v>73</v>
      </c>
      <c r="R2138" t="s">
        <v>1477</v>
      </c>
      <c r="W2138" t="s">
        <v>1477</v>
      </c>
      <c r="X2138" t="s">
        <v>410</v>
      </c>
      <c r="Y2138" t="s">
        <v>91</v>
      </c>
      <c r="Z2138" t="s">
        <v>74</v>
      </c>
      <c r="AA2138" t="str">
        <f>"10032-1559"</f>
        <v>10032-1559</v>
      </c>
      <c r="AB2138" t="s">
        <v>75</v>
      </c>
      <c r="AC2138" t="s">
        <v>76</v>
      </c>
      <c r="AD2138" t="s">
        <v>73</v>
      </c>
      <c r="AE2138" t="s">
        <v>77</v>
      </c>
      <c r="AF2138" t="s">
        <v>2228</v>
      </c>
      <c r="AG2138" t="s">
        <v>78</v>
      </c>
    </row>
    <row r="2139" spans="1:33" hidden="1" x14ac:dyDescent="0.25">
      <c r="A2139" t="str">
        <f>"1487694691"</f>
        <v>1487694691</v>
      </c>
      <c r="C2139" t="s">
        <v>9577</v>
      </c>
      <c r="G2139" t="s">
        <v>2224</v>
      </c>
      <c r="H2139" t="s">
        <v>3874</v>
      </c>
      <c r="J2139" t="s">
        <v>2226</v>
      </c>
      <c r="K2139" t="s">
        <v>171</v>
      </c>
      <c r="L2139" t="s">
        <v>96</v>
      </c>
      <c r="M2139" t="s">
        <v>73</v>
      </c>
      <c r="R2139" t="s">
        <v>9578</v>
      </c>
      <c r="S2139" t="s">
        <v>9579</v>
      </c>
      <c r="T2139" t="s">
        <v>91</v>
      </c>
      <c r="U2139" t="s">
        <v>74</v>
      </c>
      <c r="V2139" t="str">
        <f>"100214805"</f>
        <v>100214805</v>
      </c>
      <c r="AC2139" t="s">
        <v>76</v>
      </c>
      <c r="AD2139" t="s">
        <v>73</v>
      </c>
      <c r="AE2139" t="s">
        <v>97</v>
      </c>
      <c r="AF2139" t="s">
        <v>2242</v>
      </c>
      <c r="AG2139" t="s">
        <v>78</v>
      </c>
    </row>
    <row r="2140" spans="1:33" hidden="1" x14ac:dyDescent="0.25">
      <c r="A2140" t="str">
        <f>"1083654602"</f>
        <v>1083654602</v>
      </c>
      <c r="B2140" t="str">
        <f>"01890977"</f>
        <v>01890977</v>
      </c>
      <c r="C2140" t="s">
        <v>9580</v>
      </c>
      <c r="D2140" t="s">
        <v>9581</v>
      </c>
      <c r="E2140" t="s">
        <v>9582</v>
      </c>
      <c r="G2140" t="s">
        <v>2224</v>
      </c>
      <c r="H2140" t="s">
        <v>3879</v>
      </c>
      <c r="J2140" t="s">
        <v>2226</v>
      </c>
      <c r="L2140" t="s">
        <v>80</v>
      </c>
      <c r="M2140" t="s">
        <v>73</v>
      </c>
      <c r="R2140" t="s">
        <v>9583</v>
      </c>
      <c r="W2140" t="s">
        <v>9582</v>
      </c>
      <c r="X2140" t="s">
        <v>9582</v>
      </c>
      <c r="Y2140" t="s">
        <v>132</v>
      </c>
      <c r="Z2140" t="s">
        <v>74</v>
      </c>
      <c r="AA2140" t="str">
        <f>"10595"</f>
        <v>10595</v>
      </c>
      <c r="AB2140" t="s">
        <v>75</v>
      </c>
      <c r="AC2140" t="s">
        <v>76</v>
      </c>
      <c r="AD2140" t="s">
        <v>73</v>
      </c>
      <c r="AE2140" t="s">
        <v>77</v>
      </c>
      <c r="AF2140" t="s">
        <v>2242</v>
      </c>
      <c r="AG2140" t="s">
        <v>78</v>
      </c>
    </row>
    <row r="2141" spans="1:33" hidden="1" x14ac:dyDescent="0.25">
      <c r="A2141" t="str">
        <f>"1770523987"</f>
        <v>1770523987</v>
      </c>
      <c r="B2141" t="str">
        <f>"01833370"</f>
        <v>01833370</v>
      </c>
      <c r="C2141" t="s">
        <v>9584</v>
      </c>
      <c r="D2141" t="s">
        <v>9585</v>
      </c>
      <c r="E2141" t="s">
        <v>9586</v>
      </c>
      <c r="G2141" t="s">
        <v>2224</v>
      </c>
      <c r="H2141" t="s">
        <v>3715</v>
      </c>
      <c r="J2141" t="s">
        <v>2226</v>
      </c>
      <c r="L2141" t="s">
        <v>80</v>
      </c>
      <c r="M2141" t="s">
        <v>73</v>
      </c>
      <c r="R2141" t="s">
        <v>9587</v>
      </c>
      <c r="W2141" t="s">
        <v>9586</v>
      </c>
      <c r="X2141" t="s">
        <v>9586</v>
      </c>
      <c r="Y2141" t="s">
        <v>91</v>
      </c>
      <c r="Z2141" t="s">
        <v>74</v>
      </c>
      <c r="AA2141" t="str">
        <f>"10065-4805"</f>
        <v>10065-4805</v>
      </c>
      <c r="AB2141" t="s">
        <v>75</v>
      </c>
      <c r="AC2141" t="s">
        <v>76</v>
      </c>
      <c r="AD2141" t="s">
        <v>73</v>
      </c>
      <c r="AE2141" t="s">
        <v>77</v>
      </c>
      <c r="AF2141" t="s">
        <v>2242</v>
      </c>
      <c r="AG2141" t="s">
        <v>78</v>
      </c>
    </row>
    <row r="2142" spans="1:33" hidden="1" x14ac:dyDescent="0.25">
      <c r="A2142" t="str">
        <f>"1518907674"</f>
        <v>1518907674</v>
      </c>
      <c r="B2142" t="str">
        <f>"01833283"</f>
        <v>01833283</v>
      </c>
      <c r="C2142" t="s">
        <v>9588</v>
      </c>
      <c r="D2142" t="s">
        <v>9589</v>
      </c>
      <c r="E2142" t="s">
        <v>9590</v>
      </c>
      <c r="G2142" t="s">
        <v>2224</v>
      </c>
      <c r="H2142" t="s">
        <v>3720</v>
      </c>
      <c r="J2142" t="s">
        <v>2226</v>
      </c>
      <c r="L2142" t="s">
        <v>80</v>
      </c>
      <c r="M2142" t="s">
        <v>73</v>
      </c>
      <c r="R2142" t="s">
        <v>9591</v>
      </c>
      <c r="W2142" t="s">
        <v>9590</v>
      </c>
      <c r="X2142" t="s">
        <v>9590</v>
      </c>
      <c r="Y2142" t="s">
        <v>91</v>
      </c>
      <c r="Z2142" t="s">
        <v>74</v>
      </c>
      <c r="AA2142" t="str">
        <f>"10065-4870"</f>
        <v>10065-4870</v>
      </c>
      <c r="AB2142" t="s">
        <v>75</v>
      </c>
      <c r="AC2142" t="s">
        <v>76</v>
      </c>
      <c r="AD2142" t="s">
        <v>73</v>
      </c>
      <c r="AE2142" t="s">
        <v>77</v>
      </c>
      <c r="AF2142" t="s">
        <v>2242</v>
      </c>
      <c r="AG2142" t="s">
        <v>78</v>
      </c>
    </row>
    <row r="2143" spans="1:33" hidden="1" x14ac:dyDescent="0.25">
      <c r="A2143" t="str">
        <f>"1245270487"</f>
        <v>1245270487</v>
      </c>
      <c r="B2143" t="str">
        <f>"02762696"</f>
        <v>02762696</v>
      </c>
      <c r="C2143" t="s">
        <v>9592</v>
      </c>
      <c r="D2143" t="s">
        <v>9593</v>
      </c>
      <c r="E2143" t="s">
        <v>9594</v>
      </c>
      <c r="G2143" t="s">
        <v>2224</v>
      </c>
      <c r="H2143" t="s">
        <v>5630</v>
      </c>
      <c r="J2143" t="s">
        <v>2226</v>
      </c>
      <c r="L2143" t="s">
        <v>80</v>
      </c>
      <c r="M2143" t="s">
        <v>73</v>
      </c>
      <c r="R2143" t="s">
        <v>9595</v>
      </c>
      <c r="W2143" t="s">
        <v>9594</v>
      </c>
      <c r="X2143" t="s">
        <v>170</v>
      </c>
      <c r="Y2143" t="s">
        <v>91</v>
      </c>
      <c r="Z2143" t="s">
        <v>74</v>
      </c>
      <c r="AA2143" t="str">
        <f>"10065-4870"</f>
        <v>10065-4870</v>
      </c>
      <c r="AB2143" t="s">
        <v>75</v>
      </c>
      <c r="AC2143" t="s">
        <v>76</v>
      </c>
      <c r="AD2143" t="s">
        <v>73</v>
      </c>
      <c r="AE2143" t="s">
        <v>77</v>
      </c>
      <c r="AF2143" t="s">
        <v>2242</v>
      </c>
      <c r="AG2143" t="s">
        <v>78</v>
      </c>
    </row>
    <row r="2144" spans="1:33" hidden="1" x14ac:dyDescent="0.25">
      <c r="A2144" t="str">
        <f>"1346280583"</f>
        <v>1346280583</v>
      </c>
      <c r="B2144" t="str">
        <f>"01707377"</f>
        <v>01707377</v>
      </c>
      <c r="C2144" t="s">
        <v>9596</v>
      </c>
      <c r="D2144" t="s">
        <v>9597</v>
      </c>
      <c r="E2144" t="s">
        <v>9598</v>
      </c>
      <c r="G2144" t="s">
        <v>2224</v>
      </c>
      <c r="H2144" t="s">
        <v>5775</v>
      </c>
      <c r="J2144" t="s">
        <v>2226</v>
      </c>
      <c r="L2144" t="s">
        <v>80</v>
      </c>
      <c r="M2144" t="s">
        <v>73</v>
      </c>
      <c r="R2144" t="s">
        <v>9599</v>
      </c>
      <c r="W2144" t="s">
        <v>9598</v>
      </c>
      <c r="X2144" t="s">
        <v>9598</v>
      </c>
      <c r="Y2144" t="s">
        <v>91</v>
      </c>
      <c r="Z2144" t="s">
        <v>74</v>
      </c>
      <c r="AA2144" t="str">
        <f>"10065-4870"</f>
        <v>10065-4870</v>
      </c>
      <c r="AB2144" t="s">
        <v>75</v>
      </c>
      <c r="AC2144" t="s">
        <v>76</v>
      </c>
      <c r="AD2144" t="s">
        <v>73</v>
      </c>
      <c r="AE2144" t="s">
        <v>77</v>
      </c>
      <c r="AF2144" t="s">
        <v>2242</v>
      </c>
      <c r="AG2144" t="s">
        <v>78</v>
      </c>
    </row>
    <row r="2145" spans="1:33" hidden="1" x14ac:dyDescent="0.25">
      <c r="A2145" t="str">
        <f>"1972693158"</f>
        <v>1972693158</v>
      </c>
      <c r="B2145" t="str">
        <f>"02863165"</f>
        <v>02863165</v>
      </c>
      <c r="C2145" t="s">
        <v>9600</v>
      </c>
      <c r="D2145" t="s">
        <v>9601</v>
      </c>
      <c r="E2145" t="s">
        <v>9602</v>
      </c>
      <c r="G2145" t="s">
        <v>2224</v>
      </c>
      <c r="H2145" t="s">
        <v>4671</v>
      </c>
      <c r="J2145" t="s">
        <v>2226</v>
      </c>
      <c r="L2145" t="s">
        <v>80</v>
      </c>
      <c r="M2145" t="s">
        <v>73</v>
      </c>
      <c r="R2145" t="s">
        <v>9602</v>
      </c>
      <c r="W2145" t="s">
        <v>9602</v>
      </c>
      <c r="X2145" t="s">
        <v>170</v>
      </c>
      <c r="Y2145" t="s">
        <v>91</v>
      </c>
      <c r="Z2145" t="s">
        <v>74</v>
      </c>
      <c r="AA2145" t="str">
        <f>"10065-4870"</f>
        <v>10065-4870</v>
      </c>
      <c r="AB2145" t="s">
        <v>75</v>
      </c>
      <c r="AC2145" t="s">
        <v>76</v>
      </c>
      <c r="AD2145" t="s">
        <v>73</v>
      </c>
      <c r="AE2145" t="s">
        <v>77</v>
      </c>
      <c r="AF2145" t="s">
        <v>2242</v>
      </c>
      <c r="AG2145" t="s">
        <v>78</v>
      </c>
    </row>
    <row r="2146" spans="1:33" hidden="1" x14ac:dyDescent="0.25">
      <c r="A2146" t="str">
        <f>"1871549279"</f>
        <v>1871549279</v>
      </c>
      <c r="B2146" t="str">
        <f>"02863087"</f>
        <v>02863087</v>
      </c>
      <c r="C2146" t="s">
        <v>9603</v>
      </c>
      <c r="D2146" t="s">
        <v>9604</v>
      </c>
      <c r="E2146" t="s">
        <v>9605</v>
      </c>
      <c r="G2146" t="s">
        <v>2224</v>
      </c>
      <c r="H2146" t="s">
        <v>9606</v>
      </c>
      <c r="J2146" t="s">
        <v>2226</v>
      </c>
      <c r="L2146" t="s">
        <v>80</v>
      </c>
      <c r="M2146" t="s">
        <v>73</v>
      </c>
      <c r="R2146" t="s">
        <v>9607</v>
      </c>
      <c r="W2146" t="s">
        <v>9605</v>
      </c>
      <c r="X2146" t="s">
        <v>170</v>
      </c>
      <c r="Y2146" t="s">
        <v>91</v>
      </c>
      <c r="Z2146" t="s">
        <v>74</v>
      </c>
      <c r="AA2146" t="str">
        <f>"10065-4870"</f>
        <v>10065-4870</v>
      </c>
      <c r="AB2146" t="s">
        <v>75</v>
      </c>
      <c r="AC2146" t="s">
        <v>76</v>
      </c>
      <c r="AD2146" t="s">
        <v>73</v>
      </c>
      <c r="AE2146" t="s">
        <v>77</v>
      </c>
      <c r="AF2146" t="s">
        <v>2242</v>
      </c>
      <c r="AG2146" t="s">
        <v>78</v>
      </c>
    </row>
    <row r="2147" spans="1:33" hidden="1" x14ac:dyDescent="0.25">
      <c r="C2147" t="s">
        <v>9608</v>
      </c>
      <c r="K2147" t="s">
        <v>587</v>
      </c>
      <c r="L2147" t="s">
        <v>94</v>
      </c>
      <c r="M2147" t="s">
        <v>73</v>
      </c>
      <c r="P2147" t="s">
        <v>74</v>
      </c>
      <c r="AC2147" t="s">
        <v>76</v>
      </c>
      <c r="AD2147" t="s">
        <v>73</v>
      </c>
      <c r="AE2147" t="s">
        <v>95</v>
      </c>
      <c r="AG2147" t="s">
        <v>78</v>
      </c>
    </row>
    <row r="2148" spans="1:33" hidden="1" x14ac:dyDescent="0.25">
      <c r="A2148" t="str">
        <f>"1982838017"</f>
        <v>1982838017</v>
      </c>
      <c r="B2148" t="str">
        <f>"03174774"</f>
        <v>03174774</v>
      </c>
      <c r="C2148" t="s">
        <v>9609</v>
      </c>
      <c r="D2148" t="s">
        <v>9610</v>
      </c>
      <c r="E2148" t="s">
        <v>9611</v>
      </c>
      <c r="G2148" t="s">
        <v>2224</v>
      </c>
      <c r="H2148" t="s">
        <v>2225</v>
      </c>
      <c r="J2148" t="s">
        <v>2226</v>
      </c>
      <c r="L2148" t="s">
        <v>72</v>
      </c>
      <c r="M2148" t="s">
        <v>73</v>
      </c>
      <c r="R2148" t="s">
        <v>9612</v>
      </c>
      <c r="W2148" t="s">
        <v>9613</v>
      </c>
      <c r="X2148" t="s">
        <v>167</v>
      </c>
      <c r="Y2148" t="s">
        <v>91</v>
      </c>
      <c r="Z2148" t="s">
        <v>74</v>
      </c>
      <c r="AA2148" t="str">
        <f>"10032-3720"</f>
        <v>10032-3720</v>
      </c>
      <c r="AB2148" t="s">
        <v>75</v>
      </c>
      <c r="AC2148" t="s">
        <v>76</v>
      </c>
      <c r="AD2148" t="s">
        <v>73</v>
      </c>
      <c r="AE2148" t="s">
        <v>77</v>
      </c>
      <c r="AF2148" t="s">
        <v>2228</v>
      </c>
      <c r="AG2148" t="s">
        <v>78</v>
      </c>
    </row>
    <row r="2149" spans="1:33" hidden="1" x14ac:dyDescent="0.25">
      <c r="A2149" t="str">
        <f>"1629217898"</f>
        <v>1629217898</v>
      </c>
      <c r="B2149" t="str">
        <f>"03347142"</f>
        <v>03347142</v>
      </c>
      <c r="C2149" t="s">
        <v>9614</v>
      </c>
      <c r="D2149" t="s">
        <v>9615</v>
      </c>
      <c r="E2149" t="s">
        <v>9616</v>
      </c>
      <c r="G2149" t="s">
        <v>2224</v>
      </c>
      <c r="H2149" t="s">
        <v>2225</v>
      </c>
      <c r="J2149" t="s">
        <v>2226</v>
      </c>
      <c r="L2149" t="s">
        <v>72</v>
      </c>
      <c r="M2149" t="s">
        <v>73</v>
      </c>
      <c r="R2149" t="s">
        <v>9617</v>
      </c>
      <c r="W2149" t="s">
        <v>9618</v>
      </c>
      <c r="X2149" t="s">
        <v>2057</v>
      </c>
      <c r="Y2149" t="s">
        <v>91</v>
      </c>
      <c r="Z2149" t="s">
        <v>74</v>
      </c>
      <c r="AA2149" t="str">
        <f>"10032-3720"</f>
        <v>10032-3720</v>
      </c>
      <c r="AB2149" t="s">
        <v>75</v>
      </c>
      <c r="AC2149" t="s">
        <v>76</v>
      </c>
      <c r="AD2149" t="s">
        <v>73</v>
      </c>
      <c r="AE2149" t="s">
        <v>77</v>
      </c>
      <c r="AF2149" t="s">
        <v>2228</v>
      </c>
      <c r="AG2149" t="s">
        <v>78</v>
      </c>
    </row>
    <row r="2150" spans="1:33" hidden="1" x14ac:dyDescent="0.25">
      <c r="A2150" t="str">
        <f>"1710010103"</f>
        <v>1710010103</v>
      </c>
      <c r="B2150" t="str">
        <f>"03299474"</f>
        <v>03299474</v>
      </c>
      <c r="C2150" t="s">
        <v>9619</v>
      </c>
      <c r="D2150" t="s">
        <v>9620</v>
      </c>
      <c r="E2150" t="s">
        <v>9621</v>
      </c>
      <c r="G2150" t="s">
        <v>2224</v>
      </c>
      <c r="H2150" t="s">
        <v>2225</v>
      </c>
      <c r="J2150" t="s">
        <v>2226</v>
      </c>
      <c r="L2150" t="s">
        <v>80</v>
      </c>
      <c r="M2150" t="s">
        <v>73</v>
      </c>
      <c r="R2150" t="s">
        <v>9622</v>
      </c>
      <c r="W2150" t="s">
        <v>9621</v>
      </c>
      <c r="X2150" t="s">
        <v>457</v>
      </c>
      <c r="Y2150" t="s">
        <v>91</v>
      </c>
      <c r="Z2150" t="s">
        <v>74</v>
      </c>
      <c r="AA2150" t="str">
        <f>"10037-1802"</f>
        <v>10037-1802</v>
      </c>
      <c r="AB2150" t="s">
        <v>75</v>
      </c>
      <c r="AC2150" t="s">
        <v>76</v>
      </c>
      <c r="AD2150" t="s">
        <v>73</v>
      </c>
      <c r="AE2150" t="s">
        <v>77</v>
      </c>
      <c r="AF2150" t="s">
        <v>2228</v>
      </c>
      <c r="AG2150" t="s">
        <v>78</v>
      </c>
    </row>
    <row r="2151" spans="1:33" hidden="1" x14ac:dyDescent="0.25">
      <c r="A2151" t="str">
        <f>"1275859209"</f>
        <v>1275859209</v>
      </c>
      <c r="C2151" t="s">
        <v>9623</v>
      </c>
      <c r="G2151" t="s">
        <v>2224</v>
      </c>
      <c r="H2151" t="s">
        <v>2225</v>
      </c>
      <c r="J2151" t="s">
        <v>2226</v>
      </c>
      <c r="K2151" t="s">
        <v>171</v>
      </c>
      <c r="L2151" t="s">
        <v>96</v>
      </c>
      <c r="M2151" t="s">
        <v>73</v>
      </c>
      <c r="R2151" t="s">
        <v>9624</v>
      </c>
      <c r="S2151" t="s">
        <v>9625</v>
      </c>
      <c r="T2151" t="s">
        <v>518</v>
      </c>
      <c r="U2151" t="s">
        <v>519</v>
      </c>
      <c r="V2151" t="str">
        <f>"191044319"</f>
        <v>191044319</v>
      </c>
      <c r="AC2151" t="s">
        <v>76</v>
      </c>
      <c r="AD2151" t="s">
        <v>73</v>
      </c>
      <c r="AE2151" t="s">
        <v>97</v>
      </c>
      <c r="AF2151" t="s">
        <v>2234</v>
      </c>
      <c r="AG2151" t="s">
        <v>78</v>
      </c>
    </row>
    <row r="2152" spans="1:33" hidden="1" x14ac:dyDescent="0.25">
      <c r="A2152" t="str">
        <f>"1821384215"</f>
        <v>1821384215</v>
      </c>
      <c r="C2152" t="s">
        <v>9626</v>
      </c>
      <c r="G2152" t="s">
        <v>2224</v>
      </c>
      <c r="H2152" t="s">
        <v>9627</v>
      </c>
      <c r="J2152" t="s">
        <v>2226</v>
      </c>
      <c r="K2152" t="s">
        <v>171</v>
      </c>
      <c r="L2152" t="s">
        <v>96</v>
      </c>
      <c r="M2152" t="s">
        <v>73</v>
      </c>
      <c r="R2152" t="s">
        <v>9628</v>
      </c>
      <c r="S2152" t="s">
        <v>354</v>
      </c>
      <c r="T2152" t="s">
        <v>91</v>
      </c>
      <c r="U2152" t="s">
        <v>74</v>
      </c>
      <c r="V2152" t="str">
        <f>"100323725"</f>
        <v>100323725</v>
      </c>
      <c r="AC2152" t="s">
        <v>76</v>
      </c>
      <c r="AD2152" t="s">
        <v>73</v>
      </c>
      <c r="AE2152" t="s">
        <v>97</v>
      </c>
      <c r="AF2152" t="s">
        <v>2234</v>
      </c>
      <c r="AG2152" t="s">
        <v>78</v>
      </c>
    </row>
    <row r="2153" spans="1:33" hidden="1" x14ac:dyDescent="0.25">
      <c r="A2153" t="str">
        <f>"1083032668"</f>
        <v>1083032668</v>
      </c>
      <c r="C2153" t="s">
        <v>9629</v>
      </c>
      <c r="G2153" t="s">
        <v>2224</v>
      </c>
      <c r="H2153" t="s">
        <v>2225</v>
      </c>
      <c r="J2153" t="s">
        <v>2226</v>
      </c>
      <c r="K2153" t="s">
        <v>93</v>
      </c>
      <c r="L2153" t="s">
        <v>96</v>
      </c>
      <c r="M2153" t="s">
        <v>73</v>
      </c>
      <c r="R2153" t="s">
        <v>9630</v>
      </c>
      <c r="S2153" t="s">
        <v>1745</v>
      </c>
      <c r="T2153" t="s">
        <v>91</v>
      </c>
      <c r="U2153" t="s">
        <v>74</v>
      </c>
      <c r="V2153" t="str">
        <f>"10021"</f>
        <v>10021</v>
      </c>
      <c r="AC2153" t="s">
        <v>76</v>
      </c>
      <c r="AD2153" t="s">
        <v>73</v>
      </c>
      <c r="AE2153" t="s">
        <v>97</v>
      </c>
      <c r="AF2153" t="s">
        <v>2242</v>
      </c>
      <c r="AG2153" t="s">
        <v>78</v>
      </c>
    </row>
    <row r="2154" spans="1:33" hidden="1" x14ac:dyDescent="0.25">
      <c r="A2154" t="str">
        <f>"1649546029"</f>
        <v>1649546029</v>
      </c>
      <c r="C2154" t="s">
        <v>9631</v>
      </c>
      <c r="G2154" t="s">
        <v>2224</v>
      </c>
      <c r="H2154" t="s">
        <v>2225</v>
      </c>
      <c r="J2154" t="s">
        <v>2226</v>
      </c>
      <c r="K2154" t="s">
        <v>93</v>
      </c>
      <c r="L2154" t="s">
        <v>96</v>
      </c>
      <c r="M2154" t="s">
        <v>73</v>
      </c>
      <c r="R2154" t="s">
        <v>9632</v>
      </c>
      <c r="S2154" t="s">
        <v>1745</v>
      </c>
      <c r="T2154" t="s">
        <v>91</v>
      </c>
      <c r="U2154" t="s">
        <v>74</v>
      </c>
      <c r="V2154" t="str">
        <f>"10021"</f>
        <v>10021</v>
      </c>
      <c r="AC2154" t="s">
        <v>76</v>
      </c>
      <c r="AD2154" t="s">
        <v>73</v>
      </c>
      <c r="AE2154" t="s">
        <v>97</v>
      </c>
      <c r="AF2154" t="s">
        <v>2242</v>
      </c>
      <c r="AG2154" t="s">
        <v>78</v>
      </c>
    </row>
    <row r="2155" spans="1:33" hidden="1" x14ac:dyDescent="0.25">
      <c r="A2155" t="str">
        <f>"1285990416"</f>
        <v>1285990416</v>
      </c>
      <c r="C2155" t="s">
        <v>9633</v>
      </c>
      <c r="G2155" t="s">
        <v>2224</v>
      </c>
      <c r="H2155" t="s">
        <v>2225</v>
      </c>
      <c r="J2155" t="s">
        <v>2226</v>
      </c>
      <c r="K2155" t="s">
        <v>93</v>
      </c>
      <c r="L2155" t="s">
        <v>96</v>
      </c>
      <c r="M2155" t="s">
        <v>73</v>
      </c>
      <c r="R2155" t="s">
        <v>9634</v>
      </c>
      <c r="S2155" t="s">
        <v>334</v>
      </c>
      <c r="T2155" t="s">
        <v>91</v>
      </c>
      <c r="U2155" t="s">
        <v>74</v>
      </c>
      <c r="V2155" t="str">
        <f>"100166402"</f>
        <v>100166402</v>
      </c>
      <c r="AC2155" t="s">
        <v>76</v>
      </c>
      <c r="AD2155" t="s">
        <v>73</v>
      </c>
      <c r="AE2155" t="s">
        <v>97</v>
      </c>
      <c r="AF2155" t="s">
        <v>2242</v>
      </c>
      <c r="AG2155" t="s">
        <v>78</v>
      </c>
    </row>
    <row r="2156" spans="1:33" hidden="1" x14ac:dyDescent="0.25">
      <c r="A2156" t="str">
        <f>"1245659259"</f>
        <v>1245659259</v>
      </c>
      <c r="C2156" t="s">
        <v>9635</v>
      </c>
      <c r="G2156" t="s">
        <v>2224</v>
      </c>
      <c r="H2156" t="s">
        <v>2225</v>
      </c>
      <c r="J2156" t="s">
        <v>2226</v>
      </c>
      <c r="K2156" t="s">
        <v>93</v>
      </c>
      <c r="L2156" t="s">
        <v>96</v>
      </c>
      <c r="M2156" t="s">
        <v>73</v>
      </c>
      <c r="R2156" t="s">
        <v>9636</v>
      </c>
      <c r="S2156" t="s">
        <v>1745</v>
      </c>
      <c r="T2156" t="s">
        <v>91</v>
      </c>
      <c r="U2156" t="s">
        <v>74</v>
      </c>
      <c r="V2156" t="str">
        <f>"10021"</f>
        <v>10021</v>
      </c>
      <c r="AC2156" t="s">
        <v>76</v>
      </c>
      <c r="AD2156" t="s">
        <v>73</v>
      </c>
      <c r="AE2156" t="s">
        <v>97</v>
      </c>
      <c r="AF2156" t="s">
        <v>2242</v>
      </c>
      <c r="AG2156" t="s">
        <v>78</v>
      </c>
    </row>
    <row r="2157" spans="1:33" hidden="1" x14ac:dyDescent="0.25">
      <c r="A2157" t="str">
        <f>"1629496484"</f>
        <v>1629496484</v>
      </c>
      <c r="C2157" t="s">
        <v>9637</v>
      </c>
      <c r="G2157" t="s">
        <v>2224</v>
      </c>
      <c r="H2157" t="s">
        <v>2225</v>
      </c>
      <c r="J2157" t="s">
        <v>2226</v>
      </c>
      <c r="K2157" t="s">
        <v>93</v>
      </c>
      <c r="L2157" t="s">
        <v>96</v>
      </c>
      <c r="M2157" t="s">
        <v>73</v>
      </c>
      <c r="R2157" t="s">
        <v>9638</v>
      </c>
      <c r="S2157" t="s">
        <v>7459</v>
      </c>
      <c r="T2157" t="s">
        <v>91</v>
      </c>
      <c r="U2157" t="s">
        <v>74</v>
      </c>
      <c r="V2157" t="str">
        <f>"100214872"</f>
        <v>100214872</v>
      </c>
      <c r="AC2157" t="s">
        <v>76</v>
      </c>
      <c r="AD2157" t="s">
        <v>73</v>
      </c>
      <c r="AE2157" t="s">
        <v>97</v>
      </c>
      <c r="AF2157" t="s">
        <v>2242</v>
      </c>
      <c r="AG2157" t="s">
        <v>78</v>
      </c>
    </row>
    <row r="2158" spans="1:33" hidden="1" x14ac:dyDescent="0.25">
      <c r="A2158" t="str">
        <f>"1871911651"</f>
        <v>1871911651</v>
      </c>
      <c r="C2158" t="s">
        <v>9639</v>
      </c>
      <c r="G2158" t="s">
        <v>2224</v>
      </c>
      <c r="H2158" t="s">
        <v>2225</v>
      </c>
      <c r="J2158" t="s">
        <v>2226</v>
      </c>
      <c r="K2158" t="s">
        <v>93</v>
      </c>
      <c r="L2158" t="s">
        <v>96</v>
      </c>
      <c r="M2158" t="s">
        <v>73</v>
      </c>
      <c r="R2158" t="s">
        <v>9640</v>
      </c>
      <c r="S2158" t="s">
        <v>7459</v>
      </c>
      <c r="T2158" t="s">
        <v>91</v>
      </c>
      <c r="U2158" t="s">
        <v>74</v>
      </c>
      <c r="V2158" t="str">
        <f>"100214872"</f>
        <v>100214872</v>
      </c>
      <c r="AC2158" t="s">
        <v>76</v>
      </c>
      <c r="AD2158" t="s">
        <v>73</v>
      </c>
      <c r="AE2158" t="s">
        <v>97</v>
      </c>
      <c r="AF2158" t="s">
        <v>2242</v>
      </c>
      <c r="AG2158" t="s">
        <v>78</v>
      </c>
    </row>
    <row r="2159" spans="1:33" hidden="1" x14ac:dyDescent="0.25">
      <c r="A2159" t="str">
        <f>"1891138798"</f>
        <v>1891138798</v>
      </c>
      <c r="C2159" t="s">
        <v>9641</v>
      </c>
      <c r="G2159" t="s">
        <v>2224</v>
      </c>
      <c r="H2159" t="s">
        <v>2225</v>
      </c>
      <c r="J2159" t="s">
        <v>2226</v>
      </c>
      <c r="K2159" t="s">
        <v>93</v>
      </c>
      <c r="L2159" t="s">
        <v>96</v>
      </c>
      <c r="M2159" t="s">
        <v>73</v>
      </c>
      <c r="R2159" t="s">
        <v>9642</v>
      </c>
      <c r="S2159" t="s">
        <v>9643</v>
      </c>
      <c r="T2159" t="s">
        <v>1176</v>
      </c>
      <c r="U2159" t="s">
        <v>1177</v>
      </c>
      <c r="V2159" t="str">
        <f>"681985582"</f>
        <v>681985582</v>
      </c>
      <c r="AC2159" t="s">
        <v>76</v>
      </c>
      <c r="AD2159" t="s">
        <v>73</v>
      </c>
      <c r="AE2159" t="s">
        <v>97</v>
      </c>
      <c r="AF2159" t="s">
        <v>2234</v>
      </c>
      <c r="AG2159" t="s">
        <v>78</v>
      </c>
    </row>
    <row r="2160" spans="1:33" hidden="1" x14ac:dyDescent="0.25">
      <c r="A2160" t="str">
        <f>"1295092237"</f>
        <v>1295092237</v>
      </c>
      <c r="B2160" t="str">
        <f>"04171202"</f>
        <v>04171202</v>
      </c>
      <c r="C2160" t="s">
        <v>9644</v>
      </c>
      <c r="D2160" t="s">
        <v>9645</v>
      </c>
      <c r="E2160" t="s">
        <v>9646</v>
      </c>
      <c r="G2160" t="s">
        <v>2224</v>
      </c>
      <c r="H2160" t="s">
        <v>2225</v>
      </c>
      <c r="J2160" t="s">
        <v>2226</v>
      </c>
      <c r="L2160" t="s">
        <v>72</v>
      </c>
      <c r="M2160" t="s">
        <v>73</v>
      </c>
      <c r="R2160" t="s">
        <v>9647</v>
      </c>
      <c r="W2160" t="s">
        <v>9646</v>
      </c>
      <c r="X2160" t="s">
        <v>560</v>
      </c>
      <c r="Y2160" t="s">
        <v>499</v>
      </c>
      <c r="Z2160" t="s">
        <v>74</v>
      </c>
      <c r="AA2160" t="str">
        <f>"12801-4413"</f>
        <v>12801-4413</v>
      </c>
      <c r="AB2160" t="s">
        <v>75</v>
      </c>
      <c r="AC2160" t="s">
        <v>76</v>
      </c>
      <c r="AD2160" t="s">
        <v>73</v>
      </c>
      <c r="AE2160" t="s">
        <v>77</v>
      </c>
      <c r="AF2160" t="s">
        <v>2234</v>
      </c>
      <c r="AG2160" t="s">
        <v>78</v>
      </c>
    </row>
    <row r="2161" spans="1:33" hidden="1" x14ac:dyDescent="0.25">
      <c r="A2161" t="str">
        <f>"1982960746"</f>
        <v>1982960746</v>
      </c>
      <c r="C2161" t="s">
        <v>9648</v>
      </c>
      <c r="G2161" t="s">
        <v>2224</v>
      </c>
      <c r="H2161" t="s">
        <v>2225</v>
      </c>
      <c r="J2161" t="s">
        <v>2226</v>
      </c>
      <c r="K2161" t="s">
        <v>93</v>
      </c>
      <c r="L2161" t="s">
        <v>96</v>
      </c>
      <c r="M2161" t="s">
        <v>73</v>
      </c>
      <c r="R2161" t="s">
        <v>9649</v>
      </c>
      <c r="S2161" t="s">
        <v>9650</v>
      </c>
      <c r="T2161" t="s">
        <v>1165</v>
      </c>
      <c r="U2161" t="s">
        <v>311</v>
      </c>
      <c r="V2161" t="str">
        <f>"452192364"</f>
        <v>452192364</v>
      </c>
      <c r="AC2161" t="s">
        <v>76</v>
      </c>
      <c r="AD2161" t="s">
        <v>73</v>
      </c>
      <c r="AE2161" t="s">
        <v>97</v>
      </c>
      <c r="AF2161" t="s">
        <v>2234</v>
      </c>
      <c r="AG2161" t="s">
        <v>78</v>
      </c>
    </row>
    <row r="2162" spans="1:33" hidden="1" x14ac:dyDescent="0.25">
      <c r="A2162" t="str">
        <f>"1790027050"</f>
        <v>1790027050</v>
      </c>
      <c r="B2162" t="str">
        <f>"04594496"</f>
        <v>04594496</v>
      </c>
      <c r="C2162" t="s">
        <v>9651</v>
      </c>
      <c r="D2162" t="s">
        <v>9652</v>
      </c>
      <c r="E2162" t="s">
        <v>9653</v>
      </c>
      <c r="G2162" t="s">
        <v>2224</v>
      </c>
      <c r="H2162" t="s">
        <v>2225</v>
      </c>
      <c r="J2162" t="s">
        <v>2226</v>
      </c>
      <c r="L2162" t="s">
        <v>96</v>
      </c>
      <c r="M2162" t="s">
        <v>73</v>
      </c>
      <c r="R2162" t="s">
        <v>9654</v>
      </c>
      <c r="W2162" t="s">
        <v>9653</v>
      </c>
      <c r="AB2162" t="s">
        <v>75</v>
      </c>
      <c r="AC2162" t="s">
        <v>76</v>
      </c>
      <c r="AD2162" t="s">
        <v>73</v>
      </c>
      <c r="AE2162" t="s">
        <v>77</v>
      </c>
      <c r="AF2162" t="s">
        <v>2242</v>
      </c>
      <c r="AG2162" t="s">
        <v>78</v>
      </c>
    </row>
    <row r="2163" spans="1:33" hidden="1" x14ac:dyDescent="0.25">
      <c r="A2163" t="str">
        <f>"1043639065"</f>
        <v>1043639065</v>
      </c>
      <c r="C2163" t="s">
        <v>9655</v>
      </c>
      <c r="G2163" t="s">
        <v>2224</v>
      </c>
      <c r="H2163" t="s">
        <v>2225</v>
      </c>
      <c r="J2163" t="s">
        <v>2226</v>
      </c>
      <c r="K2163" t="s">
        <v>93</v>
      </c>
      <c r="L2163" t="s">
        <v>96</v>
      </c>
      <c r="M2163" t="s">
        <v>73</v>
      </c>
      <c r="R2163" t="s">
        <v>9656</v>
      </c>
      <c r="S2163" t="s">
        <v>9657</v>
      </c>
      <c r="T2163" t="s">
        <v>91</v>
      </c>
      <c r="U2163" t="s">
        <v>74</v>
      </c>
      <c r="V2163" t="str">
        <f>"100214872"</f>
        <v>100214872</v>
      </c>
      <c r="AC2163" t="s">
        <v>76</v>
      </c>
      <c r="AD2163" t="s">
        <v>73</v>
      </c>
      <c r="AE2163" t="s">
        <v>97</v>
      </c>
      <c r="AF2163" t="s">
        <v>2242</v>
      </c>
      <c r="AG2163" t="s">
        <v>78</v>
      </c>
    </row>
    <row r="2164" spans="1:33" hidden="1" x14ac:dyDescent="0.25">
      <c r="A2164" t="str">
        <f>"1508108135"</f>
        <v>1508108135</v>
      </c>
      <c r="C2164" t="s">
        <v>9658</v>
      </c>
      <c r="G2164" t="s">
        <v>2224</v>
      </c>
      <c r="H2164" t="s">
        <v>2225</v>
      </c>
      <c r="J2164" t="s">
        <v>2226</v>
      </c>
      <c r="K2164" t="s">
        <v>93</v>
      </c>
      <c r="L2164" t="s">
        <v>96</v>
      </c>
      <c r="M2164" t="s">
        <v>73</v>
      </c>
      <c r="R2164" t="s">
        <v>9659</v>
      </c>
      <c r="S2164" t="s">
        <v>1745</v>
      </c>
      <c r="T2164" t="s">
        <v>91</v>
      </c>
      <c r="U2164" t="s">
        <v>74</v>
      </c>
      <c r="V2164" t="str">
        <f>"10021"</f>
        <v>10021</v>
      </c>
      <c r="AC2164" t="s">
        <v>76</v>
      </c>
      <c r="AD2164" t="s">
        <v>73</v>
      </c>
      <c r="AE2164" t="s">
        <v>97</v>
      </c>
      <c r="AF2164" t="s">
        <v>2242</v>
      </c>
      <c r="AG2164" t="s">
        <v>78</v>
      </c>
    </row>
    <row r="2165" spans="1:33" hidden="1" x14ac:dyDescent="0.25">
      <c r="A2165" t="str">
        <f>"1679992416"</f>
        <v>1679992416</v>
      </c>
      <c r="C2165" t="s">
        <v>9660</v>
      </c>
      <c r="G2165" t="s">
        <v>2224</v>
      </c>
      <c r="H2165" t="s">
        <v>2225</v>
      </c>
      <c r="J2165" t="s">
        <v>2226</v>
      </c>
      <c r="K2165" t="s">
        <v>93</v>
      </c>
      <c r="L2165" t="s">
        <v>96</v>
      </c>
      <c r="M2165" t="s">
        <v>73</v>
      </c>
      <c r="R2165" t="s">
        <v>9661</v>
      </c>
      <c r="S2165" t="s">
        <v>1745</v>
      </c>
      <c r="T2165" t="s">
        <v>91</v>
      </c>
      <c r="U2165" t="s">
        <v>74</v>
      </c>
      <c r="V2165" t="str">
        <f>"10021"</f>
        <v>10021</v>
      </c>
      <c r="AC2165" t="s">
        <v>76</v>
      </c>
      <c r="AD2165" t="s">
        <v>73</v>
      </c>
      <c r="AE2165" t="s">
        <v>97</v>
      </c>
      <c r="AF2165" t="s">
        <v>2242</v>
      </c>
      <c r="AG2165" t="s">
        <v>78</v>
      </c>
    </row>
    <row r="2166" spans="1:33" hidden="1" x14ac:dyDescent="0.25">
      <c r="A2166" t="str">
        <f>"1346507654"</f>
        <v>1346507654</v>
      </c>
      <c r="B2166" t="str">
        <f>"04274764"</f>
        <v>04274764</v>
      </c>
      <c r="C2166" t="s">
        <v>9662</v>
      </c>
      <c r="D2166" t="s">
        <v>1555</v>
      </c>
      <c r="E2166" t="s">
        <v>1556</v>
      </c>
      <c r="G2166" t="s">
        <v>2224</v>
      </c>
      <c r="H2166" t="s">
        <v>2225</v>
      </c>
      <c r="J2166" t="s">
        <v>2226</v>
      </c>
      <c r="L2166" t="s">
        <v>88</v>
      </c>
      <c r="M2166" t="s">
        <v>73</v>
      </c>
      <c r="R2166" t="s">
        <v>1556</v>
      </c>
      <c r="W2166" t="s">
        <v>1556</v>
      </c>
      <c r="X2166" t="s">
        <v>9663</v>
      </c>
      <c r="Y2166" t="s">
        <v>91</v>
      </c>
      <c r="Z2166" t="s">
        <v>74</v>
      </c>
      <c r="AA2166" t="str">
        <f>"10025-1716"</f>
        <v>10025-1716</v>
      </c>
      <c r="AB2166" t="s">
        <v>75</v>
      </c>
      <c r="AC2166" t="s">
        <v>76</v>
      </c>
      <c r="AD2166" t="s">
        <v>73</v>
      </c>
      <c r="AE2166" t="s">
        <v>77</v>
      </c>
      <c r="AF2166" t="s">
        <v>2234</v>
      </c>
      <c r="AG2166" t="s">
        <v>78</v>
      </c>
    </row>
    <row r="2167" spans="1:33" hidden="1" x14ac:dyDescent="0.25">
      <c r="A2167" t="str">
        <f>"1407122872"</f>
        <v>1407122872</v>
      </c>
      <c r="C2167" t="s">
        <v>9664</v>
      </c>
      <c r="G2167" t="s">
        <v>2224</v>
      </c>
      <c r="H2167" t="s">
        <v>2225</v>
      </c>
      <c r="J2167" t="s">
        <v>2226</v>
      </c>
      <c r="K2167" t="s">
        <v>93</v>
      </c>
      <c r="L2167" t="s">
        <v>96</v>
      </c>
      <c r="M2167" t="s">
        <v>73</v>
      </c>
      <c r="R2167" t="s">
        <v>9665</v>
      </c>
      <c r="S2167" t="s">
        <v>1774</v>
      </c>
      <c r="T2167" t="s">
        <v>1174</v>
      </c>
      <c r="U2167" t="s">
        <v>929</v>
      </c>
      <c r="V2167" t="str">
        <f>"753907201"</f>
        <v>753907201</v>
      </c>
      <c r="AC2167" t="s">
        <v>76</v>
      </c>
      <c r="AD2167" t="s">
        <v>73</v>
      </c>
      <c r="AE2167" t="s">
        <v>97</v>
      </c>
      <c r="AF2167" t="s">
        <v>2234</v>
      </c>
      <c r="AG2167" t="s">
        <v>78</v>
      </c>
    </row>
    <row r="2168" spans="1:33" hidden="1" x14ac:dyDescent="0.25">
      <c r="A2168" t="str">
        <f>"1811263361"</f>
        <v>1811263361</v>
      </c>
      <c r="B2168" t="str">
        <f>"04425958"</f>
        <v>04425958</v>
      </c>
      <c r="C2168" t="s">
        <v>9666</v>
      </c>
      <c r="D2168" t="s">
        <v>9667</v>
      </c>
      <c r="E2168" t="s">
        <v>9668</v>
      </c>
      <c r="G2168" t="s">
        <v>2224</v>
      </c>
      <c r="H2168" t="s">
        <v>2225</v>
      </c>
      <c r="J2168" t="s">
        <v>2226</v>
      </c>
      <c r="L2168" t="s">
        <v>72</v>
      </c>
      <c r="M2168" t="s">
        <v>73</v>
      </c>
      <c r="R2168" t="s">
        <v>9669</v>
      </c>
      <c r="W2168" t="s">
        <v>9670</v>
      </c>
      <c r="X2168" t="s">
        <v>8920</v>
      </c>
      <c r="Y2168" t="s">
        <v>91</v>
      </c>
      <c r="Z2168" t="s">
        <v>74</v>
      </c>
      <c r="AA2168" t="str">
        <f>"10032"</f>
        <v>10032</v>
      </c>
      <c r="AB2168" t="s">
        <v>75</v>
      </c>
      <c r="AC2168" t="s">
        <v>76</v>
      </c>
      <c r="AD2168" t="s">
        <v>73</v>
      </c>
      <c r="AE2168" t="s">
        <v>77</v>
      </c>
      <c r="AF2168" t="s">
        <v>2242</v>
      </c>
      <c r="AG2168" t="s">
        <v>78</v>
      </c>
    </row>
    <row r="2169" spans="1:33" hidden="1" x14ac:dyDescent="0.25">
      <c r="A2169" t="str">
        <f>"1730276817"</f>
        <v>1730276817</v>
      </c>
      <c r="B2169" t="str">
        <f>"02577580"</f>
        <v>02577580</v>
      </c>
      <c r="C2169" t="s">
        <v>9671</v>
      </c>
      <c r="D2169" t="s">
        <v>9672</v>
      </c>
      <c r="E2169" t="s">
        <v>9673</v>
      </c>
      <c r="G2169" t="s">
        <v>2224</v>
      </c>
      <c r="H2169" t="s">
        <v>2225</v>
      </c>
      <c r="J2169" t="s">
        <v>2226</v>
      </c>
      <c r="L2169" t="s">
        <v>72</v>
      </c>
      <c r="M2169" t="s">
        <v>73</v>
      </c>
      <c r="R2169" t="s">
        <v>9674</v>
      </c>
      <c r="W2169" t="s">
        <v>9673</v>
      </c>
      <c r="X2169" t="s">
        <v>9675</v>
      </c>
      <c r="Y2169" t="s">
        <v>91</v>
      </c>
      <c r="Z2169" t="s">
        <v>74</v>
      </c>
      <c r="AA2169" t="str">
        <f>"10065-4870"</f>
        <v>10065-4870</v>
      </c>
      <c r="AB2169" t="s">
        <v>75</v>
      </c>
      <c r="AC2169" t="s">
        <v>76</v>
      </c>
      <c r="AD2169" t="s">
        <v>73</v>
      </c>
      <c r="AE2169" t="s">
        <v>77</v>
      </c>
      <c r="AF2169" t="s">
        <v>2242</v>
      </c>
      <c r="AG2169" t="s">
        <v>78</v>
      </c>
    </row>
    <row r="2170" spans="1:33" hidden="1" x14ac:dyDescent="0.25">
      <c r="A2170" t="str">
        <f>"1376605113"</f>
        <v>1376605113</v>
      </c>
      <c r="B2170" t="str">
        <f>"00825847"</f>
        <v>00825847</v>
      </c>
      <c r="C2170" t="s">
        <v>9676</v>
      </c>
      <c r="D2170" t="s">
        <v>9677</v>
      </c>
      <c r="E2170" t="s">
        <v>9678</v>
      </c>
      <c r="G2170" t="s">
        <v>2224</v>
      </c>
      <c r="H2170" t="s">
        <v>2225</v>
      </c>
      <c r="J2170" t="s">
        <v>2226</v>
      </c>
      <c r="L2170" t="s">
        <v>72</v>
      </c>
      <c r="M2170" t="s">
        <v>73</v>
      </c>
      <c r="R2170" t="s">
        <v>9679</v>
      </c>
      <c r="W2170" t="s">
        <v>9678</v>
      </c>
      <c r="X2170" t="s">
        <v>9680</v>
      </c>
      <c r="Y2170" t="s">
        <v>91</v>
      </c>
      <c r="Z2170" t="s">
        <v>74</v>
      </c>
      <c r="AA2170" t="str">
        <f>"10032-3725"</f>
        <v>10032-3725</v>
      </c>
      <c r="AB2170" t="s">
        <v>75</v>
      </c>
      <c r="AC2170" t="s">
        <v>76</v>
      </c>
      <c r="AD2170" t="s">
        <v>73</v>
      </c>
      <c r="AE2170" t="s">
        <v>77</v>
      </c>
      <c r="AF2170" t="s">
        <v>2254</v>
      </c>
      <c r="AG2170" t="s">
        <v>78</v>
      </c>
    </row>
    <row r="2171" spans="1:33" hidden="1" x14ac:dyDescent="0.25">
      <c r="A2171" t="str">
        <f>"1376677542"</f>
        <v>1376677542</v>
      </c>
      <c r="B2171" t="str">
        <f>"02963871"</f>
        <v>02963871</v>
      </c>
      <c r="C2171" t="s">
        <v>9681</v>
      </c>
      <c r="D2171" t="s">
        <v>9682</v>
      </c>
      <c r="E2171" t="s">
        <v>9683</v>
      </c>
      <c r="G2171" t="s">
        <v>2224</v>
      </c>
      <c r="H2171" t="s">
        <v>2225</v>
      </c>
      <c r="J2171" t="s">
        <v>2226</v>
      </c>
      <c r="L2171" t="s">
        <v>72</v>
      </c>
      <c r="M2171" t="s">
        <v>73</v>
      </c>
      <c r="R2171" t="s">
        <v>9684</v>
      </c>
      <c r="W2171" t="s">
        <v>9683</v>
      </c>
      <c r="X2171" t="s">
        <v>2324</v>
      </c>
      <c r="Y2171" t="s">
        <v>91</v>
      </c>
      <c r="Z2171" t="s">
        <v>74</v>
      </c>
      <c r="AA2171" t="str">
        <f>"10032-4655"</f>
        <v>10032-4655</v>
      </c>
      <c r="AB2171" t="s">
        <v>113</v>
      </c>
      <c r="AC2171" t="s">
        <v>76</v>
      </c>
      <c r="AD2171" t="s">
        <v>73</v>
      </c>
      <c r="AE2171" t="s">
        <v>77</v>
      </c>
      <c r="AF2171" t="s">
        <v>2228</v>
      </c>
      <c r="AG2171" t="s">
        <v>78</v>
      </c>
    </row>
    <row r="2172" spans="1:33" hidden="1" x14ac:dyDescent="0.25">
      <c r="A2172" t="str">
        <f>"1376696393"</f>
        <v>1376696393</v>
      </c>
      <c r="B2172" t="str">
        <f>"02706494"</f>
        <v>02706494</v>
      </c>
      <c r="C2172" t="s">
        <v>9685</v>
      </c>
      <c r="D2172" t="s">
        <v>9686</v>
      </c>
      <c r="E2172" t="s">
        <v>9687</v>
      </c>
      <c r="G2172" t="s">
        <v>2224</v>
      </c>
      <c r="H2172" t="s">
        <v>2225</v>
      </c>
      <c r="J2172" t="s">
        <v>2226</v>
      </c>
      <c r="L2172" t="s">
        <v>72</v>
      </c>
      <c r="M2172" t="s">
        <v>73</v>
      </c>
      <c r="R2172" t="s">
        <v>9688</v>
      </c>
      <c r="W2172" t="s">
        <v>9687</v>
      </c>
      <c r="X2172" t="s">
        <v>167</v>
      </c>
      <c r="Y2172" t="s">
        <v>91</v>
      </c>
      <c r="Z2172" t="s">
        <v>74</v>
      </c>
      <c r="AA2172" t="str">
        <f>"10032-3720"</f>
        <v>10032-3720</v>
      </c>
      <c r="AB2172" t="s">
        <v>75</v>
      </c>
      <c r="AC2172" t="s">
        <v>76</v>
      </c>
      <c r="AD2172" t="s">
        <v>73</v>
      </c>
      <c r="AE2172" t="s">
        <v>77</v>
      </c>
      <c r="AF2172" t="s">
        <v>2228</v>
      </c>
      <c r="AG2172" t="s">
        <v>78</v>
      </c>
    </row>
    <row r="2173" spans="1:33" hidden="1" x14ac:dyDescent="0.25">
      <c r="A2173" t="str">
        <f>"1376702571"</f>
        <v>1376702571</v>
      </c>
      <c r="B2173" t="str">
        <f>"03404831"</f>
        <v>03404831</v>
      </c>
      <c r="C2173" t="s">
        <v>9689</v>
      </c>
      <c r="D2173" t="s">
        <v>9690</v>
      </c>
      <c r="E2173" t="s">
        <v>9691</v>
      </c>
      <c r="G2173" t="s">
        <v>2224</v>
      </c>
      <c r="H2173" t="s">
        <v>2225</v>
      </c>
      <c r="J2173" t="s">
        <v>2226</v>
      </c>
      <c r="L2173" t="s">
        <v>80</v>
      </c>
      <c r="M2173" t="s">
        <v>73</v>
      </c>
      <c r="R2173" t="s">
        <v>9691</v>
      </c>
      <c r="W2173" t="s">
        <v>9691</v>
      </c>
      <c r="X2173" t="s">
        <v>183</v>
      </c>
      <c r="Y2173" t="s">
        <v>91</v>
      </c>
      <c r="Z2173" t="s">
        <v>74</v>
      </c>
      <c r="AA2173" t="str">
        <f>"10032-3729"</f>
        <v>10032-3729</v>
      </c>
      <c r="AB2173" t="s">
        <v>75</v>
      </c>
      <c r="AC2173" t="s">
        <v>76</v>
      </c>
      <c r="AD2173" t="s">
        <v>73</v>
      </c>
      <c r="AE2173" t="s">
        <v>77</v>
      </c>
      <c r="AF2173" t="s">
        <v>2254</v>
      </c>
      <c r="AG2173" t="s">
        <v>78</v>
      </c>
    </row>
    <row r="2174" spans="1:33" hidden="1" x14ac:dyDescent="0.25">
      <c r="A2174" t="str">
        <f>"1093148504"</f>
        <v>1093148504</v>
      </c>
      <c r="B2174" t="str">
        <f>"03716570"</f>
        <v>03716570</v>
      </c>
      <c r="C2174" t="s">
        <v>9692</v>
      </c>
      <c r="D2174" t="s">
        <v>9693</v>
      </c>
      <c r="E2174" t="s">
        <v>9694</v>
      </c>
      <c r="G2174" t="s">
        <v>2224</v>
      </c>
      <c r="H2174" t="s">
        <v>2225</v>
      </c>
      <c r="J2174" t="s">
        <v>2226</v>
      </c>
      <c r="L2174" t="s">
        <v>72</v>
      </c>
      <c r="M2174" t="s">
        <v>73</v>
      </c>
      <c r="R2174" t="s">
        <v>9695</v>
      </c>
      <c r="W2174" t="s">
        <v>9696</v>
      </c>
      <c r="X2174" t="s">
        <v>170</v>
      </c>
      <c r="Y2174" t="s">
        <v>91</v>
      </c>
      <c r="Z2174" t="s">
        <v>74</v>
      </c>
      <c r="AA2174" t="str">
        <f>"10065-4870"</f>
        <v>10065-4870</v>
      </c>
      <c r="AB2174" t="s">
        <v>75</v>
      </c>
      <c r="AC2174" t="s">
        <v>76</v>
      </c>
      <c r="AD2174" t="s">
        <v>73</v>
      </c>
      <c r="AE2174" t="s">
        <v>77</v>
      </c>
      <c r="AF2174" t="s">
        <v>2242</v>
      </c>
      <c r="AG2174" t="s">
        <v>78</v>
      </c>
    </row>
    <row r="2175" spans="1:33" hidden="1" x14ac:dyDescent="0.25">
      <c r="A2175" t="str">
        <f>"1396751020"</f>
        <v>1396751020</v>
      </c>
      <c r="B2175" t="str">
        <f>"02136776"</f>
        <v>02136776</v>
      </c>
      <c r="C2175" t="s">
        <v>9697</v>
      </c>
      <c r="D2175" t="s">
        <v>9698</v>
      </c>
      <c r="E2175" t="s">
        <v>9699</v>
      </c>
      <c r="G2175" t="s">
        <v>2224</v>
      </c>
      <c r="H2175" t="s">
        <v>2225</v>
      </c>
      <c r="J2175" t="s">
        <v>2226</v>
      </c>
      <c r="L2175" t="s">
        <v>72</v>
      </c>
      <c r="M2175" t="s">
        <v>73</v>
      </c>
      <c r="R2175" t="s">
        <v>9700</v>
      </c>
      <c r="W2175" t="s">
        <v>9699</v>
      </c>
      <c r="X2175" t="s">
        <v>591</v>
      </c>
      <c r="Y2175" t="s">
        <v>91</v>
      </c>
      <c r="Z2175" t="s">
        <v>74</v>
      </c>
      <c r="AA2175" t="str">
        <f>"10032-3720"</f>
        <v>10032-3720</v>
      </c>
      <c r="AB2175" t="s">
        <v>75</v>
      </c>
      <c r="AC2175" t="s">
        <v>76</v>
      </c>
      <c r="AD2175" t="s">
        <v>73</v>
      </c>
      <c r="AE2175" t="s">
        <v>77</v>
      </c>
      <c r="AF2175" t="s">
        <v>2254</v>
      </c>
      <c r="AG2175" t="s">
        <v>78</v>
      </c>
    </row>
    <row r="2176" spans="1:33" hidden="1" x14ac:dyDescent="0.25">
      <c r="A2176" t="str">
        <f>"1023077393"</f>
        <v>1023077393</v>
      </c>
      <c r="B2176" t="str">
        <f>"03174710"</f>
        <v>03174710</v>
      </c>
      <c r="C2176" t="s">
        <v>9701</v>
      </c>
      <c r="D2176" t="s">
        <v>9702</v>
      </c>
      <c r="E2176" t="s">
        <v>9703</v>
      </c>
      <c r="G2176" t="s">
        <v>2224</v>
      </c>
      <c r="H2176" t="s">
        <v>2225</v>
      </c>
      <c r="J2176" t="s">
        <v>2226</v>
      </c>
      <c r="L2176" t="s">
        <v>72</v>
      </c>
      <c r="M2176" t="s">
        <v>73</v>
      </c>
      <c r="R2176" t="s">
        <v>9704</v>
      </c>
      <c r="W2176" t="s">
        <v>9703</v>
      </c>
      <c r="X2176" t="s">
        <v>9705</v>
      </c>
      <c r="Y2176" t="s">
        <v>91</v>
      </c>
      <c r="Z2176" t="s">
        <v>74</v>
      </c>
      <c r="AA2176" t="str">
        <f>"10032-3720"</f>
        <v>10032-3720</v>
      </c>
      <c r="AB2176" t="s">
        <v>75</v>
      </c>
      <c r="AC2176" t="s">
        <v>76</v>
      </c>
      <c r="AD2176" t="s">
        <v>73</v>
      </c>
      <c r="AE2176" t="s">
        <v>77</v>
      </c>
      <c r="AF2176" t="s">
        <v>2228</v>
      </c>
      <c r="AG2176" t="s">
        <v>78</v>
      </c>
    </row>
    <row r="2177" spans="1:33" hidden="1" x14ac:dyDescent="0.25">
      <c r="A2177" t="str">
        <f>"1194084699"</f>
        <v>1194084699</v>
      </c>
      <c r="B2177" t="str">
        <f>"03921473"</f>
        <v>03921473</v>
      </c>
      <c r="C2177" t="s">
        <v>9706</v>
      </c>
      <c r="D2177" t="s">
        <v>9707</v>
      </c>
      <c r="E2177" t="s">
        <v>9708</v>
      </c>
      <c r="G2177" t="s">
        <v>2224</v>
      </c>
      <c r="H2177" t="s">
        <v>2225</v>
      </c>
      <c r="J2177" t="s">
        <v>2226</v>
      </c>
      <c r="L2177" t="s">
        <v>72</v>
      </c>
      <c r="M2177" t="s">
        <v>73</v>
      </c>
      <c r="R2177" t="s">
        <v>9709</v>
      </c>
      <c r="W2177" t="s">
        <v>9710</v>
      </c>
      <c r="X2177" t="s">
        <v>272</v>
      </c>
      <c r="Y2177" t="s">
        <v>91</v>
      </c>
      <c r="Z2177" t="s">
        <v>74</v>
      </c>
      <c r="AA2177" t="str">
        <f>"10038-2612"</f>
        <v>10038-2612</v>
      </c>
      <c r="AB2177" t="s">
        <v>75</v>
      </c>
      <c r="AC2177" t="s">
        <v>76</v>
      </c>
      <c r="AD2177" t="s">
        <v>73</v>
      </c>
      <c r="AE2177" t="s">
        <v>77</v>
      </c>
      <c r="AF2177" t="s">
        <v>2242</v>
      </c>
      <c r="AG2177" t="s">
        <v>78</v>
      </c>
    </row>
    <row r="2178" spans="1:33" hidden="1" x14ac:dyDescent="0.25">
      <c r="A2178" t="str">
        <f>"1831112044"</f>
        <v>1831112044</v>
      </c>
      <c r="B2178" t="str">
        <f>"00504196"</f>
        <v>00504196</v>
      </c>
      <c r="C2178" t="s">
        <v>9711</v>
      </c>
      <c r="D2178" t="s">
        <v>9712</v>
      </c>
      <c r="E2178" t="s">
        <v>9713</v>
      </c>
      <c r="L2178" t="s">
        <v>80</v>
      </c>
      <c r="M2178" t="s">
        <v>73</v>
      </c>
      <c r="R2178" t="s">
        <v>9714</v>
      </c>
      <c r="W2178" t="s">
        <v>9713</v>
      </c>
      <c r="Y2178" t="s">
        <v>91</v>
      </c>
      <c r="Z2178" t="s">
        <v>74</v>
      </c>
      <c r="AA2178" t="str">
        <f>"10065-4885"</f>
        <v>10065-4885</v>
      </c>
      <c r="AB2178" t="s">
        <v>75</v>
      </c>
      <c r="AC2178" t="s">
        <v>76</v>
      </c>
      <c r="AD2178" t="s">
        <v>73</v>
      </c>
      <c r="AE2178" t="s">
        <v>77</v>
      </c>
      <c r="AF2178" t="s">
        <v>2242</v>
      </c>
      <c r="AG2178" t="s">
        <v>78</v>
      </c>
    </row>
    <row r="2179" spans="1:33" hidden="1" x14ac:dyDescent="0.25">
      <c r="A2179" t="str">
        <f>"1093972101"</f>
        <v>1093972101</v>
      </c>
      <c r="B2179" t="str">
        <f>"03111117"</f>
        <v>03111117</v>
      </c>
      <c r="C2179" t="s">
        <v>9715</v>
      </c>
      <c r="D2179" t="s">
        <v>9716</v>
      </c>
      <c r="E2179" t="s">
        <v>9717</v>
      </c>
      <c r="L2179" t="s">
        <v>80</v>
      </c>
      <c r="M2179" t="s">
        <v>73</v>
      </c>
      <c r="R2179" t="s">
        <v>9718</v>
      </c>
      <c r="W2179" t="s">
        <v>9717</v>
      </c>
      <c r="X2179" t="s">
        <v>170</v>
      </c>
      <c r="Y2179" t="s">
        <v>91</v>
      </c>
      <c r="Z2179" t="s">
        <v>74</v>
      </c>
      <c r="AA2179" t="str">
        <f>"10065-4885"</f>
        <v>10065-4885</v>
      </c>
      <c r="AB2179" t="s">
        <v>75</v>
      </c>
      <c r="AC2179" t="s">
        <v>76</v>
      </c>
      <c r="AD2179" t="s">
        <v>73</v>
      </c>
      <c r="AE2179" t="s">
        <v>77</v>
      </c>
      <c r="AF2179" t="s">
        <v>2242</v>
      </c>
      <c r="AG2179" t="s">
        <v>78</v>
      </c>
    </row>
    <row r="2180" spans="1:33" hidden="1" x14ac:dyDescent="0.25">
      <c r="A2180" t="str">
        <f>"1437309721"</f>
        <v>1437309721</v>
      </c>
      <c r="C2180" t="s">
        <v>9719</v>
      </c>
      <c r="G2180" t="s">
        <v>2224</v>
      </c>
      <c r="H2180" t="s">
        <v>2225</v>
      </c>
      <c r="J2180" t="s">
        <v>2226</v>
      </c>
      <c r="K2180" t="s">
        <v>171</v>
      </c>
      <c r="L2180" t="s">
        <v>72</v>
      </c>
      <c r="M2180" t="s">
        <v>73</v>
      </c>
      <c r="R2180" t="s">
        <v>9720</v>
      </c>
      <c r="S2180" t="s">
        <v>9721</v>
      </c>
      <c r="T2180" t="s">
        <v>91</v>
      </c>
      <c r="U2180" t="s">
        <v>74</v>
      </c>
      <c r="V2180" t="str">
        <f>"10032"</f>
        <v>10032</v>
      </c>
      <c r="AC2180" t="s">
        <v>76</v>
      </c>
      <c r="AD2180" t="s">
        <v>73</v>
      </c>
      <c r="AE2180" t="s">
        <v>97</v>
      </c>
      <c r="AF2180" t="s">
        <v>2234</v>
      </c>
      <c r="AG2180" t="s">
        <v>78</v>
      </c>
    </row>
    <row r="2181" spans="1:33" hidden="1" x14ac:dyDescent="0.25">
      <c r="A2181" t="str">
        <f>"1093897282"</f>
        <v>1093897282</v>
      </c>
      <c r="B2181" t="str">
        <f>"00296520"</f>
        <v>00296520</v>
      </c>
      <c r="C2181" t="s">
        <v>9722</v>
      </c>
      <c r="D2181" t="s">
        <v>9723</v>
      </c>
      <c r="E2181" t="s">
        <v>9724</v>
      </c>
      <c r="G2181" t="s">
        <v>282</v>
      </c>
      <c r="H2181" t="s">
        <v>248</v>
      </c>
      <c r="I2181">
        <v>2604</v>
      </c>
      <c r="J2181" t="s">
        <v>283</v>
      </c>
      <c r="L2181" t="s">
        <v>80</v>
      </c>
      <c r="M2181" t="s">
        <v>82</v>
      </c>
      <c r="R2181" t="s">
        <v>9725</v>
      </c>
      <c r="W2181" t="s">
        <v>9724</v>
      </c>
      <c r="Y2181" t="s">
        <v>84</v>
      </c>
      <c r="Z2181" t="s">
        <v>74</v>
      </c>
      <c r="AA2181" t="str">
        <f>"11201-5493"</f>
        <v>11201-5493</v>
      </c>
      <c r="AB2181" t="s">
        <v>75</v>
      </c>
      <c r="AC2181" t="s">
        <v>76</v>
      </c>
      <c r="AD2181" t="s">
        <v>73</v>
      </c>
      <c r="AE2181" t="s">
        <v>77</v>
      </c>
      <c r="AF2181" t="s">
        <v>2319</v>
      </c>
      <c r="AG2181" t="s">
        <v>78</v>
      </c>
    </row>
    <row r="2182" spans="1:33" hidden="1" x14ac:dyDescent="0.25">
      <c r="A2182" t="str">
        <f>"1073667101"</f>
        <v>1073667101</v>
      </c>
      <c r="B2182" t="str">
        <f>"02885596"</f>
        <v>02885596</v>
      </c>
      <c r="C2182" t="s">
        <v>9726</v>
      </c>
      <c r="D2182" t="s">
        <v>1452</v>
      </c>
      <c r="E2182" t="s">
        <v>1453</v>
      </c>
      <c r="G2182" t="s">
        <v>2224</v>
      </c>
      <c r="H2182" t="s">
        <v>2225</v>
      </c>
      <c r="J2182" t="s">
        <v>2226</v>
      </c>
      <c r="L2182" t="s">
        <v>72</v>
      </c>
      <c r="M2182" t="s">
        <v>73</v>
      </c>
      <c r="R2182" t="s">
        <v>1454</v>
      </c>
      <c r="W2182" t="s">
        <v>1453</v>
      </c>
      <c r="X2182" t="s">
        <v>496</v>
      </c>
      <c r="Y2182" t="s">
        <v>91</v>
      </c>
      <c r="Z2182" t="s">
        <v>74</v>
      </c>
      <c r="AA2182" t="str">
        <f>"10032-3726"</f>
        <v>10032-3726</v>
      </c>
      <c r="AB2182" t="s">
        <v>75</v>
      </c>
      <c r="AC2182" t="s">
        <v>76</v>
      </c>
      <c r="AD2182" t="s">
        <v>73</v>
      </c>
      <c r="AE2182" t="s">
        <v>77</v>
      </c>
      <c r="AF2182" t="s">
        <v>2228</v>
      </c>
      <c r="AG2182" t="s">
        <v>78</v>
      </c>
    </row>
    <row r="2183" spans="1:33" hidden="1" x14ac:dyDescent="0.25">
      <c r="A2183" t="str">
        <f>"1841304375"</f>
        <v>1841304375</v>
      </c>
      <c r="B2183" t="str">
        <f>"03192716"</f>
        <v>03192716</v>
      </c>
      <c r="C2183" t="s">
        <v>9727</v>
      </c>
      <c r="D2183" t="s">
        <v>9728</v>
      </c>
      <c r="E2183" t="s">
        <v>9729</v>
      </c>
      <c r="G2183" t="s">
        <v>2224</v>
      </c>
      <c r="H2183" t="s">
        <v>9730</v>
      </c>
      <c r="J2183" t="s">
        <v>2226</v>
      </c>
      <c r="L2183" t="s">
        <v>88</v>
      </c>
      <c r="M2183" t="s">
        <v>73</v>
      </c>
      <c r="R2183" t="s">
        <v>9731</v>
      </c>
      <c r="W2183" t="s">
        <v>9729</v>
      </c>
      <c r="X2183" t="s">
        <v>167</v>
      </c>
      <c r="Y2183" t="s">
        <v>91</v>
      </c>
      <c r="Z2183" t="s">
        <v>74</v>
      </c>
      <c r="AA2183" t="str">
        <f>"10032-3720"</f>
        <v>10032-3720</v>
      </c>
      <c r="AB2183" t="s">
        <v>75</v>
      </c>
      <c r="AC2183" t="s">
        <v>76</v>
      </c>
      <c r="AD2183" t="s">
        <v>73</v>
      </c>
      <c r="AE2183" t="s">
        <v>77</v>
      </c>
      <c r="AF2183" t="s">
        <v>2228</v>
      </c>
      <c r="AG2183" t="s">
        <v>78</v>
      </c>
    </row>
    <row r="2184" spans="1:33" hidden="1" x14ac:dyDescent="0.25">
      <c r="A2184" t="str">
        <f>"1720010374"</f>
        <v>1720010374</v>
      </c>
      <c r="B2184" t="str">
        <f>"01994114"</f>
        <v>01994114</v>
      </c>
      <c r="C2184" t="s">
        <v>9732</v>
      </c>
      <c r="D2184" t="s">
        <v>9733</v>
      </c>
      <c r="E2184" t="s">
        <v>9734</v>
      </c>
      <c r="G2184" t="s">
        <v>2224</v>
      </c>
      <c r="H2184" t="s">
        <v>9735</v>
      </c>
      <c r="J2184" t="s">
        <v>2226</v>
      </c>
      <c r="L2184" t="s">
        <v>80</v>
      </c>
      <c r="M2184" t="s">
        <v>82</v>
      </c>
      <c r="R2184" t="s">
        <v>9736</v>
      </c>
      <c r="W2184" t="s">
        <v>9734</v>
      </c>
      <c r="X2184" t="s">
        <v>167</v>
      </c>
      <c r="Y2184" t="s">
        <v>91</v>
      </c>
      <c r="Z2184" t="s">
        <v>74</v>
      </c>
      <c r="AA2184" t="str">
        <f>"10032-3720"</f>
        <v>10032-3720</v>
      </c>
      <c r="AB2184" t="s">
        <v>75</v>
      </c>
      <c r="AC2184" t="s">
        <v>76</v>
      </c>
      <c r="AD2184" t="s">
        <v>73</v>
      </c>
      <c r="AE2184" t="s">
        <v>77</v>
      </c>
      <c r="AF2184" t="s">
        <v>2228</v>
      </c>
      <c r="AG2184" t="s">
        <v>78</v>
      </c>
    </row>
    <row r="2185" spans="1:33" hidden="1" x14ac:dyDescent="0.25">
      <c r="A2185" t="str">
        <f>"1013209535"</f>
        <v>1013209535</v>
      </c>
      <c r="C2185" t="s">
        <v>3746</v>
      </c>
      <c r="K2185" t="s">
        <v>36</v>
      </c>
      <c r="L2185" t="s">
        <v>96</v>
      </c>
      <c r="M2185" t="s">
        <v>73</v>
      </c>
      <c r="R2185" t="s">
        <v>3746</v>
      </c>
      <c r="S2185" t="s">
        <v>272</v>
      </c>
      <c r="T2185" t="s">
        <v>91</v>
      </c>
      <c r="U2185" t="s">
        <v>74</v>
      </c>
      <c r="V2185" t="str">
        <f>"100382612"</f>
        <v>100382612</v>
      </c>
      <c r="AC2185" t="s">
        <v>76</v>
      </c>
      <c r="AD2185" t="s">
        <v>73</v>
      </c>
      <c r="AE2185" t="s">
        <v>97</v>
      </c>
      <c r="AG2185" t="s">
        <v>78</v>
      </c>
    </row>
    <row r="2186" spans="1:33" hidden="1" x14ac:dyDescent="0.25">
      <c r="A2186" t="str">
        <f>"1427135334"</f>
        <v>1427135334</v>
      </c>
      <c r="B2186" t="str">
        <f>"00883963"</f>
        <v>00883963</v>
      </c>
      <c r="C2186" t="s">
        <v>9737</v>
      </c>
      <c r="D2186" t="s">
        <v>601</v>
      </c>
      <c r="E2186" t="s">
        <v>602</v>
      </c>
      <c r="G2186" t="s">
        <v>2224</v>
      </c>
      <c r="H2186" t="s">
        <v>2225</v>
      </c>
      <c r="J2186" t="s">
        <v>2226</v>
      </c>
      <c r="L2186" t="s">
        <v>72</v>
      </c>
      <c r="M2186" t="s">
        <v>73</v>
      </c>
      <c r="R2186" t="s">
        <v>603</v>
      </c>
      <c r="W2186" t="s">
        <v>602</v>
      </c>
      <c r="Y2186" t="s">
        <v>91</v>
      </c>
      <c r="Z2186" t="s">
        <v>74</v>
      </c>
      <c r="AA2186" t="str">
        <f>"10029-6500"</f>
        <v>10029-6500</v>
      </c>
      <c r="AB2186" t="s">
        <v>75</v>
      </c>
      <c r="AC2186" t="s">
        <v>76</v>
      </c>
      <c r="AD2186" t="s">
        <v>73</v>
      </c>
      <c r="AE2186" t="s">
        <v>77</v>
      </c>
      <c r="AF2186" t="s">
        <v>2234</v>
      </c>
      <c r="AG2186" t="s">
        <v>78</v>
      </c>
    </row>
    <row r="2187" spans="1:33" hidden="1" x14ac:dyDescent="0.25">
      <c r="A2187" t="str">
        <f>"1437176047"</f>
        <v>1437176047</v>
      </c>
      <c r="B2187" t="str">
        <f>"02738801"</f>
        <v>02738801</v>
      </c>
      <c r="C2187" t="s">
        <v>9738</v>
      </c>
      <c r="D2187" t="s">
        <v>9739</v>
      </c>
      <c r="E2187" t="s">
        <v>3672</v>
      </c>
      <c r="L2187" t="s">
        <v>36</v>
      </c>
      <c r="M2187" t="s">
        <v>73</v>
      </c>
      <c r="R2187" t="s">
        <v>9738</v>
      </c>
      <c r="W2187" t="s">
        <v>3672</v>
      </c>
      <c r="X2187" t="s">
        <v>167</v>
      </c>
      <c r="Y2187" t="s">
        <v>91</v>
      </c>
      <c r="Z2187" t="s">
        <v>74</v>
      </c>
      <c r="AA2187" t="str">
        <f>"10032-3720"</f>
        <v>10032-3720</v>
      </c>
      <c r="AB2187" t="s">
        <v>114</v>
      </c>
      <c r="AC2187" t="s">
        <v>76</v>
      </c>
      <c r="AD2187" t="s">
        <v>73</v>
      </c>
      <c r="AE2187" t="s">
        <v>77</v>
      </c>
      <c r="AG2187" t="s">
        <v>78</v>
      </c>
    </row>
    <row r="2188" spans="1:33" hidden="1" x14ac:dyDescent="0.25">
      <c r="A2188" t="str">
        <f>"1750358123"</f>
        <v>1750358123</v>
      </c>
      <c r="B2188" t="str">
        <f>"00385039"</f>
        <v>00385039</v>
      </c>
      <c r="C2188" t="s">
        <v>9740</v>
      </c>
      <c r="D2188" t="s">
        <v>1643</v>
      </c>
      <c r="E2188" t="s">
        <v>1644</v>
      </c>
      <c r="G2188" t="s">
        <v>2224</v>
      </c>
      <c r="H2188" t="s">
        <v>2225</v>
      </c>
      <c r="J2188" t="s">
        <v>2226</v>
      </c>
      <c r="L2188" t="s">
        <v>80</v>
      </c>
      <c r="M2188" t="s">
        <v>82</v>
      </c>
      <c r="R2188" t="s">
        <v>1645</v>
      </c>
      <c r="W2188" t="s">
        <v>1646</v>
      </c>
      <c r="X2188" t="s">
        <v>1647</v>
      </c>
      <c r="Y2188" t="s">
        <v>91</v>
      </c>
      <c r="Z2188" t="s">
        <v>74</v>
      </c>
      <c r="AA2188" t="str">
        <f>"10128-0100"</f>
        <v>10128-0100</v>
      </c>
      <c r="AB2188" t="s">
        <v>75</v>
      </c>
      <c r="AC2188" t="s">
        <v>76</v>
      </c>
      <c r="AD2188" t="s">
        <v>73</v>
      </c>
      <c r="AE2188" t="s">
        <v>77</v>
      </c>
      <c r="AF2188" t="s">
        <v>2254</v>
      </c>
      <c r="AG2188" t="s">
        <v>78</v>
      </c>
    </row>
    <row r="2189" spans="1:33" hidden="1" x14ac:dyDescent="0.25">
      <c r="A2189" t="str">
        <f>"1699878983"</f>
        <v>1699878983</v>
      </c>
      <c r="B2189" t="str">
        <f>"01810897"</f>
        <v>01810897</v>
      </c>
      <c r="C2189" t="s">
        <v>9741</v>
      </c>
      <c r="D2189" t="s">
        <v>9742</v>
      </c>
      <c r="E2189" t="s">
        <v>9743</v>
      </c>
      <c r="G2189" t="s">
        <v>2224</v>
      </c>
      <c r="H2189" t="s">
        <v>2225</v>
      </c>
      <c r="J2189" t="s">
        <v>2226</v>
      </c>
      <c r="L2189" t="s">
        <v>81</v>
      </c>
      <c r="M2189" t="s">
        <v>73</v>
      </c>
      <c r="R2189" t="s">
        <v>9744</v>
      </c>
      <c r="W2189" t="s">
        <v>9743</v>
      </c>
      <c r="X2189" t="s">
        <v>9745</v>
      </c>
      <c r="Y2189" t="s">
        <v>91</v>
      </c>
      <c r="Z2189" t="s">
        <v>74</v>
      </c>
      <c r="AA2189" t="str">
        <f>"10034-1159"</f>
        <v>10034-1159</v>
      </c>
      <c r="AB2189" t="s">
        <v>75</v>
      </c>
      <c r="AC2189" t="s">
        <v>76</v>
      </c>
      <c r="AD2189" t="s">
        <v>73</v>
      </c>
      <c r="AE2189" t="s">
        <v>77</v>
      </c>
      <c r="AF2189" t="s">
        <v>2228</v>
      </c>
      <c r="AG2189" t="s">
        <v>78</v>
      </c>
    </row>
    <row r="2190" spans="1:33" hidden="1" x14ac:dyDescent="0.25">
      <c r="A2190" t="str">
        <f>"1699895029"</f>
        <v>1699895029</v>
      </c>
      <c r="B2190" t="str">
        <f>"03078920"</f>
        <v>03078920</v>
      </c>
      <c r="C2190" t="s">
        <v>9746</v>
      </c>
      <c r="D2190" t="s">
        <v>9747</v>
      </c>
      <c r="E2190" t="s">
        <v>9748</v>
      </c>
      <c r="G2190" t="s">
        <v>2224</v>
      </c>
      <c r="H2190" t="s">
        <v>2225</v>
      </c>
      <c r="J2190" t="s">
        <v>2226</v>
      </c>
      <c r="L2190" t="s">
        <v>72</v>
      </c>
      <c r="M2190" t="s">
        <v>82</v>
      </c>
      <c r="R2190" t="s">
        <v>9749</v>
      </c>
      <c r="W2190" t="s">
        <v>9748</v>
      </c>
      <c r="X2190" t="s">
        <v>167</v>
      </c>
      <c r="Y2190" t="s">
        <v>91</v>
      </c>
      <c r="Z2190" t="s">
        <v>74</v>
      </c>
      <c r="AA2190" t="str">
        <f>"10032-3720"</f>
        <v>10032-3720</v>
      </c>
      <c r="AB2190" t="s">
        <v>75</v>
      </c>
      <c r="AC2190" t="s">
        <v>76</v>
      </c>
      <c r="AD2190" t="s">
        <v>73</v>
      </c>
      <c r="AE2190" t="s">
        <v>77</v>
      </c>
      <c r="AF2190" t="s">
        <v>2228</v>
      </c>
      <c r="AG2190" t="s">
        <v>78</v>
      </c>
    </row>
    <row r="2191" spans="1:33" hidden="1" x14ac:dyDescent="0.25">
      <c r="A2191" t="str">
        <f>"1104990035"</f>
        <v>1104990035</v>
      </c>
      <c r="B2191" t="str">
        <f>"02827874"</f>
        <v>02827874</v>
      </c>
      <c r="C2191" t="s">
        <v>9750</v>
      </c>
      <c r="D2191" t="s">
        <v>9751</v>
      </c>
      <c r="E2191" t="s">
        <v>9752</v>
      </c>
      <c r="G2191" t="s">
        <v>2224</v>
      </c>
      <c r="H2191" t="s">
        <v>2225</v>
      </c>
      <c r="J2191" t="s">
        <v>2226</v>
      </c>
      <c r="L2191" t="s">
        <v>72</v>
      </c>
      <c r="M2191" t="s">
        <v>73</v>
      </c>
      <c r="R2191" t="s">
        <v>9753</v>
      </c>
      <c r="W2191" t="s">
        <v>9752</v>
      </c>
      <c r="X2191" t="s">
        <v>183</v>
      </c>
      <c r="Y2191" t="s">
        <v>91</v>
      </c>
      <c r="Z2191" t="s">
        <v>74</v>
      </c>
      <c r="AA2191" t="str">
        <f>"10032-3729"</f>
        <v>10032-3729</v>
      </c>
      <c r="AB2191" t="s">
        <v>75</v>
      </c>
      <c r="AC2191" t="s">
        <v>76</v>
      </c>
      <c r="AD2191" t="s">
        <v>73</v>
      </c>
      <c r="AE2191" t="s">
        <v>77</v>
      </c>
      <c r="AF2191" t="s">
        <v>2254</v>
      </c>
      <c r="AG2191" t="s">
        <v>78</v>
      </c>
    </row>
    <row r="2192" spans="1:33" hidden="1" x14ac:dyDescent="0.25">
      <c r="A2192" t="str">
        <f>"1114952512"</f>
        <v>1114952512</v>
      </c>
      <c r="B2192" t="str">
        <f>"01911857"</f>
        <v>01911857</v>
      </c>
      <c r="C2192" t="s">
        <v>9754</v>
      </c>
      <c r="D2192" t="s">
        <v>9755</v>
      </c>
      <c r="E2192" t="s">
        <v>514</v>
      </c>
      <c r="L2192" t="s">
        <v>72</v>
      </c>
      <c r="M2192" t="s">
        <v>73</v>
      </c>
      <c r="R2192" t="s">
        <v>9756</v>
      </c>
      <c r="W2192" t="s">
        <v>514</v>
      </c>
      <c r="X2192" t="s">
        <v>2085</v>
      </c>
      <c r="Y2192" t="s">
        <v>91</v>
      </c>
      <c r="Z2192" t="s">
        <v>74</v>
      </c>
      <c r="AA2192" t="str">
        <f>"10032-3720"</f>
        <v>10032-3720</v>
      </c>
      <c r="AB2192" t="s">
        <v>75</v>
      </c>
      <c r="AC2192" t="s">
        <v>76</v>
      </c>
      <c r="AD2192" t="s">
        <v>73</v>
      </c>
      <c r="AE2192" t="s">
        <v>77</v>
      </c>
      <c r="AF2192" t="s">
        <v>2228</v>
      </c>
      <c r="AG2192" t="s">
        <v>78</v>
      </c>
    </row>
    <row r="2193" spans="1:33" hidden="1" x14ac:dyDescent="0.25">
      <c r="A2193" t="str">
        <f>"1821056201"</f>
        <v>1821056201</v>
      </c>
      <c r="B2193" t="str">
        <f>"02144030"</f>
        <v>02144030</v>
      </c>
      <c r="C2193" t="s">
        <v>9757</v>
      </c>
      <c r="D2193" t="s">
        <v>900</v>
      </c>
      <c r="E2193" t="s">
        <v>901</v>
      </c>
      <c r="G2193" t="s">
        <v>749</v>
      </c>
      <c r="H2193" t="s">
        <v>320</v>
      </c>
      <c r="J2193" t="s">
        <v>750</v>
      </c>
      <c r="L2193" t="s">
        <v>129</v>
      </c>
      <c r="M2193" t="s">
        <v>82</v>
      </c>
      <c r="R2193" t="s">
        <v>902</v>
      </c>
      <c r="W2193" t="s">
        <v>901</v>
      </c>
      <c r="X2193" t="s">
        <v>903</v>
      </c>
      <c r="Y2193" t="s">
        <v>904</v>
      </c>
      <c r="Z2193" t="s">
        <v>74</v>
      </c>
      <c r="AA2193" t="str">
        <f>"11510-3148"</f>
        <v>11510-3148</v>
      </c>
      <c r="AB2193" t="s">
        <v>75</v>
      </c>
      <c r="AC2193" t="s">
        <v>76</v>
      </c>
      <c r="AD2193" t="s">
        <v>73</v>
      </c>
      <c r="AE2193" t="s">
        <v>77</v>
      </c>
      <c r="AF2193" t="s">
        <v>2445</v>
      </c>
      <c r="AG2193" t="s">
        <v>78</v>
      </c>
    </row>
    <row r="2194" spans="1:33" hidden="1" x14ac:dyDescent="0.25">
      <c r="A2194" t="str">
        <f>"1184965493"</f>
        <v>1184965493</v>
      </c>
      <c r="B2194" t="str">
        <f>"03818297"</f>
        <v>03818297</v>
      </c>
      <c r="C2194" t="s">
        <v>9758</v>
      </c>
      <c r="D2194" t="s">
        <v>632</v>
      </c>
      <c r="E2194" t="s">
        <v>633</v>
      </c>
      <c r="G2194" t="s">
        <v>749</v>
      </c>
      <c r="H2194" t="s">
        <v>320</v>
      </c>
      <c r="J2194" t="s">
        <v>750</v>
      </c>
      <c r="L2194" t="s">
        <v>80</v>
      </c>
      <c r="M2194" t="s">
        <v>73</v>
      </c>
      <c r="R2194" t="s">
        <v>634</v>
      </c>
      <c r="W2194" t="s">
        <v>635</v>
      </c>
      <c r="X2194" t="s">
        <v>636</v>
      </c>
      <c r="Y2194" t="s">
        <v>91</v>
      </c>
      <c r="Z2194" t="s">
        <v>74</v>
      </c>
      <c r="AA2194" t="str">
        <f>"10026-3138"</f>
        <v>10026-3138</v>
      </c>
      <c r="AB2194" t="s">
        <v>75</v>
      </c>
      <c r="AC2194" t="s">
        <v>76</v>
      </c>
      <c r="AD2194" t="s">
        <v>73</v>
      </c>
      <c r="AE2194" t="s">
        <v>77</v>
      </c>
      <c r="AF2194" t="s">
        <v>2445</v>
      </c>
      <c r="AG2194" t="s">
        <v>78</v>
      </c>
    </row>
    <row r="2195" spans="1:33" hidden="1" x14ac:dyDescent="0.25">
      <c r="A2195" t="str">
        <f>"1164847786"</f>
        <v>1164847786</v>
      </c>
      <c r="B2195" t="str">
        <f>"03818260"</f>
        <v>03818260</v>
      </c>
      <c r="C2195" t="s">
        <v>1861</v>
      </c>
      <c r="D2195" t="s">
        <v>770</v>
      </c>
      <c r="E2195" t="s">
        <v>771</v>
      </c>
      <c r="G2195" t="s">
        <v>749</v>
      </c>
      <c r="H2195" t="s">
        <v>320</v>
      </c>
      <c r="J2195" t="s">
        <v>750</v>
      </c>
      <c r="L2195" t="s">
        <v>81</v>
      </c>
      <c r="M2195" t="s">
        <v>73</v>
      </c>
      <c r="R2195" t="s">
        <v>772</v>
      </c>
      <c r="W2195" t="s">
        <v>771</v>
      </c>
      <c r="X2195" t="s">
        <v>683</v>
      </c>
      <c r="Y2195" t="s">
        <v>118</v>
      </c>
      <c r="Z2195" t="s">
        <v>74</v>
      </c>
      <c r="AA2195" t="str">
        <f>"10459-3204"</f>
        <v>10459-3204</v>
      </c>
      <c r="AB2195" t="s">
        <v>75</v>
      </c>
      <c r="AC2195" t="s">
        <v>76</v>
      </c>
      <c r="AD2195" t="s">
        <v>73</v>
      </c>
      <c r="AE2195" t="s">
        <v>77</v>
      </c>
      <c r="AF2195" t="s">
        <v>2445</v>
      </c>
      <c r="AG2195" t="s">
        <v>78</v>
      </c>
    </row>
    <row r="2196" spans="1:33" hidden="1" x14ac:dyDescent="0.25">
      <c r="A2196" t="str">
        <f>"1215293014"</f>
        <v>1215293014</v>
      </c>
      <c r="C2196" t="s">
        <v>9759</v>
      </c>
      <c r="G2196" t="s">
        <v>2224</v>
      </c>
      <c r="H2196" t="s">
        <v>2312</v>
      </c>
      <c r="J2196" t="s">
        <v>2226</v>
      </c>
      <c r="K2196" t="s">
        <v>171</v>
      </c>
      <c r="L2196" t="s">
        <v>96</v>
      </c>
      <c r="M2196" t="s">
        <v>73</v>
      </c>
      <c r="R2196" t="s">
        <v>9760</v>
      </c>
      <c r="S2196" t="s">
        <v>167</v>
      </c>
      <c r="T2196" t="s">
        <v>91</v>
      </c>
      <c r="U2196" t="s">
        <v>74</v>
      </c>
      <c r="V2196" t="str">
        <f>"100323720"</f>
        <v>100323720</v>
      </c>
      <c r="AC2196" t="s">
        <v>76</v>
      </c>
      <c r="AD2196" t="s">
        <v>73</v>
      </c>
      <c r="AE2196" t="s">
        <v>97</v>
      </c>
      <c r="AF2196" t="s">
        <v>2228</v>
      </c>
      <c r="AG2196" t="s">
        <v>78</v>
      </c>
    </row>
    <row r="2197" spans="1:33" hidden="1" x14ac:dyDescent="0.25">
      <c r="A2197" t="str">
        <f>"1649537788"</f>
        <v>1649537788</v>
      </c>
      <c r="C2197" t="s">
        <v>9761</v>
      </c>
      <c r="G2197" t="s">
        <v>2224</v>
      </c>
      <c r="H2197" t="s">
        <v>2312</v>
      </c>
      <c r="J2197" t="s">
        <v>2226</v>
      </c>
      <c r="K2197" t="s">
        <v>171</v>
      </c>
      <c r="L2197" t="s">
        <v>96</v>
      </c>
      <c r="M2197" t="s">
        <v>73</v>
      </c>
      <c r="R2197" t="s">
        <v>1740</v>
      </c>
      <c r="S2197" t="s">
        <v>1741</v>
      </c>
      <c r="T2197" t="s">
        <v>1572</v>
      </c>
      <c r="U2197" t="s">
        <v>929</v>
      </c>
      <c r="V2197" t="str">
        <f>"79905"</f>
        <v>79905</v>
      </c>
      <c r="AC2197" t="s">
        <v>76</v>
      </c>
      <c r="AD2197" t="s">
        <v>73</v>
      </c>
      <c r="AE2197" t="s">
        <v>97</v>
      </c>
      <c r="AF2197" t="s">
        <v>2234</v>
      </c>
      <c r="AG2197" t="s">
        <v>78</v>
      </c>
    </row>
    <row r="2198" spans="1:33" hidden="1" x14ac:dyDescent="0.25">
      <c r="A2198" t="str">
        <f>"1942628763"</f>
        <v>1942628763</v>
      </c>
      <c r="C2198" t="s">
        <v>9762</v>
      </c>
      <c r="G2198" t="s">
        <v>2224</v>
      </c>
      <c r="H2198" t="s">
        <v>2312</v>
      </c>
      <c r="J2198" t="s">
        <v>2226</v>
      </c>
      <c r="K2198" t="s">
        <v>171</v>
      </c>
      <c r="L2198" t="s">
        <v>96</v>
      </c>
      <c r="M2198" t="s">
        <v>73</v>
      </c>
      <c r="R2198" t="s">
        <v>9763</v>
      </c>
      <c r="S2198" t="s">
        <v>1373</v>
      </c>
      <c r="T2198" t="s">
        <v>91</v>
      </c>
      <c r="U2198" t="s">
        <v>74</v>
      </c>
      <c r="V2198" t="str">
        <f>"100323727"</f>
        <v>100323727</v>
      </c>
      <c r="AC2198" t="s">
        <v>76</v>
      </c>
      <c r="AD2198" t="s">
        <v>73</v>
      </c>
      <c r="AE2198" t="s">
        <v>97</v>
      </c>
      <c r="AF2198" t="s">
        <v>2228</v>
      </c>
      <c r="AG2198" t="s">
        <v>78</v>
      </c>
    </row>
    <row r="2199" spans="1:33" hidden="1" x14ac:dyDescent="0.25">
      <c r="A2199" t="str">
        <f>"1588893226"</f>
        <v>1588893226</v>
      </c>
      <c r="B2199" t="str">
        <f>"04010459"</f>
        <v>04010459</v>
      </c>
      <c r="C2199" t="s">
        <v>9764</v>
      </c>
      <c r="D2199" t="s">
        <v>9765</v>
      </c>
      <c r="E2199" t="s">
        <v>9766</v>
      </c>
      <c r="G2199" t="s">
        <v>2224</v>
      </c>
      <c r="H2199" t="s">
        <v>2312</v>
      </c>
      <c r="J2199" t="s">
        <v>2226</v>
      </c>
      <c r="L2199" t="s">
        <v>80</v>
      </c>
      <c r="M2199" t="s">
        <v>73</v>
      </c>
      <c r="R2199" t="s">
        <v>9767</v>
      </c>
      <c r="W2199" t="s">
        <v>9766</v>
      </c>
      <c r="X2199" t="s">
        <v>170</v>
      </c>
      <c r="Y2199" t="s">
        <v>91</v>
      </c>
      <c r="Z2199" t="s">
        <v>74</v>
      </c>
      <c r="AA2199" t="str">
        <f>"10065-4870"</f>
        <v>10065-4870</v>
      </c>
      <c r="AB2199" t="s">
        <v>75</v>
      </c>
      <c r="AC2199" t="s">
        <v>76</v>
      </c>
      <c r="AD2199" t="s">
        <v>73</v>
      </c>
      <c r="AE2199" t="s">
        <v>77</v>
      </c>
      <c r="AF2199" t="s">
        <v>2242</v>
      </c>
      <c r="AG2199" t="s">
        <v>78</v>
      </c>
    </row>
    <row r="2200" spans="1:33" hidden="1" x14ac:dyDescent="0.25">
      <c r="A2200" t="str">
        <f>"1437178852"</f>
        <v>1437178852</v>
      </c>
      <c r="C2200" t="s">
        <v>9768</v>
      </c>
      <c r="G2200" t="s">
        <v>2224</v>
      </c>
      <c r="H2200" t="s">
        <v>2312</v>
      </c>
      <c r="J2200" t="s">
        <v>2226</v>
      </c>
      <c r="K2200" t="s">
        <v>171</v>
      </c>
      <c r="L2200" t="s">
        <v>72</v>
      </c>
      <c r="M2200" t="s">
        <v>73</v>
      </c>
      <c r="R2200" t="s">
        <v>9769</v>
      </c>
      <c r="S2200" t="s">
        <v>272</v>
      </c>
      <c r="T2200" t="s">
        <v>91</v>
      </c>
      <c r="U2200" t="s">
        <v>74</v>
      </c>
      <c r="V2200" t="str">
        <f>"10038"</f>
        <v>10038</v>
      </c>
      <c r="AC2200" t="s">
        <v>76</v>
      </c>
      <c r="AD2200" t="s">
        <v>73</v>
      </c>
      <c r="AE2200" t="s">
        <v>97</v>
      </c>
      <c r="AF2200" t="s">
        <v>2234</v>
      </c>
      <c r="AG2200" t="s">
        <v>78</v>
      </c>
    </row>
    <row r="2201" spans="1:33" hidden="1" x14ac:dyDescent="0.25">
      <c r="A2201" t="str">
        <f>"1225034820"</f>
        <v>1225034820</v>
      </c>
      <c r="C2201" t="s">
        <v>9770</v>
      </c>
      <c r="G2201" t="s">
        <v>2224</v>
      </c>
      <c r="H2201" t="s">
        <v>2312</v>
      </c>
      <c r="J2201" t="s">
        <v>2226</v>
      </c>
      <c r="K2201" t="s">
        <v>171</v>
      </c>
      <c r="L2201" t="s">
        <v>72</v>
      </c>
      <c r="M2201" t="s">
        <v>73</v>
      </c>
      <c r="R2201" t="s">
        <v>9771</v>
      </c>
      <c r="S2201" t="s">
        <v>9772</v>
      </c>
      <c r="T2201" t="s">
        <v>91</v>
      </c>
      <c r="U2201" t="s">
        <v>74</v>
      </c>
      <c r="V2201" t="str">
        <f>"100323733"</f>
        <v>100323733</v>
      </c>
      <c r="AC2201" t="s">
        <v>76</v>
      </c>
      <c r="AD2201" t="s">
        <v>73</v>
      </c>
      <c r="AE2201" t="s">
        <v>97</v>
      </c>
      <c r="AF2201" t="s">
        <v>2242</v>
      </c>
      <c r="AG2201" t="s">
        <v>78</v>
      </c>
    </row>
    <row r="2202" spans="1:33" hidden="1" x14ac:dyDescent="0.25">
      <c r="A2202" t="str">
        <f>"1275792194"</f>
        <v>1275792194</v>
      </c>
      <c r="B2202" t="str">
        <f>"03228640"</f>
        <v>03228640</v>
      </c>
      <c r="C2202" t="s">
        <v>9773</v>
      </c>
      <c r="D2202" t="s">
        <v>2035</v>
      </c>
      <c r="E2202" t="s">
        <v>2036</v>
      </c>
      <c r="G2202" t="s">
        <v>2224</v>
      </c>
      <c r="H2202" t="s">
        <v>2225</v>
      </c>
      <c r="J2202" t="s">
        <v>2226</v>
      </c>
      <c r="L2202" t="s">
        <v>80</v>
      </c>
      <c r="M2202" t="s">
        <v>73</v>
      </c>
      <c r="R2202" t="s">
        <v>2037</v>
      </c>
      <c r="W2202" t="s">
        <v>2036</v>
      </c>
      <c r="X2202" t="s">
        <v>170</v>
      </c>
      <c r="Y2202" t="s">
        <v>91</v>
      </c>
      <c r="Z2202" t="s">
        <v>74</v>
      </c>
      <c r="AA2202" t="str">
        <f>"10065-4870"</f>
        <v>10065-4870</v>
      </c>
      <c r="AB2202" t="s">
        <v>75</v>
      </c>
      <c r="AC2202" t="s">
        <v>76</v>
      </c>
      <c r="AD2202" t="s">
        <v>73</v>
      </c>
      <c r="AE2202" t="s">
        <v>77</v>
      </c>
      <c r="AF2202" t="s">
        <v>2242</v>
      </c>
      <c r="AG2202" t="s">
        <v>78</v>
      </c>
    </row>
    <row r="2203" spans="1:33" hidden="1" x14ac:dyDescent="0.25">
      <c r="A2203" t="str">
        <f>"1497722078"</f>
        <v>1497722078</v>
      </c>
      <c r="B2203" t="str">
        <f>"01569575"</f>
        <v>01569575</v>
      </c>
      <c r="C2203" t="s">
        <v>9774</v>
      </c>
      <c r="D2203" t="s">
        <v>477</v>
      </c>
      <c r="E2203" t="s">
        <v>478</v>
      </c>
      <c r="G2203" t="s">
        <v>9775</v>
      </c>
      <c r="H2203" t="s">
        <v>419</v>
      </c>
      <c r="J2203" t="s">
        <v>6940</v>
      </c>
      <c r="L2203" t="s">
        <v>81</v>
      </c>
      <c r="M2203" t="s">
        <v>82</v>
      </c>
      <c r="R2203" t="s">
        <v>476</v>
      </c>
      <c r="W2203" t="s">
        <v>478</v>
      </c>
      <c r="X2203" t="s">
        <v>479</v>
      </c>
      <c r="Y2203" t="s">
        <v>118</v>
      </c>
      <c r="Z2203" t="s">
        <v>74</v>
      </c>
      <c r="AA2203" t="str">
        <f>"10451-5801"</f>
        <v>10451-5801</v>
      </c>
      <c r="AB2203" t="s">
        <v>75</v>
      </c>
      <c r="AC2203" t="s">
        <v>76</v>
      </c>
      <c r="AD2203" t="s">
        <v>73</v>
      </c>
      <c r="AE2203" t="s">
        <v>77</v>
      </c>
      <c r="AF2203" t="s">
        <v>2228</v>
      </c>
      <c r="AG2203" t="s">
        <v>78</v>
      </c>
    </row>
    <row r="2204" spans="1:33" hidden="1" x14ac:dyDescent="0.25">
      <c r="A2204" t="str">
        <f>"1568632859"</f>
        <v>1568632859</v>
      </c>
      <c r="B2204" t="str">
        <f>"02961035"</f>
        <v>02961035</v>
      </c>
      <c r="C2204" t="s">
        <v>9776</v>
      </c>
      <c r="D2204" t="s">
        <v>9777</v>
      </c>
      <c r="E2204" t="s">
        <v>9778</v>
      </c>
      <c r="G2204" t="s">
        <v>2224</v>
      </c>
      <c r="H2204" t="s">
        <v>2225</v>
      </c>
      <c r="J2204" t="s">
        <v>2226</v>
      </c>
      <c r="L2204" t="s">
        <v>80</v>
      </c>
      <c r="M2204" t="s">
        <v>73</v>
      </c>
      <c r="R2204" t="s">
        <v>9779</v>
      </c>
      <c r="W2204" t="s">
        <v>9778</v>
      </c>
      <c r="X2204" t="s">
        <v>1583</v>
      </c>
      <c r="Y2204" t="s">
        <v>91</v>
      </c>
      <c r="Z2204" t="s">
        <v>74</v>
      </c>
      <c r="AA2204" t="str">
        <f>"10021-9800"</f>
        <v>10021-9800</v>
      </c>
      <c r="AB2204" t="s">
        <v>75</v>
      </c>
      <c r="AC2204" t="s">
        <v>76</v>
      </c>
      <c r="AD2204" t="s">
        <v>73</v>
      </c>
      <c r="AE2204" t="s">
        <v>77</v>
      </c>
      <c r="AF2204" t="s">
        <v>2398</v>
      </c>
      <c r="AG2204" t="s">
        <v>78</v>
      </c>
    </row>
    <row r="2205" spans="1:33" hidden="1" x14ac:dyDescent="0.25">
      <c r="A2205" t="str">
        <f>"1568636314"</f>
        <v>1568636314</v>
      </c>
      <c r="B2205" t="str">
        <f>"03421872"</f>
        <v>03421872</v>
      </c>
      <c r="C2205" t="s">
        <v>9780</v>
      </c>
      <c r="D2205" t="s">
        <v>9781</v>
      </c>
      <c r="E2205" t="s">
        <v>9782</v>
      </c>
      <c r="G2205" t="s">
        <v>2224</v>
      </c>
      <c r="H2205" t="s">
        <v>2225</v>
      </c>
      <c r="J2205" t="s">
        <v>2226</v>
      </c>
      <c r="L2205" t="s">
        <v>72</v>
      </c>
      <c r="M2205" t="s">
        <v>73</v>
      </c>
      <c r="R2205" t="s">
        <v>9783</v>
      </c>
      <c r="W2205" t="s">
        <v>9782</v>
      </c>
      <c r="X2205" t="s">
        <v>183</v>
      </c>
      <c r="Y2205" t="s">
        <v>91</v>
      </c>
      <c r="Z2205" t="s">
        <v>74</v>
      </c>
      <c r="AA2205" t="str">
        <f>"10032-3729"</f>
        <v>10032-3729</v>
      </c>
      <c r="AB2205" t="s">
        <v>75</v>
      </c>
      <c r="AC2205" t="s">
        <v>76</v>
      </c>
      <c r="AD2205" t="s">
        <v>73</v>
      </c>
      <c r="AE2205" t="s">
        <v>77</v>
      </c>
      <c r="AF2205" t="s">
        <v>2254</v>
      </c>
      <c r="AG2205" t="s">
        <v>78</v>
      </c>
    </row>
    <row r="2206" spans="1:33" hidden="1" x14ac:dyDescent="0.25">
      <c r="A2206" t="str">
        <f>"1801030473"</f>
        <v>1801030473</v>
      </c>
      <c r="B2206" t="str">
        <f>"03716070"</f>
        <v>03716070</v>
      </c>
      <c r="C2206" t="s">
        <v>9784</v>
      </c>
      <c r="D2206" t="s">
        <v>9785</v>
      </c>
      <c r="E2206" t="s">
        <v>1384</v>
      </c>
      <c r="G2206" t="s">
        <v>2224</v>
      </c>
      <c r="H2206" t="s">
        <v>2225</v>
      </c>
      <c r="J2206" t="s">
        <v>2226</v>
      </c>
      <c r="L2206" t="s">
        <v>72</v>
      </c>
      <c r="M2206" t="s">
        <v>73</v>
      </c>
      <c r="R2206" t="s">
        <v>9786</v>
      </c>
      <c r="W2206" t="s">
        <v>9787</v>
      </c>
      <c r="X2206" t="s">
        <v>2057</v>
      </c>
      <c r="Y2206" t="s">
        <v>91</v>
      </c>
      <c r="Z2206" t="s">
        <v>74</v>
      </c>
      <c r="AA2206" t="str">
        <f>"10032-3720"</f>
        <v>10032-3720</v>
      </c>
      <c r="AB2206" t="s">
        <v>75</v>
      </c>
      <c r="AC2206" t="s">
        <v>76</v>
      </c>
      <c r="AD2206" t="s">
        <v>73</v>
      </c>
      <c r="AE2206" t="s">
        <v>77</v>
      </c>
      <c r="AF2206" t="s">
        <v>2234</v>
      </c>
      <c r="AG2206" t="s">
        <v>78</v>
      </c>
    </row>
    <row r="2207" spans="1:33" hidden="1" x14ac:dyDescent="0.25">
      <c r="A2207" t="str">
        <f>"1801053632"</f>
        <v>1801053632</v>
      </c>
      <c r="B2207" t="str">
        <f>"03339035"</f>
        <v>03339035</v>
      </c>
      <c r="C2207" t="s">
        <v>9788</v>
      </c>
      <c r="D2207" t="s">
        <v>9789</v>
      </c>
      <c r="E2207" t="s">
        <v>9790</v>
      </c>
      <c r="G2207" t="s">
        <v>2224</v>
      </c>
      <c r="H2207" t="s">
        <v>2225</v>
      </c>
      <c r="J2207" t="s">
        <v>2226</v>
      </c>
      <c r="L2207" t="s">
        <v>80</v>
      </c>
      <c r="M2207" t="s">
        <v>73</v>
      </c>
      <c r="R2207" t="s">
        <v>9791</v>
      </c>
      <c r="W2207" t="s">
        <v>9790</v>
      </c>
      <c r="X2207" t="s">
        <v>170</v>
      </c>
      <c r="Y2207" t="s">
        <v>91</v>
      </c>
      <c r="Z2207" t="s">
        <v>74</v>
      </c>
      <c r="AA2207" t="str">
        <f>"10065-4870"</f>
        <v>10065-4870</v>
      </c>
      <c r="AB2207" t="s">
        <v>75</v>
      </c>
      <c r="AC2207" t="s">
        <v>76</v>
      </c>
      <c r="AD2207" t="s">
        <v>73</v>
      </c>
      <c r="AE2207" t="s">
        <v>77</v>
      </c>
      <c r="AF2207" t="s">
        <v>2398</v>
      </c>
      <c r="AG2207" t="s">
        <v>78</v>
      </c>
    </row>
    <row r="2208" spans="1:33" hidden="1" x14ac:dyDescent="0.25">
      <c r="A2208" t="str">
        <f>"1710934104"</f>
        <v>1710934104</v>
      </c>
      <c r="C2208" t="s">
        <v>9792</v>
      </c>
      <c r="G2208" t="s">
        <v>2224</v>
      </c>
      <c r="H2208" t="s">
        <v>2312</v>
      </c>
      <c r="J2208" t="s">
        <v>2226</v>
      </c>
      <c r="K2208" t="s">
        <v>171</v>
      </c>
      <c r="L2208" t="s">
        <v>72</v>
      </c>
      <c r="M2208" t="s">
        <v>73</v>
      </c>
      <c r="R2208" t="s">
        <v>9793</v>
      </c>
      <c r="S2208" t="s">
        <v>167</v>
      </c>
      <c r="T2208" t="s">
        <v>91</v>
      </c>
      <c r="U2208" t="s">
        <v>74</v>
      </c>
      <c r="V2208" t="str">
        <f>"100323720"</f>
        <v>100323720</v>
      </c>
      <c r="AC2208" t="s">
        <v>76</v>
      </c>
      <c r="AD2208" t="s">
        <v>73</v>
      </c>
      <c r="AE2208" t="s">
        <v>97</v>
      </c>
      <c r="AF2208" t="s">
        <v>2228</v>
      </c>
      <c r="AG2208" t="s">
        <v>78</v>
      </c>
    </row>
    <row r="2209" spans="1:33" hidden="1" x14ac:dyDescent="0.25">
      <c r="A2209" t="str">
        <f>"1205995784"</f>
        <v>1205995784</v>
      </c>
      <c r="B2209" t="str">
        <f>"02865790"</f>
        <v>02865790</v>
      </c>
      <c r="C2209" t="s">
        <v>9794</v>
      </c>
      <c r="D2209" t="s">
        <v>9795</v>
      </c>
      <c r="E2209" t="s">
        <v>9796</v>
      </c>
      <c r="G2209" t="s">
        <v>2224</v>
      </c>
      <c r="H2209" t="s">
        <v>9797</v>
      </c>
      <c r="J2209" t="s">
        <v>2226</v>
      </c>
      <c r="L2209" t="s">
        <v>80</v>
      </c>
      <c r="M2209" t="s">
        <v>73</v>
      </c>
      <c r="R2209" t="s">
        <v>9798</v>
      </c>
      <c r="W2209" t="s">
        <v>9796</v>
      </c>
      <c r="X2209" t="s">
        <v>159</v>
      </c>
      <c r="Y2209" t="s">
        <v>91</v>
      </c>
      <c r="Z2209" t="s">
        <v>74</v>
      </c>
      <c r="AA2209" t="str">
        <f>"10029-7404"</f>
        <v>10029-7404</v>
      </c>
      <c r="AB2209" t="s">
        <v>75</v>
      </c>
      <c r="AC2209" t="s">
        <v>76</v>
      </c>
      <c r="AD2209" t="s">
        <v>73</v>
      </c>
      <c r="AE2209" t="s">
        <v>77</v>
      </c>
      <c r="AF2209" t="s">
        <v>2228</v>
      </c>
      <c r="AG2209" t="s">
        <v>78</v>
      </c>
    </row>
    <row r="2210" spans="1:33" hidden="1" x14ac:dyDescent="0.25">
      <c r="A2210" t="str">
        <f>"1003916941"</f>
        <v>1003916941</v>
      </c>
      <c r="B2210" t="str">
        <f>"02180963"</f>
        <v>02180963</v>
      </c>
      <c r="C2210" t="s">
        <v>9799</v>
      </c>
      <c r="D2210" t="s">
        <v>9800</v>
      </c>
      <c r="E2210" t="s">
        <v>9801</v>
      </c>
      <c r="G2210" t="s">
        <v>2224</v>
      </c>
      <c r="H2210" t="s">
        <v>2225</v>
      </c>
      <c r="J2210" t="s">
        <v>2226</v>
      </c>
      <c r="L2210" t="s">
        <v>72</v>
      </c>
      <c r="M2210" t="s">
        <v>73</v>
      </c>
      <c r="R2210" t="s">
        <v>9802</v>
      </c>
      <c r="W2210" t="s">
        <v>9801</v>
      </c>
      <c r="X2210" t="s">
        <v>9801</v>
      </c>
      <c r="Y2210" t="s">
        <v>118</v>
      </c>
      <c r="Z2210" t="s">
        <v>74</v>
      </c>
      <c r="AA2210" t="str">
        <f>"10461-3734"</f>
        <v>10461-3734</v>
      </c>
      <c r="AB2210" t="s">
        <v>75</v>
      </c>
      <c r="AC2210" t="s">
        <v>76</v>
      </c>
      <c r="AD2210" t="s">
        <v>73</v>
      </c>
      <c r="AE2210" t="s">
        <v>77</v>
      </c>
      <c r="AF2210" t="s">
        <v>2228</v>
      </c>
      <c r="AG2210" t="s">
        <v>78</v>
      </c>
    </row>
    <row r="2211" spans="1:33" hidden="1" x14ac:dyDescent="0.25">
      <c r="A2211" t="str">
        <f>"1275621542"</f>
        <v>1275621542</v>
      </c>
      <c r="B2211" t="str">
        <f>"00912029"</f>
        <v>00912029</v>
      </c>
      <c r="C2211" t="s">
        <v>9803</v>
      </c>
      <c r="D2211" t="s">
        <v>9804</v>
      </c>
      <c r="E2211" t="s">
        <v>9805</v>
      </c>
      <c r="G2211" t="s">
        <v>2224</v>
      </c>
      <c r="H2211" t="s">
        <v>2225</v>
      </c>
      <c r="J2211" t="s">
        <v>2226</v>
      </c>
      <c r="L2211" t="s">
        <v>80</v>
      </c>
      <c r="M2211" t="s">
        <v>73</v>
      </c>
      <c r="R2211" t="s">
        <v>9806</v>
      </c>
      <c r="W2211" t="s">
        <v>9807</v>
      </c>
      <c r="X2211" t="s">
        <v>1797</v>
      </c>
      <c r="Y2211" t="s">
        <v>91</v>
      </c>
      <c r="Z2211" t="s">
        <v>74</v>
      </c>
      <c r="AA2211" t="str">
        <f>"10021"</f>
        <v>10021</v>
      </c>
      <c r="AB2211" t="s">
        <v>75</v>
      </c>
      <c r="AC2211" t="s">
        <v>76</v>
      </c>
      <c r="AD2211" t="s">
        <v>73</v>
      </c>
      <c r="AE2211" t="s">
        <v>77</v>
      </c>
      <c r="AF2211" t="s">
        <v>2242</v>
      </c>
      <c r="AG2211" t="s">
        <v>78</v>
      </c>
    </row>
    <row r="2212" spans="1:33" hidden="1" x14ac:dyDescent="0.25">
      <c r="A2212" t="str">
        <f>"1669417796"</f>
        <v>1669417796</v>
      </c>
      <c r="B2212" t="str">
        <f>"01118469"</f>
        <v>01118469</v>
      </c>
      <c r="C2212" t="s">
        <v>9808</v>
      </c>
      <c r="D2212" t="s">
        <v>9809</v>
      </c>
      <c r="E2212" t="s">
        <v>9810</v>
      </c>
      <c r="G2212" t="s">
        <v>2224</v>
      </c>
      <c r="H2212" t="s">
        <v>2225</v>
      </c>
      <c r="J2212" t="s">
        <v>2226</v>
      </c>
      <c r="L2212" t="s">
        <v>88</v>
      </c>
      <c r="M2212" t="s">
        <v>82</v>
      </c>
      <c r="R2212" t="s">
        <v>9811</v>
      </c>
      <c r="W2212" t="s">
        <v>9810</v>
      </c>
      <c r="X2212" t="s">
        <v>2011</v>
      </c>
      <c r="Y2212" t="s">
        <v>91</v>
      </c>
      <c r="Z2212" t="s">
        <v>74</v>
      </c>
      <c r="AA2212" t="str">
        <f>"10037-1802"</f>
        <v>10037-1802</v>
      </c>
      <c r="AB2212" t="s">
        <v>75</v>
      </c>
      <c r="AC2212" t="s">
        <v>76</v>
      </c>
      <c r="AD2212" t="s">
        <v>73</v>
      </c>
      <c r="AE2212" t="s">
        <v>77</v>
      </c>
      <c r="AF2212" t="s">
        <v>2254</v>
      </c>
      <c r="AG2212" t="s">
        <v>78</v>
      </c>
    </row>
    <row r="2213" spans="1:33" hidden="1" x14ac:dyDescent="0.25">
      <c r="A2213" t="str">
        <f>"1669767976"</f>
        <v>1669767976</v>
      </c>
      <c r="B2213" t="str">
        <f>"03921217"</f>
        <v>03921217</v>
      </c>
      <c r="C2213" t="s">
        <v>9812</v>
      </c>
      <c r="D2213" t="s">
        <v>9813</v>
      </c>
      <c r="E2213" t="s">
        <v>9814</v>
      </c>
      <c r="G2213" t="s">
        <v>2224</v>
      </c>
      <c r="H2213" t="s">
        <v>2225</v>
      </c>
      <c r="J2213" t="s">
        <v>2226</v>
      </c>
      <c r="L2213" t="s">
        <v>88</v>
      </c>
      <c r="M2213" t="s">
        <v>73</v>
      </c>
      <c r="R2213" t="s">
        <v>9815</v>
      </c>
      <c r="W2213" t="s">
        <v>9814</v>
      </c>
      <c r="X2213" t="s">
        <v>410</v>
      </c>
      <c r="Y2213" t="s">
        <v>91</v>
      </c>
      <c r="Z2213" t="s">
        <v>74</v>
      </c>
      <c r="AA2213" t="str">
        <f>"10032-1559"</f>
        <v>10032-1559</v>
      </c>
      <c r="AB2213" t="s">
        <v>75</v>
      </c>
      <c r="AC2213" t="s">
        <v>76</v>
      </c>
      <c r="AD2213" t="s">
        <v>73</v>
      </c>
      <c r="AE2213" t="s">
        <v>77</v>
      </c>
      <c r="AF2213" t="s">
        <v>2228</v>
      </c>
      <c r="AG2213" t="s">
        <v>78</v>
      </c>
    </row>
    <row r="2214" spans="1:33" hidden="1" x14ac:dyDescent="0.25">
      <c r="A2214" t="str">
        <f>"1679669675"</f>
        <v>1679669675</v>
      </c>
      <c r="B2214" t="str">
        <f>"02490095"</f>
        <v>02490095</v>
      </c>
      <c r="C2214" t="s">
        <v>9816</v>
      </c>
      <c r="D2214" t="s">
        <v>9817</v>
      </c>
      <c r="E2214" t="s">
        <v>9818</v>
      </c>
      <c r="G2214" t="s">
        <v>2224</v>
      </c>
      <c r="H2214" t="s">
        <v>2225</v>
      </c>
      <c r="J2214" t="s">
        <v>2226</v>
      </c>
      <c r="L2214" t="s">
        <v>81</v>
      </c>
      <c r="M2214" t="s">
        <v>82</v>
      </c>
      <c r="R2214" t="s">
        <v>9819</v>
      </c>
      <c r="W2214" t="s">
        <v>9818</v>
      </c>
      <c r="X2214" t="s">
        <v>591</v>
      </c>
      <c r="Y2214" t="s">
        <v>91</v>
      </c>
      <c r="Z2214" t="s">
        <v>74</v>
      </c>
      <c r="AA2214" t="str">
        <f>"10032-3720"</f>
        <v>10032-3720</v>
      </c>
      <c r="AB2214" t="s">
        <v>75</v>
      </c>
      <c r="AC2214" t="s">
        <v>76</v>
      </c>
      <c r="AD2214" t="s">
        <v>73</v>
      </c>
      <c r="AE2214" t="s">
        <v>77</v>
      </c>
      <c r="AF2214" t="s">
        <v>2254</v>
      </c>
      <c r="AG2214" t="s">
        <v>78</v>
      </c>
    </row>
    <row r="2215" spans="1:33" hidden="1" x14ac:dyDescent="0.25">
      <c r="A2215" t="str">
        <f>"1043290208"</f>
        <v>1043290208</v>
      </c>
      <c r="B2215" t="str">
        <f>"02772801"</f>
        <v>02772801</v>
      </c>
      <c r="C2215" t="s">
        <v>9820</v>
      </c>
      <c r="D2215" t="s">
        <v>9821</v>
      </c>
      <c r="E2215" t="s">
        <v>9822</v>
      </c>
      <c r="G2215" t="s">
        <v>2224</v>
      </c>
      <c r="H2215" t="s">
        <v>2225</v>
      </c>
      <c r="J2215" t="s">
        <v>2226</v>
      </c>
      <c r="L2215" t="s">
        <v>81</v>
      </c>
      <c r="M2215" t="s">
        <v>73</v>
      </c>
      <c r="R2215" t="s">
        <v>9823</v>
      </c>
      <c r="W2215" t="s">
        <v>9822</v>
      </c>
      <c r="X2215" t="s">
        <v>4943</v>
      </c>
      <c r="Y2215" t="s">
        <v>91</v>
      </c>
      <c r="Z2215" t="s">
        <v>74</v>
      </c>
      <c r="AA2215" t="str">
        <f>"10075-2304"</f>
        <v>10075-2304</v>
      </c>
      <c r="AB2215" t="s">
        <v>75</v>
      </c>
      <c r="AC2215" t="s">
        <v>76</v>
      </c>
      <c r="AD2215" t="s">
        <v>73</v>
      </c>
      <c r="AE2215" t="s">
        <v>77</v>
      </c>
      <c r="AF2215" t="s">
        <v>2242</v>
      </c>
      <c r="AG2215" t="s">
        <v>78</v>
      </c>
    </row>
    <row r="2216" spans="1:33" hidden="1" x14ac:dyDescent="0.25">
      <c r="A2216" t="str">
        <f>"1043364631"</f>
        <v>1043364631</v>
      </c>
      <c r="B2216" t="str">
        <f>"03041054"</f>
        <v>03041054</v>
      </c>
      <c r="C2216" t="s">
        <v>9824</v>
      </c>
      <c r="D2216" t="s">
        <v>9825</v>
      </c>
      <c r="E2216" t="s">
        <v>9826</v>
      </c>
      <c r="G2216" t="s">
        <v>2224</v>
      </c>
      <c r="H2216" t="s">
        <v>2225</v>
      </c>
      <c r="J2216" t="s">
        <v>2226</v>
      </c>
      <c r="L2216" t="s">
        <v>88</v>
      </c>
      <c r="M2216" t="s">
        <v>73</v>
      </c>
      <c r="R2216" t="s">
        <v>9827</v>
      </c>
      <c r="W2216" t="s">
        <v>9826</v>
      </c>
      <c r="X2216" t="s">
        <v>4153</v>
      </c>
      <c r="Y2216" t="s">
        <v>91</v>
      </c>
      <c r="Z2216" t="s">
        <v>74</v>
      </c>
      <c r="AA2216" t="str">
        <f>"10021-4872"</f>
        <v>10021-4872</v>
      </c>
      <c r="AB2216" t="s">
        <v>75</v>
      </c>
      <c r="AC2216" t="s">
        <v>76</v>
      </c>
      <c r="AD2216" t="s">
        <v>73</v>
      </c>
      <c r="AE2216" t="s">
        <v>77</v>
      </c>
      <c r="AF2216" t="s">
        <v>2242</v>
      </c>
      <c r="AG2216" t="s">
        <v>78</v>
      </c>
    </row>
    <row r="2217" spans="1:33" hidden="1" x14ac:dyDescent="0.25">
      <c r="A2217" t="str">
        <f>"1043484751"</f>
        <v>1043484751</v>
      </c>
      <c r="B2217" t="str">
        <f>"03022259"</f>
        <v>03022259</v>
      </c>
      <c r="C2217" t="s">
        <v>9828</v>
      </c>
      <c r="D2217" t="s">
        <v>9829</v>
      </c>
      <c r="E2217" t="s">
        <v>9830</v>
      </c>
      <c r="G2217" t="s">
        <v>2224</v>
      </c>
      <c r="H2217" t="s">
        <v>2225</v>
      </c>
      <c r="J2217" t="s">
        <v>2226</v>
      </c>
      <c r="L2217" t="s">
        <v>81</v>
      </c>
      <c r="M2217" t="s">
        <v>73</v>
      </c>
      <c r="R2217" t="s">
        <v>9830</v>
      </c>
      <c r="W2217" t="s">
        <v>9831</v>
      </c>
      <c r="X2217" t="s">
        <v>221</v>
      </c>
      <c r="Y2217" t="s">
        <v>91</v>
      </c>
      <c r="Z2217" t="s">
        <v>74</v>
      </c>
      <c r="AA2217" t="str">
        <f>"10029-5204"</f>
        <v>10029-5204</v>
      </c>
      <c r="AB2217" t="s">
        <v>75</v>
      </c>
      <c r="AC2217" t="s">
        <v>76</v>
      </c>
      <c r="AD2217" t="s">
        <v>73</v>
      </c>
      <c r="AE2217" t="s">
        <v>77</v>
      </c>
      <c r="AF2217" t="s">
        <v>2398</v>
      </c>
      <c r="AG2217" t="s">
        <v>78</v>
      </c>
    </row>
    <row r="2218" spans="1:33" hidden="1" x14ac:dyDescent="0.25">
      <c r="A2218" t="str">
        <f>"1679720825"</f>
        <v>1679720825</v>
      </c>
      <c r="B2218" t="str">
        <f>"03159620"</f>
        <v>03159620</v>
      </c>
      <c r="C2218" t="s">
        <v>9832</v>
      </c>
      <c r="D2218" t="s">
        <v>9833</v>
      </c>
      <c r="E2218" t="s">
        <v>9834</v>
      </c>
      <c r="G2218" t="s">
        <v>2224</v>
      </c>
      <c r="H2218" t="s">
        <v>2225</v>
      </c>
      <c r="J2218" t="s">
        <v>2226</v>
      </c>
      <c r="L2218" t="s">
        <v>72</v>
      </c>
      <c r="M2218" t="s">
        <v>73</v>
      </c>
      <c r="R2218" t="s">
        <v>9835</v>
      </c>
      <c r="W2218" t="s">
        <v>9834</v>
      </c>
      <c r="X2218" t="s">
        <v>183</v>
      </c>
      <c r="Y2218" t="s">
        <v>91</v>
      </c>
      <c r="Z2218" t="s">
        <v>74</v>
      </c>
      <c r="AA2218" t="str">
        <f>"10032-3729"</f>
        <v>10032-3729</v>
      </c>
      <c r="AB2218" t="s">
        <v>75</v>
      </c>
      <c r="AC2218" t="s">
        <v>76</v>
      </c>
      <c r="AD2218" t="s">
        <v>73</v>
      </c>
      <c r="AE2218" t="s">
        <v>77</v>
      </c>
      <c r="AF2218" t="s">
        <v>2254</v>
      </c>
      <c r="AG2218" t="s">
        <v>78</v>
      </c>
    </row>
    <row r="2219" spans="1:33" hidden="1" x14ac:dyDescent="0.25">
      <c r="A2219" t="str">
        <f>"1609914548"</f>
        <v>1609914548</v>
      </c>
      <c r="B2219" t="str">
        <f>"01395633"</f>
        <v>01395633</v>
      </c>
      <c r="C2219" t="s">
        <v>9836</v>
      </c>
      <c r="D2219" t="s">
        <v>9837</v>
      </c>
      <c r="E2219" t="s">
        <v>9838</v>
      </c>
      <c r="G2219" t="s">
        <v>2224</v>
      </c>
      <c r="H2219" t="s">
        <v>2225</v>
      </c>
      <c r="J2219" t="s">
        <v>2226</v>
      </c>
      <c r="L2219" t="s">
        <v>72</v>
      </c>
      <c r="M2219" t="s">
        <v>73</v>
      </c>
      <c r="R2219" t="s">
        <v>9839</v>
      </c>
      <c r="W2219" t="s">
        <v>9840</v>
      </c>
      <c r="X2219" t="s">
        <v>167</v>
      </c>
      <c r="Y2219" t="s">
        <v>91</v>
      </c>
      <c r="Z2219" t="s">
        <v>74</v>
      </c>
      <c r="AA2219" t="str">
        <f>"10032-3270"</f>
        <v>10032-3270</v>
      </c>
      <c r="AB2219" t="s">
        <v>79</v>
      </c>
      <c r="AC2219" t="s">
        <v>76</v>
      </c>
      <c r="AD2219" t="s">
        <v>73</v>
      </c>
      <c r="AE2219" t="s">
        <v>77</v>
      </c>
      <c r="AF2219" t="s">
        <v>2228</v>
      </c>
      <c r="AG2219" t="s">
        <v>78</v>
      </c>
    </row>
    <row r="2220" spans="1:33" hidden="1" x14ac:dyDescent="0.25">
      <c r="A2220" t="str">
        <f>"1588907240"</f>
        <v>1588907240</v>
      </c>
      <c r="C2220" t="s">
        <v>9841</v>
      </c>
      <c r="G2220" t="s">
        <v>2224</v>
      </c>
      <c r="H2220" t="s">
        <v>2312</v>
      </c>
      <c r="J2220" t="s">
        <v>2226</v>
      </c>
      <c r="K2220" t="s">
        <v>171</v>
      </c>
      <c r="L2220" t="s">
        <v>96</v>
      </c>
      <c r="M2220" t="s">
        <v>73</v>
      </c>
      <c r="R2220" t="s">
        <v>9842</v>
      </c>
      <c r="S2220" t="s">
        <v>2314</v>
      </c>
      <c r="T2220" t="s">
        <v>91</v>
      </c>
      <c r="U2220" t="s">
        <v>74</v>
      </c>
      <c r="V2220" t="str">
        <f>"100654870"</f>
        <v>100654870</v>
      </c>
      <c r="AC2220" t="s">
        <v>76</v>
      </c>
      <c r="AD2220" t="s">
        <v>73</v>
      </c>
      <c r="AE2220" t="s">
        <v>97</v>
      </c>
      <c r="AF2220" t="s">
        <v>2242</v>
      </c>
      <c r="AG2220" t="s">
        <v>78</v>
      </c>
    </row>
    <row r="2221" spans="1:33" hidden="1" x14ac:dyDescent="0.25">
      <c r="A2221" t="str">
        <f>"1427145598"</f>
        <v>1427145598</v>
      </c>
      <c r="B2221" t="str">
        <f>"02712852"</f>
        <v>02712852</v>
      </c>
      <c r="C2221" t="s">
        <v>9843</v>
      </c>
      <c r="D2221" t="s">
        <v>9844</v>
      </c>
      <c r="E2221" t="s">
        <v>9845</v>
      </c>
      <c r="L2221" t="s">
        <v>80</v>
      </c>
      <c r="M2221" t="s">
        <v>73</v>
      </c>
      <c r="R2221" t="s">
        <v>9846</v>
      </c>
      <c r="W2221" t="s">
        <v>9845</v>
      </c>
      <c r="X2221" t="s">
        <v>170</v>
      </c>
      <c r="Y2221" t="s">
        <v>91</v>
      </c>
      <c r="Z2221" t="s">
        <v>74</v>
      </c>
      <c r="AA2221" t="str">
        <f>"10065-4870"</f>
        <v>10065-4870</v>
      </c>
      <c r="AB2221" t="s">
        <v>75</v>
      </c>
      <c r="AC2221" t="s">
        <v>76</v>
      </c>
      <c r="AD2221" t="s">
        <v>73</v>
      </c>
      <c r="AE2221" t="s">
        <v>77</v>
      </c>
      <c r="AF2221" t="s">
        <v>2242</v>
      </c>
      <c r="AG2221" t="s">
        <v>78</v>
      </c>
    </row>
    <row r="2222" spans="1:33" hidden="1" x14ac:dyDescent="0.25">
      <c r="A2222" t="str">
        <f>"1477760643"</f>
        <v>1477760643</v>
      </c>
      <c r="B2222" t="str">
        <f>"02168665"</f>
        <v>02168665</v>
      </c>
      <c r="C2222" t="s">
        <v>9847</v>
      </c>
      <c r="D2222" t="s">
        <v>9848</v>
      </c>
      <c r="E2222" t="s">
        <v>9849</v>
      </c>
      <c r="G2222" t="s">
        <v>2224</v>
      </c>
      <c r="H2222" t="s">
        <v>2225</v>
      </c>
      <c r="J2222" t="s">
        <v>2226</v>
      </c>
      <c r="L2222" t="s">
        <v>80</v>
      </c>
      <c r="M2222" t="s">
        <v>73</v>
      </c>
      <c r="R2222" t="s">
        <v>9850</v>
      </c>
      <c r="W2222" t="s">
        <v>9851</v>
      </c>
      <c r="X2222" t="s">
        <v>9852</v>
      </c>
      <c r="Y2222" t="s">
        <v>91</v>
      </c>
      <c r="Z2222" t="s">
        <v>74</v>
      </c>
      <c r="AA2222" t="str">
        <f>"10032-3720"</f>
        <v>10032-3720</v>
      </c>
      <c r="AB2222" t="s">
        <v>75</v>
      </c>
      <c r="AC2222" t="s">
        <v>76</v>
      </c>
      <c r="AD2222" t="s">
        <v>73</v>
      </c>
      <c r="AE2222" t="s">
        <v>77</v>
      </c>
      <c r="AF2222" t="s">
        <v>2228</v>
      </c>
      <c r="AG2222" t="s">
        <v>78</v>
      </c>
    </row>
    <row r="2223" spans="1:33" hidden="1" x14ac:dyDescent="0.25">
      <c r="A2223" t="str">
        <f>"1710148549"</f>
        <v>1710148549</v>
      </c>
      <c r="C2223" t="s">
        <v>2165</v>
      </c>
      <c r="G2223" t="s">
        <v>5513</v>
      </c>
      <c r="H2223" t="s">
        <v>338</v>
      </c>
      <c r="J2223" t="s">
        <v>339</v>
      </c>
      <c r="K2223" t="s">
        <v>213</v>
      </c>
      <c r="L2223" t="s">
        <v>96</v>
      </c>
      <c r="M2223" t="s">
        <v>73</v>
      </c>
      <c r="R2223" t="s">
        <v>480</v>
      </c>
      <c r="S2223" t="s">
        <v>472</v>
      </c>
      <c r="T2223" t="s">
        <v>84</v>
      </c>
      <c r="U2223" t="s">
        <v>74</v>
      </c>
      <c r="V2223" t="str">
        <f>"112204742"</f>
        <v>112204742</v>
      </c>
      <c r="AC2223" t="s">
        <v>76</v>
      </c>
      <c r="AD2223" t="s">
        <v>73</v>
      </c>
      <c r="AE2223" t="s">
        <v>97</v>
      </c>
      <c r="AG2223" t="s">
        <v>78</v>
      </c>
    </row>
    <row r="2224" spans="1:33" hidden="1" x14ac:dyDescent="0.25">
      <c r="A2224" t="str">
        <f>"1245226059"</f>
        <v>1245226059</v>
      </c>
      <c r="B2224" t="str">
        <f>"03450699"</f>
        <v>03450699</v>
      </c>
      <c r="C2224" t="s">
        <v>9853</v>
      </c>
      <c r="D2224" t="s">
        <v>9854</v>
      </c>
      <c r="E2224" t="s">
        <v>9855</v>
      </c>
      <c r="G2224" t="s">
        <v>2224</v>
      </c>
      <c r="H2224" t="s">
        <v>2225</v>
      </c>
      <c r="J2224" t="s">
        <v>2226</v>
      </c>
      <c r="L2224" t="s">
        <v>72</v>
      </c>
      <c r="M2224" t="s">
        <v>73</v>
      </c>
      <c r="R2224" t="s">
        <v>9856</v>
      </c>
      <c r="W2224" t="s">
        <v>9855</v>
      </c>
      <c r="X2224" t="s">
        <v>1167</v>
      </c>
      <c r="Y2224" t="s">
        <v>91</v>
      </c>
      <c r="Z2224" t="s">
        <v>74</v>
      </c>
      <c r="AA2224" t="str">
        <f>"10065-4870"</f>
        <v>10065-4870</v>
      </c>
      <c r="AB2224" t="s">
        <v>75</v>
      </c>
      <c r="AC2224" t="s">
        <v>76</v>
      </c>
      <c r="AD2224" t="s">
        <v>73</v>
      </c>
      <c r="AE2224" t="s">
        <v>77</v>
      </c>
      <c r="AF2224" t="s">
        <v>2234</v>
      </c>
      <c r="AG2224" t="s">
        <v>78</v>
      </c>
    </row>
    <row r="2225" spans="1:33" hidden="1" x14ac:dyDescent="0.25">
      <c r="A2225" t="str">
        <f>"1821331893"</f>
        <v>1821331893</v>
      </c>
      <c r="B2225" t="str">
        <f>"04609050"</f>
        <v>04609050</v>
      </c>
      <c r="C2225" t="s">
        <v>9857</v>
      </c>
      <c r="D2225" t="s">
        <v>9858</v>
      </c>
      <c r="E2225" t="s">
        <v>9859</v>
      </c>
      <c r="G2225" t="s">
        <v>2224</v>
      </c>
      <c r="H2225" t="s">
        <v>2225</v>
      </c>
      <c r="J2225" t="s">
        <v>2226</v>
      </c>
      <c r="L2225" t="s">
        <v>96</v>
      </c>
      <c r="M2225" t="s">
        <v>73</v>
      </c>
      <c r="R2225" t="s">
        <v>9860</v>
      </c>
      <c r="W2225" t="s">
        <v>9861</v>
      </c>
      <c r="AB2225" t="s">
        <v>75</v>
      </c>
      <c r="AC2225" t="s">
        <v>76</v>
      </c>
      <c r="AD2225" t="s">
        <v>73</v>
      </c>
      <c r="AE2225" t="s">
        <v>77</v>
      </c>
      <c r="AF2225" t="s">
        <v>2228</v>
      </c>
      <c r="AG2225" t="s">
        <v>78</v>
      </c>
    </row>
    <row r="2226" spans="1:33" hidden="1" x14ac:dyDescent="0.25">
      <c r="A2226" t="str">
        <f>"1649541863"</f>
        <v>1649541863</v>
      </c>
      <c r="C2226" t="s">
        <v>9862</v>
      </c>
      <c r="G2226" t="s">
        <v>2224</v>
      </c>
      <c r="H2226" t="s">
        <v>2225</v>
      </c>
      <c r="J2226" t="s">
        <v>2226</v>
      </c>
      <c r="K2226" t="s">
        <v>93</v>
      </c>
      <c r="L2226" t="s">
        <v>96</v>
      </c>
      <c r="M2226" t="s">
        <v>73</v>
      </c>
      <c r="R2226" t="s">
        <v>9863</v>
      </c>
      <c r="S2226" t="s">
        <v>9864</v>
      </c>
      <c r="T2226" t="s">
        <v>598</v>
      </c>
      <c r="U2226" t="s">
        <v>599</v>
      </c>
      <c r="V2226" t="str">
        <f>"212872109"</f>
        <v>212872109</v>
      </c>
      <c r="AC2226" t="s">
        <v>76</v>
      </c>
      <c r="AD2226" t="s">
        <v>73</v>
      </c>
      <c r="AE2226" t="s">
        <v>97</v>
      </c>
      <c r="AF2226" t="s">
        <v>2228</v>
      </c>
      <c r="AG2226" t="s">
        <v>78</v>
      </c>
    </row>
    <row r="2227" spans="1:33" hidden="1" x14ac:dyDescent="0.25">
      <c r="A2227" t="str">
        <f>"1407126113"</f>
        <v>1407126113</v>
      </c>
      <c r="C2227" t="s">
        <v>9865</v>
      </c>
      <c r="G2227" t="s">
        <v>2224</v>
      </c>
      <c r="H2227" t="s">
        <v>2225</v>
      </c>
      <c r="J2227" t="s">
        <v>2226</v>
      </c>
      <c r="K2227" t="s">
        <v>93</v>
      </c>
      <c r="L2227" t="s">
        <v>96</v>
      </c>
      <c r="M2227" t="s">
        <v>73</v>
      </c>
      <c r="R2227" t="s">
        <v>9866</v>
      </c>
      <c r="S2227" t="s">
        <v>1430</v>
      </c>
      <c r="T2227" t="s">
        <v>598</v>
      </c>
      <c r="U2227" t="s">
        <v>599</v>
      </c>
      <c r="V2227" t="str">
        <f>"212872109"</f>
        <v>212872109</v>
      </c>
      <c r="AC2227" t="s">
        <v>76</v>
      </c>
      <c r="AD2227" t="s">
        <v>73</v>
      </c>
      <c r="AE2227" t="s">
        <v>97</v>
      </c>
      <c r="AF2227" t="s">
        <v>2228</v>
      </c>
      <c r="AG2227" t="s">
        <v>78</v>
      </c>
    </row>
    <row r="2228" spans="1:33" hidden="1" x14ac:dyDescent="0.25">
      <c r="A2228" t="str">
        <f>"1619243912"</f>
        <v>1619243912</v>
      </c>
      <c r="C2228" t="s">
        <v>9867</v>
      </c>
      <c r="G2228" t="s">
        <v>2224</v>
      </c>
      <c r="H2228" t="s">
        <v>2225</v>
      </c>
      <c r="J2228" t="s">
        <v>2226</v>
      </c>
      <c r="K2228" t="s">
        <v>93</v>
      </c>
      <c r="L2228" t="s">
        <v>96</v>
      </c>
      <c r="M2228" t="s">
        <v>73</v>
      </c>
      <c r="R2228" t="s">
        <v>9868</v>
      </c>
      <c r="S2228" t="s">
        <v>1444</v>
      </c>
      <c r="T2228" t="s">
        <v>91</v>
      </c>
      <c r="U2228" t="s">
        <v>74</v>
      </c>
      <c r="V2228" t="str">
        <f>"10032"</f>
        <v>10032</v>
      </c>
      <c r="AC2228" t="s">
        <v>76</v>
      </c>
      <c r="AD2228" t="s">
        <v>73</v>
      </c>
      <c r="AE2228" t="s">
        <v>97</v>
      </c>
      <c r="AF2228" t="s">
        <v>2228</v>
      </c>
      <c r="AG2228" t="s">
        <v>78</v>
      </c>
    </row>
    <row r="2229" spans="1:33" hidden="1" x14ac:dyDescent="0.25">
      <c r="A2229" t="str">
        <f>"1083971782"</f>
        <v>1083971782</v>
      </c>
      <c r="C2229" t="s">
        <v>9869</v>
      </c>
      <c r="G2229" t="s">
        <v>2224</v>
      </c>
      <c r="H2229" t="s">
        <v>2225</v>
      </c>
      <c r="J2229" t="s">
        <v>2226</v>
      </c>
      <c r="K2229" t="s">
        <v>93</v>
      </c>
      <c r="L2229" t="s">
        <v>96</v>
      </c>
      <c r="M2229" t="s">
        <v>73</v>
      </c>
      <c r="R2229" t="s">
        <v>9870</v>
      </c>
      <c r="S2229" t="s">
        <v>8015</v>
      </c>
      <c r="T2229" t="s">
        <v>91</v>
      </c>
      <c r="U2229" t="s">
        <v>74</v>
      </c>
      <c r="V2229" t="str">
        <f>"100323725"</f>
        <v>100323725</v>
      </c>
      <c r="AC2229" t="s">
        <v>76</v>
      </c>
      <c r="AD2229" t="s">
        <v>73</v>
      </c>
      <c r="AE2229" t="s">
        <v>97</v>
      </c>
      <c r="AF2229" t="s">
        <v>2228</v>
      </c>
      <c r="AG2229" t="s">
        <v>78</v>
      </c>
    </row>
    <row r="2230" spans="1:33" hidden="1" x14ac:dyDescent="0.25">
      <c r="A2230" t="str">
        <f>"1063770048"</f>
        <v>1063770048</v>
      </c>
      <c r="C2230" t="s">
        <v>9871</v>
      </c>
      <c r="G2230" t="s">
        <v>2224</v>
      </c>
      <c r="H2230" t="s">
        <v>2225</v>
      </c>
      <c r="J2230" t="s">
        <v>2226</v>
      </c>
      <c r="K2230" t="s">
        <v>93</v>
      </c>
      <c r="L2230" t="s">
        <v>96</v>
      </c>
      <c r="M2230" t="s">
        <v>73</v>
      </c>
      <c r="R2230" t="s">
        <v>9872</v>
      </c>
      <c r="S2230" t="s">
        <v>167</v>
      </c>
      <c r="T2230" t="s">
        <v>91</v>
      </c>
      <c r="U2230" t="s">
        <v>74</v>
      </c>
      <c r="V2230" t="str">
        <f>"100323720"</f>
        <v>100323720</v>
      </c>
      <c r="AC2230" t="s">
        <v>76</v>
      </c>
      <c r="AD2230" t="s">
        <v>73</v>
      </c>
      <c r="AE2230" t="s">
        <v>97</v>
      </c>
      <c r="AF2230" t="s">
        <v>2234</v>
      </c>
      <c r="AG2230" t="s">
        <v>78</v>
      </c>
    </row>
    <row r="2231" spans="1:33" hidden="1" x14ac:dyDescent="0.25">
      <c r="A2231" t="str">
        <f>"1508123043"</f>
        <v>1508123043</v>
      </c>
      <c r="C2231" t="s">
        <v>9873</v>
      </c>
      <c r="G2231" t="s">
        <v>2224</v>
      </c>
      <c r="H2231" t="s">
        <v>2225</v>
      </c>
      <c r="J2231" t="s">
        <v>2226</v>
      </c>
      <c r="K2231" t="s">
        <v>93</v>
      </c>
      <c r="L2231" t="s">
        <v>96</v>
      </c>
      <c r="M2231" t="s">
        <v>73</v>
      </c>
      <c r="R2231" t="s">
        <v>9874</v>
      </c>
      <c r="S2231" t="s">
        <v>9875</v>
      </c>
      <c r="T2231" t="s">
        <v>91</v>
      </c>
      <c r="U2231" t="s">
        <v>74</v>
      </c>
      <c r="V2231" t="str">
        <f>"100322933"</f>
        <v>100322933</v>
      </c>
      <c r="AC2231" t="s">
        <v>76</v>
      </c>
      <c r="AD2231" t="s">
        <v>73</v>
      </c>
      <c r="AE2231" t="s">
        <v>97</v>
      </c>
      <c r="AF2231" t="s">
        <v>2234</v>
      </c>
      <c r="AG2231" t="s">
        <v>78</v>
      </c>
    </row>
    <row r="2232" spans="1:33" hidden="1" x14ac:dyDescent="0.25">
      <c r="A2232" t="str">
        <f>"1962769406"</f>
        <v>1962769406</v>
      </c>
      <c r="B2232" t="str">
        <f>"04230131"</f>
        <v>04230131</v>
      </c>
      <c r="C2232" t="s">
        <v>9876</v>
      </c>
      <c r="D2232" t="s">
        <v>9877</v>
      </c>
      <c r="E2232" t="s">
        <v>9878</v>
      </c>
      <c r="G2232" t="s">
        <v>2224</v>
      </c>
      <c r="H2232" t="s">
        <v>2225</v>
      </c>
      <c r="J2232" t="s">
        <v>2226</v>
      </c>
      <c r="L2232" t="s">
        <v>72</v>
      </c>
      <c r="M2232" t="s">
        <v>73</v>
      </c>
      <c r="R2232" t="s">
        <v>9879</v>
      </c>
      <c r="W2232" t="s">
        <v>9880</v>
      </c>
      <c r="X2232" t="s">
        <v>1444</v>
      </c>
      <c r="Y2232" t="s">
        <v>91</v>
      </c>
      <c r="Z2232" t="s">
        <v>74</v>
      </c>
      <c r="AA2232" t="str">
        <f>"10032-3733"</f>
        <v>10032-3733</v>
      </c>
      <c r="AB2232" t="s">
        <v>75</v>
      </c>
      <c r="AC2232" t="s">
        <v>76</v>
      </c>
      <c r="AD2232" t="s">
        <v>73</v>
      </c>
      <c r="AE2232" t="s">
        <v>77</v>
      </c>
      <c r="AF2232" t="s">
        <v>2228</v>
      </c>
      <c r="AG2232" t="s">
        <v>78</v>
      </c>
    </row>
    <row r="2233" spans="1:33" hidden="1" x14ac:dyDescent="0.25">
      <c r="A2233" t="str">
        <f>"1407114044"</f>
        <v>1407114044</v>
      </c>
      <c r="B2233" t="str">
        <f>"04155675"</f>
        <v>04155675</v>
      </c>
      <c r="C2233" t="s">
        <v>9881</v>
      </c>
      <c r="D2233" t="s">
        <v>9882</v>
      </c>
      <c r="E2233" t="s">
        <v>9883</v>
      </c>
      <c r="G2233" t="s">
        <v>2224</v>
      </c>
      <c r="H2233" t="s">
        <v>2225</v>
      </c>
      <c r="J2233" t="s">
        <v>2226</v>
      </c>
      <c r="L2233" t="s">
        <v>72</v>
      </c>
      <c r="M2233" t="s">
        <v>73</v>
      </c>
      <c r="R2233" t="s">
        <v>2216</v>
      </c>
      <c r="W2233" t="s">
        <v>9884</v>
      </c>
      <c r="X2233" t="s">
        <v>167</v>
      </c>
      <c r="Y2233" t="s">
        <v>91</v>
      </c>
      <c r="Z2233" t="s">
        <v>74</v>
      </c>
      <c r="AA2233" t="str">
        <f>"10032-3720"</f>
        <v>10032-3720</v>
      </c>
      <c r="AB2233" t="s">
        <v>75</v>
      </c>
      <c r="AC2233" t="s">
        <v>76</v>
      </c>
      <c r="AD2233" t="s">
        <v>73</v>
      </c>
      <c r="AE2233" t="s">
        <v>77</v>
      </c>
      <c r="AF2233" t="s">
        <v>2228</v>
      </c>
      <c r="AG2233" t="s">
        <v>78</v>
      </c>
    </row>
    <row r="2234" spans="1:33" hidden="1" x14ac:dyDescent="0.25">
      <c r="A2234" t="str">
        <f>"1699031773"</f>
        <v>1699031773</v>
      </c>
      <c r="C2234" t="s">
        <v>9885</v>
      </c>
      <c r="G2234" t="s">
        <v>2224</v>
      </c>
      <c r="H2234" t="s">
        <v>2225</v>
      </c>
      <c r="J2234" t="s">
        <v>2226</v>
      </c>
      <c r="K2234" t="s">
        <v>93</v>
      </c>
      <c r="L2234" t="s">
        <v>96</v>
      </c>
      <c r="M2234" t="s">
        <v>73</v>
      </c>
      <c r="R2234" t="s">
        <v>9886</v>
      </c>
      <c r="S2234" t="s">
        <v>1573</v>
      </c>
      <c r="T2234" t="s">
        <v>91</v>
      </c>
      <c r="U2234" t="s">
        <v>74</v>
      </c>
      <c r="V2234" t="str">
        <f>"100166402"</f>
        <v>100166402</v>
      </c>
      <c r="AC2234" t="s">
        <v>76</v>
      </c>
      <c r="AD2234" t="s">
        <v>73</v>
      </c>
      <c r="AE2234" t="s">
        <v>97</v>
      </c>
      <c r="AF2234" t="s">
        <v>2234</v>
      </c>
      <c r="AG2234" t="s">
        <v>78</v>
      </c>
    </row>
    <row r="2235" spans="1:33" hidden="1" x14ac:dyDescent="0.25">
      <c r="A2235" t="str">
        <f>"1669890844"</f>
        <v>1669890844</v>
      </c>
      <c r="C2235" t="s">
        <v>9887</v>
      </c>
      <c r="G2235" t="s">
        <v>2224</v>
      </c>
      <c r="H2235" t="s">
        <v>2225</v>
      </c>
      <c r="J2235" t="s">
        <v>2226</v>
      </c>
      <c r="K2235" t="s">
        <v>93</v>
      </c>
      <c r="L2235" t="s">
        <v>96</v>
      </c>
      <c r="M2235" t="s">
        <v>73</v>
      </c>
      <c r="R2235" t="s">
        <v>9888</v>
      </c>
      <c r="S2235" t="s">
        <v>170</v>
      </c>
      <c r="T2235" t="s">
        <v>91</v>
      </c>
      <c r="U2235" t="s">
        <v>74</v>
      </c>
      <c r="V2235" t="str">
        <f>"100654870"</f>
        <v>100654870</v>
      </c>
      <c r="AC2235" t="s">
        <v>76</v>
      </c>
      <c r="AD2235" t="s">
        <v>73</v>
      </c>
      <c r="AE2235" t="s">
        <v>97</v>
      </c>
      <c r="AF2235" t="s">
        <v>2242</v>
      </c>
      <c r="AG2235" t="s">
        <v>78</v>
      </c>
    </row>
    <row r="2236" spans="1:33" hidden="1" x14ac:dyDescent="0.25">
      <c r="A2236" t="str">
        <f>"1073856027"</f>
        <v>1073856027</v>
      </c>
      <c r="C2236" t="s">
        <v>9889</v>
      </c>
      <c r="G2236" t="s">
        <v>2224</v>
      </c>
      <c r="H2236" t="s">
        <v>2225</v>
      </c>
      <c r="J2236" t="s">
        <v>2226</v>
      </c>
      <c r="K2236" t="s">
        <v>93</v>
      </c>
      <c r="L2236" t="s">
        <v>96</v>
      </c>
      <c r="M2236" t="s">
        <v>73</v>
      </c>
      <c r="R2236" t="s">
        <v>9890</v>
      </c>
      <c r="S2236" t="s">
        <v>1745</v>
      </c>
      <c r="T2236" t="s">
        <v>91</v>
      </c>
      <c r="U2236" t="s">
        <v>74</v>
      </c>
      <c r="V2236" t="str">
        <f>"10021"</f>
        <v>10021</v>
      </c>
      <c r="AC2236" t="s">
        <v>76</v>
      </c>
      <c r="AD2236" t="s">
        <v>73</v>
      </c>
      <c r="AE2236" t="s">
        <v>97</v>
      </c>
      <c r="AF2236" t="s">
        <v>2242</v>
      </c>
      <c r="AG2236" t="s">
        <v>78</v>
      </c>
    </row>
    <row r="2237" spans="1:33" hidden="1" x14ac:dyDescent="0.25">
      <c r="A2237" t="str">
        <f>"1669816989"</f>
        <v>1669816989</v>
      </c>
      <c r="C2237" t="s">
        <v>9891</v>
      </c>
      <c r="G2237" t="s">
        <v>2224</v>
      </c>
      <c r="H2237" t="s">
        <v>2225</v>
      </c>
      <c r="J2237" t="s">
        <v>2226</v>
      </c>
      <c r="K2237" t="s">
        <v>93</v>
      </c>
      <c r="L2237" t="s">
        <v>96</v>
      </c>
      <c r="M2237" t="s">
        <v>73</v>
      </c>
      <c r="R2237" t="s">
        <v>9892</v>
      </c>
      <c r="S2237" t="s">
        <v>1745</v>
      </c>
      <c r="T2237" t="s">
        <v>91</v>
      </c>
      <c r="U2237" t="s">
        <v>74</v>
      </c>
      <c r="V2237" t="str">
        <f>"10021"</f>
        <v>10021</v>
      </c>
      <c r="AC2237" t="s">
        <v>76</v>
      </c>
      <c r="AD2237" t="s">
        <v>73</v>
      </c>
      <c r="AE2237" t="s">
        <v>97</v>
      </c>
      <c r="AF2237" t="s">
        <v>2242</v>
      </c>
      <c r="AG2237" t="s">
        <v>78</v>
      </c>
    </row>
    <row r="2238" spans="1:33" hidden="1" x14ac:dyDescent="0.25">
      <c r="A2238" t="str">
        <f>"1568704211"</f>
        <v>1568704211</v>
      </c>
      <c r="C2238" t="s">
        <v>9893</v>
      </c>
      <c r="G2238" t="s">
        <v>2224</v>
      </c>
      <c r="H2238" t="s">
        <v>2225</v>
      </c>
      <c r="J2238" t="s">
        <v>2226</v>
      </c>
      <c r="K2238" t="s">
        <v>93</v>
      </c>
      <c r="L2238" t="s">
        <v>96</v>
      </c>
      <c r="M2238" t="s">
        <v>73</v>
      </c>
      <c r="R2238" t="s">
        <v>9894</v>
      </c>
      <c r="S2238" t="s">
        <v>628</v>
      </c>
      <c r="T2238" t="s">
        <v>91</v>
      </c>
      <c r="U2238" t="s">
        <v>74</v>
      </c>
      <c r="V2238" t="str">
        <f>"100214872"</f>
        <v>100214872</v>
      </c>
      <c r="AC2238" t="s">
        <v>76</v>
      </c>
      <c r="AD2238" t="s">
        <v>73</v>
      </c>
      <c r="AE2238" t="s">
        <v>97</v>
      </c>
      <c r="AF2238" t="s">
        <v>2242</v>
      </c>
      <c r="AG2238" t="s">
        <v>78</v>
      </c>
    </row>
    <row r="2239" spans="1:33" hidden="1" x14ac:dyDescent="0.25">
      <c r="A2239" t="str">
        <f>"1144562786"</f>
        <v>1144562786</v>
      </c>
      <c r="C2239" t="s">
        <v>9895</v>
      </c>
      <c r="G2239" t="s">
        <v>2224</v>
      </c>
      <c r="H2239" t="s">
        <v>2225</v>
      </c>
      <c r="J2239" t="s">
        <v>2226</v>
      </c>
      <c r="K2239" t="s">
        <v>93</v>
      </c>
      <c r="L2239" t="s">
        <v>96</v>
      </c>
      <c r="M2239" t="s">
        <v>73</v>
      </c>
      <c r="R2239" t="s">
        <v>9896</v>
      </c>
      <c r="S2239" t="s">
        <v>9897</v>
      </c>
      <c r="T2239" t="s">
        <v>91</v>
      </c>
      <c r="U2239" t="s">
        <v>74</v>
      </c>
      <c r="V2239" t="str">
        <f>"100214872"</f>
        <v>100214872</v>
      </c>
      <c r="AC2239" t="s">
        <v>76</v>
      </c>
      <c r="AD2239" t="s">
        <v>73</v>
      </c>
      <c r="AE2239" t="s">
        <v>97</v>
      </c>
      <c r="AF2239" t="s">
        <v>2242</v>
      </c>
      <c r="AG2239" t="s">
        <v>78</v>
      </c>
    </row>
    <row r="2240" spans="1:33" hidden="1" x14ac:dyDescent="0.25">
      <c r="A2240" t="str">
        <f>"1124360615"</f>
        <v>1124360615</v>
      </c>
      <c r="C2240" t="s">
        <v>9898</v>
      </c>
      <c r="G2240" t="s">
        <v>2224</v>
      </c>
      <c r="H2240" t="s">
        <v>2225</v>
      </c>
      <c r="J2240" t="s">
        <v>2226</v>
      </c>
      <c r="K2240" t="s">
        <v>93</v>
      </c>
      <c r="L2240" t="s">
        <v>96</v>
      </c>
      <c r="M2240" t="s">
        <v>73</v>
      </c>
      <c r="R2240" t="s">
        <v>9899</v>
      </c>
      <c r="S2240" t="s">
        <v>628</v>
      </c>
      <c r="T2240" t="s">
        <v>91</v>
      </c>
      <c r="U2240" t="s">
        <v>74</v>
      </c>
      <c r="V2240" t="str">
        <f>"100214872"</f>
        <v>100214872</v>
      </c>
      <c r="AC2240" t="s">
        <v>76</v>
      </c>
      <c r="AD2240" t="s">
        <v>73</v>
      </c>
      <c r="AE2240" t="s">
        <v>97</v>
      </c>
      <c r="AF2240" t="s">
        <v>2242</v>
      </c>
      <c r="AG2240" t="s">
        <v>78</v>
      </c>
    </row>
    <row r="2241" spans="1:33" hidden="1" x14ac:dyDescent="0.25">
      <c r="A2241" t="str">
        <f>"1194067587"</f>
        <v>1194067587</v>
      </c>
      <c r="C2241" t="s">
        <v>9900</v>
      </c>
      <c r="G2241" t="s">
        <v>2224</v>
      </c>
      <c r="H2241" t="s">
        <v>2225</v>
      </c>
      <c r="J2241" t="s">
        <v>2226</v>
      </c>
      <c r="K2241" t="s">
        <v>93</v>
      </c>
      <c r="L2241" t="s">
        <v>96</v>
      </c>
      <c r="M2241" t="s">
        <v>73</v>
      </c>
      <c r="R2241" t="s">
        <v>9901</v>
      </c>
      <c r="S2241" t="s">
        <v>628</v>
      </c>
      <c r="T2241" t="s">
        <v>91</v>
      </c>
      <c r="U2241" t="s">
        <v>74</v>
      </c>
      <c r="V2241" t="str">
        <f>"100214872"</f>
        <v>100214872</v>
      </c>
      <c r="AC2241" t="s">
        <v>76</v>
      </c>
      <c r="AD2241" t="s">
        <v>73</v>
      </c>
      <c r="AE2241" t="s">
        <v>97</v>
      </c>
      <c r="AF2241" t="s">
        <v>2242</v>
      </c>
      <c r="AG2241" t="s">
        <v>78</v>
      </c>
    </row>
    <row r="2242" spans="1:33" hidden="1" x14ac:dyDescent="0.25">
      <c r="A2242" t="str">
        <f>"1306112677"</f>
        <v>1306112677</v>
      </c>
      <c r="B2242" t="str">
        <f>"04304789"</f>
        <v>04304789</v>
      </c>
      <c r="C2242" t="s">
        <v>9902</v>
      </c>
      <c r="D2242" t="s">
        <v>9903</v>
      </c>
      <c r="E2242" t="s">
        <v>9904</v>
      </c>
      <c r="G2242" t="s">
        <v>2224</v>
      </c>
      <c r="H2242" t="s">
        <v>2225</v>
      </c>
      <c r="J2242" t="s">
        <v>2226</v>
      </c>
      <c r="L2242" t="s">
        <v>72</v>
      </c>
      <c r="M2242" t="s">
        <v>73</v>
      </c>
      <c r="R2242" t="s">
        <v>9905</v>
      </c>
      <c r="W2242" t="s">
        <v>9904</v>
      </c>
      <c r="X2242" t="s">
        <v>238</v>
      </c>
      <c r="Y2242" t="s">
        <v>91</v>
      </c>
      <c r="Z2242" t="s">
        <v>74</v>
      </c>
      <c r="AA2242" t="str">
        <f>"10065-6007"</f>
        <v>10065-6007</v>
      </c>
      <c r="AB2242" t="s">
        <v>75</v>
      </c>
      <c r="AC2242" t="s">
        <v>76</v>
      </c>
      <c r="AD2242" t="s">
        <v>73</v>
      </c>
      <c r="AE2242" t="s">
        <v>77</v>
      </c>
      <c r="AF2242" t="s">
        <v>2234</v>
      </c>
      <c r="AG2242" t="s">
        <v>78</v>
      </c>
    </row>
    <row r="2243" spans="1:33" hidden="1" x14ac:dyDescent="0.25">
      <c r="A2243" t="str">
        <f>"1003233933"</f>
        <v>1003233933</v>
      </c>
      <c r="C2243" t="s">
        <v>9906</v>
      </c>
      <c r="G2243" t="s">
        <v>2224</v>
      </c>
      <c r="H2243" t="s">
        <v>2225</v>
      </c>
      <c r="J2243" t="s">
        <v>2226</v>
      </c>
      <c r="K2243" t="s">
        <v>93</v>
      </c>
      <c r="L2243" t="s">
        <v>96</v>
      </c>
      <c r="M2243" t="s">
        <v>73</v>
      </c>
      <c r="R2243" t="s">
        <v>9907</v>
      </c>
      <c r="S2243" t="s">
        <v>9908</v>
      </c>
      <c r="T2243" t="s">
        <v>91</v>
      </c>
      <c r="U2243" t="s">
        <v>74</v>
      </c>
      <c r="V2243" t="str">
        <f>"100214872"</f>
        <v>100214872</v>
      </c>
      <c r="AC2243" t="s">
        <v>76</v>
      </c>
      <c r="AD2243" t="s">
        <v>73</v>
      </c>
      <c r="AE2243" t="s">
        <v>97</v>
      </c>
      <c r="AF2243" t="s">
        <v>2242</v>
      </c>
      <c r="AG2243" t="s">
        <v>78</v>
      </c>
    </row>
    <row r="2244" spans="1:33" hidden="1" x14ac:dyDescent="0.25">
      <c r="A2244" t="str">
        <f>"1548688385"</f>
        <v>1548688385</v>
      </c>
      <c r="C2244" t="s">
        <v>9909</v>
      </c>
      <c r="G2244" t="s">
        <v>2224</v>
      </c>
      <c r="H2244" t="s">
        <v>2225</v>
      </c>
      <c r="J2244" t="s">
        <v>2226</v>
      </c>
      <c r="K2244" t="s">
        <v>93</v>
      </c>
      <c r="L2244" t="s">
        <v>96</v>
      </c>
      <c r="M2244" t="s">
        <v>73</v>
      </c>
      <c r="AC2244" t="s">
        <v>76</v>
      </c>
      <c r="AD2244" t="s">
        <v>73</v>
      </c>
      <c r="AE2244" t="s">
        <v>97</v>
      </c>
      <c r="AF2244" t="s">
        <v>2234</v>
      </c>
      <c r="AG2244" t="s">
        <v>78</v>
      </c>
    </row>
    <row r="2245" spans="1:33" hidden="1" x14ac:dyDescent="0.25">
      <c r="A2245" t="str">
        <f>"1336467505"</f>
        <v>1336467505</v>
      </c>
      <c r="B2245" t="str">
        <f>"04249914"</f>
        <v>04249914</v>
      </c>
      <c r="C2245" t="s">
        <v>9910</v>
      </c>
      <c r="D2245" t="s">
        <v>9911</v>
      </c>
      <c r="E2245" t="s">
        <v>9912</v>
      </c>
      <c r="G2245" t="s">
        <v>2224</v>
      </c>
      <c r="H2245" t="s">
        <v>2225</v>
      </c>
      <c r="J2245" t="s">
        <v>2226</v>
      </c>
      <c r="L2245" t="s">
        <v>72</v>
      </c>
      <c r="M2245" t="s">
        <v>73</v>
      </c>
      <c r="R2245" t="s">
        <v>9913</v>
      </c>
      <c r="W2245" t="s">
        <v>9914</v>
      </c>
      <c r="X2245" t="s">
        <v>167</v>
      </c>
      <c r="Y2245" t="s">
        <v>91</v>
      </c>
      <c r="Z2245" t="s">
        <v>74</v>
      </c>
      <c r="AA2245" t="str">
        <f>"10032-3720"</f>
        <v>10032-3720</v>
      </c>
      <c r="AB2245" t="s">
        <v>75</v>
      </c>
      <c r="AC2245" t="s">
        <v>76</v>
      </c>
      <c r="AD2245" t="s">
        <v>73</v>
      </c>
      <c r="AE2245" t="s">
        <v>77</v>
      </c>
      <c r="AF2245" t="s">
        <v>2228</v>
      </c>
      <c r="AG2245" t="s">
        <v>78</v>
      </c>
    </row>
    <row r="2246" spans="1:33" hidden="1" x14ac:dyDescent="0.25">
      <c r="C2246" t="s">
        <v>9915</v>
      </c>
      <c r="G2246" t="s">
        <v>2224</v>
      </c>
      <c r="H2246" t="s">
        <v>2225</v>
      </c>
      <c r="J2246" t="s">
        <v>2226</v>
      </c>
      <c r="K2246" t="s">
        <v>93</v>
      </c>
      <c r="L2246" t="s">
        <v>94</v>
      </c>
      <c r="M2246" t="s">
        <v>73</v>
      </c>
      <c r="N2246" t="s">
        <v>7187</v>
      </c>
      <c r="O2246" t="s">
        <v>475</v>
      </c>
      <c r="P2246" t="s">
        <v>74</v>
      </c>
      <c r="Q2246" t="str">
        <f>"10021"</f>
        <v>10021</v>
      </c>
      <c r="AC2246" t="s">
        <v>76</v>
      </c>
      <c r="AD2246" t="s">
        <v>73</v>
      </c>
      <c r="AE2246" t="s">
        <v>95</v>
      </c>
      <c r="AF2246" t="s">
        <v>2234</v>
      </c>
      <c r="AG2246" t="s">
        <v>78</v>
      </c>
    </row>
    <row r="2247" spans="1:33" hidden="1" x14ac:dyDescent="0.25">
      <c r="A2247" t="str">
        <f>"1831432780"</f>
        <v>1831432780</v>
      </c>
      <c r="C2247" t="s">
        <v>9916</v>
      </c>
      <c r="G2247" t="s">
        <v>2224</v>
      </c>
      <c r="H2247" t="s">
        <v>2225</v>
      </c>
      <c r="J2247" t="s">
        <v>2226</v>
      </c>
      <c r="K2247" t="s">
        <v>93</v>
      </c>
      <c r="L2247" t="s">
        <v>96</v>
      </c>
      <c r="M2247" t="s">
        <v>73</v>
      </c>
      <c r="R2247" t="s">
        <v>9917</v>
      </c>
      <c r="S2247" t="s">
        <v>334</v>
      </c>
      <c r="T2247" t="s">
        <v>91</v>
      </c>
      <c r="U2247" t="s">
        <v>74</v>
      </c>
      <c r="V2247" t="str">
        <f>"100166402"</f>
        <v>100166402</v>
      </c>
      <c r="AC2247" t="s">
        <v>76</v>
      </c>
      <c r="AD2247" t="s">
        <v>73</v>
      </c>
      <c r="AE2247" t="s">
        <v>97</v>
      </c>
      <c r="AF2247" t="s">
        <v>2242</v>
      </c>
      <c r="AG2247" t="s">
        <v>78</v>
      </c>
    </row>
    <row r="2248" spans="1:33" hidden="1" x14ac:dyDescent="0.25">
      <c r="A2248" t="str">
        <f>"1124384425"</f>
        <v>1124384425</v>
      </c>
      <c r="C2248" t="s">
        <v>9918</v>
      </c>
      <c r="G2248" t="s">
        <v>2224</v>
      </c>
      <c r="H2248" t="s">
        <v>2225</v>
      </c>
      <c r="J2248" t="s">
        <v>2226</v>
      </c>
      <c r="K2248" t="s">
        <v>93</v>
      </c>
      <c r="L2248" t="s">
        <v>96</v>
      </c>
      <c r="M2248" t="s">
        <v>73</v>
      </c>
      <c r="R2248" t="s">
        <v>9919</v>
      </c>
      <c r="S2248" t="s">
        <v>7459</v>
      </c>
      <c r="T2248" t="s">
        <v>91</v>
      </c>
      <c r="U2248" t="s">
        <v>74</v>
      </c>
      <c r="V2248" t="str">
        <f>"10021"</f>
        <v>10021</v>
      </c>
      <c r="AC2248" t="s">
        <v>76</v>
      </c>
      <c r="AD2248" t="s">
        <v>73</v>
      </c>
      <c r="AE2248" t="s">
        <v>97</v>
      </c>
      <c r="AF2248" t="s">
        <v>2234</v>
      </c>
      <c r="AG2248" t="s">
        <v>78</v>
      </c>
    </row>
    <row r="2249" spans="1:33" hidden="1" x14ac:dyDescent="0.25">
      <c r="A2249" t="str">
        <f>"1942576954"</f>
        <v>1942576954</v>
      </c>
      <c r="C2249" t="s">
        <v>9920</v>
      </c>
      <c r="G2249" t="s">
        <v>2224</v>
      </c>
      <c r="H2249" t="s">
        <v>2225</v>
      </c>
      <c r="J2249" t="s">
        <v>2226</v>
      </c>
      <c r="K2249" t="s">
        <v>93</v>
      </c>
      <c r="L2249" t="s">
        <v>96</v>
      </c>
      <c r="M2249" t="s">
        <v>73</v>
      </c>
      <c r="R2249" t="s">
        <v>9921</v>
      </c>
      <c r="S2249" t="s">
        <v>7459</v>
      </c>
      <c r="T2249" t="s">
        <v>91</v>
      </c>
      <c r="U2249" t="s">
        <v>74</v>
      </c>
      <c r="V2249" t="str">
        <f>"100214872"</f>
        <v>100214872</v>
      </c>
      <c r="AC2249" t="s">
        <v>76</v>
      </c>
      <c r="AD2249" t="s">
        <v>73</v>
      </c>
      <c r="AE2249" t="s">
        <v>97</v>
      </c>
      <c r="AF2249" t="s">
        <v>2234</v>
      </c>
      <c r="AG2249" t="s">
        <v>78</v>
      </c>
    </row>
    <row r="2250" spans="1:33" hidden="1" x14ac:dyDescent="0.25">
      <c r="A2250" t="str">
        <f>"1679992036"</f>
        <v>1679992036</v>
      </c>
      <c r="C2250" t="s">
        <v>9922</v>
      </c>
      <c r="G2250" t="s">
        <v>2224</v>
      </c>
      <c r="H2250" t="s">
        <v>2225</v>
      </c>
      <c r="J2250" t="s">
        <v>2226</v>
      </c>
      <c r="K2250" t="s">
        <v>93</v>
      </c>
      <c r="L2250" t="s">
        <v>96</v>
      </c>
      <c r="M2250" t="s">
        <v>73</v>
      </c>
      <c r="R2250" t="s">
        <v>9923</v>
      </c>
      <c r="S2250" t="s">
        <v>7459</v>
      </c>
      <c r="T2250" t="s">
        <v>91</v>
      </c>
      <c r="U2250" t="s">
        <v>74</v>
      </c>
      <c r="V2250" t="str">
        <f>"100214872"</f>
        <v>100214872</v>
      </c>
      <c r="AC2250" t="s">
        <v>76</v>
      </c>
      <c r="AD2250" t="s">
        <v>73</v>
      </c>
      <c r="AE2250" t="s">
        <v>97</v>
      </c>
      <c r="AF2250" t="s">
        <v>2242</v>
      </c>
      <c r="AG2250" t="s">
        <v>78</v>
      </c>
    </row>
    <row r="2251" spans="1:33" hidden="1" x14ac:dyDescent="0.25">
      <c r="A2251" t="str">
        <f>"1295091841"</f>
        <v>1295091841</v>
      </c>
      <c r="C2251" t="s">
        <v>9924</v>
      </c>
      <c r="G2251" t="s">
        <v>2224</v>
      </c>
      <c r="H2251" t="s">
        <v>2225</v>
      </c>
      <c r="J2251" t="s">
        <v>2226</v>
      </c>
      <c r="K2251" t="s">
        <v>93</v>
      </c>
      <c r="L2251" t="s">
        <v>96</v>
      </c>
      <c r="M2251" t="s">
        <v>73</v>
      </c>
      <c r="R2251" t="s">
        <v>9925</v>
      </c>
      <c r="S2251" t="s">
        <v>1745</v>
      </c>
      <c r="T2251" t="s">
        <v>91</v>
      </c>
      <c r="U2251" t="s">
        <v>74</v>
      </c>
      <c r="V2251" t="str">
        <f>"10021"</f>
        <v>10021</v>
      </c>
      <c r="AC2251" t="s">
        <v>76</v>
      </c>
      <c r="AD2251" t="s">
        <v>73</v>
      </c>
      <c r="AE2251" t="s">
        <v>97</v>
      </c>
      <c r="AF2251" t="s">
        <v>2234</v>
      </c>
      <c r="AG2251" t="s">
        <v>78</v>
      </c>
    </row>
    <row r="2252" spans="1:33" hidden="1" x14ac:dyDescent="0.25">
      <c r="A2252" t="str">
        <f>"1679848865"</f>
        <v>1679848865</v>
      </c>
      <c r="B2252" t="str">
        <f>"04209894"</f>
        <v>04209894</v>
      </c>
      <c r="C2252" t="s">
        <v>9926</v>
      </c>
      <c r="D2252" t="s">
        <v>9927</v>
      </c>
      <c r="E2252" t="s">
        <v>9928</v>
      </c>
      <c r="G2252" t="s">
        <v>2224</v>
      </c>
      <c r="H2252" t="s">
        <v>2225</v>
      </c>
      <c r="J2252" t="s">
        <v>2226</v>
      </c>
      <c r="L2252" t="s">
        <v>72</v>
      </c>
      <c r="M2252" t="s">
        <v>73</v>
      </c>
      <c r="R2252" t="s">
        <v>9928</v>
      </c>
      <c r="W2252" t="s">
        <v>9929</v>
      </c>
      <c r="X2252" t="s">
        <v>7513</v>
      </c>
      <c r="Y2252" t="s">
        <v>91</v>
      </c>
      <c r="Z2252" t="s">
        <v>74</v>
      </c>
      <c r="AA2252" t="str">
        <f>"10065-4870"</f>
        <v>10065-4870</v>
      </c>
      <c r="AB2252" t="s">
        <v>75</v>
      </c>
      <c r="AC2252" t="s">
        <v>76</v>
      </c>
      <c r="AD2252" t="s">
        <v>73</v>
      </c>
      <c r="AE2252" t="s">
        <v>77</v>
      </c>
      <c r="AF2252" t="s">
        <v>2242</v>
      </c>
      <c r="AG2252" t="s">
        <v>78</v>
      </c>
    </row>
    <row r="2253" spans="1:33" hidden="1" x14ac:dyDescent="0.25">
      <c r="A2253" t="str">
        <f>"1174962146"</f>
        <v>1174962146</v>
      </c>
      <c r="C2253" t="s">
        <v>9930</v>
      </c>
      <c r="G2253" t="s">
        <v>2224</v>
      </c>
      <c r="H2253" t="s">
        <v>2225</v>
      </c>
      <c r="J2253" t="s">
        <v>2226</v>
      </c>
      <c r="K2253" t="s">
        <v>93</v>
      </c>
      <c r="L2253" t="s">
        <v>96</v>
      </c>
      <c r="M2253" t="s">
        <v>73</v>
      </c>
      <c r="R2253" t="s">
        <v>9931</v>
      </c>
      <c r="S2253" t="s">
        <v>9932</v>
      </c>
      <c r="T2253" t="s">
        <v>91</v>
      </c>
      <c r="U2253" t="s">
        <v>74</v>
      </c>
      <c r="V2253" t="str">
        <f>"100752304"</f>
        <v>100752304</v>
      </c>
      <c r="AC2253" t="s">
        <v>76</v>
      </c>
      <c r="AD2253" t="s">
        <v>73</v>
      </c>
      <c r="AE2253" t="s">
        <v>97</v>
      </c>
      <c r="AF2253" t="s">
        <v>2242</v>
      </c>
      <c r="AG2253" t="s">
        <v>78</v>
      </c>
    </row>
    <row r="2254" spans="1:33" hidden="1" x14ac:dyDescent="0.25">
      <c r="A2254" t="str">
        <f>"1811263791"</f>
        <v>1811263791</v>
      </c>
      <c r="C2254" t="s">
        <v>9933</v>
      </c>
      <c r="G2254" t="s">
        <v>2224</v>
      </c>
      <c r="H2254" t="s">
        <v>2225</v>
      </c>
      <c r="J2254" t="s">
        <v>2226</v>
      </c>
      <c r="K2254" t="s">
        <v>93</v>
      </c>
      <c r="L2254" t="s">
        <v>96</v>
      </c>
      <c r="M2254" t="s">
        <v>73</v>
      </c>
      <c r="R2254" t="s">
        <v>9934</v>
      </c>
      <c r="S2254" t="s">
        <v>628</v>
      </c>
      <c r="T2254" t="s">
        <v>91</v>
      </c>
      <c r="U2254" t="s">
        <v>74</v>
      </c>
      <c r="V2254" t="str">
        <f>"100214872"</f>
        <v>100214872</v>
      </c>
      <c r="AC2254" t="s">
        <v>76</v>
      </c>
      <c r="AD2254" t="s">
        <v>73</v>
      </c>
      <c r="AE2254" t="s">
        <v>97</v>
      </c>
      <c r="AF2254" t="s">
        <v>2242</v>
      </c>
      <c r="AG2254" t="s">
        <v>78</v>
      </c>
    </row>
    <row r="2255" spans="1:33" hidden="1" x14ac:dyDescent="0.25">
      <c r="A2255" t="str">
        <f>"1215372263"</f>
        <v>1215372263</v>
      </c>
      <c r="C2255" t="s">
        <v>9935</v>
      </c>
      <c r="G2255" t="s">
        <v>2224</v>
      </c>
      <c r="H2255" t="s">
        <v>2225</v>
      </c>
      <c r="J2255" t="s">
        <v>2226</v>
      </c>
      <c r="K2255" t="s">
        <v>93</v>
      </c>
      <c r="L2255" t="s">
        <v>96</v>
      </c>
      <c r="M2255" t="s">
        <v>73</v>
      </c>
      <c r="R2255" t="s">
        <v>9936</v>
      </c>
      <c r="S2255" t="s">
        <v>9937</v>
      </c>
      <c r="T2255" t="s">
        <v>91</v>
      </c>
      <c r="U2255" t="s">
        <v>74</v>
      </c>
      <c r="V2255" t="str">
        <f>"100219800"</f>
        <v>100219800</v>
      </c>
      <c r="AC2255" t="s">
        <v>76</v>
      </c>
      <c r="AD2255" t="s">
        <v>73</v>
      </c>
      <c r="AE2255" t="s">
        <v>97</v>
      </c>
      <c r="AF2255" t="s">
        <v>2234</v>
      </c>
      <c r="AG2255" t="s">
        <v>78</v>
      </c>
    </row>
    <row r="2256" spans="1:33" hidden="1" x14ac:dyDescent="0.25">
      <c r="A2256" t="str">
        <f>"1588930069"</f>
        <v>1588930069</v>
      </c>
      <c r="B2256" t="str">
        <f>"04209472"</f>
        <v>04209472</v>
      </c>
      <c r="C2256" t="s">
        <v>9938</v>
      </c>
      <c r="D2256" t="s">
        <v>9939</v>
      </c>
      <c r="E2256" t="s">
        <v>9940</v>
      </c>
      <c r="G2256" t="s">
        <v>2224</v>
      </c>
      <c r="H2256" t="s">
        <v>2225</v>
      </c>
      <c r="J2256" t="s">
        <v>2226</v>
      </c>
      <c r="L2256" t="s">
        <v>72</v>
      </c>
      <c r="M2256" t="s">
        <v>73</v>
      </c>
      <c r="R2256" t="s">
        <v>9941</v>
      </c>
      <c r="W2256" t="s">
        <v>9942</v>
      </c>
      <c r="X2256" t="s">
        <v>7513</v>
      </c>
      <c r="Y2256" t="s">
        <v>91</v>
      </c>
      <c r="Z2256" t="s">
        <v>74</v>
      </c>
      <c r="AA2256" t="str">
        <f>"10065-4870"</f>
        <v>10065-4870</v>
      </c>
      <c r="AB2256" t="s">
        <v>75</v>
      </c>
      <c r="AC2256" t="s">
        <v>76</v>
      </c>
      <c r="AD2256" t="s">
        <v>73</v>
      </c>
      <c r="AE2256" t="s">
        <v>77</v>
      </c>
      <c r="AF2256" t="s">
        <v>2242</v>
      </c>
      <c r="AG2256" t="s">
        <v>78</v>
      </c>
    </row>
    <row r="2257" spans="1:33" hidden="1" x14ac:dyDescent="0.25">
      <c r="A2257" t="str">
        <f>"1184966285"</f>
        <v>1184966285</v>
      </c>
      <c r="C2257" t="s">
        <v>9943</v>
      </c>
      <c r="G2257" t="s">
        <v>2224</v>
      </c>
      <c r="H2257" t="s">
        <v>2225</v>
      </c>
      <c r="J2257" t="s">
        <v>2226</v>
      </c>
      <c r="K2257" t="s">
        <v>93</v>
      </c>
      <c r="L2257" t="s">
        <v>96</v>
      </c>
      <c r="M2257" t="s">
        <v>73</v>
      </c>
      <c r="R2257" t="s">
        <v>9944</v>
      </c>
      <c r="S2257" t="s">
        <v>1745</v>
      </c>
      <c r="T2257" t="s">
        <v>91</v>
      </c>
      <c r="U2257" t="s">
        <v>74</v>
      </c>
      <c r="V2257" t="str">
        <f>"10021"</f>
        <v>10021</v>
      </c>
      <c r="AC2257" t="s">
        <v>76</v>
      </c>
      <c r="AD2257" t="s">
        <v>73</v>
      </c>
      <c r="AE2257" t="s">
        <v>97</v>
      </c>
      <c r="AF2257" t="s">
        <v>2242</v>
      </c>
      <c r="AG2257" t="s">
        <v>78</v>
      </c>
    </row>
    <row r="2258" spans="1:33" hidden="1" x14ac:dyDescent="0.25">
      <c r="A2258" t="str">
        <f>"1164788055"</f>
        <v>1164788055</v>
      </c>
      <c r="B2258" t="str">
        <f>"04181022"</f>
        <v>04181022</v>
      </c>
      <c r="C2258" t="s">
        <v>9945</v>
      </c>
      <c r="D2258" t="s">
        <v>9946</v>
      </c>
      <c r="E2258" t="s">
        <v>9947</v>
      </c>
      <c r="G2258" t="s">
        <v>2224</v>
      </c>
      <c r="H2258" t="s">
        <v>2225</v>
      </c>
      <c r="J2258" t="s">
        <v>2226</v>
      </c>
      <c r="L2258" t="s">
        <v>72</v>
      </c>
      <c r="M2258" t="s">
        <v>73</v>
      </c>
      <c r="R2258" t="s">
        <v>9948</v>
      </c>
      <c r="W2258" t="s">
        <v>9947</v>
      </c>
      <c r="X2258" t="s">
        <v>1587</v>
      </c>
      <c r="Y2258" t="s">
        <v>91</v>
      </c>
      <c r="Z2258" t="s">
        <v>74</v>
      </c>
      <c r="AA2258" t="str">
        <f>"10003-0000"</f>
        <v>10003-0000</v>
      </c>
      <c r="AB2258" t="s">
        <v>75</v>
      </c>
      <c r="AC2258" t="s">
        <v>76</v>
      </c>
      <c r="AD2258" t="s">
        <v>73</v>
      </c>
      <c r="AE2258" t="s">
        <v>77</v>
      </c>
      <c r="AF2258" t="s">
        <v>2234</v>
      </c>
      <c r="AG2258" t="s">
        <v>78</v>
      </c>
    </row>
    <row r="2259" spans="1:33" hidden="1" x14ac:dyDescent="0.25">
      <c r="A2259" t="str">
        <f>"1225370489"</f>
        <v>1225370489</v>
      </c>
      <c r="B2259" t="str">
        <f>"04534727"</f>
        <v>04534727</v>
      </c>
      <c r="C2259" t="s">
        <v>9949</v>
      </c>
      <c r="D2259" t="s">
        <v>9950</v>
      </c>
      <c r="E2259" t="s">
        <v>9951</v>
      </c>
      <c r="G2259" t="s">
        <v>2224</v>
      </c>
      <c r="H2259" t="s">
        <v>2225</v>
      </c>
      <c r="J2259" t="s">
        <v>2226</v>
      </c>
      <c r="L2259" t="s">
        <v>96</v>
      </c>
      <c r="M2259" t="s">
        <v>73</v>
      </c>
      <c r="R2259" t="s">
        <v>9951</v>
      </c>
      <c r="W2259" t="s">
        <v>9952</v>
      </c>
      <c r="AB2259" t="s">
        <v>75</v>
      </c>
      <c r="AC2259" t="s">
        <v>76</v>
      </c>
      <c r="AD2259" t="s">
        <v>73</v>
      </c>
      <c r="AE2259" t="s">
        <v>77</v>
      </c>
      <c r="AF2259" t="s">
        <v>2242</v>
      </c>
      <c r="AG2259" t="s">
        <v>78</v>
      </c>
    </row>
    <row r="2260" spans="1:33" hidden="1" x14ac:dyDescent="0.25">
      <c r="A2260" t="str">
        <f>"1699032763"</f>
        <v>1699032763</v>
      </c>
      <c r="C2260" t="s">
        <v>9953</v>
      </c>
      <c r="G2260" t="s">
        <v>2224</v>
      </c>
      <c r="H2260" t="s">
        <v>2225</v>
      </c>
      <c r="J2260" t="s">
        <v>2226</v>
      </c>
      <c r="K2260" t="s">
        <v>93</v>
      </c>
      <c r="L2260" t="s">
        <v>96</v>
      </c>
      <c r="M2260" t="s">
        <v>73</v>
      </c>
      <c r="R2260" t="s">
        <v>9954</v>
      </c>
      <c r="S2260" t="s">
        <v>1745</v>
      </c>
      <c r="T2260" t="s">
        <v>91</v>
      </c>
      <c r="U2260" t="s">
        <v>74</v>
      </c>
      <c r="V2260" t="str">
        <f>"10021"</f>
        <v>10021</v>
      </c>
      <c r="AC2260" t="s">
        <v>76</v>
      </c>
      <c r="AD2260" t="s">
        <v>73</v>
      </c>
      <c r="AE2260" t="s">
        <v>97</v>
      </c>
      <c r="AF2260" t="s">
        <v>2242</v>
      </c>
      <c r="AG2260" t="s">
        <v>78</v>
      </c>
    </row>
    <row r="2261" spans="1:33" hidden="1" x14ac:dyDescent="0.25">
      <c r="A2261" t="str">
        <f>"1457790024"</f>
        <v>1457790024</v>
      </c>
      <c r="C2261" t="s">
        <v>9955</v>
      </c>
      <c r="G2261" t="s">
        <v>2224</v>
      </c>
      <c r="H2261" t="s">
        <v>2225</v>
      </c>
      <c r="J2261" t="s">
        <v>2226</v>
      </c>
      <c r="K2261" t="s">
        <v>93</v>
      </c>
      <c r="L2261" t="s">
        <v>96</v>
      </c>
      <c r="M2261" t="s">
        <v>73</v>
      </c>
      <c r="R2261" t="s">
        <v>9956</v>
      </c>
      <c r="S2261" t="s">
        <v>7459</v>
      </c>
      <c r="T2261" t="s">
        <v>91</v>
      </c>
      <c r="U2261" t="s">
        <v>74</v>
      </c>
      <c r="V2261" t="str">
        <f>"100214872"</f>
        <v>100214872</v>
      </c>
      <c r="AC2261" t="s">
        <v>76</v>
      </c>
      <c r="AD2261" t="s">
        <v>73</v>
      </c>
      <c r="AE2261" t="s">
        <v>97</v>
      </c>
      <c r="AF2261" t="s">
        <v>2242</v>
      </c>
      <c r="AG2261" t="s">
        <v>78</v>
      </c>
    </row>
    <row r="2262" spans="1:33" hidden="1" x14ac:dyDescent="0.25">
      <c r="A2262" t="str">
        <f>"1780942300"</f>
        <v>1780942300</v>
      </c>
      <c r="C2262" t="s">
        <v>9957</v>
      </c>
      <c r="G2262" t="s">
        <v>2224</v>
      </c>
      <c r="H2262" t="s">
        <v>2225</v>
      </c>
      <c r="J2262" t="s">
        <v>2226</v>
      </c>
      <c r="K2262" t="s">
        <v>93</v>
      </c>
      <c r="L2262" t="s">
        <v>96</v>
      </c>
      <c r="M2262" t="s">
        <v>73</v>
      </c>
      <c r="R2262" t="s">
        <v>9958</v>
      </c>
      <c r="S2262" t="s">
        <v>9959</v>
      </c>
      <c r="T2262" t="s">
        <v>9960</v>
      </c>
      <c r="U2262" t="s">
        <v>590</v>
      </c>
      <c r="V2262" t="str">
        <f>"730131936"</f>
        <v>730131936</v>
      </c>
      <c r="AC2262" t="s">
        <v>76</v>
      </c>
      <c r="AD2262" t="s">
        <v>73</v>
      </c>
      <c r="AE2262" t="s">
        <v>97</v>
      </c>
      <c r="AF2262" t="s">
        <v>2234</v>
      </c>
      <c r="AG2262" t="s">
        <v>78</v>
      </c>
    </row>
    <row r="2263" spans="1:33" hidden="1" x14ac:dyDescent="0.25">
      <c r="A2263" t="str">
        <f>"1104169291"</f>
        <v>1104169291</v>
      </c>
      <c r="B2263" t="str">
        <f>"04452186"</f>
        <v>04452186</v>
      </c>
      <c r="C2263" t="s">
        <v>9961</v>
      </c>
      <c r="D2263" t="s">
        <v>2203</v>
      </c>
      <c r="E2263" t="s">
        <v>2204</v>
      </c>
      <c r="G2263" t="s">
        <v>2224</v>
      </c>
      <c r="H2263" t="s">
        <v>2225</v>
      </c>
      <c r="J2263" t="s">
        <v>2226</v>
      </c>
      <c r="L2263" t="s">
        <v>72</v>
      </c>
      <c r="M2263" t="s">
        <v>73</v>
      </c>
      <c r="R2263" t="s">
        <v>2205</v>
      </c>
      <c r="W2263" t="s">
        <v>2204</v>
      </c>
      <c r="AB2263" t="s">
        <v>75</v>
      </c>
      <c r="AC2263" t="s">
        <v>76</v>
      </c>
      <c r="AD2263" t="s">
        <v>73</v>
      </c>
      <c r="AE2263" t="s">
        <v>77</v>
      </c>
      <c r="AF2263" t="s">
        <v>2228</v>
      </c>
      <c r="AG2263" t="s">
        <v>78</v>
      </c>
    </row>
    <row r="2264" spans="1:33" hidden="1" x14ac:dyDescent="0.25">
      <c r="A2264" t="str">
        <f>"1255697009"</f>
        <v>1255697009</v>
      </c>
      <c r="B2264" t="str">
        <f>"04195740"</f>
        <v>04195740</v>
      </c>
      <c r="C2264" t="s">
        <v>9962</v>
      </c>
      <c r="D2264" t="s">
        <v>9963</v>
      </c>
      <c r="E2264" t="s">
        <v>9964</v>
      </c>
      <c r="G2264" t="s">
        <v>2224</v>
      </c>
      <c r="H2264" t="s">
        <v>2225</v>
      </c>
      <c r="J2264" t="s">
        <v>2226</v>
      </c>
      <c r="L2264" t="s">
        <v>81</v>
      </c>
      <c r="M2264" t="s">
        <v>73</v>
      </c>
      <c r="R2264" t="s">
        <v>9965</v>
      </c>
      <c r="W2264" t="s">
        <v>9964</v>
      </c>
      <c r="X2264" t="s">
        <v>9966</v>
      </c>
      <c r="Y2264" t="s">
        <v>1215</v>
      </c>
      <c r="Z2264" t="s">
        <v>74</v>
      </c>
      <c r="AA2264" t="str">
        <f>"10509-1521"</f>
        <v>10509-1521</v>
      </c>
      <c r="AB2264" t="s">
        <v>75</v>
      </c>
      <c r="AC2264" t="s">
        <v>76</v>
      </c>
      <c r="AD2264" t="s">
        <v>73</v>
      </c>
      <c r="AE2264" t="s">
        <v>77</v>
      </c>
      <c r="AF2264" t="s">
        <v>2234</v>
      </c>
      <c r="AG2264" t="s">
        <v>78</v>
      </c>
    </row>
    <row r="2265" spans="1:33" hidden="1" x14ac:dyDescent="0.25">
      <c r="A2265" t="str">
        <f>"1003926395"</f>
        <v>1003926395</v>
      </c>
      <c r="B2265" t="str">
        <f>"03456246"</f>
        <v>03456246</v>
      </c>
      <c r="C2265" t="s">
        <v>9967</v>
      </c>
      <c r="D2265" t="s">
        <v>9968</v>
      </c>
      <c r="E2265" t="s">
        <v>9969</v>
      </c>
      <c r="L2265" t="s">
        <v>80</v>
      </c>
      <c r="M2265" t="s">
        <v>73</v>
      </c>
      <c r="R2265" t="s">
        <v>9970</v>
      </c>
      <c r="W2265" t="s">
        <v>9969</v>
      </c>
      <c r="X2265" t="s">
        <v>1202</v>
      </c>
      <c r="Y2265" t="s">
        <v>118</v>
      </c>
      <c r="Z2265" t="s">
        <v>74</v>
      </c>
      <c r="AA2265" t="str">
        <f>"10467-2159"</f>
        <v>10467-2159</v>
      </c>
      <c r="AB2265" t="s">
        <v>75</v>
      </c>
      <c r="AC2265" t="s">
        <v>76</v>
      </c>
      <c r="AD2265" t="s">
        <v>73</v>
      </c>
      <c r="AE2265" t="s">
        <v>77</v>
      </c>
      <c r="AF2265" t="s">
        <v>2228</v>
      </c>
      <c r="AG2265" t="s">
        <v>78</v>
      </c>
    </row>
    <row r="2266" spans="1:33" hidden="1" x14ac:dyDescent="0.25">
      <c r="A2266" t="str">
        <f>"1902877582"</f>
        <v>1902877582</v>
      </c>
      <c r="B2266" t="str">
        <f>"02150681"</f>
        <v>02150681</v>
      </c>
      <c r="C2266" t="s">
        <v>9971</v>
      </c>
      <c r="D2266" t="s">
        <v>9972</v>
      </c>
      <c r="E2266" t="s">
        <v>9973</v>
      </c>
      <c r="G2266" t="s">
        <v>2224</v>
      </c>
      <c r="H2266" t="s">
        <v>2225</v>
      </c>
      <c r="J2266" t="s">
        <v>2226</v>
      </c>
      <c r="L2266" t="s">
        <v>72</v>
      </c>
      <c r="M2266" t="s">
        <v>73</v>
      </c>
      <c r="R2266" t="s">
        <v>9974</v>
      </c>
      <c r="W2266" t="s">
        <v>9973</v>
      </c>
      <c r="X2266" t="s">
        <v>170</v>
      </c>
      <c r="Y2266" t="s">
        <v>91</v>
      </c>
      <c r="Z2266" t="s">
        <v>74</v>
      </c>
      <c r="AA2266" t="str">
        <f>"10065-4870"</f>
        <v>10065-4870</v>
      </c>
      <c r="AB2266" t="s">
        <v>75</v>
      </c>
      <c r="AC2266" t="s">
        <v>76</v>
      </c>
      <c r="AD2266" t="s">
        <v>73</v>
      </c>
      <c r="AE2266" t="s">
        <v>77</v>
      </c>
      <c r="AF2266" t="s">
        <v>2242</v>
      </c>
      <c r="AG2266" t="s">
        <v>78</v>
      </c>
    </row>
    <row r="2267" spans="1:33" hidden="1" x14ac:dyDescent="0.25">
      <c r="A2267" t="str">
        <f>"1477786143"</f>
        <v>1477786143</v>
      </c>
      <c r="C2267" t="s">
        <v>9975</v>
      </c>
      <c r="G2267" t="s">
        <v>2224</v>
      </c>
      <c r="H2267" t="s">
        <v>2312</v>
      </c>
      <c r="J2267" t="s">
        <v>2226</v>
      </c>
      <c r="K2267" t="s">
        <v>171</v>
      </c>
      <c r="L2267" t="s">
        <v>96</v>
      </c>
      <c r="M2267" t="s">
        <v>73</v>
      </c>
      <c r="R2267" t="s">
        <v>1953</v>
      </c>
      <c r="S2267" t="s">
        <v>2314</v>
      </c>
      <c r="T2267" t="s">
        <v>91</v>
      </c>
      <c r="U2267" t="s">
        <v>74</v>
      </c>
      <c r="V2267" t="str">
        <f>"100654870"</f>
        <v>100654870</v>
      </c>
      <c r="AC2267" t="s">
        <v>76</v>
      </c>
      <c r="AD2267" t="s">
        <v>73</v>
      </c>
      <c r="AE2267" t="s">
        <v>97</v>
      </c>
      <c r="AF2267" t="s">
        <v>2242</v>
      </c>
      <c r="AG2267" t="s">
        <v>78</v>
      </c>
    </row>
    <row r="2268" spans="1:33" hidden="1" x14ac:dyDescent="0.25">
      <c r="A2268" t="str">
        <f>"1265878904"</f>
        <v>1265878904</v>
      </c>
      <c r="C2268" t="s">
        <v>9976</v>
      </c>
      <c r="G2268" t="s">
        <v>2224</v>
      </c>
      <c r="H2268" t="s">
        <v>2312</v>
      </c>
      <c r="J2268" t="s">
        <v>2226</v>
      </c>
      <c r="K2268" t="s">
        <v>171</v>
      </c>
      <c r="L2268" t="s">
        <v>96</v>
      </c>
      <c r="M2268" t="s">
        <v>73</v>
      </c>
      <c r="R2268" t="s">
        <v>9977</v>
      </c>
      <c r="S2268" t="s">
        <v>170</v>
      </c>
      <c r="T2268" t="s">
        <v>91</v>
      </c>
      <c r="U2268" t="s">
        <v>74</v>
      </c>
      <c r="V2268" t="str">
        <f>"100654870"</f>
        <v>100654870</v>
      </c>
      <c r="AC2268" t="s">
        <v>76</v>
      </c>
      <c r="AD2268" t="s">
        <v>73</v>
      </c>
      <c r="AE2268" t="s">
        <v>97</v>
      </c>
      <c r="AF2268" t="s">
        <v>2242</v>
      </c>
      <c r="AG2268" t="s">
        <v>78</v>
      </c>
    </row>
    <row r="2269" spans="1:33" hidden="1" x14ac:dyDescent="0.25">
      <c r="A2269" t="str">
        <f>"1851552848"</f>
        <v>1851552848</v>
      </c>
      <c r="B2269" t="str">
        <f>"03967535"</f>
        <v>03967535</v>
      </c>
      <c r="C2269" t="s">
        <v>9978</v>
      </c>
      <c r="D2269" t="s">
        <v>9979</v>
      </c>
      <c r="E2269" t="s">
        <v>9980</v>
      </c>
      <c r="G2269" t="s">
        <v>2224</v>
      </c>
      <c r="H2269" t="s">
        <v>2312</v>
      </c>
      <c r="J2269" t="s">
        <v>2226</v>
      </c>
      <c r="L2269" t="s">
        <v>80</v>
      </c>
      <c r="M2269" t="s">
        <v>73</v>
      </c>
      <c r="R2269" t="s">
        <v>9981</v>
      </c>
      <c r="W2269" t="s">
        <v>9980</v>
      </c>
      <c r="X2269" t="s">
        <v>170</v>
      </c>
      <c r="Y2269" t="s">
        <v>91</v>
      </c>
      <c r="Z2269" t="s">
        <v>74</v>
      </c>
      <c r="AA2269" t="str">
        <f>"10065-4870"</f>
        <v>10065-4870</v>
      </c>
      <c r="AB2269" t="s">
        <v>75</v>
      </c>
      <c r="AC2269" t="s">
        <v>76</v>
      </c>
      <c r="AD2269" t="s">
        <v>73</v>
      </c>
      <c r="AE2269" t="s">
        <v>77</v>
      </c>
      <c r="AF2269" t="s">
        <v>2242</v>
      </c>
      <c r="AG2269" t="s">
        <v>78</v>
      </c>
    </row>
    <row r="2270" spans="1:33" hidden="1" x14ac:dyDescent="0.25">
      <c r="A2270" t="str">
        <f>"1285972158"</f>
        <v>1285972158</v>
      </c>
      <c r="C2270" t="s">
        <v>9982</v>
      </c>
      <c r="G2270" t="s">
        <v>2224</v>
      </c>
      <c r="H2270" t="s">
        <v>2312</v>
      </c>
      <c r="J2270" t="s">
        <v>2226</v>
      </c>
      <c r="K2270" t="s">
        <v>171</v>
      </c>
      <c r="L2270" t="s">
        <v>96</v>
      </c>
      <c r="M2270" t="s">
        <v>73</v>
      </c>
      <c r="R2270" t="s">
        <v>9983</v>
      </c>
      <c r="S2270" t="s">
        <v>9984</v>
      </c>
      <c r="T2270" t="s">
        <v>9985</v>
      </c>
      <c r="U2270" t="s">
        <v>311</v>
      </c>
      <c r="V2270" t="str">
        <f>"452426005"</f>
        <v>452426005</v>
      </c>
      <c r="AC2270" t="s">
        <v>76</v>
      </c>
      <c r="AD2270" t="s">
        <v>73</v>
      </c>
      <c r="AE2270" t="s">
        <v>97</v>
      </c>
      <c r="AF2270" t="s">
        <v>2242</v>
      </c>
      <c r="AG2270" t="s">
        <v>78</v>
      </c>
    </row>
    <row r="2271" spans="1:33" hidden="1" x14ac:dyDescent="0.25">
      <c r="A2271" t="str">
        <f>"1700291960"</f>
        <v>1700291960</v>
      </c>
      <c r="C2271" t="s">
        <v>9986</v>
      </c>
      <c r="G2271" t="s">
        <v>2224</v>
      </c>
      <c r="H2271" t="s">
        <v>2312</v>
      </c>
      <c r="J2271" t="s">
        <v>2226</v>
      </c>
      <c r="K2271" t="s">
        <v>171</v>
      </c>
      <c r="L2271" t="s">
        <v>96</v>
      </c>
      <c r="M2271" t="s">
        <v>73</v>
      </c>
      <c r="R2271" t="s">
        <v>9987</v>
      </c>
      <c r="S2271" t="s">
        <v>9988</v>
      </c>
      <c r="T2271" t="s">
        <v>118</v>
      </c>
      <c r="U2271" t="s">
        <v>74</v>
      </c>
      <c r="V2271" t="str">
        <f>"104651616"</f>
        <v>104651616</v>
      </c>
      <c r="AC2271" t="s">
        <v>76</v>
      </c>
      <c r="AD2271" t="s">
        <v>73</v>
      </c>
      <c r="AE2271" t="s">
        <v>97</v>
      </c>
      <c r="AF2271" t="s">
        <v>2242</v>
      </c>
      <c r="AG2271" t="s">
        <v>78</v>
      </c>
    </row>
    <row r="2272" spans="1:33" hidden="1" x14ac:dyDescent="0.25">
      <c r="A2272" t="str">
        <f>"1053732164"</f>
        <v>1053732164</v>
      </c>
      <c r="C2272" t="s">
        <v>9989</v>
      </c>
      <c r="G2272" t="s">
        <v>2224</v>
      </c>
      <c r="H2272" t="s">
        <v>2312</v>
      </c>
      <c r="J2272" t="s">
        <v>2226</v>
      </c>
      <c r="K2272" t="s">
        <v>171</v>
      </c>
      <c r="L2272" t="s">
        <v>96</v>
      </c>
      <c r="M2272" t="s">
        <v>73</v>
      </c>
      <c r="R2272" t="s">
        <v>9990</v>
      </c>
      <c r="S2272" t="s">
        <v>9991</v>
      </c>
      <c r="T2272" t="s">
        <v>91</v>
      </c>
      <c r="U2272" t="s">
        <v>74</v>
      </c>
      <c r="V2272" t="str">
        <f>"100654870"</f>
        <v>100654870</v>
      </c>
      <c r="AC2272" t="s">
        <v>76</v>
      </c>
      <c r="AD2272" t="s">
        <v>73</v>
      </c>
      <c r="AE2272" t="s">
        <v>97</v>
      </c>
      <c r="AF2272" t="s">
        <v>2242</v>
      </c>
      <c r="AG2272" t="s">
        <v>78</v>
      </c>
    </row>
    <row r="2273" spans="1:33" hidden="1" x14ac:dyDescent="0.25">
      <c r="A2273" t="str">
        <f>"1982831863"</f>
        <v>1982831863</v>
      </c>
      <c r="B2273" t="str">
        <f>"04069738"</f>
        <v>04069738</v>
      </c>
      <c r="C2273" t="s">
        <v>9992</v>
      </c>
      <c r="D2273" t="s">
        <v>9993</v>
      </c>
      <c r="E2273" t="s">
        <v>9994</v>
      </c>
      <c r="G2273" t="s">
        <v>2224</v>
      </c>
      <c r="H2273" t="s">
        <v>2312</v>
      </c>
      <c r="J2273" t="s">
        <v>2226</v>
      </c>
      <c r="L2273" t="s">
        <v>72</v>
      </c>
      <c r="M2273" t="s">
        <v>73</v>
      </c>
      <c r="R2273" t="s">
        <v>9995</v>
      </c>
      <c r="W2273" t="s">
        <v>9994</v>
      </c>
      <c r="X2273" t="s">
        <v>170</v>
      </c>
      <c r="Y2273" t="s">
        <v>91</v>
      </c>
      <c r="Z2273" t="s">
        <v>74</v>
      </c>
      <c r="AA2273" t="str">
        <f>"10065-4870"</f>
        <v>10065-4870</v>
      </c>
      <c r="AB2273" t="s">
        <v>75</v>
      </c>
      <c r="AC2273" t="s">
        <v>76</v>
      </c>
      <c r="AD2273" t="s">
        <v>73</v>
      </c>
      <c r="AE2273" t="s">
        <v>77</v>
      </c>
      <c r="AF2273" t="s">
        <v>2234</v>
      </c>
      <c r="AG2273" t="s">
        <v>78</v>
      </c>
    </row>
    <row r="2274" spans="1:33" hidden="1" x14ac:dyDescent="0.25">
      <c r="A2274" t="str">
        <f>"1477801447"</f>
        <v>1477801447</v>
      </c>
      <c r="C2274" t="s">
        <v>9996</v>
      </c>
      <c r="G2274" t="s">
        <v>2224</v>
      </c>
      <c r="H2274" t="s">
        <v>2312</v>
      </c>
      <c r="J2274" t="s">
        <v>2226</v>
      </c>
      <c r="K2274" t="s">
        <v>171</v>
      </c>
      <c r="L2274" t="s">
        <v>96</v>
      </c>
      <c r="M2274" t="s">
        <v>73</v>
      </c>
      <c r="R2274" t="s">
        <v>9997</v>
      </c>
      <c r="S2274" t="s">
        <v>170</v>
      </c>
      <c r="T2274" t="s">
        <v>91</v>
      </c>
      <c r="U2274" t="s">
        <v>74</v>
      </c>
      <c r="V2274" t="str">
        <f>"100654870"</f>
        <v>100654870</v>
      </c>
      <c r="AC2274" t="s">
        <v>76</v>
      </c>
      <c r="AD2274" t="s">
        <v>73</v>
      </c>
      <c r="AE2274" t="s">
        <v>97</v>
      </c>
      <c r="AF2274" t="s">
        <v>2234</v>
      </c>
      <c r="AG2274" t="s">
        <v>78</v>
      </c>
    </row>
    <row r="2275" spans="1:33" hidden="1" x14ac:dyDescent="0.25">
      <c r="A2275" t="str">
        <f>"1538503891"</f>
        <v>1538503891</v>
      </c>
      <c r="C2275" t="s">
        <v>9998</v>
      </c>
      <c r="G2275" t="s">
        <v>2224</v>
      </c>
      <c r="H2275" t="s">
        <v>2312</v>
      </c>
      <c r="J2275" t="s">
        <v>2226</v>
      </c>
      <c r="K2275" t="s">
        <v>171</v>
      </c>
      <c r="L2275" t="s">
        <v>96</v>
      </c>
      <c r="M2275" t="s">
        <v>73</v>
      </c>
      <c r="R2275" t="s">
        <v>9999</v>
      </c>
      <c r="S2275" t="s">
        <v>10000</v>
      </c>
      <c r="T2275" t="s">
        <v>1178</v>
      </c>
      <c r="U2275" t="s">
        <v>1147</v>
      </c>
      <c r="V2275" t="str">
        <f>"029034923"</f>
        <v>029034923</v>
      </c>
      <c r="AC2275" t="s">
        <v>76</v>
      </c>
      <c r="AD2275" t="s">
        <v>73</v>
      </c>
      <c r="AE2275" t="s">
        <v>97</v>
      </c>
      <c r="AF2275" t="s">
        <v>2242</v>
      </c>
      <c r="AG2275" t="s">
        <v>78</v>
      </c>
    </row>
    <row r="2276" spans="1:33" hidden="1" x14ac:dyDescent="0.25">
      <c r="A2276" t="str">
        <f>"1710018759"</f>
        <v>1710018759</v>
      </c>
      <c r="B2276" t="str">
        <f>"02387144"</f>
        <v>02387144</v>
      </c>
      <c r="C2276" t="s">
        <v>10001</v>
      </c>
      <c r="D2276" t="s">
        <v>10002</v>
      </c>
      <c r="E2276" t="s">
        <v>10003</v>
      </c>
      <c r="G2276" t="s">
        <v>2224</v>
      </c>
      <c r="H2276" t="s">
        <v>2225</v>
      </c>
      <c r="J2276" t="s">
        <v>2226</v>
      </c>
      <c r="L2276" t="s">
        <v>81</v>
      </c>
      <c r="M2276" t="s">
        <v>82</v>
      </c>
      <c r="R2276" t="s">
        <v>10004</v>
      </c>
      <c r="W2276" t="s">
        <v>10005</v>
      </c>
      <c r="X2276" t="s">
        <v>167</v>
      </c>
      <c r="Y2276" t="s">
        <v>91</v>
      </c>
      <c r="Z2276" t="s">
        <v>74</v>
      </c>
      <c r="AA2276" t="str">
        <f>"10032-3720"</f>
        <v>10032-3720</v>
      </c>
      <c r="AB2276" t="s">
        <v>75</v>
      </c>
      <c r="AC2276" t="s">
        <v>76</v>
      </c>
      <c r="AD2276" t="s">
        <v>73</v>
      </c>
      <c r="AE2276" t="s">
        <v>77</v>
      </c>
      <c r="AF2276" t="s">
        <v>2254</v>
      </c>
      <c r="AG2276" t="s">
        <v>78</v>
      </c>
    </row>
    <row r="2277" spans="1:33" hidden="1" x14ac:dyDescent="0.25">
      <c r="A2277" t="str">
        <f>"1326084856"</f>
        <v>1326084856</v>
      </c>
      <c r="B2277" t="str">
        <f>"01189151"</f>
        <v>01189151</v>
      </c>
      <c r="C2277" t="s">
        <v>10006</v>
      </c>
      <c r="D2277" t="s">
        <v>1652</v>
      </c>
      <c r="E2277" t="s">
        <v>1653</v>
      </c>
      <c r="G2277" t="s">
        <v>10007</v>
      </c>
      <c r="H2277" t="s">
        <v>10008</v>
      </c>
      <c r="J2277" t="s">
        <v>10009</v>
      </c>
      <c r="L2277" t="s">
        <v>81</v>
      </c>
      <c r="M2277" t="s">
        <v>82</v>
      </c>
      <c r="R2277" t="s">
        <v>1654</v>
      </c>
      <c r="W2277" t="s">
        <v>1655</v>
      </c>
      <c r="X2277" t="s">
        <v>1656</v>
      </c>
      <c r="Y2277" t="s">
        <v>91</v>
      </c>
      <c r="Z2277" t="s">
        <v>74</v>
      </c>
      <c r="AA2277" t="str">
        <f>"10033-2049"</f>
        <v>10033-2049</v>
      </c>
      <c r="AB2277" t="s">
        <v>75</v>
      </c>
      <c r="AC2277" t="s">
        <v>76</v>
      </c>
      <c r="AD2277" t="s">
        <v>73</v>
      </c>
      <c r="AE2277" t="s">
        <v>77</v>
      </c>
      <c r="AG2277" t="s">
        <v>78</v>
      </c>
    </row>
    <row r="2278" spans="1:33" hidden="1" x14ac:dyDescent="0.25">
      <c r="A2278" t="str">
        <f>"1376704742"</f>
        <v>1376704742</v>
      </c>
      <c r="B2278" t="str">
        <f>"03562907"</f>
        <v>03562907</v>
      </c>
      <c r="C2278" t="s">
        <v>10010</v>
      </c>
      <c r="D2278" t="s">
        <v>10011</v>
      </c>
      <c r="E2278" t="s">
        <v>10012</v>
      </c>
      <c r="G2278" t="s">
        <v>2224</v>
      </c>
      <c r="H2278" t="s">
        <v>2225</v>
      </c>
      <c r="J2278" t="s">
        <v>2226</v>
      </c>
      <c r="L2278" t="s">
        <v>80</v>
      </c>
      <c r="M2278" t="s">
        <v>73</v>
      </c>
      <c r="R2278" t="s">
        <v>1977</v>
      </c>
      <c r="W2278" t="s">
        <v>10012</v>
      </c>
      <c r="X2278" t="s">
        <v>2503</v>
      </c>
      <c r="Y2278" t="s">
        <v>91</v>
      </c>
      <c r="Z2278" t="s">
        <v>74</v>
      </c>
      <c r="AA2278" t="str">
        <f>"10065-4870"</f>
        <v>10065-4870</v>
      </c>
      <c r="AB2278" t="s">
        <v>75</v>
      </c>
      <c r="AC2278" t="s">
        <v>76</v>
      </c>
      <c r="AD2278" t="s">
        <v>73</v>
      </c>
      <c r="AE2278" t="s">
        <v>77</v>
      </c>
      <c r="AF2278" t="s">
        <v>2242</v>
      </c>
      <c r="AG2278" t="s">
        <v>78</v>
      </c>
    </row>
    <row r="2279" spans="1:33" hidden="1" x14ac:dyDescent="0.25">
      <c r="A2279" t="str">
        <f>"1386680064"</f>
        <v>1386680064</v>
      </c>
      <c r="B2279" t="str">
        <f>"02759520"</f>
        <v>02759520</v>
      </c>
      <c r="C2279" t="s">
        <v>10013</v>
      </c>
      <c r="D2279" t="s">
        <v>10014</v>
      </c>
      <c r="E2279" t="s">
        <v>10015</v>
      </c>
      <c r="G2279" t="s">
        <v>2224</v>
      </c>
      <c r="H2279" t="s">
        <v>2225</v>
      </c>
      <c r="J2279" t="s">
        <v>2226</v>
      </c>
      <c r="L2279" t="s">
        <v>88</v>
      </c>
      <c r="M2279" t="s">
        <v>73</v>
      </c>
      <c r="R2279" t="s">
        <v>10016</v>
      </c>
      <c r="W2279" t="s">
        <v>10015</v>
      </c>
      <c r="X2279" t="s">
        <v>167</v>
      </c>
      <c r="Y2279" t="s">
        <v>91</v>
      </c>
      <c r="Z2279" t="s">
        <v>74</v>
      </c>
      <c r="AA2279" t="str">
        <f>"10032-3720"</f>
        <v>10032-3720</v>
      </c>
      <c r="AB2279" t="s">
        <v>75</v>
      </c>
      <c r="AC2279" t="s">
        <v>76</v>
      </c>
      <c r="AD2279" t="s">
        <v>73</v>
      </c>
      <c r="AE2279" t="s">
        <v>77</v>
      </c>
      <c r="AF2279" t="s">
        <v>2228</v>
      </c>
      <c r="AG2279" t="s">
        <v>78</v>
      </c>
    </row>
    <row r="2280" spans="1:33" hidden="1" x14ac:dyDescent="0.25">
      <c r="A2280" t="str">
        <f>"1114124898"</f>
        <v>1114124898</v>
      </c>
      <c r="B2280" t="str">
        <f>"03155162"</f>
        <v>03155162</v>
      </c>
      <c r="C2280" t="s">
        <v>10017</v>
      </c>
      <c r="D2280" t="s">
        <v>10018</v>
      </c>
      <c r="E2280" t="s">
        <v>10019</v>
      </c>
      <c r="G2280" t="s">
        <v>2224</v>
      </c>
      <c r="H2280" t="s">
        <v>2225</v>
      </c>
      <c r="J2280" t="s">
        <v>2226</v>
      </c>
      <c r="L2280" t="s">
        <v>80</v>
      </c>
      <c r="M2280" t="s">
        <v>73</v>
      </c>
      <c r="R2280" t="s">
        <v>10020</v>
      </c>
      <c r="W2280" t="s">
        <v>10019</v>
      </c>
      <c r="X2280" t="s">
        <v>167</v>
      </c>
      <c r="Y2280" t="s">
        <v>91</v>
      </c>
      <c r="Z2280" t="s">
        <v>74</v>
      </c>
      <c r="AA2280" t="str">
        <f>"10032-3720"</f>
        <v>10032-3720</v>
      </c>
      <c r="AB2280" t="s">
        <v>75</v>
      </c>
      <c r="AC2280" t="s">
        <v>76</v>
      </c>
      <c r="AD2280" t="s">
        <v>73</v>
      </c>
      <c r="AE2280" t="s">
        <v>77</v>
      </c>
      <c r="AF2280" t="s">
        <v>2228</v>
      </c>
      <c r="AG2280" t="s">
        <v>78</v>
      </c>
    </row>
    <row r="2281" spans="1:33" hidden="1" x14ac:dyDescent="0.25">
      <c r="A2281" t="str">
        <f>"1942406277"</f>
        <v>1942406277</v>
      </c>
      <c r="B2281" t="str">
        <f>"03338621"</f>
        <v>03338621</v>
      </c>
      <c r="C2281" t="s">
        <v>10021</v>
      </c>
      <c r="D2281" t="s">
        <v>10022</v>
      </c>
      <c r="E2281" t="s">
        <v>10023</v>
      </c>
      <c r="G2281" t="s">
        <v>2224</v>
      </c>
      <c r="H2281" t="s">
        <v>7889</v>
      </c>
      <c r="J2281" t="s">
        <v>2226</v>
      </c>
      <c r="L2281" t="s">
        <v>72</v>
      </c>
      <c r="M2281" t="s">
        <v>73</v>
      </c>
      <c r="R2281" t="s">
        <v>10024</v>
      </c>
      <c r="W2281" t="s">
        <v>10023</v>
      </c>
      <c r="X2281" t="s">
        <v>170</v>
      </c>
      <c r="Y2281" t="s">
        <v>91</v>
      </c>
      <c r="Z2281" t="s">
        <v>74</v>
      </c>
      <c r="AA2281" t="str">
        <f>"10065-4870"</f>
        <v>10065-4870</v>
      </c>
      <c r="AB2281" t="s">
        <v>75</v>
      </c>
      <c r="AC2281" t="s">
        <v>76</v>
      </c>
      <c r="AD2281" t="s">
        <v>73</v>
      </c>
      <c r="AE2281" t="s">
        <v>77</v>
      </c>
      <c r="AF2281" t="s">
        <v>2242</v>
      </c>
      <c r="AG2281" t="s">
        <v>78</v>
      </c>
    </row>
    <row r="2282" spans="1:33" hidden="1" x14ac:dyDescent="0.25">
      <c r="A2282" t="str">
        <f>"1356555452"</f>
        <v>1356555452</v>
      </c>
      <c r="B2282" t="str">
        <f>"02904992"</f>
        <v>02904992</v>
      </c>
      <c r="C2282" t="s">
        <v>10025</v>
      </c>
      <c r="D2282" t="s">
        <v>10026</v>
      </c>
      <c r="E2282" t="s">
        <v>10027</v>
      </c>
      <c r="G2282" t="s">
        <v>2224</v>
      </c>
      <c r="H2282" t="s">
        <v>2225</v>
      </c>
      <c r="J2282" t="s">
        <v>2226</v>
      </c>
      <c r="L2282" t="s">
        <v>72</v>
      </c>
      <c r="M2282" t="s">
        <v>73</v>
      </c>
      <c r="R2282" t="s">
        <v>10028</v>
      </c>
      <c r="W2282" t="s">
        <v>10027</v>
      </c>
      <c r="X2282" t="s">
        <v>252</v>
      </c>
      <c r="Y2282" t="s">
        <v>91</v>
      </c>
      <c r="Z2282" t="s">
        <v>74</v>
      </c>
      <c r="AA2282" t="str">
        <f>"10002-7537"</f>
        <v>10002-7537</v>
      </c>
      <c r="AB2282" t="s">
        <v>75</v>
      </c>
      <c r="AC2282" t="s">
        <v>76</v>
      </c>
      <c r="AD2282" t="s">
        <v>73</v>
      </c>
      <c r="AE2282" t="s">
        <v>77</v>
      </c>
      <c r="AF2282" t="s">
        <v>2398</v>
      </c>
      <c r="AG2282" t="s">
        <v>78</v>
      </c>
    </row>
    <row r="2283" spans="1:33" hidden="1" x14ac:dyDescent="0.25">
      <c r="A2283" t="str">
        <f>"1750409918"</f>
        <v>1750409918</v>
      </c>
      <c r="B2283" t="str">
        <f>"03165524"</f>
        <v>03165524</v>
      </c>
      <c r="C2283" t="s">
        <v>10029</v>
      </c>
      <c r="D2283" t="s">
        <v>10030</v>
      </c>
      <c r="E2283" t="s">
        <v>10031</v>
      </c>
      <c r="G2283" t="s">
        <v>2224</v>
      </c>
      <c r="H2283" t="s">
        <v>2225</v>
      </c>
      <c r="J2283" t="s">
        <v>2226</v>
      </c>
      <c r="L2283" t="s">
        <v>72</v>
      </c>
      <c r="M2283" t="s">
        <v>73</v>
      </c>
      <c r="R2283" t="s">
        <v>10032</v>
      </c>
      <c r="W2283" t="s">
        <v>10031</v>
      </c>
      <c r="X2283" t="s">
        <v>2925</v>
      </c>
      <c r="Y2283" t="s">
        <v>91</v>
      </c>
      <c r="Z2283" t="s">
        <v>74</v>
      </c>
      <c r="AA2283" t="str">
        <f>"10032-3720"</f>
        <v>10032-3720</v>
      </c>
      <c r="AB2283" t="s">
        <v>113</v>
      </c>
      <c r="AC2283" t="s">
        <v>76</v>
      </c>
      <c r="AD2283" t="s">
        <v>73</v>
      </c>
      <c r="AE2283" t="s">
        <v>77</v>
      </c>
      <c r="AF2283" t="s">
        <v>2228</v>
      </c>
      <c r="AG2283" t="s">
        <v>78</v>
      </c>
    </row>
    <row r="2284" spans="1:33" hidden="1" x14ac:dyDescent="0.25">
      <c r="A2284" t="str">
        <f>"1093773194"</f>
        <v>1093773194</v>
      </c>
      <c r="B2284" t="str">
        <f>"03241398"</f>
        <v>03241398</v>
      </c>
      <c r="C2284" t="s">
        <v>10033</v>
      </c>
      <c r="D2284" t="s">
        <v>10034</v>
      </c>
      <c r="E2284" t="s">
        <v>10035</v>
      </c>
      <c r="G2284" t="s">
        <v>2224</v>
      </c>
      <c r="H2284" t="s">
        <v>2225</v>
      </c>
      <c r="J2284" t="s">
        <v>2226</v>
      </c>
      <c r="L2284" t="s">
        <v>80</v>
      </c>
      <c r="M2284" t="s">
        <v>73</v>
      </c>
      <c r="R2284" t="s">
        <v>10036</v>
      </c>
      <c r="W2284" t="s">
        <v>10035</v>
      </c>
      <c r="X2284" t="s">
        <v>193</v>
      </c>
      <c r="Y2284" t="s">
        <v>118</v>
      </c>
      <c r="Z2284" t="s">
        <v>74</v>
      </c>
      <c r="AA2284" t="str">
        <f>"10467-2401"</f>
        <v>10467-2401</v>
      </c>
      <c r="AB2284" t="s">
        <v>75</v>
      </c>
      <c r="AC2284" t="s">
        <v>76</v>
      </c>
      <c r="AD2284" t="s">
        <v>73</v>
      </c>
      <c r="AE2284" t="s">
        <v>77</v>
      </c>
      <c r="AF2284" t="s">
        <v>2228</v>
      </c>
      <c r="AG2284" t="s">
        <v>78</v>
      </c>
    </row>
    <row r="2285" spans="1:33" hidden="1" x14ac:dyDescent="0.25">
      <c r="A2285" t="str">
        <f>"1013025253"</f>
        <v>1013025253</v>
      </c>
      <c r="B2285" t="str">
        <f>"02800746"</f>
        <v>02800746</v>
      </c>
      <c r="C2285" t="s">
        <v>10037</v>
      </c>
      <c r="D2285" t="s">
        <v>10038</v>
      </c>
      <c r="E2285" t="s">
        <v>10039</v>
      </c>
      <c r="G2285" t="s">
        <v>2224</v>
      </c>
      <c r="H2285" t="s">
        <v>2225</v>
      </c>
      <c r="J2285" t="s">
        <v>2226</v>
      </c>
      <c r="L2285" t="s">
        <v>81</v>
      </c>
      <c r="M2285" t="s">
        <v>82</v>
      </c>
      <c r="R2285" t="s">
        <v>10040</v>
      </c>
      <c r="W2285" t="s">
        <v>10039</v>
      </c>
      <c r="X2285" t="s">
        <v>167</v>
      </c>
      <c r="Y2285" t="s">
        <v>91</v>
      </c>
      <c r="Z2285" t="s">
        <v>74</v>
      </c>
      <c r="AA2285" t="str">
        <f>"10032-3720"</f>
        <v>10032-3720</v>
      </c>
      <c r="AB2285" t="s">
        <v>75</v>
      </c>
      <c r="AC2285" t="s">
        <v>76</v>
      </c>
      <c r="AD2285" t="s">
        <v>73</v>
      </c>
      <c r="AE2285" t="s">
        <v>77</v>
      </c>
      <c r="AF2285" t="s">
        <v>2228</v>
      </c>
      <c r="AG2285" t="s">
        <v>78</v>
      </c>
    </row>
    <row r="2286" spans="1:33" hidden="1" x14ac:dyDescent="0.25">
      <c r="A2286" t="str">
        <f>"1013149723"</f>
        <v>1013149723</v>
      </c>
      <c r="B2286" t="str">
        <f>"03190223"</f>
        <v>03190223</v>
      </c>
      <c r="C2286" t="s">
        <v>10041</v>
      </c>
      <c r="D2286" t="s">
        <v>733</v>
      </c>
      <c r="E2286" t="s">
        <v>734</v>
      </c>
      <c r="G2286" t="s">
        <v>2224</v>
      </c>
      <c r="H2286" t="s">
        <v>2225</v>
      </c>
      <c r="J2286" t="s">
        <v>2226</v>
      </c>
      <c r="L2286" t="s">
        <v>81</v>
      </c>
      <c r="M2286" t="s">
        <v>82</v>
      </c>
      <c r="R2286" t="s">
        <v>734</v>
      </c>
      <c r="W2286" t="s">
        <v>734</v>
      </c>
      <c r="X2286" t="s">
        <v>217</v>
      </c>
      <c r="Y2286" t="s">
        <v>118</v>
      </c>
      <c r="Z2286" t="s">
        <v>74</v>
      </c>
      <c r="AA2286" t="str">
        <f>"10457-7606"</f>
        <v>10457-7606</v>
      </c>
      <c r="AB2286" t="s">
        <v>75</v>
      </c>
      <c r="AC2286" t="s">
        <v>76</v>
      </c>
      <c r="AD2286" t="s">
        <v>73</v>
      </c>
      <c r="AE2286" t="s">
        <v>77</v>
      </c>
      <c r="AF2286" t="s">
        <v>2254</v>
      </c>
      <c r="AG2286" t="s">
        <v>78</v>
      </c>
    </row>
    <row r="2287" spans="1:33" hidden="1" x14ac:dyDescent="0.25">
      <c r="A2287" t="str">
        <f>"1841355666"</f>
        <v>1841355666</v>
      </c>
      <c r="B2287" t="str">
        <f>"01811563"</f>
        <v>01811563</v>
      </c>
      <c r="C2287" t="s">
        <v>10042</v>
      </c>
      <c r="D2287" t="s">
        <v>10043</v>
      </c>
      <c r="E2287" t="s">
        <v>10044</v>
      </c>
      <c r="G2287" t="s">
        <v>2224</v>
      </c>
      <c r="H2287" t="s">
        <v>2225</v>
      </c>
      <c r="J2287" t="s">
        <v>2226</v>
      </c>
      <c r="L2287" t="s">
        <v>72</v>
      </c>
      <c r="M2287" t="s">
        <v>73</v>
      </c>
      <c r="R2287" t="s">
        <v>10045</v>
      </c>
      <c r="W2287" t="s">
        <v>10044</v>
      </c>
      <c r="X2287" t="s">
        <v>410</v>
      </c>
      <c r="Y2287" t="s">
        <v>91</v>
      </c>
      <c r="Z2287" t="s">
        <v>74</v>
      </c>
      <c r="AA2287" t="str">
        <f>"10032-1559"</f>
        <v>10032-1559</v>
      </c>
      <c r="AB2287" t="s">
        <v>113</v>
      </c>
      <c r="AC2287" t="s">
        <v>76</v>
      </c>
      <c r="AD2287" t="s">
        <v>73</v>
      </c>
      <c r="AE2287" t="s">
        <v>77</v>
      </c>
      <c r="AF2287" t="s">
        <v>2228</v>
      </c>
      <c r="AG2287" t="s">
        <v>78</v>
      </c>
    </row>
    <row r="2288" spans="1:33" hidden="1" x14ac:dyDescent="0.25">
      <c r="A2288" t="str">
        <f>"1770788150"</f>
        <v>1770788150</v>
      </c>
      <c r="B2288" t="str">
        <f>"02932832"</f>
        <v>02932832</v>
      </c>
      <c r="C2288" t="s">
        <v>10046</v>
      </c>
      <c r="D2288" t="s">
        <v>10047</v>
      </c>
      <c r="E2288" t="s">
        <v>10048</v>
      </c>
      <c r="G2288" t="s">
        <v>2224</v>
      </c>
      <c r="H2288" t="s">
        <v>2225</v>
      </c>
      <c r="J2288" t="s">
        <v>2226</v>
      </c>
      <c r="L2288" t="s">
        <v>80</v>
      </c>
      <c r="M2288" t="s">
        <v>73</v>
      </c>
      <c r="R2288" t="s">
        <v>1501</v>
      </c>
      <c r="W2288" t="s">
        <v>10048</v>
      </c>
      <c r="X2288" t="s">
        <v>167</v>
      </c>
      <c r="Y2288" t="s">
        <v>91</v>
      </c>
      <c r="Z2288" t="s">
        <v>74</v>
      </c>
      <c r="AA2288" t="str">
        <f>"10032-3720"</f>
        <v>10032-3720</v>
      </c>
      <c r="AB2288" t="s">
        <v>75</v>
      </c>
      <c r="AC2288" t="s">
        <v>76</v>
      </c>
      <c r="AD2288" t="s">
        <v>73</v>
      </c>
      <c r="AE2288" t="s">
        <v>77</v>
      </c>
      <c r="AF2288" t="s">
        <v>2228</v>
      </c>
      <c r="AG2288" t="s">
        <v>78</v>
      </c>
    </row>
    <row r="2289" spans="1:33" hidden="1" x14ac:dyDescent="0.25">
      <c r="A2289" t="str">
        <f>"1245673912"</f>
        <v>1245673912</v>
      </c>
      <c r="C2289" t="s">
        <v>10049</v>
      </c>
      <c r="G2289" t="s">
        <v>2224</v>
      </c>
      <c r="H2289" t="s">
        <v>2225</v>
      </c>
      <c r="J2289" t="s">
        <v>2226</v>
      </c>
      <c r="K2289" t="s">
        <v>93</v>
      </c>
      <c r="L2289" t="s">
        <v>96</v>
      </c>
      <c r="M2289" t="s">
        <v>73</v>
      </c>
      <c r="R2289" t="s">
        <v>10050</v>
      </c>
      <c r="S2289" t="s">
        <v>10051</v>
      </c>
      <c r="T2289" t="s">
        <v>10052</v>
      </c>
      <c r="U2289" t="s">
        <v>536</v>
      </c>
      <c r="V2289" t="str">
        <f>"068774819"</f>
        <v>068774819</v>
      </c>
      <c r="AC2289" t="s">
        <v>76</v>
      </c>
      <c r="AD2289" t="s">
        <v>73</v>
      </c>
      <c r="AE2289" t="s">
        <v>97</v>
      </c>
      <c r="AF2289" t="s">
        <v>2242</v>
      </c>
      <c r="AG2289" t="s">
        <v>78</v>
      </c>
    </row>
    <row r="2290" spans="1:33" hidden="1" x14ac:dyDescent="0.25">
      <c r="A2290" t="str">
        <f>"1205193497"</f>
        <v>1205193497</v>
      </c>
      <c r="B2290" t="str">
        <f>"04209789"</f>
        <v>04209789</v>
      </c>
      <c r="C2290" t="s">
        <v>10053</v>
      </c>
      <c r="D2290" t="s">
        <v>10054</v>
      </c>
      <c r="E2290" t="s">
        <v>10055</v>
      </c>
      <c r="G2290" t="s">
        <v>2224</v>
      </c>
      <c r="H2290" t="s">
        <v>2225</v>
      </c>
      <c r="J2290" t="s">
        <v>2226</v>
      </c>
      <c r="L2290" t="s">
        <v>72</v>
      </c>
      <c r="M2290" t="s">
        <v>73</v>
      </c>
      <c r="R2290" t="s">
        <v>10056</v>
      </c>
      <c r="W2290" t="s">
        <v>10055</v>
      </c>
      <c r="X2290" t="s">
        <v>272</v>
      </c>
      <c r="Y2290" t="s">
        <v>91</v>
      </c>
      <c r="Z2290" t="s">
        <v>74</v>
      </c>
      <c r="AA2290" t="str">
        <f>"10038-2602"</f>
        <v>10038-2602</v>
      </c>
      <c r="AB2290" t="s">
        <v>75</v>
      </c>
      <c r="AC2290" t="s">
        <v>76</v>
      </c>
      <c r="AD2290" t="s">
        <v>73</v>
      </c>
      <c r="AE2290" t="s">
        <v>77</v>
      </c>
      <c r="AF2290" t="s">
        <v>2242</v>
      </c>
      <c r="AG2290" t="s">
        <v>78</v>
      </c>
    </row>
    <row r="2291" spans="1:33" hidden="1" x14ac:dyDescent="0.25">
      <c r="A2291" t="str">
        <f>"1740625052"</f>
        <v>1740625052</v>
      </c>
      <c r="C2291" t="s">
        <v>10057</v>
      </c>
      <c r="G2291" t="s">
        <v>2224</v>
      </c>
      <c r="H2291" t="s">
        <v>2225</v>
      </c>
      <c r="J2291" t="s">
        <v>2226</v>
      </c>
      <c r="K2291" t="s">
        <v>93</v>
      </c>
      <c r="L2291" t="s">
        <v>96</v>
      </c>
      <c r="M2291" t="s">
        <v>73</v>
      </c>
      <c r="R2291" t="s">
        <v>10058</v>
      </c>
      <c r="S2291" t="s">
        <v>10059</v>
      </c>
      <c r="T2291" t="s">
        <v>520</v>
      </c>
      <c r="U2291" t="s">
        <v>209</v>
      </c>
      <c r="V2291" t="str">
        <f>"606371447"</f>
        <v>606371447</v>
      </c>
      <c r="AC2291" t="s">
        <v>76</v>
      </c>
      <c r="AD2291" t="s">
        <v>73</v>
      </c>
      <c r="AE2291" t="s">
        <v>97</v>
      </c>
      <c r="AF2291" t="s">
        <v>2242</v>
      </c>
      <c r="AG2291" t="s">
        <v>78</v>
      </c>
    </row>
    <row r="2292" spans="1:33" hidden="1" x14ac:dyDescent="0.25">
      <c r="A2292" t="str">
        <f>"1699041764"</f>
        <v>1699041764</v>
      </c>
      <c r="C2292" t="s">
        <v>10060</v>
      </c>
      <c r="G2292" t="s">
        <v>2224</v>
      </c>
      <c r="H2292" t="s">
        <v>2225</v>
      </c>
      <c r="J2292" t="s">
        <v>2226</v>
      </c>
      <c r="K2292" t="s">
        <v>93</v>
      </c>
      <c r="L2292" t="s">
        <v>96</v>
      </c>
      <c r="M2292" t="s">
        <v>73</v>
      </c>
      <c r="R2292" t="s">
        <v>10061</v>
      </c>
      <c r="S2292" t="s">
        <v>170</v>
      </c>
      <c r="T2292" t="s">
        <v>91</v>
      </c>
      <c r="U2292" t="s">
        <v>74</v>
      </c>
      <c r="V2292" t="str">
        <f>"100654870"</f>
        <v>100654870</v>
      </c>
      <c r="AC2292" t="s">
        <v>76</v>
      </c>
      <c r="AD2292" t="s">
        <v>73</v>
      </c>
      <c r="AE2292" t="s">
        <v>97</v>
      </c>
      <c r="AF2292" t="s">
        <v>2234</v>
      </c>
      <c r="AG2292" t="s">
        <v>78</v>
      </c>
    </row>
    <row r="2293" spans="1:33" hidden="1" x14ac:dyDescent="0.25">
      <c r="A2293" t="str">
        <f>"1174966816"</f>
        <v>1174966816</v>
      </c>
      <c r="C2293" t="s">
        <v>10062</v>
      </c>
      <c r="G2293" t="s">
        <v>2224</v>
      </c>
      <c r="H2293" t="s">
        <v>2225</v>
      </c>
      <c r="J2293" t="s">
        <v>2226</v>
      </c>
      <c r="K2293" t="s">
        <v>93</v>
      </c>
      <c r="L2293" t="s">
        <v>96</v>
      </c>
      <c r="M2293" t="s">
        <v>73</v>
      </c>
      <c r="R2293" t="s">
        <v>10063</v>
      </c>
      <c r="S2293" t="s">
        <v>10064</v>
      </c>
      <c r="T2293" t="s">
        <v>91</v>
      </c>
      <c r="U2293" t="s">
        <v>74</v>
      </c>
      <c r="V2293" t="str">
        <f>"100654870"</f>
        <v>100654870</v>
      </c>
      <c r="AC2293" t="s">
        <v>76</v>
      </c>
      <c r="AD2293" t="s">
        <v>73</v>
      </c>
      <c r="AE2293" t="s">
        <v>97</v>
      </c>
      <c r="AF2293" t="s">
        <v>2242</v>
      </c>
      <c r="AG2293" t="s">
        <v>78</v>
      </c>
    </row>
    <row r="2294" spans="1:33" hidden="1" x14ac:dyDescent="0.25">
      <c r="A2294" t="str">
        <f>"1073870655"</f>
        <v>1073870655</v>
      </c>
      <c r="C2294" t="s">
        <v>10065</v>
      </c>
      <c r="G2294" t="s">
        <v>2224</v>
      </c>
      <c r="H2294" t="s">
        <v>2225</v>
      </c>
      <c r="J2294" t="s">
        <v>2226</v>
      </c>
      <c r="K2294" t="s">
        <v>93</v>
      </c>
      <c r="L2294" t="s">
        <v>96</v>
      </c>
      <c r="M2294" t="s">
        <v>73</v>
      </c>
      <c r="R2294" t="s">
        <v>10066</v>
      </c>
      <c r="S2294" t="s">
        <v>170</v>
      </c>
      <c r="T2294" t="s">
        <v>91</v>
      </c>
      <c r="U2294" t="s">
        <v>74</v>
      </c>
      <c r="V2294" t="str">
        <f>"100654870"</f>
        <v>100654870</v>
      </c>
      <c r="AC2294" t="s">
        <v>76</v>
      </c>
      <c r="AD2294" t="s">
        <v>73</v>
      </c>
      <c r="AE2294" t="s">
        <v>97</v>
      </c>
      <c r="AF2294" t="s">
        <v>2242</v>
      </c>
      <c r="AG2294" t="s">
        <v>78</v>
      </c>
    </row>
    <row r="2295" spans="1:33" hidden="1" x14ac:dyDescent="0.25">
      <c r="A2295" t="str">
        <f>"1790027878"</f>
        <v>1790027878</v>
      </c>
      <c r="C2295" t="s">
        <v>10067</v>
      </c>
      <c r="G2295" t="s">
        <v>2224</v>
      </c>
      <c r="H2295" t="s">
        <v>2225</v>
      </c>
      <c r="J2295" t="s">
        <v>2226</v>
      </c>
      <c r="K2295" t="s">
        <v>93</v>
      </c>
      <c r="L2295" t="s">
        <v>96</v>
      </c>
      <c r="M2295" t="s">
        <v>73</v>
      </c>
      <c r="R2295" t="s">
        <v>10068</v>
      </c>
      <c r="S2295" t="s">
        <v>10069</v>
      </c>
      <c r="T2295" t="s">
        <v>91</v>
      </c>
      <c r="U2295" t="s">
        <v>74</v>
      </c>
      <c r="V2295" t="str">
        <f>"100654870"</f>
        <v>100654870</v>
      </c>
      <c r="AC2295" t="s">
        <v>76</v>
      </c>
      <c r="AD2295" t="s">
        <v>73</v>
      </c>
      <c r="AE2295" t="s">
        <v>97</v>
      </c>
      <c r="AF2295" t="s">
        <v>2242</v>
      </c>
      <c r="AG2295" t="s">
        <v>78</v>
      </c>
    </row>
    <row r="2296" spans="1:33" hidden="1" x14ac:dyDescent="0.25">
      <c r="A2296" t="str">
        <f>"1932544806"</f>
        <v>1932544806</v>
      </c>
      <c r="C2296" t="s">
        <v>10070</v>
      </c>
      <c r="G2296" t="s">
        <v>2224</v>
      </c>
      <c r="H2296" t="s">
        <v>2225</v>
      </c>
      <c r="J2296" t="s">
        <v>2226</v>
      </c>
      <c r="K2296" t="s">
        <v>93</v>
      </c>
      <c r="L2296" t="s">
        <v>96</v>
      </c>
      <c r="M2296" t="s">
        <v>73</v>
      </c>
      <c r="R2296" t="s">
        <v>10071</v>
      </c>
      <c r="S2296" t="s">
        <v>10072</v>
      </c>
      <c r="T2296" t="s">
        <v>91</v>
      </c>
      <c r="U2296" t="s">
        <v>74</v>
      </c>
      <c r="V2296" t="str">
        <f>"100215260"</f>
        <v>100215260</v>
      </c>
      <c r="AC2296" t="s">
        <v>76</v>
      </c>
      <c r="AD2296" t="s">
        <v>73</v>
      </c>
      <c r="AE2296" t="s">
        <v>97</v>
      </c>
      <c r="AF2296" t="s">
        <v>2242</v>
      </c>
      <c r="AG2296" t="s">
        <v>78</v>
      </c>
    </row>
    <row r="2297" spans="1:33" hidden="1" x14ac:dyDescent="0.25">
      <c r="A2297" t="str">
        <f>"1164798815"</f>
        <v>1164798815</v>
      </c>
      <c r="C2297" t="s">
        <v>10073</v>
      </c>
      <c r="G2297" t="s">
        <v>2224</v>
      </c>
      <c r="H2297" t="s">
        <v>2225</v>
      </c>
      <c r="J2297" t="s">
        <v>2226</v>
      </c>
      <c r="K2297" t="s">
        <v>93</v>
      </c>
      <c r="L2297" t="s">
        <v>96</v>
      </c>
      <c r="M2297" t="s">
        <v>73</v>
      </c>
      <c r="R2297" t="s">
        <v>10074</v>
      </c>
      <c r="S2297" t="s">
        <v>10075</v>
      </c>
      <c r="T2297" t="s">
        <v>118</v>
      </c>
      <c r="U2297" t="s">
        <v>74</v>
      </c>
      <c r="V2297" t="str">
        <f>"104612105"</f>
        <v>104612105</v>
      </c>
      <c r="AC2297" t="s">
        <v>76</v>
      </c>
      <c r="AD2297" t="s">
        <v>73</v>
      </c>
      <c r="AE2297" t="s">
        <v>97</v>
      </c>
      <c r="AF2297" t="s">
        <v>2234</v>
      </c>
      <c r="AG2297" t="s">
        <v>78</v>
      </c>
    </row>
    <row r="2298" spans="1:33" hidden="1" x14ac:dyDescent="0.25">
      <c r="C2298" t="s">
        <v>10076</v>
      </c>
      <c r="G2298" t="s">
        <v>2224</v>
      </c>
      <c r="H2298" t="s">
        <v>2225</v>
      </c>
      <c r="J2298" t="s">
        <v>2226</v>
      </c>
      <c r="K2298" t="s">
        <v>93</v>
      </c>
      <c r="L2298" t="s">
        <v>94</v>
      </c>
      <c r="M2298" t="s">
        <v>73</v>
      </c>
      <c r="N2298" t="s">
        <v>7187</v>
      </c>
      <c r="O2298" t="s">
        <v>475</v>
      </c>
      <c r="P2298" t="s">
        <v>74</v>
      </c>
      <c r="Q2298" t="str">
        <f>"10021"</f>
        <v>10021</v>
      </c>
      <c r="AC2298" t="s">
        <v>76</v>
      </c>
      <c r="AD2298" t="s">
        <v>73</v>
      </c>
      <c r="AE2298" t="s">
        <v>95</v>
      </c>
      <c r="AF2298" t="s">
        <v>2234</v>
      </c>
      <c r="AG2298" t="s">
        <v>78</v>
      </c>
    </row>
    <row r="2299" spans="1:33" hidden="1" x14ac:dyDescent="0.25">
      <c r="A2299" t="str">
        <f>"1023376944"</f>
        <v>1023376944</v>
      </c>
      <c r="C2299" t="s">
        <v>10077</v>
      </c>
      <c r="G2299" t="s">
        <v>2224</v>
      </c>
      <c r="H2299" t="s">
        <v>2225</v>
      </c>
      <c r="J2299" t="s">
        <v>2226</v>
      </c>
      <c r="K2299" t="s">
        <v>93</v>
      </c>
      <c r="L2299" t="s">
        <v>96</v>
      </c>
      <c r="M2299" t="s">
        <v>73</v>
      </c>
      <c r="R2299" t="s">
        <v>10078</v>
      </c>
      <c r="S2299" t="s">
        <v>170</v>
      </c>
      <c r="T2299" t="s">
        <v>91</v>
      </c>
      <c r="U2299" t="s">
        <v>74</v>
      </c>
      <c r="V2299" t="str">
        <f>"100654870"</f>
        <v>100654870</v>
      </c>
      <c r="AC2299" t="s">
        <v>76</v>
      </c>
      <c r="AD2299" t="s">
        <v>73</v>
      </c>
      <c r="AE2299" t="s">
        <v>97</v>
      </c>
      <c r="AF2299" t="s">
        <v>2242</v>
      </c>
      <c r="AG2299" t="s">
        <v>78</v>
      </c>
    </row>
    <row r="2300" spans="1:33" hidden="1" x14ac:dyDescent="0.25">
      <c r="A2300" t="str">
        <f>"1659637841"</f>
        <v>1659637841</v>
      </c>
      <c r="C2300" t="s">
        <v>10079</v>
      </c>
      <c r="G2300" t="s">
        <v>2224</v>
      </c>
      <c r="H2300" t="s">
        <v>2225</v>
      </c>
      <c r="J2300" t="s">
        <v>2226</v>
      </c>
      <c r="K2300" t="s">
        <v>93</v>
      </c>
      <c r="L2300" t="s">
        <v>96</v>
      </c>
      <c r="M2300" t="s">
        <v>73</v>
      </c>
      <c r="R2300" t="s">
        <v>10080</v>
      </c>
      <c r="S2300" t="s">
        <v>10081</v>
      </c>
      <c r="T2300" t="s">
        <v>91</v>
      </c>
      <c r="U2300" t="s">
        <v>74</v>
      </c>
      <c r="V2300" t="str">
        <f>"100654870"</f>
        <v>100654870</v>
      </c>
      <c r="AC2300" t="s">
        <v>76</v>
      </c>
      <c r="AD2300" t="s">
        <v>73</v>
      </c>
      <c r="AE2300" t="s">
        <v>97</v>
      </c>
      <c r="AF2300" t="s">
        <v>2234</v>
      </c>
      <c r="AG2300" t="s">
        <v>78</v>
      </c>
    </row>
    <row r="2301" spans="1:33" hidden="1" x14ac:dyDescent="0.25">
      <c r="A2301" t="str">
        <f>"1770840159"</f>
        <v>1770840159</v>
      </c>
      <c r="C2301" t="s">
        <v>10082</v>
      </c>
      <c r="G2301" t="s">
        <v>2224</v>
      </c>
      <c r="H2301" t="s">
        <v>2225</v>
      </c>
      <c r="J2301" t="s">
        <v>2226</v>
      </c>
      <c r="K2301" t="s">
        <v>93</v>
      </c>
      <c r="L2301" t="s">
        <v>96</v>
      </c>
      <c r="M2301" t="s">
        <v>73</v>
      </c>
      <c r="R2301" t="s">
        <v>10083</v>
      </c>
      <c r="S2301" t="s">
        <v>170</v>
      </c>
      <c r="T2301" t="s">
        <v>91</v>
      </c>
      <c r="U2301" t="s">
        <v>74</v>
      </c>
      <c r="V2301" t="str">
        <f>"100654870"</f>
        <v>100654870</v>
      </c>
      <c r="AC2301" t="s">
        <v>76</v>
      </c>
      <c r="AD2301" t="s">
        <v>73</v>
      </c>
      <c r="AE2301" t="s">
        <v>97</v>
      </c>
      <c r="AF2301" t="s">
        <v>2242</v>
      </c>
      <c r="AG2301" t="s">
        <v>78</v>
      </c>
    </row>
    <row r="2302" spans="1:33" hidden="1" x14ac:dyDescent="0.25">
      <c r="A2302" t="str">
        <f>"1144596891"</f>
        <v>1144596891</v>
      </c>
      <c r="C2302" t="s">
        <v>10084</v>
      </c>
      <c r="G2302" t="s">
        <v>2224</v>
      </c>
      <c r="H2302" t="s">
        <v>2225</v>
      </c>
      <c r="J2302" t="s">
        <v>2226</v>
      </c>
      <c r="K2302" t="s">
        <v>93</v>
      </c>
      <c r="L2302" t="s">
        <v>96</v>
      </c>
      <c r="M2302" t="s">
        <v>73</v>
      </c>
      <c r="R2302" t="s">
        <v>10085</v>
      </c>
      <c r="S2302" t="s">
        <v>10086</v>
      </c>
      <c r="T2302" t="s">
        <v>2009</v>
      </c>
      <c r="U2302" t="s">
        <v>599</v>
      </c>
      <c r="V2302" t="str">
        <f>"208523803"</f>
        <v>208523803</v>
      </c>
      <c r="AC2302" t="s">
        <v>76</v>
      </c>
      <c r="AD2302" t="s">
        <v>73</v>
      </c>
      <c r="AE2302" t="s">
        <v>97</v>
      </c>
      <c r="AF2302" t="s">
        <v>2234</v>
      </c>
      <c r="AG2302" t="s">
        <v>78</v>
      </c>
    </row>
    <row r="2303" spans="1:33" hidden="1" x14ac:dyDescent="0.25">
      <c r="A2303" t="str">
        <f>"1629411418"</f>
        <v>1629411418</v>
      </c>
      <c r="C2303" t="s">
        <v>10087</v>
      </c>
      <c r="G2303" t="s">
        <v>2224</v>
      </c>
      <c r="H2303" t="s">
        <v>2225</v>
      </c>
      <c r="J2303" t="s">
        <v>2226</v>
      </c>
      <c r="K2303" t="s">
        <v>93</v>
      </c>
      <c r="L2303" t="s">
        <v>96</v>
      </c>
      <c r="M2303" t="s">
        <v>73</v>
      </c>
      <c r="R2303" t="s">
        <v>10088</v>
      </c>
      <c r="S2303" t="s">
        <v>10089</v>
      </c>
      <c r="T2303" t="s">
        <v>91</v>
      </c>
      <c r="U2303" t="s">
        <v>74</v>
      </c>
      <c r="V2303" t="str">
        <f>"100654870"</f>
        <v>100654870</v>
      </c>
      <c r="AC2303" t="s">
        <v>76</v>
      </c>
      <c r="AD2303" t="s">
        <v>73</v>
      </c>
      <c r="AE2303" t="s">
        <v>97</v>
      </c>
      <c r="AF2303" t="s">
        <v>2242</v>
      </c>
      <c r="AG2303" t="s">
        <v>78</v>
      </c>
    </row>
    <row r="2304" spans="1:33" hidden="1" x14ac:dyDescent="0.25">
      <c r="A2304" t="str">
        <f>"1427241850"</f>
        <v>1427241850</v>
      </c>
      <c r="B2304" t="str">
        <f>"03365895"</f>
        <v>03365895</v>
      </c>
      <c r="C2304" t="s">
        <v>10090</v>
      </c>
      <c r="D2304" t="s">
        <v>10091</v>
      </c>
      <c r="E2304" t="s">
        <v>10092</v>
      </c>
      <c r="G2304" t="s">
        <v>2224</v>
      </c>
      <c r="H2304" t="s">
        <v>2225</v>
      </c>
      <c r="J2304" t="s">
        <v>2226</v>
      </c>
      <c r="L2304" t="s">
        <v>80</v>
      </c>
      <c r="M2304" t="s">
        <v>73</v>
      </c>
      <c r="R2304" t="s">
        <v>10093</v>
      </c>
      <c r="W2304" t="s">
        <v>10094</v>
      </c>
      <c r="X2304" t="s">
        <v>10095</v>
      </c>
      <c r="Y2304" t="s">
        <v>91</v>
      </c>
      <c r="Z2304" t="s">
        <v>74</v>
      </c>
      <c r="AA2304" t="str">
        <f>"10065-4870"</f>
        <v>10065-4870</v>
      </c>
      <c r="AB2304" t="s">
        <v>75</v>
      </c>
      <c r="AC2304" t="s">
        <v>76</v>
      </c>
      <c r="AD2304" t="s">
        <v>73</v>
      </c>
      <c r="AE2304" t="s">
        <v>77</v>
      </c>
      <c r="AF2304" t="s">
        <v>2398</v>
      </c>
      <c r="AG2304" t="s">
        <v>78</v>
      </c>
    </row>
    <row r="2305" spans="1:33" hidden="1" x14ac:dyDescent="0.25">
      <c r="A2305" t="str">
        <f>"1215034673"</f>
        <v>1215034673</v>
      </c>
      <c r="B2305" t="str">
        <f>"02702298"</f>
        <v>02702298</v>
      </c>
      <c r="C2305" t="s">
        <v>10096</v>
      </c>
      <c r="D2305" t="s">
        <v>10097</v>
      </c>
      <c r="E2305" t="s">
        <v>10098</v>
      </c>
      <c r="G2305" t="s">
        <v>2224</v>
      </c>
      <c r="H2305" t="s">
        <v>2225</v>
      </c>
      <c r="J2305" t="s">
        <v>2226</v>
      </c>
      <c r="L2305" t="s">
        <v>72</v>
      </c>
      <c r="M2305" t="s">
        <v>73</v>
      </c>
      <c r="R2305" t="s">
        <v>2083</v>
      </c>
      <c r="W2305" t="s">
        <v>10098</v>
      </c>
      <c r="X2305" t="s">
        <v>496</v>
      </c>
      <c r="Y2305" t="s">
        <v>91</v>
      </c>
      <c r="Z2305" t="s">
        <v>74</v>
      </c>
      <c r="AA2305" t="str">
        <f>"10032-3726"</f>
        <v>10032-3726</v>
      </c>
      <c r="AB2305" t="s">
        <v>75</v>
      </c>
      <c r="AC2305" t="s">
        <v>76</v>
      </c>
      <c r="AD2305" t="s">
        <v>73</v>
      </c>
      <c r="AE2305" t="s">
        <v>77</v>
      </c>
      <c r="AF2305" t="s">
        <v>2254</v>
      </c>
      <c r="AG2305" t="s">
        <v>78</v>
      </c>
    </row>
    <row r="2306" spans="1:33" hidden="1" x14ac:dyDescent="0.25">
      <c r="A2306" t="str">
        <f>"1750660098"</f>
        <v>1750660098</v>
      </c>
      <c r="B2306" t="str">
        <f>"03880908"</f>
        <v>03880908</v>
      </c>
      <c r="C2306" t="s">
        <v>10099</v>
      </c>
      <c r="D2306" t="s">
        <v>10100</v>
      </c>
      <c r="E2306" t="s">
        <v>10101</v>
      </c>
      <c r="G2306" t="s">
        <v>2224</v>
      </c>
      <c r="H2306" t="s">
        <v>2225</v>
      </c>
      <c r="J2306" t="s">
        <v>2226</v>
      </c>
      <c r="L2306" t="s">
        <v>80</v>
      </c>
      <c r="M2306" t="s">
        <v>73</v>
      </c>
      <c r="R2306" t="s">
        <v>10102</v>
      </c>
      <c r="W2306" t="s">
        <v>10101</v>
      </c>
      <c r="X2306" t="s">
        <v>236</v>
      </c>
      <c r="Y2306" t="s">
        <v>91</v>
      </c>
      <c r="Z2306" t="s">
        <v>74</v>
      </c>
      <c r="AA2306" t="str">
        <f>"10034-1159"</f>
        <v>10034-1159</v>
      </c>
      <c r="AB2306" t="s">
        <v>75</v>
      </c>
      <c r="AC2306" t="s">
        <v>76</v>
      </c>
      <c r="AD2306" t="s">
        <v>73</v>
      </c>
      <c r="AE2306" t="s">
        <v>77</v>
      </c>
      <c r="AF2306" t="s">
        <v>2228</v>
      </c>
      <c r="AG2306" t="s">
        <v>78</v>
      </c>
    </row>
    <row r="2307" spans="1:33" hidden="1" x14ac:dyDescent="0.25">
      <c r="A2307" t="str">
        <f>"1134209695"</f>
        <v>1134209695</v>
      </c>
      <c r="B2307" t="str">
        <f>"02795908"</f>
        <v>02795908</v>
      </c>
      <c r="C2307" t="s">
        <v>10103</v>
      </c>
      <c r="D2307" t="s">
        <v>10104</v>
      </c>
      <c r="E2307" t="s">
        <v>10105</v>
      </c>
      <c r="G2307" t="s">
        <v>2224</v>
      </c>
      <c r="H2307" t="s">
        <v>2225</v>
      </c>
      <c r="J2307" t="s">
        <v>2226</v>
      </c>
      <c r="L2307" t="s">
        <v>80</v>
      </c>
      <c r="M2307" t="s">
        <v>73</v>
      </c>
      <c r="R2307" t="s">
        <v>10106</v>
      </c>
      <c r="W2307" t="s">
        <v>10105</v>
      </c>
      <c r="X2307" t="s">
        <v>117</v>
      </c>
      <c r="Y2307" t="s">
        <v>118</v>
      </c>
      <c r="Z2307" t="s">
        <v>74</v>
      </c>
      <c r="AA2307" t="str">
        <f>"10461-1138"</f>
        <v>10461-1138</v>
      </c>
      <c r="AB2307" t="s">
        <v>75</v>
      </c>
      <c r="AC2307" t="s">
        <v>76</v>
      </c>
      <c r="AD2307" t="s">
        <v>73</v>
      </c>
      <c r="AE2307" t="s">
        <v>77</v>
      </c>
      <c r="AF2307" t="s">
        <v>2398</v>
      </c>
      <c r="AG2307" t="s">
        <v>78</v>
      </c>
    </row>
    <row r="2308" spans="1:33" hidden="1" x14ac:dyDescent="0.25">
      <c r="A2308" t="str">
        <f>"1003089665"</f>
        <v>1003089665</v>
      </c>
      <c r="B2308" t="str">
        <f>"03624137"</f>
        <v>03624137</v>
      </c>
      <c r="C2308" t="s">
        <v>10107</v>
      </c>
      <c r="D2308" t="s">
        <v>10108</v>
      </c>
      <c r="E2308" t="s">
        <v>10109</v>
      </c>
      <c r="G2308" t="s">
        <v>2224</v>
      </c>
      <c r="H2308" t="s">
        <v>2225</v>
      </c>
      <c r="J2308" t="s">
        <v>2226</v>
      </c>
      <c r="L2308" t="s">
        <v>72</v>
      </c>
      <c r="M2308" t="s">
        <v>73</v>
      </c>
      <c r="R2308" t="s">
        <v>10110</v>
      </c>
      <c r="W2308" t="s">
        <v>10109</v>
      </c>
      <c r="X2308" t="s">
        <v>10111</v>
      </c>
      <c r="Y2308" t="s">
        <v>91</v>
      </c>
      <c r="Z2308" t="s">
        <v>74</v>
      </c>
      <c r="AA2308" t="str">
        <f>"10032-3726"</f>
        <v>10032-3726</v>
      </c>
      <c r="AB2308" t="s">
        <v>75</v>
      </c>
      <c r="AC2308" t="s">
        <v>76</v>
      </c>
      <c r="AD2308" t="s">
        <v>73</v>
      </c>
      <c r="AE2308" t="s">
        <v>77</v>
      </c>
      <c r="AF2308" t="s">
        <v>2254</v>
      </c>
      <c r="AG2308" t="s">
        <v>78</v>
      </c>
    </row>
    <row r="2309" spans="1:33" hidden="1" x14ac:dyDescent="0.25">
      <c r="A2309" t="str">
        <f>"1952307266"</f>
        <v>1952307266</v>
      </c>
      <c r="B2309" t="str">
        <f>"01959291"</f>
        <v>01959291</v>
      </c>
      <c r="C2309" t="s">
        <v>10112</v>
      </c>
      <c r="D2309" t="s">
        <v>10113</v>
      </c>
      <c r="E2309" t="s">
        <v>10114</v>
      </c>
      <c r="G2309" t="s">
        <v>2224</v>
      </c>
      <c r="H2309" t="s">
        <v>2225</v>
      </c>
      <c r="J2309" t="s">
        <v>2226</v>
      </c>
      <c r="L2309" t="s">
        <v>80</v>
      </c>
      <c r="M2309" t="s">
        <v>73</v>
      </c>
      <c r="R2309" t="s">
        <v>10115</v>
      </c>
      <c r="W2309" t="s">
        <v>10114</v>
      </c>
      <c r="X2309" t="s">
        <v>10116</v>
      </c>
      <c r="Y2309" t="s">
        <v>91</v>
      </c>
      <c r="Z2309" t="s">
        <v>74</v>
      </c>
      <c r="AA2309" t="str">
        <f>"10003-3314"</f>
        <v>10003-3314</v>
      </c>
      <c r="AB2309" t="s">
        <v>75</v>
      </c>
      <c r="AC2309" t="s">
        <v>76</v>
      </c>
      <c r="AD2309" t="s">
        <v>73</v>
      </c>
      <c r="AE2309" t="s">
        <v>77</v>
      </c>
      <c r="AF2309" t="s">
        <v>2398</v>
      </c>
      <c r="AG2309" t="s">
        <v>78</v>
      </c>
    </row>
    <row r="2310" spans="1:33" hidden="1" x14ac:dyDescent="0.25">
      <c r="A2310" t="str">
        <f>"1619287570"</f>
        <v>1619287570</v>
      </c>
      <c r="B2310" t="str">
        <f>"03624802"</f>
        <v>03624802</v>
      </c>
      <c r="C2310" t="s">
        <v>10117</v>
      </c>
      <c r="D2310" t="s">
        <v>10118</v>
      </c>
      <c r="E2310" t="s">
        <v>10119</v>
      </c>
      <c r="G2310" t="s">
        <v>2224</v>
      </c>
      <c r="H2310" t="s">
        <v>2225</v>
      </c>
      <c r="J2310" t="s">
        <v>2226</v>
      </c>
      <c r="L2310" t="s">
        <v>72</v>
      </c>
      <c r="M2310" t="s">
        <v>73</v>
      </c>
      <c r="R2310" t="s">
        <v>10119</v>
      </c>
      <c r="W2310" t="s">
        <v>10119</v>
      </c>
      <c r="X2310" t="s">
        <v>236</v>
      </c>
      <c r="Y2310" t="s">
        <v>91</v>
      </c>
      <c r="Z2310" t="s">
        <v>74</v>
      </c>
      <c r="AA2310" t="str">
        <f>"10034-1159"</f>
        <v>10034-1159</v>
      </c>
      <c r="AB2310" t="s">
        <v>75</v>
      </c>
      <c r="AC2310" t="s">
        <v>76</v>
      </c>
      <c r="AD2310" t="s">
        <v>73</v>
      </c>
      <c r="AE2310" t="s">
        <v>77</v>
      </c>
      <c r="AF2310" t="s">
        <v>2234</v>
      </c>
      <c r="AG2310" t="s">
        <v>78</v>
      </c>
    </row>
    <row r="2311" spans="1:33" hidden="1" x14ac:dyDescent="0.25">
      <c r="A2311" t="str">
        <f>"1821393174"</f>
        <v>1821393174</v>
      </c>
      <c r="B2311" t="str">
        <f>"03747055"</f>
        <v>03747055</v>
      </c>
      <c r="C2311" t="s">
        <v>10120</v>
      </c>
      <c r="D2311" t="s">
        <v>10121</v>
      </c>
      <c r="E2311" t="s">
        <v>10122</v>
      </c>
      <c r="G2311" t="s">
        <v>2224</v>
      </c>
      <c r="H2311" t="s">
        <v>2225</v>
      </c>
      <c r="J2311" t="s">
        <v>2226</v>
      </c>
      <c r="L2311" t="s">
        <v>80</v>
      </c>
      <c r="M2311" t="s">
        <v>73</v>
      </c>
      <c r="R2311" t="s">
        <v>10123</v>
      </c>
      <c r="W2311" t="s">
        <v>10122</v>
      </c>
      <c r="X2311" t="s">
        <v>1214</v>
      </c>
      <c r="Y2311" t="s">
        <v>91</v>
      </c>
      <c r="Z2311" t="s">
        <v>74</v>
      </c>
      <c r="AA2311" t="str">
        <f>"10021-4823"</f>
        <v>10021-4823</v>
      </c>
      <c r="AB2311" t="s">
        <v>75</v>
      </c>
      <c r="AC2311" t="s">
        <v>76</v>
      </c>
      <c r="AD2311" t="s">
        <v>73</v>
      </c>
      <c r="AE2311" t="s">
        <v>77</v>
      </c>
      <c r="AF2311" t="s">
        <v>2254</v>
      </c>
      <c r="AG2311" t="s">
        <v>78</v>
      </c>
    </row>
    <row r="2312" spans="1:33" hidden="1" x14ac:dyDescent="0.25">
      <c r="A2312" t="str">
        <f>"1801203559"</f>
        <v>1801203559</v>
      </c>
      <c r="B2312" t="str">
        <f>"03922965"</f>
        <v>03922965</v>
      </c>
      <c r="C2312" t="s">
        <v>10124</v>
      </c>
      <c r="D2312" t="s">
        <v>10125</v>
      </c>
      <c r="E2312" t="s">
        <v>10126</v>
      </c>
      <c r="G2312" t="s">
        <v>2224</v>
      </c>
      <c r="H2312" t="s">
        <v>2225</v>
      </c>
      <c r="J2312" t="s">
        <v>2226</v>
      </c>
      <c r="L2312" t="s">
        <v>72</v>
      </c>
      <c r="M2312" t="s">
        <v>73</v>
      </c>
      <c r="R2312" t="s">
        <v>10126</v>
      </c>
      <c r="W2312" t="s">
        <v>10127</v>
      </c>
      <c r="X2312" t="s">
        <v>167</v>
      </c>
      <c r="Y2312" t="s">
        <v>91</v>
      </c>
      <c r="Z2312" t="s">
        <v>74</v>
      </c>
      <c r="AA2312" t="str">
        <f>"10032-3720"</f>
        <v>10032-3720</v>
      </c>
      <c r="AB2312" t="s">
        <v>75</v>
      </c>
      <c r="AC2312" t="s">
        <v>76</v>
      </c>
      <c r="AD2312" t="s">
        <v>73</v>
      </c>
      <c r="AE2312" t="s">
        <v>77</v>
      </c>
      <c r="AF2312" t="s">
        <v>2228</v>
      </c>
      <c r="AG2312" t="s">
        <v>78</v>
      </c>
    </row>
    <row r="2313" spans="1:33" hidden="1" x14ac:dyDescent="0.25">
      <c r="A2313" t="str">
        <f>"1821028697"</f>
        <v>1821028697</v>
      </c>
      <c r="B2313" t="str">
        <f>"00851221"</f>
        <v>00851221</v>
      </c>
      <c r="C2313" t="s">
        <v>10128</v>
      </c>
      <c r="D2313" t="s">
        <v>10129</v>
      </c>
      <c r="E2313" t="s">
        <v>10130</v>
      </c>
      <c r="G2313" t="s">
        <v>2224</v>
      </c>
      <c r="H2313" t="s">
        <v>2225</v>
      </c>
      <c r="J2313" t="s">
        <v>2226</v>
      </c>
      <c r="L2313" t="s">
        <v>80</v>
      </c>
      <c r="M2313" t="s">
        <v>82</v>
      </c>
      <c r="R2313" t="s">
        <v>10131</v>
      </c>
      <c r="W2313" t="s">
        <v>10130</v>
      </c>
      <c r="Y2313" t="s">
        <v>91</v>
      </c>
      <c r="Z2313" t="s">
        <v>74</v>
      </c>
      <c r="AA2313" t="str">
        <f>"10032-3720"</f>
        <v>10032-3720</v>
      </c>
      <c r="AB2313" t="s">
        <v>75</v>
      </c>
      <c r="AC2313" t="s">
        <v>76</v>
      </c>
      <c r="AD2313" t="s">
        <v>73</v>
      </c>
      <c r="AE2313" t="s">
        <v>77</v>
      </c>
      <c r="AF2313" t="s">
        <v>2254</v>
      </c>
      <c r="AG2313" t="s">
        <v>78</v>
      </c>
    </row>
    <row r="2314" spans="1:33" hidden="1" x14ac:dyDescent="0.25">
      <c r="A2314" t="str">
        <f>"1104801471"</f>
        <v>1104801471</v>
      </c>
      <c r="B2314" t="str">
        <f>"03882588"</f>
        <v>03882588</v>
      </c>
      <c r="C2314" t="s">
        <v>10132</v>
      </c>
      <c r="D2314" t="s">
        <v>10133</v>
      </c>
      <c r="E2314" t="s">
        <v>10134</v>
      </c>
      <c r="G2314" t="s">
        <v>2224</v>
      </c>
      <c r="H2314" t="s">
        <v>2225</v>
      </c>
      <c r="J2314" t="s">
        <v>2226</v>
      </c>
      <c r="L2314" t="s">
        <v>72</v>
      </c>
      <c r="M2314" t="s">
        <v>73</v>
      </c>
      <c r="R2314" t="s">
        <v>10135</v>
      </c>
      <c r="W2314" t="s">
        <v>10134</v>
      </c>
      <c r="X2314" t="s">
        <v>167</v>
      </c>
      <c r="Y2314" t="s">
        <v>91</v>
      </c>
      <c r="Z2314" t="s">
        <v>74</v>
      </c>
      <c r="AA2314" t="str">
        <f>"10032-3720"</f>
        <v>10032-3720</v>
      </c>
      <c r="AB2314" t="s">
        <v>75</v>
      </c>
      <c r="AC2314" t="s">
        <v>76</v>
      </c>
      <c r="AD2314" t="s">
        <v>73</v>
      </c>
      <c r="AE2314" t="s">
        <v>77</v>
      </c>
      <c r="AF2314" t="s">
        <v>2234</v>
      </c>
      <c r="AG2314" t="s">
        <v>78</v>
      </c>
    </row>
    <row r="2315" spans="1:33" hidden="1" x14ac:dyDescent="0.25">
      <c r="A2315" t="str">
        <f>"1497959043"</f>
        <v>1497959043</v>
      </c>
      <c r="B2315" t="str">
        <f>"03152843"</f>
        <v>03152843</v>
      </c>
      <c r="C2315" t="s">
        <v>10136</v>
      </c>
      <c r="D2315" t="s">
        <v>10137</v>
      </c>
      <c r="E2315" t="s">
        <v>10138</v>
      </c>
      <c r="G2315" t="s">
        <v>2224</v>
      </c>
      <c r="H2315" t="s">
        <v>2225</v>
      </c>
      <c r="J2315" t="s">
        <v>2226</v>
      </c>
      <c r="L2315" t="s">
        <v>80</v>
      </c>
      <c r="M2315" t="s">
        <v>73</v>
      </c>
      <c r="R2315" t="s">
        <v>10139</v>
      </c>
      <c r="W2315" t="s">
        <v>10138</v>
      </c>
      <c r="X2315" t="s">
        <v>236</v>
      </c>
      <c r="Y2315" t="s">
        <v>91</v>
      </c>
      <c r="Z2315" t="s">
        <v>74</v>
      </c>
      <c r="AA2315" t="str">
        <f>"10034-1159"</f>
        <v>10034-1159</v>
      </c>
      <c r="AB2315" t="s">
        <v>75</v>
      </c>
      <c r="AC2315" t="s">
        <v>76</v>
      </c>
      <c r="AD2315" t="s">
        <v>73</v>
      </c>
      <c r="AE2315" t="s">
        <v>77</v>
      </c>
      <c r="AF2315" t="s">
        <v>2254</v>
      </c>
      <c r="AG2315" t="s">
        <v>78</v>
      </c>
    </row>
    <row r="2316" spans="1:33" hidden="1" x14ac:dyDescent="0.25">
      <c r="A2316" t="str">
        <f>"1013233725"</f>
        <v>1013233725</v>
      </c>
      <c r="B2316" t="str">
        <f>"03949171"</f>
        <v>03949171</v>
      </c>
      <c r="C2316" t="s">
        <v>10140</v>
      </c>
      <c r="D2316" t="s">
        <v>10141</v>
      </c>
      <c r="E2316" t="s">
        <v>10142</v>
      </c>
      <c r="G2316" t="s">
        <v>2224</v>
      </c>
      <c r="H2316" t="s">
        <v>2225</v>
      </c>
      <c r="J2316" t="s">
        <v>2226</v>
      </c>
      <c r="L2316" t="s">
        <v>72</v>
      </c>
      <c r="M2316" t="s">
        <v>73</v>
      </c>
      <c r="R2316" t="s">
        <v>10143</v>
      </c>
      <c r="W2316" t="s">
        <v>10142</v>
      </c>
      <c r="X2316" t="s">
        <v>1958</v>
      </c>
      <c r="Y2316" t="s">
        <v>91</v>
      </c>
      <c r="Z2316" t="s">
        <v>74</v>
      </c>
      <c r="AA2316" t="str">
        <f>"10032-3722"</f>
        <v>10032-3722</v>
      </c>
      <c r="AB2316" t="s">
        <v>75</v>
      </c>
      <c r="AC2316" t="s">
        <v>76</v>
      </c>
      <c r="AD2316" t="s">
        <v>73</v>
      </c>
      <c r="AE2316" t="s">
        <v>77</v>
      </c>
      <c r="AF2316" t="s">
        <v>2228</v>
      </c>
      <c r="AG2316" t="s">
        <v>78</v>
      </c>
    </row>
    <row r="2317" spans="1:33" hidden="1" x14ac:dyDescent="0.25">
      <c r="A2317" t="str">
        <f>"1225299365"</f>
        <v>1225299365</v>
      </c>
      <c r="B2317" t="str">
        <f>"03061272"</f>
        <v>03061272</v>
      </c>
      <c r="C2317" t="s">
        <v>10144</v>
      </c>
      <c r="D2317" t="s">
        <v>10145</v>
      </c>
      <c r="E2317" t="s">
        <v>10146</v>
      </c>
      <c r="G2317" t="s">
        <v>2224</v>
      </c>
      <c r="H2317" t="s">
        <v>2225</v>
      </c>
      <c r="J2317" t="s">
        <v>2226</v>
      </c>
      <c r="L2317" t="s">
        <v>80</v>
      </c>
      <c r="M2317" t="s">
        <v>82</v>
      </c>
      <c r="R2317" t="s">
        <v>10147</v>
      </c>
      <c r="W2317" t="s">
        <v>10146</v>
      </c>
      <c r="X2317" t="s">
        <v>151</v>
      </c>
      <c r="Y2317" t="s">
        <v>84</v>
      </c>
      <c r="Z2317" t="s">
        <v>74</v>
      </c>
      <c r="AA2317" t="str">
        <f>"11219-2916"</f>
        <v>11219-2916</v>
      </c>
      <c r="AB2317" t="s">
        <v>75</v>
      </c>
      <c r="AC2317" t="s">
        <v>76</v>
      </c>
      <c r="AD2317" t="s">
        <v>73</v>
      </c>
      <c r="AE2317" t="s">
        <v>77</v>
      </c>
      <c r="AF2317" t="s">
        <v>2228</v>
      </c>
      <c r="AG2317" t="s">
        <v>78</v>
      </c>
    </row>
    <row r="2318" spans="1:33" hidden="1" x14ac:dyDescent="0.25">
      <c r="A2318" t="str">
        <f>"1184881278"</f>
        <v>1184881278</v>
      </c>
      <c r="B2318" t="str">
        <f>"03132818"</f>
        <v>03132818</v>
      </c>
      <c r="C2318" t="s">
        <v>10148</v>
      </c>
      <c r="D2318" t="s">
        <v>10149</v>
      </c>
      <c r="E2318" t="s">
        <v>10150</v>
      </c>
      <c r="G2318" t="s">
        <v>2224</v>
      </c>
      <c r="H2318" t="s">
        <v>2225</v>
      </c>
      <c r="J2318" t="s">
        <v>2226</v>
      </c>
      <c r="L2318" t="s">
        <v>80</v>
      </c>
      <c r="M2318" t="s">
        <v>73</v>
      </c>
      <c r="R2318" t="s">
        <v>10151</v>
      </c>
      <c r="W2318" t="s">
        <v>10150</v>
      </c>
      <c r="X2318" t="s">
        <v>355</v>
      </c>
      <c r="Y2318" t="s">
        <v>91</v>
      </c>
      <c r="Z2318" t="s">
        <v>74</v>
      </c>
      <c r="AA2318" t="str">
        <f>"10021-5663"</f>
        <v>10021-5663</v>
      </c>
      <c r="AB2318" t="s">
        <v>75</v>
      </c>
      <c r="AC2318" t="s">
        <v>76</v>
      </c>
      <c r="AD2318" t="s">
        <v>73</v>
      </c>
      <c r="AE2318" t="s">
        <v>77</v>
      </c>
      <c r="AF2318" t="s">
        <v>2242</v>
      </c>
      <c r="AG2318" t="s">
        <v>78</v>
      </c>
    </row>
    <row r="2319" spans="1:33" hidden="1" x14ac:dyDescent="0.25">
      <c r="A2319" t="str">
        <f>"1184672594"</f>
        <v>1184672594</v>
      </c>
      <c r="B2319" t="str">
        <f>"03996081"</f>
        <v>03996081</v>
      </c>
      <c r="C2319" t="s">
        <v>10152</v>
      </c>
      <c r="D2319" t="s">
        <v>10153</v>
      </c>
      <c r="E2319" t="s">
        <v>10154</v>
      </c>
      <c r="G2319" t="s">
        <v>2224</v>
      </c>
      <c r="H2319" t="s">
        <v>2225</v>
      </c>
      <c r="J2319" t="s">
        <v>2226</v>
      </c>
      <c r="L2319" t="s">
        <v>72</v>
      </c>
      <c r="M2319" t="s">
        <v>73</v>
      </c>
      <c r="R2319" t="s">
        <v>10155</v>
      </c>
      <c r="W2319" t="s">
        <v>10154</v>
      </c>
      <c r="X2319" t="s">
        <v>8154</v>
      </c>
      <c r="Y2319" t="s">
        <v>91</v>
      </c>
      <c r="Z2319" t="s">
        <v>74</v>
      </c>
      <c r="AA2319" t="str">
        <f>"10032-3722"</f>
        <v>10032-3722</v>
      </c>
      <c r="AB2319" t="s">
        <v>75</v>
      </c>
      <c r="AC2319" t="s">
        <v>76</v>
      </c>
      <c r="AD2319" t="s">
        <v>73</v>
      </c>
      <c r="AE2319" t="s">
        <v>77</v>
      </c>
      <c r="AF2319" t="s">
        <v>2228</v>
      </c>
      <c r="AG2319" t="s">
        <v>78</v>
      </c>
    </row>
    <row r="2320" spans="1:33" hidden="1" x14ac:dyDescent="0.25">
      <c r="A2320" t="str">
        <f>"1336305291"</f>
        <v>1336305291</v>
      </c>
      <c r="B2320" t="str">
        <f>"04015867"</f>
        <v>04015867</v>
      </c>
      <c r="C2320" t="s">
        <v>10156</v>
      </c>
      <c r="D2320" t="s">
        <v>10157</v>
      </c>
      <c r="E2320" t="s">
        <v>10158</v>
      </c>
      <c r="G2320" t="s">
        <v>2224</v>
      </c>
      <c r="H2320" t="s">
        <v>2225</v>
      </c>
      <c r="J2320" t="s">
        <v>2226</v>
      </c>
      <c r="L2320" t="s">
        <v>72</v>
      </c>
      <c r="M2320" t="s">
        <v>73</v>
      </c>
      <c r="R2320" t="s">
        <v>10159</v>
      </c>
      <c r="W2320" t="s">
        <v>10158</v>
      </c>
      <c r="X2320" t="s">
        <v>183</v>
      </c>
      <c r="Y2320" t="s">
        <v>91</v>
      </c>
      <c r="Z2320" t="s">
        <v>74</v>
      </c>
      <c r="AA2320" t="str">
        <f>"10087-6691"</f>
        <v>10087-6691</v>
      </c>
      <c r="AB2320" t="s">
        <v>75</v>
      </c>
      <c r="AC2320" t="s">
        <v>76</v>
      </c>
      <c r="AD2320" t="s">
        <v>73</v>
      </c>
      <c r="AE2320" t="s">
        <v>77</v>
      </c>
      <c r="AF2320" t="s">
        <v>2228</v>
      </c>
      <c r="AG2320" t="s">
        <v>78</v>
      </c>
    </row>
    <row r="2321" spans="1:33" hidden="1" x14ac:dyDescent="0.25">
      <c r="A2321" t="str">
        <f>"1811009160"</f>
        <v>1811009160</v>
      </c>
      <c r="B2321" t="str">
        <f>"02779660"</f>
        <v>02779660</v>
      </c>
      <c r="C2321" t="s">
        <v>10160</v>
      </c>
      <c r="D2321" t="s">
        <v>10161</v>
      </c>
      <c r="E2321" t="s">
        <v>10162</v>
      </c>
      <c r="G2321" t="s">
        <v>2224</v>
      </c>
      <c r="H2321" t="s">
        <v>2225</v>
      </c>
      <c r="J2321" t="s">
        <v>2226</v>
      </c>
      <c r="L2321" t="s">
        <v>80</v>
      </c>
      <c r="M2321" t="s">
        <v>82</v>
      </c>
      <c r="R2321" t="s">
        <v>10163</v>
      </c>
      <c r="W2321" t="s">
        <v>10162</v>
      </c>
      <c r="X2321" t="s">
        <v>236</v>
      </c>
      <c r="Y2321" t="s">
        <v>91</v>
      </c>
      <c r="Z2321" t="s">
        <v>74</v>
      </c>
      <c r="AA2321" t="str">
        <f>"10034-1159"</f>
        <v>10034-1159</v>
      </c>
      <c r="AB2321" t="s">
        <v>75</v>
      </c>
      <c r="AC2321" t="s">
        <v>76</v>
      </c>
      <c r="AD2321" t="s">
        <v>73</v>
      </c>
      <c r="AE2321" t="s">
        <v>77</v>
      </c>
      <c r="AF2321" t="s">
        <v>2228</v>
      </c>
      <c r="AG2321" t="s">
        <v>78</v>
      </c>
    </row>
    <row r="2322" spans="1:33" hidden="1" x14ac:dyDescent="0.25">
      <c r="A2322" t="str">
        <f>"1992964928"</f>
        <v>1992964928</v>
      </c>
      <c r="B2322" t="str">
        <f>"03588736"</f>
        <v>03588736</v>
      </c>
      <c r="C2322" t="s">
        <v>10164</v>
      </c>
      <c r="D2322" t="s">
        <v>10165</v>
      </c>
      <c r="E2322" t="s">
        <v>10166</v>
      </c>
      <c r="G2322" t="s">
        <v>2224</v>
      </c>
      <c r="H2322" t="s">
        <v>2225</v>
      </c>
      <c r="J2322" t="s">
        <v>2226</v>
      </c>
      <c r="L2322" t="s">
        <v>81</v>
      </c>
      <c r="M2322" t="s">
        <v>73</v>
      </c>
      <c r="R2322" t="s">
        <v>10167</v>
      </c>
      <c r="W2322" t="s">
        <v>10168</v>
      </c>
      <c r="X2322" t="s">
        <v>1583</v>
      </c>
      <c r="Y2322" t="s">
        <v>91</v>
      </c>
      <c r="Z2322" t="s">
        <v>74</v>
      </c>
      <c r="AA2322" t="str">
        <f>"10021-9800"</f>
        <v>10021-9800</v>
      </c>
      <c r="AB2322" t="s">
        <v>75</v>
      </c>
      <c r="AC2322" t="s">
        <v>76</v>
      </c>
      <c r="AD2322" t="s">
        <v>73</v>
      </c>
      <c r="AE2322" t="s">
        <v>77</v>
      </c>
      <c r="AF2322" t="s">
        <v>2242</v>
      </c>
      <c r="AG2322" t="s">
        <v>78</v>
      </c>
    </row>
    <row r="2323" spans="1:33" hidden="1" x14ac:dyDescent="0.25">
      <c r="A2323" t="str">
        <f>"1023255791"</f>
        <v>1023255791</v>
      </c>
      <c r="B2323" t="str">
        <f>"03623838"</f>
        <v>03623838</v>
      </c>
      <c r="C2323" t="s">
        <v>10169</v>
      </c>
      <c r="D2323" t="s">
        <v>10170</v>
      </c>
      <c r="E2323" t="s">
        <v>10171</v>
      </c>
      <c r="G2323" t="s">
        <v>2224</v>
      </c>
      <c r="H2323" t="s">
        <v>2225</v>
      </c>
      <c r="J2323" t="s">
        <v>2226</v>
      </c>
      <c r="L2323" t="s">
        <v>72</v>
      </c>
      <c r="M2323" t="s">
        <v>73</v>
      </c>
      <c r="R2323" t="s">
        <v>10172</v>
      </c>
      <c r="W2323" t="s">
        <v>10172</v>
      </c>
      <c r="X2323" t="s">
        <v>10173</v>
      </c>
      <c r="Y2323" t="s">
        <v>91</v>
      </c>
      <c r="Z2323" t="s">
        <v>74</v>
      </c>
      <c r="AA2323" t="str">
        <f>"10065-4870"</f>
        <v>10065-4870</v>
      </c>
      <c r="AB2323" t="s">
        <v>75</v>
      </c>
      <c r="AC2323" t="s">
        <v>76</v>
      </c>
      <c r="AD2323" t="s">
        <v>73</v>
      </c>
      <c r="AE2323" t="s">
        <v>77</v>
      </c>
      <c r="AF2323" t="s">
        <v>2242</v>
      </c>
      <c r="AG2323" t="s">
        <v>78</v>
      </c>
    </row>
    <row r="2324" spans="1:33" hidden="1" x14ac:dyDescent="0.25">
      <c r="A2324" t="str">
        <f>"1720251762"</f>
        <v>1720251762</v>
      </c>
      <c r="B2324" t="str">
        <f>"03732423"</f>
        <v>03732423</v>
      </c>
      <c r="C2324" t="s">
        <v>10174</v>
      </c>
      <c r="D2324" t="s">
        <v>10175</v>
      </c>
      <c r="E2324" t="s">
        <v>10176</v>
      </c>
      <c r="G2324" t="s">
        <v>2224</v>
      </c>
      <c r="H2324" t="s">
        <v>2225</v>
      </c>
      <c r="J2324" t="s">
        <v>2226</v>
      </c>
      <c r="L2324" t="s">
        <v>100</v>
      </c>
      <c r="M2324" t="s">
        <v>73</v>
      </c>
      <c r="R2324" t="s">
        <v>10177</v>
      </c>
      <c r="W2324" t="s">
        <v>10176</v>
      </c>
      <c r="X2324" t="s">
        <v>10178</v>
      </c>
      <c r="Y2324" t="s">
        <v>91</v>
      </c>
      <c r="Z2324" t="s">
        <v>74</v>
      </c>
      <c r="AA2324" t="str">
        <f>"10016-5802"</f>
        <v>10016-5802</v>
      </c>
      <c r="AB2324" t="s">
        <v>75</v>
      </c>
      <c r="AC2324" t="s">
        <v>76</v>
      </c>
      <c r="AD2324" t="s">
        <v>73</v>
      </c>
      <c r="AE2324" t="s">
        <v>77</v>
      </c>
      <c r="AF2324" t="s">
        <v>2228</v>
      </c>
      <c r="AG2324" t="s">
        <v>78</v>
      </c>
    </row>
    <row r="2325" spans="1:33" hidden="1" x14ac:dyDescent="0.25">
      <c r="A2325" t="str">
        <f>"1225204431"</f>
        <v>1225204431</v>
      </c>
      <c r="B2325" t="str">
        <f>"03376125"</f>
        <v>03376125</v>
      </c>
      <c r="C2325" t="s">
        <v>10179</v>
      </c>
      <c r="D2325" t="s">
        <v>10180</v>
      </c>
      <c r="E2325" t="s">
        <v>10181</v>
      </c>
      <c r="G2325" t="s">
        <v>2224</v>
      </c>
      <c r="H2325" t="s">
        <v>2225</v>
      </c>
      <c r="J2325" t="s">
        <v>2226</v>
      </c>
      <c r="L2325" t="s">
        <v>80</v>
      </c>
      <c r="M2325" t="s">
        <v>82</v>
      </c>
      <c r="R2325" t="s">
        <v>10182</v>
      </c>
      <c r="W2325" t="s">
        <v>10181</v>
      </c>
      <c r="X2325" t="s">
        <v>506</v>
      </c>
      <c r="Y2325" t="s">
        <v>398</v>
      </c>
      <c r="Z2325" t="s">
        <v>74</v>
      </c>
      <c r="AA2325" t="str">
        <f>"12534-2907"</f>
        <v>12534-2907</v>
      </c>
      <c r="AB2325" t="s">
        <v>75</v>
      </c>
      <c r="AC2325" t="s">
        <v>76</v>
      </c>
      <c r="AD2325" t="s">
        <v>73</v>
      </c>
      <c r="AE2325" t="s">
        <v>77</v>
      </c>
      <c r="AF2325" t="s">
        <v>2228</v>
      </c>
      <c r="AG2325" t="s">
        <v>78</v>
      </c>
    </row>
    <row r="2326" spans="1:33" hidden="1" x14ac:dyDescent="0.25">
      <c r="A2326" t="str">
        <f>"1003994120"</f>
        <v>1003994120</v>
      </c>
      <c r="B2326" t="str">
        <f>"02755773"</f>
        <v>02755773</v>
      </c>
      <c r="C2326" t="s">
        <v>10183</v>
      </c>
      <c r="D2326" t="s">
        <v>10184</v>
      </c>
      <c r="E2326" t="s">
        <v>10185</v>
      </c>
      <c r="G2326" t="s">
        <v>2224</v>
      </c>
      <c r="H2326" t="s">
        <v>2225</v>
      </c>
      <c r="J2326" t="s">
        <v>2226</v>
      </c>
      <c r="L2326" t="s">
        <v>72</v>
      </c>
      <c r="M2326" t="s">
        <v>73</v>
      </c>
      <c r="R2326" t="s">
        <v>10186</v>
      </c>
      <c r="W2326" t="s">
        <v>10187</v>
      </c>
      <c r="X2326" t="s">
        <v>496</v>
      </c>
      <c r="Y2326" t="s">
        <v>91</v>
      </c>
      <c r="Z2326" t="s">
        <v>74</v>
      </c>
      <c r="AA2326" t="str">
        <f>"10032-3726"</f>
        <v>10032-3726</v>
      </c>
      <c r="AB2326" t="s">
        <v>75</v>
      </c>
      <c r="AC2326" t="s">
        <v>76</v>
      </c>
      <c r="AD2326" t="s">
        <v>73</v>
      </c>
      <c r="AE2326" t="s">
        <v>77</v>
      </c>
      <c r="AF2326" t="s">
        <v>2228</v>
      </c>
      <c r="AG2326" t="s">
        <v>78</v>
      </c>
    </row>
    <row r="2327" spans="1:33" hidden="1" x14ac:dyDescent="0.25">
      <c r="A2327" t="str">
        <f>"1629177753"</f>
        <v>1629177753</v>
      </c>
      <c r="B2327" t="str">
        <f>"03027429"</f>
        <v>03027429</v>
      </c>
      <c r="C2327" t="s">
        <v>10188</v>
      </c>
      <c r="D2327" t="s">
        <v>10189</v>
      </c>
      <c r="E2327" t="s">
        <v>10190</v>
      </c>
      <c r="G2327" t="s">
        <v>2224</v>
      </c>
      <c r="H2327" t="s">
        <v>2225</v>
      </c>
      <c r="J2327" t="s">
        <v>2226</v>
      </c>
      <c r="L2327" t="s">
        <v>80</v>
      </c>
      <c r="M2327" t="s">
        <v>82</v>
      </c>
      <c r="R2327" t="s">
        <v>10191</v>
      </c>
      <c r="W2327" t="s">
        <v>10190</v>
      </c>
      <c r="X2327" t="s">
        <v>236</v>
      </c>
      <c r="Y2327" t="s">
        <v>91</v>
      </c>
      <c r="Z2327" t="s">
        <v>74</v>
      </c>
      <c r="AA2327" t="str">
        <f>"10034-1159"</f>
        <v>10034-1159</v>
      </c>
      <c r="AB2327" t="s">
        <v>75</v>
      </c>
      <c r="AC2327" t="s">
        <v>76</v>
      </c>
      <c r="AD2327" t="s">
        <v>73</v>
      </c>
      <c r="AE2327" t="s">
        <v>77</v>
      </c>
      <c r="AF2327" t="s">
        <v>2228</v>
      </c>
      <c r="AG2327" t="s">
        <v>78</v>
      </c>
    </row>
    <row r="2328" spans="1:33" hidden="1" x14ac:dyDescent="0.25">
      <c r="A2328" t="str">
        <f>"1649415290"</f>
        <v>1649415290</v>
      </c>
      <c r="B2328" t="str">
        <f>"03966456"</f>
        <v>03966456</v>
      </c>
      <c r="C2328" t="s">
        <v>10192</v>
      </c>
      <c r="D2328" t="s">
        <v>10193</v>
      </c>
      <c r="E2328" t="s">
        <v>10194</v>
      </c>
      <c r="G2328" t="s">
        <v>2224</v>
      </c>
      <c r="H2328" t="s">
        <v>2225</v>
      </c>
      <c r="J2328" t="s">
        <v>2226</v>
      </c>
      <c r="L2328" t="s">
        <v>80</v>
      </c>
      <c r="M2328" t="s">
        <v>73</v>
      </c>
      <c r="R2328" t="s">
        <v>10195</v>
      </c>
      <c r="W2328" t="s">
        <v>10194</v>
      </c>
      <c r="X2328" t="s">
        <v>1444</v>
      </c>
      <c r="Y2328" t="s">
        <v>91</v>
      </c>
      <c r="Z2328" t="s">
        <v>74</v>
      </c>
      <c r="AA2328" t="str">
        <f>"10032-3733"</f>
        <v>10032-3733</v>
      </c>
      <c r="AB2328" t="s">
        <v>75</v>
      </c>
      <c r="AC2328" t="s">
        <v>76</v>
      </c>
      <c r="AD2328" t="s">
        <v>73</v>
      </c>
      <c r="AE2328" t="s">
        <v>77</v>
      </c>
      <c r="AF2328" t="s">
        <v>2234</v>
      </c>
      <c r="AG2328" t="s">
        <v>78</v>
      </c>
    </row>
    <row r="2329" spans="1:33" hidden="1" x14ac:dyDescent="0.25">
      <c r="A2329" t="str">
        <f>"1578724050"</f>
        <v>1578724050</v>
      </c>
      <c r="B2329" t="str">
        <f>"03922149"</f>
        <v>03922149</v>
      </c>
      <c r="C2329" t="s">
        <v>10196</v>
      </c>
      <c r="D2329" t="s">
        <v>10197</v>
      </c>
      <c r="E2329" t="s">
        <v>10198</v>
      </c>
      <c r="G2329" t="s">
        <v>2224</v>
      </c>
      <c r="H2329" t="s">
        <v>2225</v>
      </c>
      <c r="J2329" t="s">
        <v>2226</v>
      </c>
      <c r="L2329" t="s">
        <v>72</v>
      </c>
      <c r="M2329" t="s">
        <v>73</v>
      </c>
      <c r="R2329" t="s">
        <v>10199</v>
      </c>
      <c r="W2329" t="s">
        <v>10198</v>
      </c>
      <c r="X2329" t="s">
        <v>167</v>
      </c>
      <c r="Y2329" t="s">
        <v>91</v>
      </c>
      <c r="Z2329" t="s">
        <v>74</v>
      </c>
      <c r="AA2329" t="str">
        <f>"10032-3720"</f>
        <v>10032-3720</v>
      </c>
      <c r="AB2329" t="s">
        <v>75</v>
      </c>
      <c r="AC2329" t="s">
        <v>76</v>
      </c>
      <c r="AD2329" t="s">
        <v>73</v>
      </c>
      <c r="AE2329" t="s">
        <v>77</v>
      </c>
      <c r="AF2329" t="s">
        <v>2234</v>
      </c>
      <c r="AG2329" t="s">
        <v>78</v>
      </c>
    </row>
    <row r="2330" spans="1:33" hidden="1" x14ac:dyDescent="0.25">
      <c r="A2330" t="str">
        <f>"1326275348"</f>
        <v>1326275348</v>
      </c>
      <c r="B2330" t="str">
        <f>"03628080"</f>
        <v>03628080</v>
      </c>
      <c r="C2330" t="s">
        <v>10200</v>
      </c>
      <c r="D2330" t="s">
        <v>10201</v>
      </c>
      <c r="E2330" t="s">
        <v>10202</v>
      </c>
      <c r="G2330" t="s">
        <v>2224</v>
      </c>
      <c r="H2330" t="s">
        <v>2225</v>
      </c>
      <c r="J2330" t="s">
        <v>2226</v>
      </c>
      <c r="L2330" t="s">
        <v>72</v>
      </c>
      <c r="M2330" t="s">
        <v>73</v>
      </c>
      <c r="R2330" t="s">
        <v>10203</v>
      </c>
      <c r="W2330" t="s">
        <v>10202</v>
      </c>
      <c r="X2330" t="s">
        <v>167</v>
      </c>
      <c r="Y2330" t="s">
        <v>91</v>
      </c>
      <c r="Z2330" t="s">
        <v>74</v>
      </c>
      <c r="AA2330" t="str">
        <f>"10032-3720"</f>
        <v>10032-3720</v>
      </c>
      <c r="AB2330" t="s">
        <v>75</v>
      </c>
      <c r="AC2330" t="s">
        <v>76</v>
      </c>
      <c r="AD2330" t="s">
        <v>73</v>
      </c>
      <c r="AE2330" t="s">
        <v>77</v>
      </c>
      <c r="AF2330" t="s">
        <v>2228</v>
      </c>
      <c r="AG2330" t="s">
        <v>78</v>
      </c>
    </row>
    <row r="2331" spans="1:33" hidden="1" x14ac:dyDescent="0.25">
      <c r="A2331" t="str">
        <f>"1811965148"</f>
        <v>1811965148</v>
      </c>
      <c r="B2331" t="str">
        <f>"03923631"</f>
        <v>03923631</v>
      </c>
      <c r="C2331" t="s">
        <v>10204</v>
      </c>
      <c r="D2331" t="s">
        <v>10205</v>
      </c>
      <c r="E2331" t="s">
        <v>10206</v>
      </c>
      <c r="G2331" t="s">
        <v>2224</v>
      </c>
      <c r="H2331" t="s">
        <v>2225</v>
      </c>
      <c r="J2331" t="s">
        <v>2226</v>
      </c>
      <c r="L2331" t="s">
        <v>88</v>
      </c>
      <c r="M2331" t="s">
        <v>73</v>
      </c>
      <c r="R2331" t="s">
        <v>10206</v>
      </c>
      <c r="W2331" t="s">
        <v>10206</v>
      </c>
      <c r="X2331" t="s">
        <v>1699</v>
      </c>
      <c r="Y2331" t="s">
        <v>567</v>
      </c>
      <c r="Z2331" t="s">
        <v>111</v>
      </c>
      <c r="AA2331" t="str">
        <f>"02115-5724"</f>
        <v>02115-5724</v>
      </c>
      <c r="AB2331" t="s">
        <v>75</v>
      </c>
      <c r="AC2331" t="s">
        <v>76</v>
      </c>
      <c r="AD2331" t="s">
        <v>73</v>
      </c>
      <c r="AE2331" t="s">
        <v>77</v>
      </c>
      <c r="AF2331" t="s">
        <v>2228</v>
      </c>
      <c r="AG2331" t="s">
        <v>78</v>
      </c>
    </row>
    <row r="2332" spans="1:33" hidden="1" x14ac:dyDescent="0.25">
      <c r="A2332" t="str">
        <f>"1962630673"</f>
        <v>1962630673</v>
      </c>
      <c r="B2332" t="str">
        <f>"03624935"</f>
        <v>03624935</v>
      </c>
      <c r="C2332" t="s">
        <v>10207</v>
      </c>
      <c r="D2332" t="s">
        <v>2101</v>
      </c>
      <c r="E2332" t="s">
        <v>2100</v>
      </c>
      <c r="G2332" t="s">
        <v>2224</v>
      </c>
      <c r="H2332" t="s">
        <v>2225</v>
      </c>
      <c r="J2332" t="s">
        <v>2226</v>
      </c>
      <c r="L2332" t="s">
        <v>72</v>
      </c>
      <c r="M2332" t="s">
        <v>73</v>
      </c>
      <c r="R2332" t="s">
        <v>2100</v>
      </c>
      <c r="W2332" t="s">
        <v>2102</v>
      </c>
      <c r="X2332" t="s">
        <v>2103</v>
      </c>
      <c r="Y2332" t="s">
        <v>91</v>
      </c>
      <c r="Z2332" t="s">
        <v>74</v>
      </c>
      <c r="AA2332" t="str">
        <f>"10021-5663"</f>
        <v>10021-5663</v>
      </c>
      <c r="AB2332" t="s">
        <v>75</v>
      </c>
      <c r="AC2332" t="s">
        <v>76</v>
      </c>
      <c r="AD2332" t="s">
        <v>73</v>
      </c>
      <c r="AE2332" t="s">
        <v>77</v>
      </c>
      <c r="AF2332" t="s">
        <v>2242</v>
      </c>
      <c r="AG2332" t="s">
        <v>78</v>
      </c>
    </row>
    <row r="2333" spans="1:33" hidden="1" x14ac:dyDescent="0.25">
      <c r="A2333" t="str">
        <f>"1841426715"</f>
        <v>1841426715</v>
      </c>
      <c r="B2333" t="str">
        <f>"03923333"</f>
        <v>03923333</v>
      </c>
      <c r="C2333" t="s">
        <v>10208</v>
      </c>
      <c r="D2333" t="s">
        <v>10209</v>
      </c>
      <c r="E2333" t="s">
        <v>10210</v>
      </c>
      <c r="G2333" t="s">
        <v>2224</v>
      </c>
      <c r="H2333" t="s">
        <v>2225</v>
      </c>
      <c r="J2333" t="s">
        <v>2226</v>
      </c>
      <c r="L2333" t="s">
        <v>72</v>
      </c>
      <c r="M2333" t="s">
        <v>73</v>
      </c>
      <c r="R2333" t="s">
        <v>10211</v>
      </c>
      <c r="W2333" t="s">
        <v>10210</v>
      </c>
      <c r="X2333" t="s">
        <v>4943</v>
      </c>
      <c r="Y2333" t="s">
        <v>91</v>
      </c>
      <c r="Z2333" t="s">
        <v>74</v>
      </c>
      <c r="AA2333" t="str">
        <f>"10075-2304"</f>
        <v>10075-2304</v>
      </c>
      <c r="AB2333" t="s">
        <v>75</v>
      </c>
      <c r="AC2333" t="s">
        <v>76</v>
      </c>
      <c r="AD2333" t="s">
        <v>73</v>
      </c>
      <c r="AE2333" t="s">
        <v>77</v>
      </c>
      <c r="AF2333" t="s">
        <v>2242</v>
      </c>
      <c r="AG2333" t="s">
        <v>78</v>
      </c>
    </row>
    <row r="2334" spans="1:33" hidden="1" x14ac:dyDescent="0.25">
      <c r="A2334" t="str">
        <f>"1023055324"</f>
        <v>1023055324</v>
      </c>
      <c r="B2334" t="str">
        <f>"01391006"</f>
        <v>01391006</v>
      </c>
      <c r="C2334" t="s">
        <v>10212</v>
      </c>
      <c r="D2334" t="s">
        <v>10213</v>
      </c>
      <c r="E2334" t="s">
        <v>10214</v>
      </c>
      <c r="G2334" t="s">
        <v>2224</v>
      </c>
      <c r="H2334" t="s">
        <v>2225</v>
      </c>
      <c r="J2334" t="s">
        <v>2226</v>
      </c>
      <c r="L2334" t="s">
        <v>72</v>
      </c>
      <c r="M2334" t="s">
        <v>73</v>
      </c>
      <c r="R2334" t="s">
        <v>10215</v>
      </c>
      <c r="W2334" t="s">
        <v>10214</v>
      </c>
      <c r="X2334" t="s">
        <v>10216</v>
      </c>
      <c r="Y2334" t="s">
        <v>91</v>
      </c>
      <c r="Z2334" t="s">
        <v>74</v>
      </c>
      <c r="AA2334" t="str">
        <f>"10065-4870"</f>
        <v>10065-4870</v>
      </c>
      <c r="AB2334" t="s">
        <v>75</v>
      </c>
      <c r="AC2334" t="s">
        <v>76</v>
      </c>
      <c r="AD2334" t="s">
        <v>73</v>
      </c>
      <c r="AE2334" t="s">
        <v>77</v>
      </c>
      <c r="AF2334" t="s">
        <v>2242</v>
      </c>
      <c r="AG2334" t="s">
        <v>78</v>
      </c>
    </row>
    <row r="2335" spans="1:33" hidden="1" x14ac:dyDescent="0.25">
      <c r="A2335" t="str">
        <f>"1235160458"</f>
        <v>1235160458</v>
      </c>
      <c r="B2335" t="str">
        <f>"02797840"</f>
        <v>02797840</v>
      </c>
      <c r="C2335" t="s">
        <v>10217</v>
      </c>
      <c r="D2335" t="s">
        <v>10218</v>
      </c>
      <c r="E2335" t="s">
        <v>10219</v>
      </c>
      <c r="G2335" t="s">
        <v>2224</v>
      </c>
      <c r="H2335" t="s">
        <v>2225</v>
      </c>
      <c r="J2335" t="s">
        <v>2226</v>
      </c>
      <c r="L2335" t="s">
        <v>80</v>
      </c>
      <c r="M2335" t="s">
        <v>82</v>
      </c>
      <c r="R2335" t="s">
        <v>10220</v>
      </c>
      <c r="W2335" t="s">
        <v>10219</v>
      </c>
      <c r="X2335" t="s">
        <v>628</v>
      </c>
      <c r="Y2335" t="s">
        <v>91</v>
      </c>
      <c r="Z2335" t="s">
        <v>74</v>
      </c>
      <c r="AA2335" t="str">
        <f>"10021-4872"</f>
        <v>10021-4872</v>
      </c>
      <c r="AB2335" t="s">
        <v>75</v>
      </c>
      <c r="AC2335" t="s">
        <v>76</v>
      </c>
      <c r="AD2335" t="s">
        <v>73</v>
      </c>
      <c r="AE2335" t="s">
        <v>77</v>
      </c>
      <c r="AF2335" t="s">
        <v>2242</v>
      </c>
      <c r="AG2335" t="s">
        <v>78</v>
      </c>
    </row>
    <row r="2336" spans="1:33" hidden="1" x14ac:dyDescent="0.25">
      <c r="A2336" t="str">
        <f>"1619970530"</f>
        <v>1619970530</v>
      </c>
      <c r="B2336" t="str">
        <f>"00791997"</f>
        <v>00791997</v>
      </c>
      <c r="C2336" t="s">
        <v>10221</v>
      </c>
      <c r="D2336" t="s">
        <v>10222</v>
      </c>
      <c r="E2336" t="s">
        <v>10223</v>
      </c>
      <c r="G2336" t="s">
        <v>2224</v>
      </c>
      <c r="H2336" t="s">
        <v>2225</v>
      </c>
      <c r="J2336" t="s">
        <v>2226</v>
      </c>
      <c r="L2336" t="s">
        <v>80</v>
      </c>
      <c r="M2336" t="s">
        <v>73</v>
      </c>
      <c r="R2336" t="s">
        <v>10224</v>
      </c>
      <c r="W2336" t="s">
        <v>10225</v>
      </c>
      <c r="X2336" t="s">
        <v>510</v>
      </c>
      <c r="Y2336" t="s">
        <v>132</v>
      </c>
      <c r="Z2336" t="s">
        <v>74</v>
      </c>
      <c r="AA2336" t="str">
        <f>"10595"</f>
        <v>10595</v>
      </c>
      <c r="AB2336" t="s">
        <v>75</v>
      </c>
      <c r="AC2336" t="s">
        <v>76</v>
      </c>
      <c r="AD2336" t="s">
        <v>73</v>
      </c>
      <c r="AE2336" t="s">
        <v>77</v>
      </c>
      <c r="AF2336" t="s">
        <v>2228</v>
      </c>
      <c r="AG2336" t="s">
        <v>78</v>
      </c>
    </row>
    <row r="2337" spans="1:33" hidden="1" x14ac:dyDescent="0.25">
      <c r="A2337" t="str">
        <f>"1497831341"</f>
        <v>1497831341</v>
      </c>
      <c r="B2337" t="str">
        <f>"01890440"</f>
        <v>01890440</v>
      </c>
      <c r="C2337" t="s">
        <v>10226</v>
      </c>
      <c r="D2337" t="s">
        <v>10227</v>
      </c>
      <c r="E2337" t="s">
        <v>10228</v>
      </c>
      <c r="G2337" t="s">
        <v>2224</v>
      </c>
      <c r="H2337" t="s">
        <v>2225</v>
      </c>
      <c r="J2337" t="s">
        <v>2226</v>
      </c>
      <c r="L2337" t="s">
        <v>72</v>
      </c>
      <c r="M2337" t="s">
        <v>73</v>
      </c>
      <c r="R2337" t="s">
        <v>10229</v>
      </c>
      <c r="W2337" t="s">
        <v>10228</v>
      </c>
      <c r="X2337" t="s">
        <v>10230</v>
      </c>
      <c r="Y2337" t="s">
        <v>535</v>
      </c>
      <c r="Z2337" t="s">
        <v>74</v>
      </c>
      <c r="AA2337" t="str">
        <f>"12524"</f>
        <v>12524</v>
      </c>
      <c r="AB2337" t="s">
        <v>75</v>
      </c>
      <c r="AC2337" t="s">
        <v>76</v>
      </c>
      <c r="AD2337" t="s">
        <v>73</v>
      </c>
      <c r="AE2337" t="s">
        <v>77</v>
      </c>
      <c r="AF2337" t="s">
        <v>2228</v>
      </c>
      <c r="AG2337" t="s">
        <v>78</v>
      </c>
    </row>
    <row r="2338" spans="1:33" hidden="1" x14ac:dyDescent="0.25">
      <c r="A2338" t="str">
        <f>"1154305985"</f>
        <v>1154305985</v>
      </c>
      <c r="B2338" t="str">
        <f>"03404937"</f>
        <v>03404937</v>
      </c>
      <c r="C2338" t="s">
        <v>10231</v>
      </c>
      <c r="D2338" t="s">
        <v>10232</v>
      </c>
      <c r="E2338" t="s">
        <v>10233</v>
      </c>
      <c r="G2338" t="s">
        <v>2224</v>
      </c>
      <c r="H2338" t="s">
        <v>2225</v>
      </c>
      <c r="J2338" t="s">
        <v>2226</v>
      </c>
      <c r="L2338" t="s">
        <v>80</v>
      </c>
      <c r="M2338" t="s">
        <v>73</v>
      </c>
      <c r="R2338" t="s">
        <v>10234</v>
      </c>
      <c r="W2338" t="s">
        <v>10233</v>
      </c>
      <c r="X2338" t="s">
        <v>167</v>
      </c>
      <c r="Y2338" t="s">
        <v>91</v>
      </c>
      <c r="Z2338" t="s">
        <v>74</v>
      </c>
      <c r="AA2338" t="str">
        <f>"10032-3720"</f>
        <v>10032-3720</v>
      </c>
      <c r="AB2338" t="s">
        <v>75</v>
      </c>
      <c r="AC2338" t="s">
        <v>76</v>
      </c>
      <c r="AD2338" t="s">
        <v>73</v>
      </c>
      <c r="AE2338" t="s">
        <v>77</v>
      </c>
      <c r="AF2338" t="s">
        <v>2228</v>
      </c>
      <c r="AG2338" t="s">
        <v>78</v>
      </c>
    </row>
    <row r="2339" spans="1:33" hidden="1" x14ac:dyDescent="0.25">
      <c r="A2339" t="str">
        <f>"1699702951"</f>
        <v>1699702951</v>
      </c>
      <c r="B2339" t="str">
        <f>"02396394"</f>
        <v>02396394</v>
      </c>
      <c r="C2339" t="s">
        <v>10235</v>
      </c>
      <c r="D2339" t="s">
        <v>10236</v>
      </c>
      <c r="E2339" t="s">
        <v>10237</v>
      </c>
      <c r="G2339" t="s">
        <v>2224</v>
      </c>
      <c r="H2339" t="s">
        <v>2225</v>
      </c>
      <c r="J2339" t="s">
        <v>2226</v>
      </c>
      <c r="L2339" t="s">
        <v>72</v>
      </c>
      <c r="M2339" t="s">
        <v>82</v>
      </c>
      <c r="R2339" t="s">
        <v>10238</v>
      </c>
      <c r="W2339" t="s">
        <v>10237</v>
      </c>
      <c r="X2339" t="s">
        <v>10239</v>
      </c>
      <c r="Y2339" t="s">
        <v>91</v>
      </c>
      <c r="Z2339" t="s">
        <v>74</v>
      </c>
      <c r="AA2339" t="str">
        <f>"10032-3720"</f>
        <v>10032-3720</v>
      </c>
      <c r="AB2339" t="s">
        <v>75</v>
      </c>
      <c r="AC2339" t="s">
        <v>76</v>
      </c>
      <c r="AD2339" t="s">
        <v>73</v>
      </c>
      <c r="AE2339" t="s">
        <v>77</v>
      </c>
      <c r="AF2339" t="s">
        <v>2228</v>
      </c>
      <c r="AG2339" t="s">
        <v>78</v>
      </c>
    </row>
    <row r="2340" spans="1:33" hidden="1" x14ac:dyDescent="0.25">
      <c r="A2340" t="str">
        <f>"1689789141"</f>
        <v>1689789141</v>
      </c>
      <c r="B2340" t="str">
        <f>"00877514"</f>
        <v>00877514</v>
      </c>
      <c r="C2340" t="s">
        <v>10240</v>
      </c>
      <c r="D2340" t="s">
        <v>1692</v>
      </c>
      <c r="E2340" t="s">
        <v>1693</v>
      </c>
      <c r="G2340" t="s">
        <v>2224</v>
      </c>
      <c r="H2340" t="s">
        <v>2225</v>
      </c>
      <c r="J2340" t="s">
        <v>2226</v>
      </c>
      <c r="L2340" t="s">
        <v>80</v>
      </c>
      <c r="M2340" t="s">
        <v>82</v>
      </c>
      <c r="R2340" t="s">
        <v>1694</v>
      </c>
      <c r="W2340" t="s">
        <v>1693</v>
      </c>
      <c r="X2340" t="s">
        <v>1641</v>
      </c>
      <c r="Y2340" t="s">
        <v>91</v>
      </c>
      <c r="Z2340" t="s">
        <v>74</v>
      </c>
      <c r="AA2340" t="str">
        <f>"10023-6406"</f>
        <v>10023-6406</v>
      </c>
      <c r="AB2340" t="s">
        <v>75</v>
      </c>
      <c r="AC2340" t="s">
        <v>76</v>
      </c>
      <c r="AD2340" t="s">
        <v>73</v>
      </c>
      <c r="AE2340" t="s">
        <v>77</v>
      </c>
      <c r="AF2340" t="s">
        <v>2228</v>
      </c>
      <c r="AG2340" t="s">
        <v>78</v>
      </c>
    </row>
    <row r="2341" spans="1:33" hidden="1" x14ac:dyDescent="0.25">
      <c r="A2341" t="str">
        <f>"1497736847"</f>
        <v>1497736847</v>
      </c>
      <c r="B2341" t="str">
        <f>"02333291"</f>
        <v>02333291</v>
      </c>
      <c r="C2341" t="s">
        <v>10241</v>
      </c>
      <c r="D2341" t="s">
        <v>1386</v>
      </c>
      <c r="E2341" t="s">
        <v>1387</v>
      </c>
      <c r="G2341" t="s">
        <v>2224</v>
      </c>
      <c r="H2341" t="s">
        <v>2225</v>
      </c>
      <c r="J2341" t="s">
        <v>2226</v>
      </c>
      <c r="L2341" t="s">
        <v>80</v>
      </c>
      <c r="M2341" t="s">
        <v>73</v>
      </c>
      <c r="R2341" t="s">
        <v>1388</v>
      </c>
      <c r="W2341" t="s">
        <v>1387</v>
      </c>
      <c r="X2341" t="s">
        <v>236</v>
      </c>
      <c r="Y2341" t="s">
        <v>91</v>
      </c>
      <c r="Z2341" t="s">
        <v>74</v>
      </c>
      <c r="AA2341" t="str">
        <f>"10034-1159"</f>
        <v>10034-1159</v>
      </c>
      <c r="AB2341" t="s">
        <v>75</v>
      </c>
      <c r="AC2341" t="s">
        <v>76</v>
      </c>
      <c r="AD2341" t="s">
        <v>73</v>
      </c>
      <c r="AE2341" t="s">
        <v>77</v>
      </c>
      <c r="AF2341" t="s">
        <v>2228</v>
      </c>
      <c r="AG2341" t="s">
        <v>78</v>
      </c>
    </row>
    <row r="2342" spans="1:33" hidden="1" x14ac:dyDescent="0.25">
      <c r="A2342" t="str">
        <f>"1487668067"</f>
        <v>1487668067</v>
      </c>
      <c r="B2342" t="str">
        <f>"02426837"</f>
        <v>02426837</v>
      </c>
      <c r="C2342" t="s">
        <v>10242</v>
      </c>
      <c r="D2342" t="s">
        <v>10243</v>
      </c>
      <c r="E2342" t="s">
        <v>10244</v>
      </c>
      <c r="G2342" t="s">
        <v>2224</v>
      </c>
      <c r="H2342" t="s">
        <v>2225</v>
      </c>
      <c r="J2342" t="s">
        <v>2226</v>
      </c>
      <c r="L2342" t="s">
        <v>80</v>
      </c>
      <c r="M2342" t="s">
        <v>82</v>
      </c>
      <c r="R2342" t="s">
        <v>10245</v>
      </c>
      <c r="W2342" t="s">
        <v>10246</v>
      </c>
      <c r="X2342" t="s">
        <v>1976</v>
      </c>
      <c r="Y2342" t="s">
        <v>149</v>
      </c>
      <c r="Z2342" t="s">
        <v>74</v>
      </c>
      <c r="AA2342" t="str">
        <f>"11418"</f>
        <v>11418</v>
      </c>
      <c r="AB2342" t="s">
        <v>75</v>
      </c>
      <c r="AC2342" t="s">
        <v>76</v>
      </c>
      <c r="AD2342" t="s">
        <v>73</v>
      </c>
      <c r="AE2342" t="s">
        <v>77</v>
      </c>
      <c r="AF2342" t="s">
        <v>2228</v>
      </c>
      <c r="AG2342" t="s">
        <v>78</v>
      </c>
    </row>
    <row r="2343" spans="1:33" hidden="1" x14ac:dyDescent="0.25">
      <c r="A2343" t="str">
        <f>"1538245220"</f>
        <v>1538245220</v>
      </c>
      <c r="B2343" t="str">
        <f>"03363733"</f>
        <v>03363733</v>
      </c>
      <c r="C2343" t="s">
        <v>10247</v>
      </c>
      <c r="D2343" t="s">
        <v>10248</v>
      </c>
      <c r="E2343" t="s">
        <v>10249</v>
      </c>
      <c r="G2343" t="s">
        <v>2224</v>
      </c>
      <c r="H2343" t="s">
        <v>2225</v>
      </c>
      <c r="J2343" t="s">
        <v>2226</v>
      </c>
      <c r="L2343" t="s">
        <v>72</v>
      </c>
      <c r="M2343" t="s">
        <v>82</v>
      </c>
      <c r="R2343" t="s">
        <v>10249</v>
      </c>
      <c r="W2343" t="s">
        <v>10249</v>
      </c>
      <c r="X2343" t="s">
        <v>236</v>
      </c>
      <c r="Y2343" t="s">
        <v>91</v>
      </c>
      <c r="Z2343" t="s">
        <v>74</v>
      </c>
      <c r="AA2343" t="str">
        <f>"10034-1159"</f>
        <v>10034-1159</v>
      </c>
      <c r="AB2343" t="s">
        <v>75</v>
      </c>
      <c r="AC2343" t="s">
        <v>76</v>
      </c>
      <c r="AD2343" t="s">
        <v>73</v>
      </c>
      <c r="AE2343" t="s">
        <v>77</v>
      </c>
      <c r="AF2343" t="s">
        <v>2228</v>
      </c>
      <c r="AG2343" t="s">
        <v>78</v>
      </c>
    </row>
    <row r="2344" spans="1:33" hidden="1" x14ac:dyDescent="0.25">
      <c r="A2344" t="str">
        <f>"1811153596"</f>
        <v>1811153596</v>
      </c>
      <c r="B2344" t="str">
        <f>"03027369"</f>
        <v>03027369</v>
      </c>
      <c r="C2344" t="s">
        <v>10250</v>
      </c>
      <c r="D2344" t="s">
        <v>10251</v>
      </c>
      <c r="E2344" t="s">
        <v>10252</v>
      </c>
      <c r="G2344" t="s">
        <v>2224</v>
      </c>
      <c r="H2344" t="s">
        <v>2225</v>
      </c>
      <c r="J2344" t="s">
        <v>2226</v>
      </c>
      <c r="L2344" t="s">
        <v>80</v>
      </c>
      <c r="M2344" t="s">
        <v>82</v>
      </c>
      <c r="R2344" t="s">
        <v>10253</v>
      </c>
      <c r="W2344" t="s">
        <v>10254</v>
      </c>
      <c r="X2344" t="s">
        <v>236</v>
      </c>
      <c r="Y2344" t="s">
        <v>91</v>
      </c>
      <c r="Z2344" t="s">
        <v>74</v>
      </c>
      <c r="AA2344" t="str">
        <f>"10034-1159"</f>
        <v>10034-1159</v>
      </c>
      <c r="AB2344" t="s">
        <v>75</v>
      </c>
      <c r="AC2344" t="s">
        <v>76</v>
      </c>
      <c r="AD2344" t="s">
        <v>73</v>
      </c>
      <c r="AE2344" t="s">
        <v>77</v>
      </c>
      <c r="AF2344" t="s">
        <v>2228</v>
      </c>
      <c r="AG2344" t="s">
        <v>78</v>
      </c>
    </row>
    <row r="2345" spans="1:33" hidden="1" x14ac:dyDescent="0.25">
      <c r="A2345" t="str">
        <f>"1245438928"</f>
        <v>1245438928</v>
      </c>
      <c r="B2345" t="str">
        <f>"03968590"</f>
        <v>03968590</v>
      </c>
      <c r="C2345" t="s">
        <v>10255</v>
      </c>
      <c r="D2345" t="s">
        <v>10256</v>
      </c>
      <c r="E2345" t="s">
        <v>10257</v>
      </c>
      <c r="G2345" t="s">
        <v>2224</v>
      </c>
      <c r="H2345" t="s">
        <v>2225</v>
      </c>
      <c r="J2345" t="s">
        <v>2226</v>
      </c>
      <c r="L2345" t="s">
        <v>72</v>
      </c>
      <c r="M2345" t="s">
        <v>73</v>
      </c>
      <c r="R2345" t="s">
        <v>10258</v>
      </c>
      <c r="W2345" t="s">
        <v>10257</v>
      </c>
      <c r="X2345" t="s">
        <v>1627</v>
      </c>
      <c r="Y2345" t="s">
        <v>91</v>
      </c>
      <c r="Z2345" t="s">
        <v>74</v>
      </c>
      <c r="AA2345" t="str">
        <f>"10032-3729"</f>
        <v>10032-3729</v>
      </c>
      <c r="AB2345" t="s">
        <v>75</v>
      </c>
      <c r="AC2345" t="s">
        <v>76</v>
      </c>
      <c r="AD2345" t="s">
        <v>73</v>
      </c>
      <c r="AE2345" t="s">
        <v>77</v>
      </c>
      <c r="AF2345" t="s">
        <v>2228</v>
      </c>
      <c r="AG2345" t="s">
        <v>78</v>
      </c>
    </row>
    <row r="2346" spans="1:33" hidden="1" x14ac:dyDescent="0.25">
      <c r="A2346" t="str">
        <f>"1639338262"</f>
        <v>1639338262</v>
      </c>
      <c r="B2346" t="str">
        <f>"03375582"</f>
        <v>03375582</v>
      </c>
      <c r="C2346" t="s">
        <v>10259</v>
      </c>
      <c r="D2346" t="s">
        <v>10260</v>
      </c>
      <c r="E2346" t="s">
        <v>10261</v>
      </c>
      <c r="G2346" t="s">
        <v>2224</v>
      </c>
      <c r="H2346" t="s">
        <v>2225</v>
      </c>
      <c r="J2346" t="s">
        <v>2226</v>
      </c>
      <c r="L2346" t="s">
        <v>72</v>
      </c>
      <c r="M2346" t="s">
        <v>73</v>
      </c>
      <c r="R2346" t="s">
        <v>10262</v>
      </c>
      <c r="W2346" t="s">
        <v>10263</v>
      </c>
      <c r="X2346" t="s">
        <v>496</v>
      </c>
      <c r="Y2346" t="s">
        <v>91</v>
      </c>
      <c r="Z2346" t="s">
        <v>74</v>
      </c>
      <c r="AA2346" t="str">
        <f>"10032-3726"</f>
        <v>10032-3726</v>
      </c>
      <c r="AB2346" t="s">
        <v>75</v>
      </c>
      <c r="AC2346" t="s">
        <v>76</v>
      </c>
      <c r="AD2346" t="s">
        <v>73</v>
      </c>
      <c r="AE2346" t="s">
        <v>77</v>
      </c>
      <c r="AF2346" t="s">
        <v>2228</v>
      </c>
      <c r="AG2346" t="s">
        <v>78</v>
      </c>
    </row>
    <row r="2347" spans="1:33" hidden="1" x14ac:dyDescent="0.25">
      <c r="A2347" t="str">
        <f>"1326087628"</f>
        <v>1326087628</v>
      </c>
      <c r="B2347" t="str">
        <f>"02052757"</f>
        <v>02052757</v>
      </c>
      <c r="C2347" t="s">
        <v>10264</v>
      </c>
      <c r="D2347" t="s">
        <v>10265</v>
      </c>
      <c r="E2347" t="s">
        <v>10266</v>
      </c>
      <c r="G2347" t="s">
        <v>2224</v>
      </c>
      <c r="H2347" t="s">
        <v>2225</v>
      </c>
      <c r="J2347" t="s">
        <v>2226</v>
      </c>
      <c r="L2347" t="s">
        <v>80</v>
      </c>
      <c r="M2347" t="s">
        <v>73</v>
      </c>
      <c r="R2347" t="s">
        <v>10267</v>
      </c>
      <c r="W2347" t="s">
        <v>10266</v>
      </c>
      <c r="X2347" t="s">
        <v>10268</v>
      </c>
      <c r="Y2347" t="s">
        <v>91</v>
      </c>
      <c r="Z2347" t="s">
        <v>74</v>
      </c>
      <c r="AA2347" t="str">
        <f>"10065-4870"</f>
        <v>10065-4870</v>
      </c>
      <c r="AB2347" t="s">
        <v>75</v>
      </c>
      <c r="AC2347" t="s">
        <v>76</v>
      </c>
      <c r="AD2347" t="s">
        <v>73</v>
      </c>
      <c r="AE2347" t="s">
        <v>77</v>
      </c>
      <c r="AF2347" t="s">
        <v>2242</v>
      </c>
      <c r="AG2347" t="s">
        <v>78</v>
      </c>
    </row>
    <row r="2348" spans="1:33" hidden="1" x14ac:dyDescent="0.25">
      <c r="A2348" t="str">
        <f>"1497711790"</f>
        <v>1497711790</v>
      </c>
      <c r="B2348" t="str">
        <f>"02490233"</f>
        <v>02490233</v>
      </c>
      <c r="C2348" t="s">
        <v>10269</v>
      </c>
      <c r="D2348" t="s">
        <v>10270</v>
      </c>
      <c r="E2348" t="s">
        <v>10271</v>
      </c>
      <c r="G2348" t="s">
        <v>2224</v>
      </c>
      <c r="H2348" t="s">
        <v>2225</v>
      </c>
      <c r="J2348" t="s">
        <v>2226</v>
      </c>
      <c r="L2348" t="s">
        <v>80</v>
      </c>
      <c r="M2348" t="s">
        <v>82</v>
      </c>
      <c r="R2348" t="s">
        <v>10272</v>
      </c>
      <c r="W2348" t="s">
        <v>10271</v>
      </c>
      <c r="X2348" t="s">
        <v>250</v>
      </c>
      <c r="Y2348" t="s">
        <v>149</v>
      </c>
      <c r="Z2348" t="s">
        <v>74</v>
      </c>
      <c r="AA2348" t="str">
        <f>"11418-2821"</f>
        <v>11418-2821</v>
      </c>
      <c r="AB2348" t="s">
        <v>75</v>
      </c>
      <c r="AC2348" t="s">
        <v>76</v>
      </c>
      <c r="AD2348" t="s">
        <v>73</v>
      </c>
      <c r="AE2348" t="s">
        <v>77</v>
      </c>
      <c r="AF2348" t="s">
        <v>2228</v>
      </c>
      <c r="AG2348" t="s">
        <v>78</v>
      </c>
    </row>
    <row r="2349" spans="1:33" hidden="1" x14ac:dyDescent="0.25">
      <c r="A2349" t="str">
        <f>"1891821286"</f>
        <v>1891821286</v>
      </c>
      <c r="B2349" t="str">
        <f>"03572570"</f>
        <v>03572570</v>
      </c>
      <c r="C2349" t="s">
        <v>10273</v>
      </c>
      <c r="D2349" t="s">
        <v>10274</v>
      </c>
      <c r="E2349" t="s">
        <v>10275</v>
      </c>
      <c r="G2349" t="s">
        <v>2224</v>
      </c>
      <c r="H2349" t="s">
        <v>2225</v>
      </c>
      <c r="J2349" t="s">
        <v>2226</v>
      </c>
      <c r="L2349" t="s">
        <v>72</v>
      </c>
      <c r="M2349" t="s">
        <v>73</v>
      </c>
      <c r="R2349" t="s">
        <v>10276</v>
      </c>
      <c r="W2349" t="s">
        <v>10275</v>
      </c>
      <c r="X2349" t="s">
        <v>496</v>
      </c>
      <c r="Y2349" t="s">
        <v>91</v>
      </c>
      <c r="Z2349" t="s">
        <v>74</v>
      </c>
      <c r="AA2349" t="str">
        <f>"10032-3726"</f>
        <v>10032-3726</v>
      </c>
      <c r="AB2349" t="s">
        <v>75</v>
      </c>
      <c r="AC2349" t="s">
        <v>76</v>
      </c>
      <c r="AD2349" t="s">
        <v>73</v>
      </c>
      <c r="AE2349" t="s">
        <v>77</v>
      </c>
      <c r="AF2349" t="s">
        <v>2228</v>
      </c>
      <c r="AG2349" t="s">
        <v>78</v>
      </c>
    </row>
    <row r="2350" spans="1:33" hidden="1" x14ac:dyDescent="0.25">
      <c r="A2350" t="str">
        <f>"1922104348"</f>
        <v>1922104348</v>
      </c>
      <c r="B2350" t="str">
        <f>"01601454"</f>
        <v>01601454</v>
      </c>
      <c r="C2350" t="s">
        <v>10277</v>
      </c>
      <c r="D2350" t="s">
        <v>10278</v>
      </c>
      <c r="E2350" t="s">
        <v>10279</v>
      </c>
      <c r="G2350" t="s">
        <v>2224</v>
      </c>
      <c r="H2350" t="s">
        <v>2225</v>
      </c>
      <c r="J2350" t="s">
        <v>2226</v>
      </c>
      <c r="L2350" t="s">
        <v>72</v>
      </c>
      <c r="M2350" t="s">
        <v>73</v>
      </c>
      <c r="R2350" t="s">
        <v>10280</v>
      </c>
      <c r="W2350" t="s">
        <v>10279</v>
      </c>
      <c r="X2350" t="s">
        <v>3771</v>
      </c>
      <c r="Y2350" t="s">
        <v>91</v>
      </c>
      <c r="Z2350" t="s">
        <v>74</v>
      </c>
      <c r="AA2350" t="str">
        <f>"10021-4635"</f>
        <v>10021-4635</v>
      </c>
      <c r="AB2350" t="s">
        <v>75</v>
      </c>
      <c r="AC2350" t="s">
        <v>76</v>
      </c>
      <c r="AD2350" t="s">
        <v>73</v>
      </c>
      <c r="AE2350" t="s">
        <v>77</v>
      </c>
      <c r="AF2350" t="s">
        <v>2242</v>
      </c>
      <c r="AG2350" t="s">
        <v>78</v>
      </c>
    </row>
    <row r="2351" spans="1:33" hidden="1" x14ac:dyDescent="0.25">
      <c r="A2351" t="str">
        <f>"1578829453"</f>
        <v>1578829453</v>
      </c>
      <c r="C2351" t="s">
        <v>10281</v>
      </c>
      <c r="G2351" t="s">
        <v>2224</v>
      </c>
      <c r="H2351" t="s">
        <v>2225</v>
      </c>
      <c r="J2351" t="s">
        <v>2226</v>
      </c>
      <c r="K2351" t="s">
        <v>93</v>
      </c>
      <c r="L2351" t="s">
        <v>96</v>
      </c>
      <c r="M2351" t="s">
        <v>73</v>
      </c>
      <c r="R2351" t="s">
        <v>10282</v>
      </c>
      <c r="S2351" t="s">
        <v>10283</v>
      </c>
      <c r="T2351" t="s">
        <v>1188</v>
      </c>
      <c r="U2351" t="s">
        <v>597</v>
      </c>
      <c r="V2351" t="str">
        <f>"981950001"</f>
        <v>981950001</v>
      </c>
      <c r="AC2351" t="s">
        <v>76</v>
      </c>
      <c r="AD2351" t="s">
        <v>73</v>
      </c>
      <c r="AE2351" t="s">
        <v>97</v>
      </c>
      <c r="AF2351" t="s">
        <v>2234</v>
      </c>
      <c r="AG2351" t="s">
        <v>78</v>
      </c>
    </row>
    <row r="2352" spans="1:33" hidden="1" x14ac:dyDescent="0.25">
      <c r="A2352" t="str">
        <f>"1194081984"</f>
        <v>1194081984</v>
      </c>
      <c r="B2352" t="str">
        <f>"04155928"</f>
        <v>04155928</v>
      </c>
      <c r="C2352" t="s">
        <v>10284</v>
      </c>
      <c r="D2352" t="s">
        <v>10285</v>
      </c>
      <c r="E2352" t="s">
        <v>10286</v>
      </c>
      <c r="G2352" t="s">
        <v>2224</v>
      </c>
      <c r="H2352" t="s">
        <v>2225</v>
      </c>
      <c r="J2352" t="s">
        <v>2226</v>
      </c>
      <c r="L2352" t="s">
        <v>72</v>
      </c>
      <c r="M2352" t="s">
        <v>73</v>
      </c>
      <c r="R2352" t="s">
        <v>10286</v>
      </c>
      <c r="W2352" t="s">
        <v>10286</v>
      </c>
      <c r="X2352" t="s">
        <v>1695</v>
      </c>
      <c r="Y2352" t="s">
        <v>91</v>
      </c>
      <c r="Z2352" t="s">
        <v>74</v>
      </c>
      <c r="AA2352" t="str">
        <f>"10032"</f>
        <v>10032</v>
      </c>
      <c r="AB2352" t="s">
        <v>75</v>
      </c>
      <c r="AC2352" t="s">
        <v>76</v>
      </c>
      <c r="AD2352" t="s">
        <v>73</v>
      </c>
      <c r="AE2352" t="s">
        <v>77</v>
      </c>
      <c r="AF2352" t="s">
        <v>2228</v>
      </c>
      <c r="AG2352" t="s">
        <v>78</v>
      </c>
    </row>
    <row r="2353" spans="1:33" hidden="1" x14ac:dyDescent="0.25">
      <c r="A2353" t="str">
        <f>"1962778902"</f>
        <v>1962778902</v>
      </c>
      <c r="C2353" t="s">
        <v>10287</v>
      </c>
      <c r="G2353" t="s">
        <v>2224</v>
      </c>
      <c r="H2353" t="s">
        <v>2225</v>
      </c>
      <c r="J2353" t="s">
        <v>2226</v>
      </c>
      <c r="K2353" t="s">
        <v>93</v>
      </c>
      <c r="L2353" t="s">
        <v>96</v>
      </c>
      <c r="M2353" t="s">
        <v>73</v>
      </c>
      <c r="R2353" t="s">
        <v>10288</v>
      </c>
      <c r="S2353" t="s">
        <v>167</v>
      </c>
      <c r="T2353" t="s">
        <v>91</v>
      </c>
      <c r="U2353" t="s">
        <v>74</v>
      </c>
      <c r="V2353" t="str">
        <f>"100323720"</f>
        <v>100323720</v>
      </c>
      <c r="AC2353" t="s">
        <v>76</v>
      </c>
      <c r="AD2353" t="s">
        <v>73</v>
      </c>
      <c r="AE2353" t="s">
        <v>97</v>
      </c>
      <c r="AF2353" t="s">
        <v>2234</v>
      </c>
      <c r="AG2353" t="s">
        <v>78</v>
      </c>
    </row>
    <row r="2354" spans="1:33" hidden="1" x14ac:dyDescent="0.25">
      <c r="A2354" t="str">
        <f>"1447518923"</f>
        <v>1447518923</v>
      </c>
      <c r="C2354" t="s">
        <v>10289</v>
      </c>
      <c r="G2354" t="s">
        <v>2224</v>
      </c>
      <c r="H2354" t="s">
        <v>2225</v>
      </c>
      <c r="J2354" t="s">
        <v>2226</v>
      </c>
      <c r="K2354" t="s">
        <v>93</v>
      </c>
      <c r="L2354" t="s">
        <v>96</v>
      </c>
      <c r="M2354" t="s">
        <v>73</v>
      </c>
      <c r="R2354" t="s">
        <v>10290</v>
      </c>
      <c r="S2354" t="s">
        <v>10291</v>
      </c>
      <c r="T2354" t="s">
        <v>91</v>
      </c>
      <c r="U2354" t="s">
        <v>74</v>
      </c>
      <c r="V2354" t="str">
        <f>"100234199"</f>
        <v>100234199</v>
      </c>
      <c r="AC2354" t="s">
        <v>76</v>
      </c>
      <c r="AD2354" t="s">
        <v>73</v>
      </c>
      <c r="AE2354" t="s">
        <v>97</v>
      </c>
      <c r="AF2354" t="s">
        <v>2234</v>
      </c>
      <c r="AG2354" t="s">
        <v>78</v>
      </c>
    </row>
    <row r="2355" spans="1:33" hidden="1" x14ac:dyDescent="0.25">
      <c r="A2355" t="str">
        <f>"1952667107"</f>
        <v>1952667107</v>
      </c>
      <c r="C2355" t="s">
        <v>10292</v>
      </c>
      <c r="G2355" t="s">
        <v>2224</v>
      </c>
      <c r="H2355" t="s">
        <v>2225</v>
      </c>
      <c r="J2355" t="s">
        <v>2226</v>
      </c>
      <c r="K2355" t="s">
        <v>93</v>
      </c>
      <c r="L2355" t="s">
        <v>96</v>
      </c>
      <c r="M2355" t="s">
        <v>73</v>
      </c>
      <c r="R2355" t="s">
        <v>10293</v>
      </c>
      <c r="S2355" t="s">
        <v>10294</v>
      </c>
      <c r="T2355" t="s">
        <v>928</v>
      </c>
      <c r="U2355" t="s">
        <v>929</v>
      </c>
      <c r="V2355" t="str">
        <f>"782294365"</f>
        <v>782294365</v>
      </c>
      <c r="AC2355" t="s">
        <v>76</v>
      </c>
      <c r="AD2355" t="s">
        <v>73</v>
      </c>
      <c r="AE2355" t="s">
        <v>97</v>
      </c>
      <c r="AF2355" t="s">
        <v>2234</v>
      </c>
      <c r="AG2355" t="s">
        <v>78</v>
      </c>
    </row>
    <row r="2356" spans="1:33" hidden="1" x14ac:dyDescent="0.25">
      <c r="A2356" t="str">
        <f>"1255607669"</f>
        <v>1255607669</v>
      </c>
      <c r="C2356" t="s">
        <v>10295</v>
      </c>
      <c r="G2356" t="s">
        <v>2224</v>
      </c>
      <c r="H2356" t="s">
        <v>2225</v>
      </c>
      <c r="J2356" t="s">
        <v>2226</v>
      </c>
      <c r="K2356" t="s">
        <v>93</v>
      </c>
      <c r="L2356" t="s">
        <v>96</v>
      </c>
      <c r="M2356" t="s">
        <v>73</v>
      </c>
      <c r="R2356" t="s">
        <v>10296</v>
      </c>
      <c r="S2356" t="s">
        <v>1749</v>
      </c>
      <c r="T2356" t="s">
        <v>91</v>
      </c>
      <c r="U2356" t="s">
        <v>74</v>
      </c>
      <c r="V2356" t="str">
        <f>"100295204"</f>
        <v>100295204</v>
      </c>
      <c r="AC2356" t="s">
        <v>76</v>
      </c>
      <c r="AD2356" t="s">
        <v>73</v>
      </c>
      <c r="AE2356" t="s">
        <v>97</v>
      </c>
      <c r="AF2356" t="s">
        <v>2234</v>
      </c>
      <c r="AG2356" t="s">
        <v>78</v>
      </c>
    </row>
    <row r="2357" spans="1:33" hidden="1" x14ac:dyDescent="0.25">
      <c r="A2357" t="str">
        <f>"1447517461"</f>
        <v>1447517461</v>
      </c>
      <c r="C2357" t="s">
        <v>10297</v>
      </c>
      <c r="G2357" t="s">
        <v>2224</v>
      </c>
      <c r="H2357" t="s">
        <v>2225</v>
      </c>
      <c r="J2357" t="s">
        <v>2226</v>
      </c>
      <c r="K2357" t="s">
        <v>93</v>
      </c>
      <c r="L2357" t="s">
        <v>96</v>
      </c>
      <c r="M2357" t="s">
        <v>73</v>
      </c>
      <c r="R2357" t="s">
        <v>10298</v>
      </c>
      <c r="S2357" t="s">
        <v>354</v>
      </c>
      <c r="T2357" t="s">
        <v>91</v>
      </c>
      <c r="U2357" t="s">
        <v>74</v>
      </c>
      <c r="V2357" t="str">
        <f>"100323725"</f>
        <v>100323725</v>
      </c>
      <c r="AC2357" t="s">
        <v>76</v>
      </c>
      <c r="AD2357" t="s">
        <v>73</v>
      </c>
      <c r="AE2357" t="s">
        <v>97</v>
      </c>
      <c r="AF2357" t="s">
        <v>2228</v>
      </c>
      <c r="AG2357" t="s">
        <v>78</v>
      </c>
    </row>
    <row r="2358" spans="1:33" hidden="1" x14ac:dyDescent="0.25">
      <c r="A2358" t="str">
        <f>"1386910388"</f>
        <v>1386910388</v>
      </c>
      <c r="C2358" t="s">
        <v>10299</v>
      </c>
      <c r="G2358" t="s">
        <v>2224</v>
      </c>
      <c r="H2358" t="s">
        <v>2225</v>
      </c>
      <c r="J2358" t="s">
        <v>2226</v>
      </c>
      <c r="K2358" t="s">
        <v>93</v>
      </c>
      <c r="L2358" t="s">
        <v>96</v>
      </c>
      <c r="M2358" t="s">
        <v>73</v>
      </c>
      <c r="R2358" t="s">
        <v>10300</v>
      </c>
      <c r="S2358" t="s">
        <v>10301</v>
      </c>
      <c r="T2358" t="s">
        <v>1966</v>
      </c>
      <c r="U2358" t="s">
        <v>578</v>
      </c>
      <c r="V2358" t="str">
        <f>"902912302"</f>
        <v>902912302</v>
      </c>
      <c r="AC2358" t="s">
        <v>76</v>
      </c>
      <c r="AD2358" t="s">
        <v>73</v>
      </c>
      <c r="AE2358" t="s">
        <v>97</v>
      </c>
      <c r="AF2358" t="s">
        <v>2234</v>
      </c>
      <c r="AG2358" t="s">
        <v>78</v>
      </c>
    </row>
    <row r="2359" spans="1:33" hidden="1" x14ac:dyDescent="0.25">
      <c r="A2359" t="str">
        <f>"1659630192"</f>
        <v>1659630192</v>
      </c>
      <c r="C2359" t="s">
        <v>10302</v>
      </c>
      <c r="G2359" t="s">
        <v>2224</v>
      </c>
      <c r="H2359" t="s">
        <v>2225</v>
      </c>
      <c r="J2359" t="s">
        <v>2226</v>
      </c>
      <c r="K2359" t="s">
        <v>93</v>
      </c>
      <c r="L2359" t="s">
        <v>96</v>
      </c>
      <c r="M2359" t="s">
        <v>73</v>
      </c>
      <c r="R2359" t="s">
        <v>10303</v>
      </c>
      <c r="S2359" t="s">
        <v>10304</v>
      </c>
      <c r="T2359" t="s">
        <v>2211</v>
      </c>
      <c r="U2359" t="s">
        <v>209</v>
      </c>
      <c r="V2359" t="str">
        <f>"613541472"</f>
        <v>613541472</v>
      </c>
      <c r="AC2359" t="s">
        <v>76</v>
      </c>
      <c r="AD2359" t="s">
        <v>73</v>
      </c>
      <c r="AE2359" t="s">
        <v>97</v>
      </c>
      <c r="AF2359" t="s">
        <v>2234</v>
      </c>
      <c r="AG2359" t="s">
        <v>78</v>
      </c>
    </row>
    <row r="2360" spans="1:33" hidden="1" x14ac:dyDescent="0.25">
      <c r="A2360" t="str">
        <f>"1528326345"</f>
        <v>1528326345</v>
      </c>
      <c r="B2360" t="str">
        <f>"04166749"</f>
        <v>04166749</v>
      </c>
      <c r="C2360" t="s">
        <v>10305</v>
      </c>
      <c r="D2360" t="s">
        <v>10306</v>
      </c>
      <c r="E2360" t="s">
        <v>10307</v>
      </c>
      <c r="G2360" t="s">
        <v>2224</v>
      </c>
      <c r="H2360" t="s">
        <v>2225</v>
      </c>
      <c r="J2360" t="s">
        <v>2226</v>
      </c>
      <c r="L2360" t="s">
        <v>72</v>
      </c>
      <c r="M2360" t="s">
        <v>73</v>
      </c>
      <c r="R2360" t="s">
        <v>10308</v>
      </c>
      <c r="W2360" t="s">
        <v>10307</v>
      </c>
      <c r="X2360" t="s">
        <v>222</v>
      </c>
      <c r="Y2360" t="s">
        <v>91</v>
      </c>
      <c r="Z2360" t="s">
        <v>74</v>
      </c>
      <c r="AA2360" t="str">
        <f>"10016-9196"</f>
        <v>10016-9196</v>
      </c>
      <c r="AB2360" t="s">
        <v>75</v>
      </c>
      <c r="AC2360" t="s">
        <v>76</v>
      </c>
      <c r="AD2360" t="s">
        <v>73</v>
      </c>
      <c r="AE2360" t="s">
        <v>77</v>
      </c>
      <c r="AF2360" t="s">
        <v>2234</v>
      </c>
      <c r="AG2360" t="s">
        <v>78</v>
      </c>
    </row>
    <row r="2361" spans="1:33" hidden="1" x14ac:dyDescent="0.25">
      <c r="A2361" t="str">
        <f>"1972861300"</f>
        <v>1972861300</v>
      </c>
      <c r="C2361" t="s">
        <v>10309</v>
      </c>
      <c r="G2361" t="s">
        <v>2224</v>
      </c>
      <c r="H2361" t="s">
        <v>2225</v>
      </c>
      <c r="J2361" t="s">
        <v>2226</v>
      </c>
      <c r="K2361" t="s">
        <v>93</v>
      </c>
      <c r="L2361" t="s">
        <v>96</v>
      </c>
      <c r="M2361" t="s">
        <v>73</v>
      </c>
      <c r="R2361" t="s">
        <v>10310</v>
      </c>
      <c r="S2361" t="s">
        <v>10311</v>
      </c>
      <c r="T2361" t="s">
        <v>91</v>
      </c>
      <c r="U2361" t="s">
        <v>74</v>
      </c>
      <c r="V2361" t="str">
        <f>"100323725"</f>
        <v>100323725</v>
      </c>
      <c r="AC2361" t="s">
        <v>76</v>
      </c>
      <c r="AD2361" t="s">
        <v>73</v>
      </c>
      <c r="AE2361" t="s">
        <v>97</v>
      </c>
      <c r="AF2361" t="s">
        <v>2234</v>
      </c>
      <c r="AG2361" t="s">
        <v>78</v>
      </c>
    </row>
    <row r="2362" spans="1:33" hidden="1" x14ac:dyDescent="0.25">
      <c r="A2362" t="str">
        <f>"1366708737"</f>
        <v>1366708737</v>
      </c>
      <c r="B2362" t="str">
        <f>"04312149"</f>
        <v>04312149</v>
      </c>
      <c r="C2362" t="s">
        <v>10312</v>
      </c>
      <c r="D2362" t="s">
        <v>10313</v>
      </c>
      <c r="E2362" t="s">
        <v>10314</v>
      </c>
      <c r="G2362" t="s">
        <v>2224</v>
      </c>
      <c r="H2362" t="s">
        <v>2225</v>
      </c>
      <c r="J2362" t="s">
        <v>2226</v>
      </c>
      <c r="L2362" t="s">
        <v>72</v>
      </c>
      <c r="M2362" t="s">
        <v>73</v>
      </c>
      <c r="R2362" t="s">
        <v>10315</v>
      </c>
      <c r="W2362" t="s">
        <v>10314</v>
      </c>
      <c r="X2362" t="s">
        <v>238</v>
      </c>
      <c r="Y2362" t="s">
        <v>91</v>
      </c>
      <c r="Z2362" t="s">
        <v>74</v>
      </c>
      <c r="AA2362" t="str">
        <f>"10065-6007"</f>
        <v>10065-6007</v>
      </c>
      <c r="AB2362" t="s">
        <v>75</v>
      </c>
      <c r="AC2362" t="s">
        <v>76</v>
      </c>
      <c r="AD2362" t="s">
        <v>73</v>
      </c>
      <c r="AE2362" t="s">
        <v>77</v>
      </c>
      <c r="AF2362" t="s">
        <v>2234</v>
      </c>
      <c r="AG2362" t="s">
        <v>78</v>
      </c>
    </row>
    <row r="2363" spans="1:33" hidden="1" x14ac:dyDescent="0.25">
      <c r="A2363" t="str">
        <f>"1831457811"</f>
        <v>1831457811</v>
      </c>
      <c r="C2363" t="s">
        <v>10316</v>
      </c>
      <c r="G2363" t="s">
        <v>2224</v>
      </c>
      <c r="H2363" t="s">
        <v>2225</v>
      </c>
      <c r="J2363" t="s">
        <v>2226</v>
      </c>
      <c r="K2363" t="s">
        <v>93</v>
      </c>
      <c r="L2363" t="s">
        <v>96</v>
      </c>
      <c r="M2363" t="s">
        <v>73</v>
      </c>
      <c r="R2363" t="s">
        <v>10317</v>
      </c>
      <c r="S2363" t="s">
        <v>10318</v>
      </c>
      <c r="T2363" t="s">
        <v>567</v>
      </c>
      <c r="U2363" t="s">
        <v>111</v>
      </c>
      <c r="V2363" t="str">
        <f>"021143117"</f>
        <v>021143117</v>
      </c>
      <c r="AC2363" t="s">
        <v>76</v>
      </c>
      <c r="AD2363" t="s">
        <v>73</v>
      </c>
      <c r="AE2363" t="s">
        <v>97</v>
      </c>
      <c r="AF2363" t="s">
        <v>2234</v>
      </c>
      <c r="AG2363" t="s">
        <v>78</v>
      </c>
    </row>
    <row r="2364" spans="1:33" hidden="1" x14ac:dyDescent="0.25">
      <c r="A2364" t="str">
        <f>"1962760819"</f>
        <v>1962760819</v>
      </c>
      <c r="B2364" t="str">
        <f>"04230219"</f>
        <v>04230219</v>
      </c>
      <c r="C2364" t="s">
        <v>10319</v>
      </c>
      <c r="D2364" t="s">
        <v>10320</v>
      </c>
      <c r="E2364" t="s">
        <v>10321</v>
      </c>
      <c r="G2364" t="s">
        <v>2224</v>
      </c>
      <c r="H2364" t="s">
        <v>2225</v>
      </c>
      <c r="J2364" t="s">
        <v>2226</v>
      </c>
      <c r="L2364" t="s">
        <v>72</v>
      </c>
      <c r="M2364" t="s">
        <v>73</v>
      </c>
      <c r="R2364" t="s">
        <v>10321</v>
      </c>
      <c r="W2364" t="s">
        <v>10322</v>
      </c>
      <c r="X2364" t="s">
        <v>1707</v>
      </c>
      <c r="Y2364" t="s">
        <v>91</v>
      </c>
      <c r="Z2364" t="s">
        <v>74</v>
      </c>
      <c r="AA2364" t="str">
        <f>"10032-3720"</f>
        <v>10032-3720</v>
      </c>
      <c r="AB2364" t="s">
        <v>75</v>
      </c>
      <c r="AC2364" t="s">
        <v>76</v>
      </c>
      <c r="AD2364" t="s">
        <v>73</v>
      </c>
      <c r="AE2364" t="s">
        <v>77</v>
      </c>
      <c r="AF2364" t="s">
        <v>2228</v>
      </c>
      <c r="AG2364" t="s">
        <v>78</v>
      </c>
    </row>
    <row r="2365" spans="1:33" hidden="1" x14ac:dyDescent="0.25">
      <c r="A2365" t="str">
        <f>"1255697397"</f>
        <v>1255697397</v>
      </c>
      <c r="C2365" t="s">
        <v>10323</v>
      </c>
      <c r="G2365" t="s">
        <v>2224</v>
      </c>
      <c r="H2365" t="s">
        <v>2225</v>
      </c>
      <c r="J2365" t="s">
        <v>2226</v>
      </c>
      <c r="K2365" t="s">
        <v>93</v>
      </c>
      <c r="L2365" t="s">
        <v>96</v>
      </c>
      <c r="M2365" t="s">
        <v>73</v>
      </c>
      <c r="R2365" t="s">
        <v>10324</v>
      </c>
      <c r="S2365" t="s">
        <v>10325</v>
      </c>
      <c r="T2365" t="s">
        <v>1171</v>
      </c>
      <c r="U2365" t="s">
        <v>362</v>
      </c>
      <c r="V2365" t="str">
        <f>"372322650"</f>
        <v>372322650</v>
      </c>
      <c r="AC2365" t="s">
        <v>76</v>
      </c>
      <c r="AD2365" t="s">
        <v>73</v>
      </c>
      <c r="AE2365" t="s">
        <v>97</v>
      </c>
      <c r="AF2365" t="s">
        <v>2234</v>
      </c>
      <c r="AG2365" t="s">
        <v>78</v>
      </c>
    </row>
    <row r="2366" spans="1:33" hidden="1" x14ac:dyDescent="0.25">
      <c r="A2366" t="str">
        <f>"1538426242"</f>
        <v>1538426242</v>
      </c>
      <c r="C2366" t="s">
        <v>10326</v>
      </c>
      <c r="G2366" t="s">
        <v>2224</v>
      </c>
      <c r="H2366" t="s">
        <v>2225</v>
      </c>
      <c r="J2366" t="s">
        <v>2226</v>
      </c>
      <c r="K2366" t="s">
        <v>93</v>
      </c>
      <c r="L2366" t="s">
        <v>96</v>
      </c>
      <c r="M2366" t="s">
        <v>73</v>
      </c>
      <c r="R2366" t="s">
        <v>10327</v>
      </c>
      <c r="S2366" t="s">
        <v>334</v>
      </c>
      <c r="T2366" t="s">
        <v>91</v>
      </c>
      <c r="U2366" t="s">
        <v>74</v>
      </c>
      <c r="V2366" t="str">
        <f>"100166402"</f>
        <v>100166402</v>
      </c>
      <c r="AC2366" t="s">
        <v>76</v>
      </c>
      <c r="AD2366" t="s">
        <v>73</v>
      </c>
      <c r="AE2366" t="s">
        <v>97</v>
      </c>
      <c r="AF2366" t="s">
        <v>2234</v>
      </c>
      <c r="AG2366" t="s">
        <v>78</v>
      </c>
    </row>
    <row r="2367" spans="1:33" hidden="1" x14ac:dyDescent="0.25">
      <c r="A2367" t="str">
        <f>"1124393251"</f>
        <v>1124393251</v>
      </c>
      <c r="C2367" t="s">
        <v>10328</v>
      </c>
      <c r="G2367" t="s">
        <v>2224</v>
      </c>
      <c r="H2367" t="s">
        <v>2225</v>
      </c>
      <c r="J2367" t="s">
        <v>2226</v>
      </c>
      <c r="K2367" t="s">
        <v>93</v>
      </c>
      <c r="L2367" t="s">
        <v>96</v>
      </c>
      <c r="M2367" t="s">
        <v>73</v>
      </c>
      <c r="R2367" t="s">
        <v>1540</v>
      </c>
      <c r="S2367" t="s">
        <v>10329</v>
      </c>
      <c r="T2367" t="s">
        <v>91</v>
      </c>
      <c r="U2367" t="s">
        <v>74</v>
      </c>
      <c r="V2367" t="str">
        <f>"100323720"</f>
        <v>100323720</v>
      </c>
      <c r="AC2367" t="s">
        <v>76</v>
      </c>
      <c r="AD2367" t="s">
        <v>73</v>
      </c>
      <c r="AE2367" t="s">
        <v>97</v>
      </c>
      <c r="AF2367" t="s">
        <v>2228</v>
      </c>
      <c r="AG2367" t="s">
        <v>78</v>
      </c>
    </row>
    <row r="2368" spans="1:33" hidden="1" x14ac:dyDescent="0.25">
      <c r="A2368" t="str">
        <f>"1821356957"</f>
        <v>1821356957</v>
      </c>
      <c r="C2368" t="s">
        <v>10330</v>
      </c>
      <c r="G2368" t="s">
        <v>2224</v>
      </c>
      <c r="H2368" t="s">
        <v>2225</v>
      </c>
      <c r="J2368" t="s">
        <v>2226</v>
      </c>
      <c r="K2368" t="s">
        <v>93</v>
      </c>
      <c r="L2368" t="s">
        <v>96</v>
      </c>
      <c r="M2368" t="s">
        <v>73</v>
      </c>
      <c r="R2368" t="s">
        <v>10331</v>
      </c>
      <c r="S2368" t="s">
        <v>10332</v>
      </c>
      <c r="T2368" t="s">
        <v>518</v>
      </c>
      <c r="U2368" t="s">
        <v>519</v>
      </c>
      <c r="V2368" t="str">
        <f>"191045127"</f>
        <v>191045127</v>
      </c>
      <c r="AC2368" t="s">
        <v>76</v>
      </c>
      <c r="AD2368" t="s">
        <v>73</v>
      </c>
      <c r="AE2368" t="s">
        <v>97</v>
      </c>
      <c r="AF2368" t="s">
        <v>2234</v>
      </c>
      <c r="AG2368" t="s">
        <v>78</v>
      </c>
    </row>
    <row r="2369" spans="1:33" hidden="1" x14ac:dyDescent="0.25">
      <c r="A2369" t="str">
        <f>"1801153747"</f>
        <v>1801153747</v>
      </c>
      <c r="C2369" t="s">
        <v>10333</v>
      </c>
      <c r="G2369" t="s">
        <v>2224</v>
      </c>
      <c r="H2369" t="s">
        <v>2225</v>
      </c>
      <c r="J2369" t="s">
        <v>2226</v>
      </c>
      <c r="K2369" t="s">
        <v>93</v>
      </c>
      <c r="L2369" t="s">
        <v>96</v>
      </c>
      <c r="M2369" t="s">
        <v>73</v>
      </c>
      <c r="R2369" t="s">
        <v>10334</v>
      </c>
      <c r="S2369" t="s">
        <v>10335</v>
      </c>
      <c r="T2369" t="s">
        <v>1431</v>
      </c>
      <c r="U2369" t="s">
        <v>578</v>
      </c>
      <c r="V2369" t="str">
        <f>"900331029"</f>
        <v>900331029</v>
      </c>
      <c r="AC2369" t="s">
        <v>76</v>
      </c>
      <c r="AD2369" t="s">
        <v>73</v>
      </c>
      <c r="AE2369" t="s">
        <v>97</v>
      </c>
      <c r="AF2369" t="s">
        <v>2228</v>
      </c>
      <c r="AG2369" t="s">
        <v>78</v>
      </c>
    </row>
    <row r="2370" spans="1:33" hidden="1" x14ac:dyDescent="0.25">
      <c r="A2370" t="str">
        <f>"1588920805"</f>
        <v>1588920805</v>
      </c>
      <c r="B2370" t="str">
        <f>"04156992"</f>
        <v>04156992</v>
      </c>
      <c r="C2370" t="s">
        <v>10336</v>
      </c>
      <c r="D2370" t="s">
        <v>10337</v>
      </c>
      <c r="E2370" t="s">
        <v>10338</v>
      </c>
      <c r="G2370" t="s">
        <v>2224</v>
      </c>
      <c r="H2370" t="s">
        <v>2225</v>
      </c>
      <c r="J2370" t="s">
        <v>2226</v>
      </c>
      <c r="L2370" t="s">
        <v>72</v>
      </c>
      <c r="M2370" t="s">
        <v>73</v>
      </c>
      <c r="R2370" t="s">
        <v>10339</v>
      </c>
      <c r="W2370" t="s">
        <v>10340</v>
      </c>
      <c r="X2370" t="s">
        <v>170</v>
      </c>
      <c r="Y2370" t="s">
        <v>91</v>
      </c>
      <c r="Z2370" t="s">
        <v>74</v>
      </c>
      <c r="AA2370" t="str">
        <f>"10065-4870"</f>
        <v>10065-4870</v>
      </c>
      <c r="AB2370" t="s">
        <v>75</v>
      </c>
      <c r="AC2370" t="s">
        <v>76</v>
      </c>
      <c r="AD2370" t="s">
        <v>73</v>
      </c>
      <c r="AE2370" t="s">
        <v>77</v>
      </c>
      <c r="AF2370" t="s">
        <v>2242</v>
      </c>
      <c r="AG2370" t="s">
        <v>78</v>
      </c>
    </row>
    <row r="2371" spans="1:33" hidden="1" x14ac:dyDescent="0.25">
      <c r="A2371" t="str">
        <f>"1881960938"</f>
        <v>1881960938</v>
      </c>
      <c r="C2371" t="s">
        <v>10341</v>
      </c>
      <c r="G2371" t="s">
        <v>2224</v>
      </c>
      <c r="H2371" t="s">
        <v>2225</v>
      </c>
      <c r="J2371" t="s">
        <v>2226</v>
      </c>
      <c r="K2371" t="s">
        <v>93</v>
      </c>
      <c r="L2371" t="s">
        <v>96</v>
      </c>
      <c r="M2371" t="s">
        <v>73</v>
      </c>
      <c r="R2371" t="s">
        <v>10342</v>
      </c>
      <c r="S2371" t="s">
        <v>10343</v>
      </c>
      <c r="T2371" t="s">
        <v>518</v>
      </c>
      <c r="U2371" t="s">
        <v>519</v>
      </c>
      <c r="V2371" t="str">
        <f>"100323720"</f>
        <v>100323720</v>
      </c>
      <c r="AC2371" t="s">
        <v>76</v>
      </c>
      <c r="AD2371" t="s">
        <v>73</v>
      </c>
      <c r="AE2371" t="s">
        <v>97</v>
      </c>
      <c r="AF2371" t="s">
        <v>2234</v>
      </c>
      <c r="AG2371" t="s">
        <v>78</v>
      </c>
    </row>
    <row r="2372" spans="1:33" hidden="1" x14ac:dyDescent="0.25">
      <c r="A2372" t="str">
        <f>"1235405309"</f>
        <v>1235405309</v>
      </c>
      <c r="B2372" t="str">
        <f>"04154803"</f>
        <v>04154803</v>
      </c>
      <c r="C2372" t="s">
        <v>10344</v>
      </c>
      <c r="D2372" t="s">
        <v>10345</v>
      </c>
      <c r="E2372" t="s">
        <v>10346</v>
      </c>
      <c r="G2372" t="s">
        <v>2224</v>
      </c>
      <c r="H2372" t="s">
        <v>2225</v>
      </c>
      <c r="J2372" t="s">
        <v>2226</v>
      </c>
      <c r="L2372" t="s">
        <v>72</v>
      </c>
      <c r="M2372" t="s">
        <v>73</v>
      </c>
      <c r="R2372" t="s">
        <v>10347</v>
      </c>
      <c r="W2372" t="s">
        <v>10346</v>
      </c>
      <c r="X2372" t="s">
        <v>167</v>
      </c>
      <c r="Y2372" t="s">
        <v>91</v>
      </c>
      <c r="Z2372" t="s">
        <v>74</v>
      </c>
      <c r="AA2372" t="str">
        <f>"10032-3720"</f>
        <v>10032-3720</v>
      </c>
      <c r="AB2372" t="s">
        <v>75</v>
      </c>
      <c r="AC2372" t="s">
        <v>76</v>
      </c>
      <c r="AD2372" t="s">
        <v>73</v>
      </c>
      <c r="AE2372" t="s">
        <v>77</v>
      </c>
      <c r="AF2372" t="s">
        <v>2228</v>
      </c>
      <c r="AG2372" t="s">
        <v>78</v>
      </c>
    </row>
    <row r="2373" spans="1:33" hidden="1" x14ac:dyDescent="0.25">
      <c r="A2373" t="str">
        <f>"1013275528"</f>
        <v>1013275528</v>
      </c>
      <c r="C2373" t="s">
        <v>10348</v>
      </c>
      <c r="G2373" t="s">
        <v>2224</v>
      </c>
      <c r="H2373" t="s">
        <v>2225</v>
      </c>
      <c r="J2373" t="s">
        <v>2226</v>
      </c>
      <c r="K2373" t="s">
        <v>93</v>
      </c>
      <c r="L2373" t="s">
        <v>96</v>
      </c>
      <c r="M2373" t="s">
        <v>73</v>
      </c>
      <c r="R2373" t="s">
        <v>10349</v>
      </c>
      <c r="S2373" t="s">
        <v>1444</v>
      </c>
      <c r="T2373" t="s">
        <v>91</v>
      </c>
      <c r="U2373" t="s">
        <v>74</v>
      </c>
      <c r="V2373" t="str">
        <f>"100323733"</f>
        <v>100323733</v>
      </c>
      <c r="AC2373" t="s">
        <v>76</v>
      </c>
      <c r="AD2373" t="s">
        <v>73</v>
      </c>
      <c r="AE2373" t="s">
        <v>97</v>
      </c>
      <c r="AF2373" t="s">
        <v>2228</v>
      </c>
      <c r="AG2373" t="s">
        <v>78</v>
      </c>
    </row>
    <row r="2374" spans="1:33" hidden="1" x14ac:dyDescent="0.25">
      <c r="A2374" t="str">
        <f>"1780950113"</f>
        <v>1780950113</v>
      </c>
      <c r="C2374" t="s">
        <v>10350</v>
      </c>
      <c r="G2374" t="s">
        <v>2224</v>
      </c>
      <c r="H2374" t="s">
        <v>2225</v>
      </c>
      <c r="J2374" t="s">
        <v>2226</v>
      </c>
      <c r="K2374" t="s">
        <v>93</v>
      </c>
      <c r="L2374" t="s">
        <v>96</v>
      </c>
      <c r="M2374" t="s">
        <v>73</v>
      </c>
      <c r="R2374" t="s">
        <v>10351</v>
      </c>
      <c r="S2374" t="s">
        <v>167</v>
      </c>
      <c r="T2374" t="s">
        <v>91</v>
      </c>
      <c r="U2374" t="s">
        <v>74</v>
      </c>
      <c r="V2374" t="str">
        <f>"100323720"</f>
        <v>100323720</v>
      </c>
      <c r="AC2374" t="s">
        <v>76</v>
      </c>
      <c r="AD2374" t="s">
        <v>73</v>
      </c>
      <c r="AE2374" t="s">
        <v>97</v>
      </c>
      <c r="AF2374" t="s">
        <v>2234</v>
      </c>
      <c r="AG2374" t="s">
        <v>78</v>
      </c>
    </row>
    <row r="2375" spans="1:33" hidden="1" x14ac:dyDescent="0.25">
      <c r="A2375" t="str">
        <f>"1760748933"</f>
        <v>1760748933</v>
      </c>
      <c r="C2375" t="s">
        <v>10352</v>
      </c>
      <c r="G2375" t="s">
        <v>2224</v>
      </c>
      <c r="H2375" t="s">
        <v>2225</v>
      </c>
      <c r="J2375" t="s">
        <v>2226</v>
      </c>
      <c r="K2375" t="s">
        <v>93</v>
      </c>
      <c r="L2375" t="s">
        <v>96</v>
      </c>
      <c r="M2375" t="s">
        <v>73</v>
      </c>
      <c r="R2375" t="s">
        <v>10353</v>
      </c>
      <c r="S2375" t="s">
        <v>10354</v>
      </c>
      <c r="T2375" t="s">
        <v>91</v>
      </c>
      <c r="U2375" t="s">
        <v>74</v>
      </c>
      <c r="V2375" t="str">
        <f>"100323720"</f>
        <v>100323720</v>
      </c>
      <c r="AC2375" t="s">
        <v>76</v>
      </c>
      <c r="AD2375" t="s">
        <v>73</v>
      </c>
      <c r="AE2375" t="s">
        <v>97</v>
      </c>
      <c r="AF2375" t="s">
        <v>2234</v>
      </c>
      <c r="AG2375" t="s">
        <v>78</v>
      </c>
    </row>
    <row r="2376" spans="1:33" hidden="1" x14ac:dyDescent="0.25">
      <c r="A2376" t="str">
        <f>"1851657498"</f>
        <v>1851657498</v>
      </c>
      <c r="C2376" t="s">
        <v>10355</v>
      </c>
      <c r="G2376" t="s">
        <v>2224</v>
      </c>
      <c r="H2376" t="s">
        <v>2225</v>
      </c>
      <c r="J2376" t="s">
        <v>2226</v>
      </c>
      <c r="K2376" t="s">
        <v>93</v>
      </c>
      <c r="L2376" t="s">
        <v>96</v>
      </c>
      <c r="M2376" t="s">
        <v>73</v>
      </c>
      <c r="R2376" t="s">
        <v>10356</v>
      </c>
      <c r="S2376" t="s">
        <v>3407</v>
      </c>
      <c r="T2376" t="s">
        <v>91</v>
      </c>
      <c r="U2376" t="s">
        <v>74</v>
      </c>
      <c r="V2376" t="str">
        <f>"100323720"</f>
        <v>100323720</v>
      </c>
      <c r="AC2376" t="s">
        <v>76</v>
      </c>
      <c r="AD2376" t="s">
        <v>73</v>
      </c>
      <c r="AE2376" t="s">
        <v>97</v>
      </c>
      <c r="AF2376" t="s">
        <v>2228</v>
      </c>
      <c r="AG2376" t="s">
        <v>78</v>
      </c>
    </row>
    <row r="2377" spans="1:33" hidden="1" x14ac:dyDescent="0.25">
      <c r="A2377" t="str">
        <f>"1356617351"</f>
        <v>1356617351</v>
      </c>
      <c r="C2377" t="s">
        <v>10357</v>
      </c>
      <c r="G2377" t="s">
        <v>2224</v>
      </c>
      <c r="H2377" t="s">
        <v>2225</v>
      </c>
      <c r="J2377" t="s">
        <v>2226</v>
      </c>
      <c r="K2377" t="s">
        <v>93</v>
      </c>
      <c r="L2377" t="s">
        <v>96</v>
      </c>
      <c r="M2377" t="s">
        <v>73</v>
      </c>
      <c r="R2377" t="s">
        <v>10358</v>
      </c>
      <c r="S2377" t="s">
        <v>10359</v>
      </c>
      <c r="T2377" t="s">
        <v>1144</v>
      </c>
      <c r="U2377" t="s">
        <v>224</v>
      </c>
      <c r="V2377" t="str">
        <f>"331654727"</f>
        <v>331654727</v>
      </c>
      <c r="AC2377" t="s">
        <v>76</v>
      </c>
      <c r="AD2377" t="s">
        <v>73</v>
      </c>
      <c r="AE2377" t="s">
        <v>97</v>
      </c>
      <c r="AF2377" t="s">
        <v>2234</v>
      </c>
      <c r="AG2377" t="s">
        <v>78</v>
      </c>
    </row>
    <row r="2378" spans="1:33" hidden="1" x14ac:dyDescent="0.25">
      <c r="A2378" t="str">
        <f>"1134487135"</f>
        <v>1134487135</v>
      </c>
      <c r="C2378" t="s">
        <v>10360</v>
      </c>
      <c r="G2378" t="s">
        <v>2224</v>
      </c>
      <c r="H2378" t="s">
        <v>2225</v>
      </c>
      <c r="J2378" t="s">
        <v>2226</v>
      </c>
      <c r="K2378" t="s">
        <v>93</v>
      </c>
      <c r="L2378" t="s">
        <v>96</v>
      </c>
      <c r="M2378" t="s">
        <v>73</v>
      </c>
      <c r="R2378" t="s">
        <v>10361</v>
      </c>
      <c r="S2378" t="s">
        <v>10362</v>
      </c>
      <c r="T2378" t="s">
        <v>91</v>
      </c>
      <c r="U2378" t="s">
        <v>74</v>
      </c>
      <c r="V2378" t="str">
        <f>"100323720"</f>
        <v>100323720</v>
      </c>
      <c r="AC2378" t="s">
        <v>76</v>
      </c>
      <c r="AD2378" t="s">
        <v>73</v>
      </c>
      <c r="AE2378" t="s">
        <v>97</v>
      </c>
      <c r="AF2378" t="s">
        <v>2234</v>
      </c>
      <c r="AG2378" t="s">
        <v>78</v>
      </c>
    </row>
    <row r="2379" spans="1:33" hidden="1" x14ac:dyDescent="0.25">
      <c r="A2379" t="str">
        <f>"1124394861"</f>
        <v>1124394861</v>
      </c>
      <c r="C2379" t="s">
        <v>10363</v>
      </c>
      <c r="G2379" t="s">
        <v>2224</v>
      </c>
      <c r="H2379" t="s">
        <v>2225</v>
      </c>
      <c r="J2379" t="s">
        <v>2226</v>
      </c>
      <c r="K2379" t="s">
        <v>93</v>
      </c>
      <c r="L2379" t="s">
        <v>96</v>
      </c>
      <c r="M2379" t="s">
        <v>73</v>
      </c>
      <c r="R2379" t="s">
        <v>10364</v>
      </c>
      <c r="S2379" t="s">
        <v>1444</v>
      </c>
      <c r="T2379" t="s">
        <v>91</v>
      </c>
      <c r="U2379" t="s">
        <v>74</v>
      </c>
      <c r="V2379" t="str">
        <f>"100323733"</f>
        <v>100323733</v>
      </c>
      <c r="AC2379" t="s">
        <v>76</v>
      </c>
      <c r="AD2379" t="s">
        <v>73</v>
      </c>
      <c r="AE2379" t="s">
        <v>97</v>
      </c>
      <c r="AF2379" t="s">
        <v>2234</v>
      </c>
      <c r="AG2379" t="s">
        <v>78</v>
      </c>
    </row>
    <row r="2380" spans="1:33" hidden="1" x14ac:dyDescent="0.25">
      <c r="A2380" t="str">
        <f>"1891053625"</f>
        <v>1891053625</v>
      </c>
      <c r="B2380" t="str">
        <f>"04156754"</f>
        <v>04156754</v>
      </c>
      <c r="C2380" t="s">
        <v>10365</v>
      </c>
      <c r="D2380" t="s">
        <v>10366</v>
      </c>
      <c r="E2380" t="s">
        <v>10367</v>
      </c>
      <c r="G2380" t="s">
        <v>2224</v>
      </c>
      <c r="H2380" t="s">
        <v>2225</v>
      </c>
      <c r="J2380" t="s">
        <v>2226</v>
      </c>
      <c r="L2380" t="s">
        <v>72</v>
      </c>
      <c r="M2380" t="s">
        <v>73</v>
      </c>
      <c r="R2380" t="s">
        <v>10367</v>
      </c>
      <c r="W2380" t="s">
        <v>10368</v>
      </c>
      <c r="X2380" t="s">
        <v>167</v>
      </c>
      <c r="Y2380" t="s">
        <v>91</v>
      </c>
      <c r="Z2380" t="s">
        <v>74</v>
      </c>
      <c r="AA2380" t="str">
        <f>"10032-3720"</f>
        <v>10032-3720</v>
      </c>
      <c r="AB2380" t="s">
        <v>75</v>
      </c>
      <c r="AC2380" t="s">
        <v>76</v>
      </c>
      <c r="AD2380" t="s">
        <v>73</v>
      </c>
      <c r="AE2380" t="s">
        <v>77</v>
      </c>
      <c r="AF2380" t="s">
        <v>2228</v>
      </c>
      <c r="AG2380" t="s">
        <v>78</v>
      </c>
    </row>
    <row r="2381" spans="1:33" hidden="1" x14ac:dyDescent="0.25">
      <c r="A2381" t="str">
        <f>"1285991679"</f>
        <v>1285991679</v>
      </c>
      <c r="C2381" t="s">
        <v>10369</v>
      </c>
      <c r="G2381" t="s">
        <v>2224</v>
      </c>
      <c r="H2381" t="s">
        <v>2225</v>
      </c>
      <c r="J2381" t="s">
        <v>2226</v>
      </c>
      <c r="K2381" t="s">
        <v>93</v>
      </c>
      <c r="L2381" t="s">
        <v>96</v>
      </c>
      <c r="M2381" t="s">
        <v>73</v>
      </c>
      <c r="R2381" t="s">
        <v>10370</v>
      </c>
      <c r="S2381" t="s">
        <v>1444</v>
      </c>
      <c r="T2381" t="s">
        <v>91</v>
      </c>
      <c r="U2381" t="s">
        <v>74</v>
      </c>
      <c r="V2381" t="str">
        <f>"100323733"</f>
        <v>100323733</v>
      </c>
      <c r="AC2381" t="s">
        <v>76</v>
      </c>
      <c r="AD2381" t="s">
        <v>73</v>
      </c>
      <c r="AE2381" t="s">
        <v>97</v>
      </c>
      <c r="AF2381" t="s">
        <v>2228</v>
      </c>
      <c r="AG2381" t="s">
        <v>78</v>
      </c>
    </row>
    <row r="2382" spans="1:33" hidden="1" x14ac:dyDescent="0.25">
      <c r="A2382" t="str">
        <f>"1295092070"</f>
        <v>1295092070</v>
      </c>
      <c r="C2382" t="s">
        <v>10371</v>
      </c>
      <c r="G2382" t="s">
        <v>2224</v>
      </c>
      <c r="H2382" t="s">
        <v>2225</v>
      </c>
      <c r="J2382" t="s">
        <v>2226</v>
      </c>
      <c r="K2382" t="s">
        <v>93</v>
      </c>
      <c r="L2382" t="s">
        <v>96</v>
      </c>
      <c r="M2382" t="s">
        <v>73</v>
      </c>
      <c r="R2382" t="s">
        <v>10372</v>
      </c>
      <c r="S2382" t="s">
        <v>10373</v>
      </c>
      <c r="T2382" t="s">
        <v>91</v>
      </c>
      <c r="U2382" t="s">
        <v>74</v>
      </c>
      <c r="V2382" t="str">
        <f>"100323720"</f>
        <v>100323720</v>
      </c>
      <c r="AC2382" t="s">
        <v>76</v>
      </c>
      <c r="AD2382" t="s">
        <v>73</v>
      </c>
      <c r="AE2382" t="s">
        <v>97</v>
      </c>
      <c r="AF2382" t="s">
        <v>2228</v>
      </c>
      <c r="AG2382" t="s">
        <v>78</v>
      </c>
    </row>
    <row r="2383" spans="1:33" hidden="1" x14ac:dyDescent="0.25">
      <c r="A2383" t="str">
        <f>"1770840274"</f>
        <v>1770840274</v>
      </c>
      <c r="C2383" t="s">
        <v>10374</v>
      </c>
      <c r="G2383" t="s">
        <v>2224</v>
      </c>
      <c r="H2383" t="s">
        <v>2225</v>
      </c>
      <c r="J2383" t="s">
        <v>2226</v>
      </c>
      <c r="K2383" t="s">
        <v>93</v>
      </c>
      <c r="L2383" t="s">
        <v>96</v>
      </c>
      <c r="M2383" t="s">
        <v>73</v>
      </c>
      <c r="R2383" t="s">
        <v>10375</v>
      </c>
      <c r="S2383" t="s">
        <v>167</v>
      </c>
      <c r="T2383" t="s">
        <v>91</v>
      </c>
      <c r="U2383" t="s">
        <v>74</v>
      </c>
      <c r="V2383" t="str">
        <f>"100323720"</f>
        <v>100323720</v>
      </c>
      <c r="AC2383" t="s">
        <v>76</v>
      </c>
      <c r="AD2383" t="s">
        <v>73</v>
      </c>
      <c r="AE2383" t="s">
        <v>97</v>
      </c>
      <c r="AF2383" t="s">
        <v>2228</v>
      </c>
      <c r="AG2383" t="s">
        <v>78</v>
      </c>
    </row>
    <row r="2384" spans="1:33" hidden="1" x14ac:dyDescent="0.25">
      <c r="A2384" t="str">
        <f>"1124318472"</f>
        <v>1124318472</v>
      </c>
      <c r="C2384" t="s">
        <v>10376</v>
      </c>
      <c r="G2384" t="s">
        <v>2224</v>
      </c>
      <c r="H2384" t="s">
        <v>2225</v>
      </c>
      <c r="J2384" t="s">
        <v>2226</v>
      </c>
      <c r="K2384" t="s">
        <v>93</v>
      </c>
      <c r="L2384" t="s">
        <v>96</v>
      </c>
      <c r="M2384" t="s">
        <v>73</v>
      </c>
      <c r="R2384" t="s">
        <v>10377</v>
      </c>
      <c r="S2384" t="s">
        <v>10378</v>
      </c>
      <c r="T2384" t="s">
        <v>91</v>
      </c>
      <c r="U2384" t="s">
        <v>74</v>
      </c>
      <c r="V2384" t="str">
        <f>"100323720"</f>
        <v>100323720</v>
      </c>
      <c r="AC2384" t="s">
        <v>76</v>
      </c>
      <c r="AD2384" t="s">
        <v>73</v>
      </c>
      <c r="AE2384" t="s">
        <v>97</v>
      </c>
      <c r="AF2384" t="s">
        <v>2234</v>
      </c>
      <c r="AG2384" t="s">
        <v>78</v>
      </c>
    </row>
    <row r="2385" spans="1:33" hidden="1" x14ac:dyDescent="0.25">
      <c r="A2385" t="str">
        <f>"1366734550"</f>
        <v>1366734550</v>
      </c>
      <c r="C2385" t="s">
        <v>10379</v>
      </c>
      <c r="G2385" t="s">
        <v>2224</v>
      </c>
      <c r="H2385" t="s">
        <v>2225</v>
      </c>
      <c r="J2385" t="s">
        <v>2226</v>
      </c>
      <c r="K2385" t="s">
        <v>93</v>
      </c>
      <c r="L2385" t="s">
        <v>96</v>
      </c>
      <c r="M2385" t="s">
        <v>73</v>
      </c>
      <c r="R2385" t="s">
        <v>10380</v>
      </c>
      <c r="S2385" t="s">
        <v>10381</v>
      </c>
      <c r="T2385" t="s">
        <v>91</v>
      </c>
      <c r="U2385" t="s">
        <v>74</v>
      </c>
      <c r="V2385" t="str">
        <f>"100322604"</f>
        <v>100322604</v>
      </c>
      <c r="AC2385" t="s">
        <v>76</v>
      </c>
      <c r="AD2385" t="s">
        <v>73</v>
      </c>
      <c r="AE2385" t="s">
        <v>97</v>
      </c>
      <c r="AF2385" t="s">
        <v>2234</v>
      </c>
      <c r="AG2385" t="s">
        <v>78</v>
      </c>
    </row>
    <row r="2386" spans="1:33" hidden="1" x14ac:dyDescent="0.25">
      <c r="A2386" t="str">
        <f>"1437286754"</f>
        <v>1437286754</v>
      </c>
      <c r="B2386" t="str">
        <f>"01885258"</f>
        <v>01885258</v>
      </c>
      <c r="C2386" t="s">
        <v>10382</v>
      </c>
      <c r="D2386" t="s">
        <v>10383</v>
      </c>
      <c r="E2386" t="s">
        <v>10384</v>
      </c>
      <c r="L2386" t="s">
        <v>80</v>
      </c>
      <c r="M2386" t="s">
        <v>73</v>
      </c>
      <c r="R2386" t="s">
        <v>10384</v>
      </c>
      <c r="W2386" t="s">
        <v>10384</v>
      </c>
      <c r="X2386" t="s">
        <v>10384</v>
      </c>
      <c r="Y2386" t="s">
        <v>91</v>
      </c>
      <c r="Z2386" t="s">
        <v>74</v>
      </c>
      <c r="AA2386" t="str">
        <f>"10032-3720"</f>
        <v>10032-3720</v>
      </c>
      <c r="AB2386" t="s">
        <v>75</v>
      </c>
      <c r="AC2386" t="s">
        <v>76</v>
      </c>
      <c r="AD2386" t="s">
        <v>73</v>
      </c>
      <c r="AE2386" t="s">
        <v>77</v>
      </c>
      <c r="AF2386" t="s">
        <v>2228</v>
      </c>
      <c r="AG2386" t="s">
        <v>78</v>
      </c>
    </row>
    <row r="2387" spans="1:33" hidden="1" x14ac:dyDescent="0.25">
      <c r="A2387" t="str">
        <f>"1134467566"</f>
        <v>1134467566</v>
      </c>
      <c r="B2387" t="str">
        <f>"03544176"</f>
        <v>03544176</v>
      </c>
      <c r="C2387" t="s">
        <v>1018</v>
      </c>
      <c r="D2387" t="s">
        <v>1019</v>
      </c>
      <c r="E2387" t="s">
        <v>1020</v>
      </c>
      <c r="G2387" t="s">
        <v>2384</v>
      </c>
      <c r="H2387" t="s">
        <v>10385</v>
      </c>
      <c r="J2387" t="s">
        <v>934</v>
      </c>
      <c r="L2387" t="s">
        <v>100</v>
      </c>
      <c r="M2387" t="s">
        <v>73</v>
      </c>
      <c r="R2387" t="s">
        <v>1020</v>
      </c>
      <c r="W2387" t="s">
        <v>1020</v>
      </c>
      <c r="X2387" t="s">
        <v>973</v>
      </c>
      <c r="Y2387" t="s">
        <v>91</v>
      </c>
      <c r="Z2387" t="s">
        <v>74</v>
      </c>
      <c r="AA2387" t="str">
        <f>"10027-4920"</f>
        <v>10027-4920</v>
      </c>
      <c r="AB2387" t="s">
        <v>106</v>
      </c>
      <c r="AC2387" t="s">
        <v>76</v>
      </c>
      <c r="AD2387" t="s">
        <v>73</v>
      </c>
      <c r="AE2387" t="s">
        <v>77</v>
      </c>
      <c r="AF2387" t="s">
        <v>2385</v>
      </c>
      <c r="AG2387" t="s">
        <v>78</v>
      </c>
    </row>
    <row r="2388" spans="1:33" hidden="1" x14ac:dyDescent="0.25">
      <c r="A2388" t="str">
        <f>"1447320882"</f>
        <v>1447320882</v>
      </c>
      <c r="B2388" t="str">
        <f>"03385260"</f>
        <v>03385260</v>
      </c>
      <c r="C2388" t="s">
        <v>1022</v>
      </c>
      <c r="D2388" t="s">
        <v>1023</v>
      </c>
      <c r="E2388" t="s">
        <v>1024</v>
      </c>
      <c r="G2388" t="s">
        <v>2384</v>
      </c>
      <c r="H2388" t="s">
        <v>1007</v>
      </c>
      <c r="J2388" t="s">
        <v>934</v>
      </c>
      <c r="L2388" t="s">
        <v>129</v>
      </c>
      <c r="M2388" t="s">
        <v>73</v>
      </c>
      <c r="R2388" t="s">
        <v>1026</v>
      </c>
      <c r="W2388" t="s">
        <v>1024</v>
      </c>
      <c r="X2388" t="s">
        <v>1027</v>
      </c>
      <c r="Y2388" t="s">
        <v>91</v>
      </c>
      <c r="Z2388" t="s">
        <v>74</v>
      </c>
      <c r="AA2388" t="str">
        <f>"10029-1459"</f>
        <v>10029-1459</v>
      </c>
      <c r="AB2388" t="s">
        <v>106</v>
      </c>
      <c r="AC2388" t="s">
        <v>76</v>
      </c>
      <c r="AD2388" t="s">
        <v>73</v>
      </c>
      <c r="AE2388" t="s">
        <v>77</v>
      </c>
      <c r="AF2388" t="s">
        <v>2385</v>
      </c>
      <c r="AG2388" t="s">
        <v>78</v>
      </c>
    </row>
    <row r="2389" spans="1:33" hidden="1" x14ac:dyDescent="0.25">
      <c r="A2389" t="str">
        <f>"1326465360"</f>
        <v>1326465360</v>
      </c>
      <c r="B2389" t="str">
        <f>"03872557"</f>
        <v>03872557</v>
      </c>
      <c r="C2389" t="s">
        <v>1028</v>
      </c>
      <c r="D2389" t="s">
        <v>1029</v>
      </c>
      <c r="E2389" t="s">
        <v>1030</v>
      </c>
      <c r="G2389" t="s">
        <v>2384</v>
      </c>
      <c r="H2389" t="s">
        <v>1013</v>
      </c>
      <c r="J2389" t="s">
        <v>934</v>
      </c>
      <c r="L2389" t="s">
        <v>100</v>
      </c>
      <c r="M2389" t="s">
        <v>73</v>
      </c>
      <c r="R2389" t="s">
        <v>1030</v>
      </c>
      <c r="W2389" t="s">
        <v>1030</v>
      </c>
      <c r="X2389" t="s">
        <v>1031</v>
      </c>
      <c r="Y2389" t="s">
        <v>91</v>
      </c>
      <c r="Z2389" t="s">
        <v>74</v>
      </c>
      <c r="AA2389" t="str">
        <f>"10011-1901"</f>
        <v>10011-1901</v>
      </c>
      <c r="AB2389" t="s">
        <v>106</v>
      </c>
      <c r="AC2389" t="s">
        <v>76</v>
      </c>
      <c r="AD2389" t="s">
        <v>73</v>
      </c>
      <c r="AE2389" t="s">
        <v>77</v>
      </c>
      <c r="AF2389" t="s">
        <v>2385</v>
      </c>
      <c r="AG2389" t="s">
        <v>78</v>
      </c>
    </row>
    <row r="2390" spans="1:33" hidden="1" x14ac:dyDescent="0.25">
      <c r="A2390" t="str">
        <f>"1508154840"</f>
        <v>1508154840</v>
      </c>
      <c r="B2390" t="str">
        <f>"03491930"</f>
        <v>03491930</v>
      </c>
      <c r="C2390" t="s">
        <v>1032</v>
      </c>
      <c r="D2390" t="s">
        <v>1033</v>
      </c>
      <c r="E2390" t="s">
        <v>1034</v>
      </c>
      <c r="G2390" t="s">
        <v>2384</v>
      </c>
      <c r="H2390" t="s">
        <v>1017</v>
      </c>
      <c r="J2390" t="s">
        <v>934</v>
      </c>
      <c r="L2390" t="s">
        <v>80</v>
      </c>
      <c r="M2390" t="s">
        <v>82</v>
      </c>
      <c r="R2390" t="s">
        <v>1035</v>
      </c>
      <c r="W2390" t="s">
        <v>1034</v>
      </c>
      <c r="X2390" t="s">
        <v>1036</v>
      </c>
      <c r="Y2390" t="s">
        <v>91</v>
      </c>
      <c r="Z2390" t="s">
        <v>74</v>
      </c>
      <c r="AA2390" t="str">
        <f>"10027-4920"</f>
        <v>10027-4920</v>
      </c>
      <c r="AB2390" t="s">
        <v>79</v>
      </c>
      <c r="AC2390" t="s">
        <v>76</v>
      </c>
      <c r="AD2390" t="s">
        <v>73</v>
      </c>
      <c r="AE2390" t="s">
        <v>77</v>
      </c>
      <c r="AF2390" t="s">
        <v>2385</v>
      </c>
      <c r="AG2390" t="s">
        <v>78</v>
      </c>
    </row>
    <row r="2391" spans="1:33" hidden="1" x14ac:dyDescent="0.25">
      <c r="A2391" t="str">
        <f>"1790912558"</f>
        <v>1790912558</v>
      </c>
      <c r="B2391" t="str">
        <f>"03315033"</f>
        <v>03315033</v>
      </c>
      <c r="C2391" t="s">
        <v>1037</v>
      </c>
      <c r="D2391" t="s">
        <v>1038</v>
      </c>
      <c r="E2391" t="s">
        <v>1039</v>
      </c>
      <c r="G2391" t="s">
        <v>2384</v>
      </c>
      <c r="H2391" t="s">
        <v>10386</v>
      </c>
      <c r="J2391" t="s">
        <v>934</v>
      </c>
      <c r="L2391" t="s">
        <v>72</v>
      </c>
      <c r="M2391" t="s">
        <v>73</v>
      </c>
      <c r="R2391" t="s">
        <v>1040</v>
      </c>
      <c r="W2391" t="s">
        <v>1039</v>
      </c>
      <c r="X2391" t="s">
        <v>1041</v>
      </c>
      <c r="Y2391" t="s">
        <v>118</v>
      </c>
      <c r="Z2391" t="s">
        <v>74</v>
      </c>
      <c r="AA2391" t="str">
        <f>"10453-4142"</f>
        <v>10453-4142</v>
      </c>
      <c r="AB2391" t="s">
        <v>79</v>
      </c>
      <c r="AC2391" t="s">
        <v>76</v>
      </c>
      <c r="AD2391" t="s">
        <v>73</v>
      </c>
      <c r="AE2391" t="s">
        <v>77</v>
      </c>
      <c r="AF2391" t="s">
        <v>2385</v>
      </c>
      <c r="AG2391" t="s">
        <v>78</v>
      </c>
    </row>
    <row r="2392" spans="1:33" hidden="1" x14ac:dyDescent="0.25">
      <c r="A2392" t="str">
        <f>"1720094436"</f>
        <v>1720094436</v>
      </c>
      <c r="B2392" t="str">
        <f>"02800342"</f>
        <v>02800342</v>
      </c>
      <c r="C2392" t="s">
        <v>10387</v>
      </c>
      <c r="D2392" t="s">
        <v>936</v>
      </c>
      <c r="E2392" t="s">
        <v>937</v>
      </c>
      <c r="G2392" t="s">
        <v>2224</v>
      </c>
      <c r="H2392" t="s">
        <v>2225</v>
      </c>
      <c r="J2392" t="s">
        <v>2226</v>
      </c>
      <c r="L2392" t="s">
        <v>72</v>
      </c>
      <c r="M2392" t="s">
        <v>73</v>
      </c>
      <c r="R2392" t="s">
        <v>938</v>
      </c>
      <c r="W2392" t="s">
        <v>937</v>
      </c>
      <c r="X2392" t="s">
        <v>167</v>
      </c>
      <c r="Y2392" t="s">
        <v>91</v>
      </c>
      <c r="Z2392" t="s">
        <v>74</v>
      </c>
      <c r="AA2392" t="str">
        <f>"10032-3720"</f>
        <v>10032-3720</v>
      </c>
      <c r="AB2392" t="s">
        <v>75</v>
      </c>
      <c r="AC2392" t="s">
        <v>76</v>
      </c>
      <c r="AD2392" t="s">
        <v>73</v>
      </c>
      <c r="AE2392" t="s">
        <v>77</v>
      </c>
      <c r="AF2392" t="s">
        <v>2254</v>
      </c>
      <c r="AG2392" t="s">
        <v>78</v>
      </c>
    </row>
    <row r="2393" spans="1:33" hidden="1" x14ac:dyDescent="0.25">
      <c r="A2393" t="str">
        <f>"1407830565"</f>
        <v>1407830565</v>
      </c>
      <c r="B2393" t="str">
        <f>"02571786"</f>
        <v>02571786</v>
      </c>
      <c r="C2393" t="s">
        <v>10388</v>
      </c>
      <c r="D2393" t="s">
        <v>10389</v>
      </c>
      <c r="E2393" t="s">
        <v>10390</v>
      </c>
      <c r="G2393" t="s">
        <v>2224</v>
      </c>
      <c r="H2393" t="s">
        <v>2225</v>
      </c>
      <c r="J2393" t="s">
        <v>2226</v>
      </c>
      <c r="L2393" t="s">
        <v>80</v>
      </c>
      <c r="M2393" t="s">
        <v>73</v>
      </c>
      <c r="R2393" t="s">
        <v>10391</v>
      </c>
      <c r="W2393" t="s">
        <v>10392</v>
      </c>
      <c r="X2393" t="s">
        <v>1182</v>
      </c>
      <c r="Y2393" t="s">
        <v>527</v>
      </c>
      <c r="Z2393" t="s">
        <v>74</v>
      </c>
      <c r="AA2393" t="str">
        <f>"10940-4133"</f>
        <v>10940-4133</v>
      </c>
      <c r="AB2393" t="s">
        <v>75</v>
      </c>
      <c r="AC2393" t="s">
        <v>76</v>
      </c>
      <c r="AD2393" t="s">
        <v>73</v>
      </c>
      <c r="AE2393" t="s">
        <v>77</v>
      </c>
      <c r="AF2393" t="s">
        <v>2228</v>
      </c>
      <c r="AG2393" t="s">
        <v>78</v>
      </c>
    </row>
    <row r="2394" spans="1:33" hidden="1" x14ac:dyDescent="0.25">
      <c r="A2394" t="str">
        <f>"1720111628"</f>
        <v>1720111628</v>
      </c>
      <c r="B2394" t="str">
        <f>"01811747"</f>
        <v>01811747</v>
      </c>
      <c r="C2394" t="s">
        <v>10393</v>
      </c>
      <c r="D2394" t="s">
        <v>10394</v>
      </c>
      <c r="E2394" t="s">
        <v>10395</v>
      </c>
      <c r="G2394" t="s">
        <v>2224</v>
      </c>
      <c r="H2394" t="s">
        <v>2225</v>
      </c>
      <c r="J2394" t="s">
        <v>2226</v>
      </c>
      <c r="L2394" t="s">
        <v>72</v>
      </c>
      <c r="M2394" t="s">
        <v>73</v>
      </c>
      <c r="R2394" t="s">
        <v>10396</v>
      </c>
      <c r="W2394" t="s">
        <v>10396</v>
      </c>
      <c r="X2394" t="s">
        <v>1397</v>
      </c>
      <c r="Y2394" t="s">
        <v>91</v>
      </c>
      <c r="Z2394" t="s">
        <v>74</v>
      </c>
      <c r="AA2394" t="str">
        <f>"10032-3724"</f>
        <v>10032-3724</v>
      </c>
      <c r="AB2394" t="s">
        <v>75</v>
      </c>
      <c r="AC2394" t="s">
        <v>76</v>
      </c>
      <c r="AD2394" t="s">
        <v>73</v>
      </c>
      <c r="AE2394" t="s">
        <v>77</v>
      </c>
      <c r="AF2394" t="s">
        <v>2228</v>
      </c>
      <c r="AG2394" t="s">
        <v>78</v>
      </c>
    </row>
    <row r="2395" spans="1:33" hidden="1" x14ac:dyDescent="0.25">
      <c r="A2395" t="str">
        <f>"1720148869"</f>
        <v>1720148869</v>
      </c>
      <c r="B2395" t="str">
        <f>"00498788"</f>
        <v>00498788</v>
      </c>
      <c r="C2395" t="s">
        <v>10397</v>
      </c>
      <c r="D2395" t="s">
        <v>1435</v>
      </c>
      <c r="E2395" t="s">
        <v>1436</v>
      </c>
      <c r="G2395" t="s">
        <v>2224</v>
      </c>
      <c r="H2395" t="s">
        <v>2225</v>
      </c>
      <c r="J2395" t="s">
        <v>2226</v>
      </c>
      <c r="L2395" t="s">
        <v>80</v>
      </c>
      <c r="M2395" t="s">
        <v>73</v>
      </c>
      <c r="R2395" t="s">
        <v>1437</v>
      </c>
      <c r="W2395" t="s">
        <v>1436</v>
      </c>
      <c r="X2395" t="s">
        <v>1283</v>
      </c>
      <c r="Y2395" t="s">
        <v>215</v>
      </c>
      <c r="Z2395" t="s">
        <v>74</v>
      </c>
      <c r="AA2395" t="str">
        <f>"10801-4915"</f>
        <v>10801-4915</v>
      </c>
      <c r="AB2395" t="s">
        <v>75</v>
      </c>
      <c r="AC2395" t="s">
        <v>76</v>
      </c>
      <c r="AD2395" t="s">
        <v>73</v>
      </c>
      <c r="AE2395" t="s">
        <v>77</v>
      </c>
      <c r="AF2395" t="s">
        <v>2254</v>
      </c>
      <c r="AG2395" t="s">
        <v>78</v>
      </c>
    </row>
    <row r="2396" spans="1:33" hidden="1" x14ac:dyDescent="0.25">
      <c r="A2396" t="str">
        <f>"1184808867"</f>
        <v>1184808867</v>
      </c>
      <c r="B2396" t="str">
        <f>"03579848"</f>
        <v>03579848</v>
      </c>
      <c r="C2396" t="s">
        <v>10398</v>
      </c>
      <c r="D2396" t="s">
        <v>10399</v>
      </c>
      <c r="E2396" t="s">
        <v>10400</v>
      </c>
      <c r="G2396" t="s">
        <v>2224</v>
      </c>
      <c r="H2396" t="s">
        <v>2225</v>
      </c>
      <c r="J2396" t="s">
        <v>2226</v>
      </c>
      <c r="L2396" t="s">
        <v>72</v>
      </c>
      <c r="M2396" t="s">
        <v>73</v>
      </c>
      <c r="R2396" t="s">
        <v>10400</v>
      </c>
      <c r="W2396" t="s">
        <v>10401</v>
      </c>
      <c r="X2396" t="s">
        <v>10402</v>
      </c>
      <c r="Y2396" t="s">
        <v>91</v>
      </c>
      <c r="Z2396" t="s">
        <v>74</v>
      </c>
      <c r="AA2396" t="str">
        <f>"10065-4870"</f>
        <v>10065-4870</v>
      </c>
      <c r="AB2396" t="s">
        <v>75</v>
      </c>
      <c r="AC2396" t="s">
        <v>76</v>
      </c>
      <c r="AD2396" t="s">
        <v>73</v>
      </c>
      <c r="AE2396" t="s">
        <v>77</v>
      </c>
      <c r="AF2396" t="s">
        <v>2242</v>
      </c>
      <c r="AG2396" t="s">
        <v>78</v>
      </c>
    </row>
    <row r="2397" spans="1:33" hidden="1" x14ac:dyDescent="0.25">
      <c r="A2397" t="str">
        <f>"1740598846"</f>
        <v>1740598846</v>
      </c>
      <c r="B2397" t="str">
        <f>"04017341"</f>
        <v>04017341</v>
      </c>
      <c r="C2397" t="s">
        <v>10403</v>
      </c>
      <c r="D2397" t="s">
        <v>10404</v>
      </c>
      <c r="E2397" t="s">
        <v>10405</v>
      </c>
      <c r="G2397" t="s">
        <v>2514</v>
      </c>
      <c r="H2397" t="s">
        <v>10406</v>
      </c>
      <c r="J2397" t="s">
        <v>2516</v>
      </c>
      <c r="L2397" t="s">
        <v>96</v>
      </c>
      <c r="M2397" t="s">
        <v>73</v>
      </c>
      <c r="R2397" t="s">
        <v>10407</v>
      </c>
      <c r="W2397" t="s">
        <v>10405</v>
      </c>
      <c r="X2397" t="s">
        <v>1929</v>
      </c>
      <c r="Y2397" t="s">
        <v>91</v>
      </c>
      <c r="Z2397" t="s">
        <v>74</v>
      </c>
      <c r="AA2397" t="str">
        <f>"10032-4207"</f>
        <v>10032-4207</v>
      </c>
      <c r="AB2397" t="s">
        <v>106</v>
      </c>
      <c r="AC2397" t="s">
        <v>76</v>
      </c>
      <c r="AD2397" t="s">
        <v>73</v>
      </c>
      <c r="AE2397" t="s">
        <v>77</v>
      </c>
      <c r="AF2397" t="s">
        <v>2518</v>
      </c>
      <c r="AG2397" t="s">
        <v>78</v>
      </c>
    </row>
    <row r="2398" spans="1:33" hidden="1" x14ac:dyDescent="0.25">
      <c r="A2398" t="str">
        <f>"1649502568"</f>
        <v>1649502568</v>
      </c>
      <c r="B2398" t="str">
        <f>"02445054"</f>
        <v>02445054</v>
      </c>
      <c r="C2398" t="s">
        <v>10408</v>
      </c>
      <c r="D2398" t="s">
        <v>797</v>
      </c>
      <c r="E2398" t="s">
        <v>798</v>
      </c>
      <c r="L2398" t="s">
        <v>81</v>
      </c>
      <c r="M2398" t="s">
        <v>73</v>
      </c>
      <c r="R2398" t="s">
        <v>799</v>
      </c>
      <c r="W2398" t="s">
        <v>800</v>
      </c>
      <c r="X2398" t="s">
        <v>655</v>
      </c>
      <c r="Y2398" t="s">
        <v>149</v>
      </c>
      <c r="Z2398" t="s">
        <v>74</v>
      </c>
      <c r="AA2398" t="str">
        <f>"11435-4721"</f>
        <v>11435-4721</v>
      </c>
      <c r="AB2398" t="s">
        <v>87</v>
      </c>
      <c r="AC2398" t="s">
        <v>76</v>
      </c>
      <c r="AD2398" t="s">
        <v>73</v>
      </c>
      <c r="AE2398" t="s">
        <v>77</v>
      </c>
      <c r="AG2398" t="s">
        <v>78</v>
      </c>
    </row>
    <row r="2399" spans="1:33" hidden="1" x14ac:dyDescent="0.25">
      <c r="A2399" t="str">
        <f>"1417297219"</f>
        <v>1417297219</v>
      </c>
      <c r="B2399" t="str">
        <f>"03626886"</f>
        <v>03626886</v>
      </c>
      <c r="C2399" t="s">
        <v>10409</v>
      </c>
      <c r="D2399" t="s">
        <v>10410</v>
      </c>
      <c r="E2399" t="s">
        <v>10411</v>
      </c>
      <c r="L2399" t="s">
        <v>81</v>
      </c>
      <c r="M2399" t="s">
        <v>82</v>
      </c>
      <c r="R2399" t="s">
        <v>10411</v>
      </c>
      <c r="W2399" t="s">
        <v>10411</v>
      </c>
      <c r="X2399" t="s">
        <v>645</v>
      </c>
      <c r="Y2399" t="s">
        <v>162</v>
      </c>
      <c r="Z2399" t="s">
        <v>74</v>
      </c>
      <c r="AA2399" t="str">
        <f>"11101-2213"</f>
        <v>11101-2213</v>
      </c>
      <c r="AB2399" t="s">
        <v>75</v>
      </c>
      <c r="AC2399" t="s">
        <v>76</v>
      </c>
      <c r="AD2399" t="s">
        <v>73</v>
      </c>
      <c r="AE2399" t="s">
        <v>77</v>
      </c>
      <c r="AG2399" t="s">
        <v>78</v>
      </c>
    </row>
    <row r="2400" spans="1:33" hidden="1" x14ac:dyDescent="0.25">
      <c r="A2400" t="str">
        <f>"1457519746"</f>
        <v>1457519746</v>
      </c>
      <c r="B2400" t="str">
        <f>"03588887"</f>
        <v>03588887</v>
      </c>
      <c r="C2400" t="s">
        <v>10412</v>
      </c>
      <c r="D2400" t="s">
        <v>10413</v>
      </c>
      <c r="E2400" t="s">
        <v>10414</v>
      </c>
      <c r="G2400" t="s">
        <v>2224</v>
      </c>
      <c r="H2400" t="s">
        <v>2225</v>
      </c>
      <c r="J2400" t="s">
        <v>2226</v>
      </c>
      <c r="L2400" t="s">
        <v>81</v>
      </c>
      <c r="M2400" t="s">
        <v>73</v>
      </c>
      <c r="R2400" t="s">
        <v>10415</v>
      </c>
      <c r="W2400" t="s">
        <v>10414</v>
      </c>
      <c r="X2400" t="s">
        <v>628</v>
      </c>
      <c r="Y2400" t="s">
        <v>91</v>
      </c>
      <c r="Z2400" t="s">
        <v>74</v>
      </c>
      <c r="AA2400" t="str">
        <f>"10021-4872"</f>
        <v>10021-4872</v>
      </c>
      <c r="AB2400" t="s">
        <v>75</v>
      </c>
      <c r="AC2400" t="s">
        <v>76</v>
      </c>
      <c r="AD2400" t="s">
        <v>73</v>
      </c>
      <c r="AE2400" t="s">
        <v>77</v>
      </c>
      <c r="AF2400" t="s">
        <v>2242</v>
      </c>
      <c r="AG2400" t="s">
        <v>78</v>
      </c>
    </row>
    <row r="2401" spans="1:33" hidden="1" x14ac:dyDescent="0.25">
      <c r="A2401" t="str">
        <f>"1467520965"</f>
        <v>1467520965</v>
      </c>
      <c r="B2401" t="str">
        <f>"02647001"</f>
        <v>02647001</v>
      </c>
      <c r="C2401" t="s">
        <v>10416</v>
      </c>
      <c r="D2401" t="s">
        <v>10417</v>
      </c>
      <c r="E2401" t="s">
        <v>10418</v>
      </c>
      <c r="G2401" t="s">
        <v>2224</v>
      </c>
      <c r="H2401" t="s">
        <v>2225</v>
      </c>
      <c r="J2401" t="s">
        <v>2226</v>
      </c>
      <c r="L2401" t="s">
        <v>88</v>
      </c>
      <c r="M2401" t="s">
        <v>73</v>
      </c>
      <c r="R2401" t="s">
        <v>10419</v>
      </c>
      <c r="W2401" t="s">
        <v>10418</v>
      </c>
      <c r="X2401" t="s">
        <v>167</v>
      </c>
      <c r="Y2401" t="s">
        <v>91</v>
      </c>
      <c r="Z2401" t="s">
        <v>74</v>
      </c>
      <c r="AA2401" t="str">
        <f>"10032-3720"</f>
        <v>10032-3720</v>
      </c>
      <c r="AB2401" t="s">
        <v>75</v>
      </c>
      <c r="AC2401" t="s">
        <v>76</v>
      </c>
      <c r="AD2401" t="s">
        <v>73</v>
      </c>
      <c r="AE2401" t="s">
        <v>77</v>
      </c>
      <c r="AF2401" t="s">
        <v>2228</v>
      </c>
      <c r="AG2401" t="s">
        <v>78</v>
      </c>
    </row>
    <row r="2402" spans="1:33" hidden="1" x14ac:dyDescent="0.25">
      <c r="A2402" t="str">
        <f>"1073831897"</f>
        <v>1073831897</v>
      </c>
      <c r="B2402" t="str">
        <f>"03649507"</f>
        <v>03649507</v>
      </c>
      <c r="C2402" t="s">
        <v>10420</v>
      </c>
      <c r="D2402" t="s">
        <v>10421</v>
      </c>
      <c r="E2402" t="s">
        <v>10422</v>
      </c>
      <c r="G2402" t="s">
        <v>2224</v>
      </c>
      <c r="H2402" t="s">
        <v>2225</v>
      </c>
      <c r="J2402" t="s">
        <v>2226</v>
      </c>
      <c r="L2402" t="s">
        <v>88</v>
      </c>
      <c r="M2402" t="s">
        <v>73</v>
      </c>
      <c r="R2402" t="s">
        <v>10422</v>
      </c>
      <c r="W2402" t="s">
        <v>10422</v>
      </c>
      <c r="X2402" t="s">
        <v>354</v>
      </c>
      <c r="Y2402" t="s">
        <v>91</v>
      </c>
      <c r="Z2402" t="s">
        <v>74</v>
      </c>
      <c r="AA2402" t="str">
        <f>"10032-3725"</f>
        <v>10032-3725</v>
      </c>
      <c r="AB2402" t="s">
        <v>75</v>
      </c>
      <c r="AC2402" t="s">
        <v>76</v>
      </c>
      <c r="AD2402" t="s">
        <v>73</v>
      </c>
      <c r="AE2402" t="s">
        <v>77</v>
      </c>
      <c r="AF2402" t="s">
        <v>2234</v>
      </c>
      <c r="AG2402" t="s">
        <v>78</v>
      </c>
    </row>
    <row r="2403" spans="1:33" hidden="1" x14ac:dyDescent="0.25">
      <c r="A2403" t="str">
        <f>"1972893725"</f>
        <v>1972893725</v>
      </c>
      <c r="C2403" t="s">
        <v>10423</v>
      </c>
      <c r="G2403" t="s">
        <v>2224</v>
      </c>
      <c r="H2403" t="s">
        <v>2312</v>
      </c>
      <c r="J2403" t="s">
        <v>2226</v>
      </c>
      <c r="K2403" t="s">
        <v>171</v>
      </c>
      <c r="L2403" t="s">
        <v>96</v>
      </c>
      <c r="M2403" t="s">
        <v>73</v>
      </c>
      <c r="R2403" t="s">
        <v>10424</v>
      </c>
      <c r="S2403" t="s">
        <v>10425</v>
      </c>
      <c r="T2403" t="s">
        <v>1188</v>
      </c>
      <c r="U2403" t="s">
        <v>597</v>
      </c>
      <c r="V2403" t="str">
        <f>"981038511"</f>
        <v>981038511</v>
      </c>
      <c r="AC2403" t="s">
        <v>76</v>
      </c>
      <c r="AD2403" t="s">
        <v>73</v>
      </c>
      <c r="AE2403" t="s">
        <v>97</v>
      </c>
      <c r="AF2403" t="s">
        <v>2234</v>
      </c>
      <c r="AG2403" t="s">
        <v>78</v>
      </c>
    </row>
    <row r="2404" spans="1:33" hidden="1" x14ac:dyDescent="0.25">
      <c r="A2404" t="str">
        <f>"1356494918"</f>
        <v>1356494918</v>
      </c>
      <c r="B2404" t="str">
        <f>"02106283"</f>
        <v>02106283</v>
      </c>
      <c r="C2404" t="s">
        <v>10426</v>
      </c>
      <c r="D2404" t="s">
        <v>10427</v>
      </c>
      <c r="E2404" t="s">
        <v>10428</v>
      </c>
      <c r="L2404" t="s">
        <v>80</v>
      </c>
      <c r="M2404" t="s">
        <v>73</v>
      </c>
      <c r="R2404" t="s">
        <v>10429</v>
      </c>
      <c r="W2404" t="s">
        <v>10428</v>
      </c>
      <c r="X2404" t="s">
        <v>10430</v>
      </c>
      <c r="Y2404" t="s">
        <v>91</v>
      </c>
      <c r="Z2404" t="s">
        <v>74</v>
      </c>
      <c r="AA2404" t="str">
        <f>"10087-0001"</f>
        <v>10087-0001</v>
      </c>
      <c r="AB2404" t="s">
        <v>75</v>
      </c>
      <c r="AC2404" t="s">
        <v>76</v>
      </c>
      <c r="AD2404" t="s">
        <v>73</v>
      </c>
      <c r="AE2404" t="s">
        <v>77</v>
      </c>
      <c r="AF2404" t="s">
        <v>2228</v>
      </c>
      <c r="AG2404" t="s">
        <v>78</v>
      </c>
    </row>
    <row r="2405" spans="1:33" hidden="1" x14ac:dyDescent="0.25">
      <c r="A2405" t="str">
        <f>"1639287840"</f>
        <v>1639287840</v>
      </c>
      <c r="B2405" t="str">
        <f>"02195797"</f>
        <v>02195797</v>
      </c>
      <c r="C2405" t="s">
        <v>10431</v>
      </c>
      <c r="D2405" t="s">
        <v>10432</v>
      </c>
      <c r="E2405" t="s">
        <v>10433</v>
      </c>
      <c r="L2405" t="s">
        <v>72</v>
      </c>
      <c r="M2405" t="s">
        <v>73</v>
      </c>
      <c r="R2405" t="s">
        <v>10434</v>
      </c>
      <c r="W2405" t="s">
        <v>10433</v>
      </c>
      <c r="X2405" t="s">
        <v>919</v>
      </c>
      <c r="Y2405" t="s">
        <v>91</v>
      </c>
      <c r="Z2405" t="s">
        <v>74</v>
      </c>
      <c r="AA2405" t="str">
        <f>"10037-1802"</f>
        <v>10037-1802</v>
      </c>
      <c r="AB2405" t="s">
        <v>75</v>
      </c>
      <c r="AC2405" t="s">
        <v>76</v>
      </c>
      <c r="AD2405" t="s">
        <v>73</v>
      </c>
      <c r="AE2405" t="s">
        <v>77</v>
      </c>
      <c r="AF2405" t="s">
        <v>2228</v>
      </c>
      <c r="AG2405" t="s">
        <v>78</v>
      </c>
    </row>
    <row r="2406" spans="1:33" hidden="1" x14ac:dyDescent="0.25">
      <c r="A2406" t="str">
        <f>"1679545420"</f>
        <v>1679545420</v>
      </c>
      <c r="B2406" t="str">
        <f>"02922989"</f>
        <v>02922989</v>
      </c>
      <c r="C2406" t="s">
        <v>10435</v>
      </c>
      <c r="D2406" t="s">
        <v>10436</v>
      </c>
      <c r="E2406" t="s">
        <v>10437</v>
      </c>
      <c r="L2406" t="s">
        <v>72</v>
      </c>
      <c r="M2406" t="s">
        <v>73</v>
      </c>
      <c r="R2406" t="s">
        <v>10438</v>
      </c>
      <c r="W2406" t="s">
        <v>10439</v>
      </c>
      <c r="X2406" t="s">
        <v>167</v>
      </c>
      <c r="Y2406" t="s">
        <v>91</v>
      </c>
      <c r="Z2406" t="s">
        <v>74</v>
      </c>
      <c r="AA2406" t="str">
        <f>"10032-3720"</f>
        <v>10032-3720</v>
      </c>
      <c r="AB2406" t="s">
        <v>75</v>
      </c>
      <c r="AC2406" t="s">
        <v>76</v>
      </c>
      <c r="AD2406" t="s">
        <v>73</v>
      </c>
      <c r="AE2406" t="s">
        <v>77</v>
      </c>
      <c r="AF2406" t="s">
        <v>2228</v>
      </c>
      <c r="AG2406" t="s">
        <v>78</v>
      </c>
    </row>
    <row r="2407" spans="1:33" hidden="1" x14ac:dyDescent="0.25">
      <c r="A2407" t="str">
        <f>"1114162831"</f>
        <v>1114162831</v>
      </c>
      <c r="B2407" t="str">
        <f>"03217838"</f>
        <v>03217838</v>
      </c>
      <c r="C2407" t="s">
        <v>10440</v>
      </c>
      <c r="D2407" t="s">
        <v>10441</v>
      </c>
      <c r="E2407" t="s">
        <v>10442</v>
      </c>
      <c r="L2407" t="s">
        <v>72</v>
      </c>
      <c r="M2407" t="s">
        <v>73</v>
      </c>
      <c r="R2407" t="s">
        <v>10443</v>
      </c>
      <c r="W2407" t="s">
        <v>10442</v>
      </c>
      <c r="X2407" t="s">
        <v>167</v>
      </c>
      <c r="Y2407" t="s">
        <v>91</v>
      </c>
      <c r="Z2407" t="s">
        <v>74</v>
      </c>
      <c r="AA2407" t="str">
        <f>"10032-3720"</f>
        <v>10032-3720</v>
      </c>
      <c r="AB2407" t="s">
        <v>75</v>
      </c>
      <c r="AC2407" t="s">
        <v>76</v>
      </c>
      <c r="AD2407" t="s">
        <v>73</v>
      </c>
      <c r="AE2407" t="s">
        <v>77</v>
      </c>
      <c r="AF2407" t="s">
        <v>2228</v>
      </c>
      <c r="AG2407" t="s">
        <v>78</v>
      </c>
    </row>
    <row r="2408" spans="1:33" hidden="1" x14ac:dyDescent="0.25">
      <c r="A2408" t="str">
        <f>"1265483838"</f>
        <v>1265483838</v>
      </c>
      <c r="B2408" t="str">
        <f>"02693543"</f>
        <v>02693543</v>
      </c>
      <c r="C2408" t="s">
        <v>10444</v>
      </c>
      <c r="D2408" t="s">
        <v>10445</v>
      </c>
      <c r="E2408" t="s">
        <v>10446</v>
      </c>
      <c r="L2408" t="s">
        <v>88</v>
      </c>
      <c r="M2408" t="s">
        <v>73</v>
      </c>
      <c r="R2408" t="s">
        <v>10447</v>
      </c>
      <c r="W2408" t="s">
        <v>10446</v>
      </c>
      <c r="X2408" t="s">
        <v>1687</v>
      </c>
      <c r="Y2408" t="s">
        <v>91</v>
      </c>
      <c r="Z2408" t="s">
        <v>74</v>
      </c>
      <c r="AA2408" t="str">
        <f>"10021-3556"</f>
        <v>10021-3556</v>
      </c>
      <c r="AB2408" t="s">
        <v>75</v>
      </c>
      <c r="AC2408" t="s">
        <v>76</v>
      </c>
      <c r="AD2408" t="s">
        <v>73</v>
      </c>
      <c r="AE2408" t="s">
        <v>77</v>
      </c>
      <c r="AF2408" t="s">
        <v>2228</v>
      </c>
      <c r="AG2408" t="s">
        <v>78</v>
      </c>
    </row>
    <row r="2409" spans="1:33" hidden="1" x14ac:dyDescent="0.25">
      <c r="C2409" t="s">
        <v>10448</v>
      </c>
      <c r="G2409" t="s">
        <v>2177</v>
      </c>
      <c r="J2409" t="s">
        <v>764</v>
      </c>
      <c r="K2409" t="s">
        <v>93</v>
      </c>
      <c r="L2409" t="s">
        <v>94</v>
      </c>
      <c r="M2409" t="s">
        <v>73</v>
      </c>
      <c r="AC2409" t="s">
        <v>76</v>
      </c>
      <c r="AD2409" t="s">
        <v>73</v>
      </c>
      <c r="AE2409" t="s">
        <v>95</v>
      </c>
      <c r="AF2409" t="s">
        <v>10449</v>
      </c>
      <c r="AG2409" t="s">
        <v>78</v>
      </c>
    </row>
    <row r="2410" spans="1:33" hidden="1" x14ac:dyDescent="0.25">
      <c r="C2410" t="s">
        <v>10450</v>
      </c>
      <c r="G2410" t="s">
        <v>10451</v>
      </c>
      <c r="J2410" t="s">
        <v>10452</v>
      </c>
      <c r="K2410" t="s">
        <v>105</v>
      </c>
      <c r="L2410" t="s">
        <v>94</v>
      </c>
      <c r="M2410" t="s">
        <v>73</v>
      </c>
      <c r="AC2410" t="s">
        <v>76</v>
      </c>
      <c r="AD2410" t="s">
        <v>73</v>
      </c>
      <c r="AE2410" t="s">
        <v>95</v>
      </c>
      <c r="AG2410" t="s">
        <v>78</v>
      </c>
    </row>
    <row r="2411" spans="1:33" hidden="1" x14ac:dyDescent="0.25">
      <c r="A2411" t="str">
        <f>"1548552888"</f>
        <v>1548552888</v>
      </c>
      <c r="B2411" t="str">
        <f>"04213952"</f>
        <v>04213952</v>
      </c>
      <c r="C2411" t="s">
        <v>10453</v>
      </c>
      <c r="D2411" t="s">
        <v>10454</v>
      </c>
      <c r="E2411" t="s">
        <v>10455</v>
      </c>
      <c r="G2411" t="s">
        <v>2224</v>
      </c>
      <c r="H2411" t="s">
        <v>2312</v>
      </c>
      <c r="J2411" t="s">
        <v>2226</v>
      </c>
      <c r="L2411" t="s">
        <v>72</v>
      </c>
      <c r="M2411" t="s">
        <v>73</v>
      </c>
      <c r="R2411" t="s">
        <v>10456</v>
      </c>
      <c r="W2411" t="s">
        <v>10455</v>
      </c>
      <c r="X2411" t="s">
        <v>217</v>
      </c>
      <c r="Y2411" t="s">
        <v>118</v>
      </c>
      <c r="Z2411" t="s">
        <v>74</v>
      </c>
      <c r="AA2411" t="str">
        <f>"10457-7606"</f>
        <v>10457-7606</v>
      </c>
      <c r="AB2411" t="s">
        <v>75</v>
      </c>
      <c r="AC2411" t="s">
        <v>76</v>
      </c>
      <c r="AD2411" t="s">
        <v>73</v>
      </c>
      <c r="AE2411" t="s">
        <v>77</v>
      </c>
      <c r="AF2411" t="s">
        <v>2234</v>
      </c>
      <c r="AG2411" t="s">
        <v>78</v>
      </c>
    </row>
    <row r="2412" spans="1:33" hidden="1" x14ac:dyDescent="0.25">
      <c r="A2412" t="str">
        <f>"1316239668"</f>
        <v>1316239668</v>
      </c>
      <c r="B2412" t="str">
        <f>"04426642"</f>
        <v>04426642</v>
      </c>
      <c r="C2412" t="s">
        <v>10457</v>
      </c>
      <c r="D2412" t="s">
        <v>10458</v>
      </c>
      <c r="E2412" t="s">
        <v>10459</v>
      </c>
      <c r="G2412" t="s">
        <v>2224</v>
      </c>
      <c r="H2412" t="s">
        <v>2312</v>
      </c>
      <c r="J2412" t="s">
        <v>2226</v>
      </c>
      <c r="L2412" t="s">
        <v>72</v>
      </c>
      <c r="M2412" t="s">
        <v>73</v>
      </c>
      <c r="R2412" t="s">
        <v>10460</v>
      </c>
      <c r="W2412" t="s">
        <v>10459</v>
      </c>
      <c r="X2412" t="s">
        <v>170</v>
      </c>
      <c r="Y2412" t="s">
        <v>91</v>
      </c>
      <c r="Z2412" t="s">
        <v>74</v>
      </c>
      <c r="AA2412" t="str">
        <f>"10065-4870"</f>
        <v>10065-4870</v>
      </c>
      <c r="AB2412" t="s">
        <v>75</v>
      </c>
      <c r="AC2412" t="s">
        <v>76</v>
      </c>
      <c r="AD2412" t="s">
        <v>73</v>
      </c>
      <c r="AE2412" t="s">
        <v>77</v>
      </c>
      <c r="AF2412" t="s">
        <v>2242</v>
      </c>
      <c r="AG2412" t="s">
        <v>78</v>
      </c>
    </row>
    <row r="2413" spans="1:33" hidden="1" x14ac:dyDescent="0.25">
      <c r="A2413" t="str">
        <f>"1346532686"</f>
        <v>1346532686</v>
      </c>
      <c r="C2413" t="s">
        <v>10461</v>
      </c>
      <c r="G2413" t="s">
        <v>2224</v>
      </c>
      <c r="H2413" t="s">
        <v>2312</v>
      </c>
      <c r="J2413" t="s">
        <v>2226</v>
      </c>
      <c r="K2413" t="s">
        <v>171</v>
      </c>
      <c r="L2413" t="s">
        <v>96</v>
      </c>
      <c r="M2413" t="s">
        <v>73</v>
      </c>
      <c r="R2413" t="s">
        <v>10462</v>
      </c>
      <c r="S2413" t="s">
        <v>3527</v>
      </c>
      <c r="T2413" t="s">
        <v>91</v>
      </c>
      <c r="U2413" t="s">
        <v>74</v>
      </c>
      <c r="V2413" t="str">
        <f>"100654870"</f>
        <v>100654870</v>
      </c>
      <c r="AC2413" t="s">
        <v>76</v>
      </c>
      <c r="AD2413" t="s">
        <v>73</v>
      </c>
      <c r="AE2413" t="s">
        <v>97</v>
      </c>
      <c r="AF2413" t="s">
        <v>2234</v>
      </c>
      <c r="AG2413" t="s">
        <v>78</v>
      </c>
    </row>
    <row r="2414" spans="1:33" hidden="1" x14ac:dyDescent="0.25">
      <c r="A2414" t="str">
        <f>"1255697413"</f>
        <v>1255697413</v>
      </c>
      <c r="C2414" t="s">
        <v>10463</v>
      </c>
      <c r="G2414" t="s">
        <v>2224</v>
      </c>
      <c r="H2414" t="s">
        <v>2312</v>
      </c>
      <c r="J2414" t="s">
        <v>2226</v>
      </c>
      <c r="K2414" t="s">
        <v>171</v>
      </c>
      <c r="L2414" t="s">
        <v>96</v>
      </c>
      <c r="M2414" t="s">
        <v>73</v>
      </c>
      <c r="R2414" t="s">
        <v>10464</v>
      </c>
      <c r="S2414" t="s">
        <v>170</v>
      </c>
      <c r="T2414" t="s">
        <v>91</v>
      </c>
      <c r="U2414" t="s">
        <v>74</v>
      </c>
      <c r="V2414" t="str">
        <f>"100654870"</f>
        <v>100654870</v>
      </c>
      <c r="AC2414" t="s">
        <v>76</v>
      </c>
      <c r="AD2414" t="s">
        <v>73</v>
      </c>
      <c r="AE2414" t="s">
        <v>97</v>
      </c>
      <c r="AF2414" t="s">
        <v>2242</v>
      </c>
      <c r="AG2414" t="s">
        <v>78</v>
      </c>
    </row>
    <row r="2415" spans="1:33" hidden="1" x14ac:dyDescent="0.25">
      <c r="A2415" t="str">
        <f>"1528486446"</f>
        <v>1528486446</v>
      </c>
      <c r="C2415" t="s">
        <v>10465</v>
      </c>
      <c r="G2415" t="s">
        <v>2224</v>
      </c>
      <c r="H2415" t="s">
        <v>2312</v>
      </c>
      <c r="J2415" t="s">
        <v>2226</v>
      </c>
      <c r="K2415" t="s">
        <v>171</v>
      </c>
      <c r="L2415" t="s">
        <v>96</v>
      </c>
      <c r="M2415" t="s">
        <v>73</v>
      </c>
      <c r="R2415" t="s">
        <v>10466</v>
      </c>
      <c r="S2415" t="s">
        <v>2314</v>
      </c>
      <c r="T2415" t="s">
        <v>91</v>
      </c>
      <c r="U2415" t="s">
        <v>74</v>
      </c>
      <c r="V2415" t="str">
        <f>"100654870"</f>
        <v>100654870</v>
      </c>
      <c r="AC2415" t="s">
        <v>76</v>
      </c>
      <c r="AD2415" t="s">
        <v>73</v>
      </c>
      <c r="AE2415" t="s">
        <v>97</v>
      </c>
      <c r="AF2415" t="s">
        <v>2242</v>
      </c>
      <c r="AG2415" t="s">
        <v>78</v>
      </c>
    </row>
    <row r="2416" spans="1:33" hidden="1" x14ac:dyDescent="0.25">
      <c r="A2416" t="str">
        <f>"1174811962"</f>
        <v>1174811962</v>
      </c>
      <c r="C2416" t="s">
        <v>10467</v>
      </c>
      <c r="G2416" t="s">
        <v>2224</v>
      </c>
      <c r="H2416" t="s">
        <v>2312</v>
      </c>
      <c r="J2416" t="s">
        <v>2226</v>
      </c>
      <c r="K2416" t="s">
        <v>171</v>
      </c>
      <c r="L2416" t="s">
        <v>96</v>
      </c>
      <c r="M2416" t="s">
        <v>73</v>
      </c>
      <c r="R2416" t="s">
        <v>10468</v>
      </c>
      <c r="S2416" t="s">
        <v>10469</v>
      </c>
      <c r="T2416" t="s">
        <v>517</v>
      </c>
      <c r="U2416" t="s">
        <v>511</v>
      </c>
      <c r="V2416" t="str">
        <f>"972393011"</f>
        <v>972393011</v>
      </c>
      <c r="AC2416" t="s">
        <v>76</v>
      </c>
      <c r="AD2416" t="s">
        <v>73</v>
      </c>
      <c r="AE2416" t="s">
        <v>97</v>
      </c>
      <c r="AF2416" t="s">
        <v>2234</v>
      </c>
      <c r="AG2416" t="s">
        <v>78</v>
      </c>
    </row>
    <row r="2417" spans="1:33" hidden="1" x14ac:dyDescent="0.25">
      <c r="A2417" t="str">
        <f>"1902224926"</f>
        <v>1902224926</v>
      </c>
      <c r="C2417" t="s">
        <v>10470</v>
      </c>
      <c r="G2417" t="s">
        <v>2224</v>
      </c>
      <c r="H2417" t="s">
        <v>2312</v>
      </c>
      <c r="J2417" t="s">
        <v>2226</v>
      </c>
      <c r="K2417" t="s">
        <v>171</v>
      </c>
      <c r="L2417" t="s">
        <v>96</v>
      </c>
      <c r="M2417" t="s">
        <v>73</v>
      </c>
      <c r="R2417" t="s">
        <v>10471</v>
      </c>
      <c r="S2417" t="s">
        <v>170</v>
      </c>
      <c r="T2417" t="s">
        <v>91</v>
      </c>
      <c r="U2417" t="s">
        <v>74</v>
      </c>
      <c r="V2417" t="str">
        <f>"100654870"</f>
        <v>100654870</v>
      </c>
      <c r="AC2417" t="s">
        <v>76</v>
      </c>
      <c r="AD2417" t="s">
        <v>73</v>
      </c>
      <c r="AE2417" t="s">
        <v>97</v>
      </c>
      <c r="AF2417" t="s">
        <v>2242</v>
      </c>
      <c r="AG2417" t="s">
        <v>78</v>
      </c>
    </row>
    <row r="2418" spans="1:33" hidden="1" x14ac:dyDescent="0.25">
      <c r="A2418" t="str">
        <f>"1205254620"</f>
        <v>1205254620</v>
      </c>
      <c r="C2418" t="s">
        <v>10472</v>
      </c>
      <c r="G2418" t="s">
        <v>2224</v>
      </c>
      <c r="H2418" t="s">
        <v>2225</v>
      </c>
      <c r="J2418" t="s">
        <v>2226</v>
      </c>
      <c r="K2418" t="s">
        <v>93</v>
      </c>
      <c r="L2418" t="s">
        <v>96</v>
      </c>
      <c r="M2418" t="s">
        <v>73</v>
      </c>
      <c r="R2418" t="s">
        <v>10473</v>
      </c>
      <c r="S2418" t="s">
        <v>2186</v>
      </c>
      <c r="T2418" t="s">
        <v>91</v>
      </c>
      <c r="U2418" t="s">
        <v>74</v>
      </c>
      <c r="V2418" t="str">
        <f>"100654805"</f>
        <v>100654805</v>
      </c>
      <c r="AC2418" t="s">
        <v>76</v>
      </c>
      <c r="AD2418" t="s">
        <v>73</v>
      </c>
      <c r="AE2418" t="s">
        <v>97</v>
      </c>
      <c r="AF2418" t="s">
        <v>2242</v>
      </c>
      <c r="AG2418" t="s">
        <v>78</v>
      </c>
    </row>
    <row r="2419" spans="1:33" hidden="1" x14ac:dyDescent="0.25">
      <c r="A2419" t="str">
        <f>"1063755213"</f>
        <v>1063755213</v>
      </c>
      <c r="C2419" t="s">
        <v>10474</v>
      </c>
      <c r="G2419" t="s">
        <v>2224</v>
      </c>
      <c r="H2419" t="s">
        <v>2225</v>
      </c>
      <c r="J2419" t="s">
        <v>2226</v>
      </c>
      <c r="K2419" t="s">
        <v>93</v>
      </c>
      <c r="L2419" t="s">
        <v>96</v>
      </c>
      <c r="M2419" t="s">
        <v>73</v>
      </c>
      <c r="R2419" t="s">
        <v>10475</v>
      </c>
      <c r="S2419" t="s">
        <v>10476</v>
      </c>
      <c r="T2419" t="s">
        <v>91</v>
      </c>
      <c r="U2419" t="s">
        <v>74</v>
      </c>
      <c r="V2419" t="str">
        <f>"100335002"</f>
        <v>100335002</v>
      </c>
      <c r="AC2419" t="s">
        <v>76</v>
      </c>
      <c r="AD2419" t="s">
        <v>73</v>
      </c>
      <c r="AE2419" t="s">
        <v>97</v>
      </c>
      <c r="AF2419" t="s">
        <v>2228</v>
      </c>
      <c r="AG2419" t="s">
        <v>78</v>
      </c>
    </row>
    <row r="2420" spans="1:33" hidden="1" x14ac:dyDescent="0.25">
      <c r="A2420" t="str">
        <f>"1821364969"</f>
        <v>1821364969</v>
      </c>
      <c r="C2420" t="s">
        <v>10477</v>
      </c>
      <c r="G2420" t="s">
        <v>2224</v>
      </c>
      <c r="H2420" t="s">
        <v>2225</v>
      </c>
      <c r="J2420" t="s">
        <v>2226</v>
      </c>
      <c r="K2420" t="s">
        <v>93</v>
      </c>
      <c r="L2420" t="s">
        <v>96</v>
      </c>
      <c r="M2420" t="s">
        <v>73</v>
      </c>
      <c r="R2420" t="s">
        <v>10478</v>
      </c>
      <c r="S2420" t="s">
        <v>10479</v>
      </c>
      <c r="T2420" t="s">
        <v>1747</v>
      </c>
      <c r="U2420" t="s">
        <v>209</v>
      </c>
      <c r="V2420" t="str">
        <f>"605277594"</f>
        <v>605277594</v>
      </c>
      <c r="AC2420" t="s">
        <v>76</v>
      </c>
      <c r="AD2420" t="s">
        <v>73</v>
      </c>
      <c r="AE2420" t="s">
        <v>97</v>
      </c>
      <c r="AF2420" t="s">
        <v>2234</v>
      </c>
      <c r="AG2420" t="s">
        <v>78</v>
      </c>
    </row>
    <row r="2421" spans="1:33" hidden="1" x14ac:dyDescent="0.25">
      <c r="A2421" t="str">
        <f>"1356785356"</f>
        <v>1356785356</v>
      </c>
      <c r="C2421" t="s">
        <v>10480</v>
      </c>
      <c r="G2421" t="s">
        <v>2224</v>
      </c>
      <c r="H2421" t="s">
        <v>2225</v>
      </c>
      <c r="J2421" t="s">
        <v>2226</v>
      </c>
      <c r="K2421" t="s">
        <v>93</v>
      </c>
      <c r="L2421" t="s">
        <v>96</v>
      </c>
      <c r="M2421" t="s">
        <v>73</v>
      </c>
      <c r="R2421" t="s">
        <v>10481</v>
      </c>
      <c r="S2421" t="s">
        <v>10482</v>
      </c>
      <c r="T2421" t="s">
        <v>91</v>
      </c>
      <c r="U2421" t="s">
        <v>74</v>
      </c>
      <c r="V2421" t="str">
        <f>"100323733"</f>
        <v>100323733</v>
      </c>
      <c r="AC2421" t="s">
        <v>76</v>
      </c>
      <c r="AD2421" t="s">
        <v>73</v>
      </c>
      <c r="AE2421" t="s">
        <v>97</v>
      </c>
      <c r="AF2421" t="s">
        <v>2228</v>
      </c>
      <c r="AG2421" t="s">
        <v>78</v>
      </c>
    </row>
    <row r="2422" spans="1:33" hidden="1" x14ac:dyDescent="0.25">
      <c r="A2422" t="str">
        <f>"1376986109"</f>
        <v>1376986109</v>
      </c>
      <c r="C2422" t="s">
        <v>10483</v>
      </c>
      <c r="G2422" t="s">
        <v>2224</v>
      </c>
      <c r="H2422" t="s">
        <v>2225</v>
      </c>
      <c r="J2422" t="s">
        <v>2226</v>
      </c>
      <c r="K2422" t="s">
        <v>93</v>
      </c>
      <c r="L2422" t="s">
        <v>96</v>
      </c>
      <c r="M2422" t="s">
        <v>73</v>
      </c>
      <c r="R2422" t="s">
        <v>10484</v>
      </c>
      <c r="S2422" t="s">
        <v>7782</v>
      </c>
      <c r="T2422" t="s">
        <v>91</v>
      </c>
      <c r="U2422" t="s">
        <v>74</v>
      </c>
      <c r="V2422" t="str">
        <f>"100335002"</f>
        <v>100335002</v>
      </c>
      <c r="AC2422" t="s">
        <v>76</v>
      </c>
      <c r="AD2422" t="s">
        <v>73</v>
      </c>
      <c r="AE2422" t="s">
        <v>97</v>
      </c>
      <c r="AF2422" t="s">
        <v>2228</v>
      </c>
      <c r="AG2422" t="s">
        <v>78</v>
      </c>
    </row>
    <row r="2423" spans="1:33" hidden="1" x14ac:dyDescent="0.25">
      <c r="A2423" t="str">
        <f>"1144586637"</f>
        <v>1144586637</v>
      </c>
      <c r="C2423" t="s">
        <v>10485</v>
      </c>
      <c r="G2423" t="s">
        <v>2224</v>
      </c>
      <c r="H2423" t="s">
        <v>2225</v>
      </c>
      <c r="J2423" t="s">
        <v>2226</v>
      </c>
      <c r="K2423" t="s">
        <v>93</v>
      </c>
      <c r="L2423" t="s">
        <v>96</v>
      </c>
      <c r="M2423" t="s">
        <v>73</v>
      </c>
      <c r="R2423" t="s">
        <v>10486</v>
      </c>
      <c r="S2423" t="s">
        <v>10487</v>
      </c>
      <c r="T2423" t="s">
        <v>1188</v>
      </c>
      <c r="U2423" t="s">
        <v>597</v>
      </c>
      <c r="V2423" t="str">
        <f>"981042420"</f>
        <v>981042420</v>
      </c>
      <c r="AC2423" t="s">
        <v>76</v>
      </c>
      <c r="AD2423" t="s">
        <v>73</v>
      </c>
      <c r="AE2423" t="s">
        <v>97</v>
      </c>
      <c r="AF2423" t="s">
        <v>2234</v>
      </c>
      <c r="AG2423" t="s">
        <v>78</v>
      </c>
    </row>
    <row r="2424" spans="1:33" hidden="1" x14ac:dyDescent="0.25">
      <c r="A2424" t="str">
        <f>"1669730958"</f>
        <v>1669730958</v>
      </c>
      <c r="C2424" t="s">
        <v>10488</v>
      </c>
      <c r="G2424" t="s">
        <v>2224</v>
      </c>
      <c r="H2424" t="s">
        <v>2225</v>
      </c>
      <c r="J2424" t="s">
        <v>2226</v>
      </c>
      <c r="K2424" t="s">
        <v>93</v>
      </c>
      <c r="L2424" t="s">
        <v>96</v>
      </c>
      <c r="M2424" t="s">
        <v>73</v>
      </c>
      <c r="R2424" t="s">
        <v>10489</v>
      </c>
      <c r="S2424" t="s">
        <v>10490</v>
      </c>
      <c r="T2424" t="s">
        <v>91</v>
      </c>
      <c r="U2424" t="s">
        <v>74</v>
      </c>
      <c r="V2424" t="str">
        <f>"10032"</f>
        <v>10032</v>
      </c>
      <c r="AC2424" t="s">
        <v>76</v>
      </c>
      <c r="AD2424" t="s">
        <v>73</v>
      </c>
      <c r="AE2424" t="s">
        <v>97</v>
      </c>
      <c r="AF2424" t="s">
        <v>2228</v>
      </c>
      <c r="AG2424" t="s">
        <v>78</v>
      </c>
    </row>
    <row r="2425" spans="1:33" hidden="1" x14ac:dyDescent="0.25">
      <c r="A2425" t="str">
        <f>"1497012223"</f>
        <v>1497012223</v>
      </c>
      <c r="C2425" t="s">
        <v>10491</v>
      </c>
      <c r="G2425" t="s">
        <v>2224</v>
      </c>
      <c r="H2425" t="s">
        <v>2225</v>
      </c>
      <c r="J2425" t="s">
        <v>2226</v>
      </c>
      <c r="K2425" t="s">
        <v>93</v>
      </c>
      <c r="L2425" t="s">
        <v>96</v>
      </c>
      <c r="M2425" t="s">
        <v>73</v>
      </c>
      <c r="R2425" t="s">
        <v>10492</v>
      </c>
      <c r="S2425" t="s">
        <v>1444</v>
      </c>
      <c r="T2425" t="s">
        <v>91</v>
      </c>
      <c r="U2425" t="s">
        <v>74</v>
      </c>
      <c r="V2425" t="str">
        <f>"100323733"</f>
        <v>100323733</v>
      </c>
      <c r="AC2425" t="s">
        <v>76</v>
      </c>
      <c r="AD2425" t="s">
        <v>73</v>
      </c>
      <c r="AE2425" t="s">
        <v>97</v>
      </c>
      <c r="AF2425" t="s">
        <v>2234</v>
      </c>
      <c r="AG2425" t="s">
        <v>78</v>
      </c>
    </row>
    <row r="2426" spans="1:33" hidden="1" x14ac:dyDescent="0.25">
      <c r="A2426" t="str">
        <f>"1255458972"</f>
        <v>1255458972</v>
      </c>
      <c r="B2426" t="str">
        <f>"02985399"</f>
        <v>02985399</v>
      </c>
      <c r="C2426" t="s">
        <v>10493</v>
      </c>
      <c r="D2426" t="s">
        <v>10494</v>
      </c>
      <c r="E2426" t="s">
        <v>10495</v>
      </c>
      <c r="G2426" t="s">
        <v>2224</v>
      </c>
      <c r="H2426" t="s">
        <v>2225</v>
      </c>
      <c r="J2426" t="s">
        <v>2226</v>
      </c>
      <c r="L2426" t="s">
        <v>81</v>
      </c>
      <c r="M2426" t="s">
        <v>73</v>
      </c>
      <c r="R2426" t="s">
        <v>10495</v>
      </c>
      <c r="W2426" t="s">
        <v>10495</v>
      </c>
      <c r="X2426" t="s">
        <v>628</v>
      </c>
      <c r="Y2426" t="s">
        <v>91</v>
      </c>
      <c r="Z2426" t="s">
        <v>74</v>
      </c>
      <c r="AA2426" t="str">
        <f>"10021-4872"</f>
        <v>10021-4872</v>
      </c>
      <c r="AB2426" t="s">
        <v>75</v>
      </c>
      <c r="AC2426" t="s">
        <v>76</v>
      </c>
      <c r="AD2426" t="s">
        <v>73</v>
      </c>
      <c r="AE2426" t="s">
        <v>77</v>
      </c>
      <c r="AF2426" t="s">
        <v>2242</v>
      </c>
      <c r="AG2426" t="s">
        <v>78</v>
      </c>
    </row>
    <row r="2427" spans="1:33" hidden="1" x14ac:dyDescent="0.25">
      <c r="A2427" t="str">
        <f>"1427112176"</f>
        <v>1427112176</v>
      </c>
      <c r="B2427" t="str">
        <f>"02148781"</f>
        <v>02148781</v>
      </c>
      <c r="C2427" t="s">
        <v>10496</v>
      </c>
      <c r="D2427" t="s">
        <v>10497</v>
      </c>
      <c r="E2427" t="s">
        <v>10498</v>
      </c>
      <c r="G2427" t="s">
        <v>2224</v>
      </c>
      <c r="H2427" t="s">
        <v>2225</v>
      </c>
      <c r="J2427" t="s">
        <v>2226</v>
      </c>
      <c r="L2427" t="s">
        <v>72</v>
      </c>
      <c r="M2427" t="s">
        <v>73</v>
      </c>
      <c r="R2427" t="s">
        <v>10499</v>
      </c>
      <c r="W2427" t="s">
        <v>10498</v>
      </c>
      <c r="X2427" t="s">
        <v>2023</v>
      </c>
      <c r="Y2427" t="s">
        <v>91</v>
      </c>
      <c r="Z2427" t="s">
        <v>74</v>
      </c>
      <c r="AA2427" t="str">
        <f>"10037-1802"</f>
        <v>10037-1802</v>
      </c>
      <c r="AB2427" t="s">
        <v>75</v>
      </c>
      <c r="AC2427" t="s">
        <v>76</v>
      </c>
      <c r="AD2427" t="s">
        <v>73</v>
      </c>
      <c r="AE2427" t="s">
        <v>77</v>
      </c>
      <c r="AF2427" t="s">
        <v>2228</v>
      </c>
      <c r="AG2427" t="s">
        <v>78</v>
      </c>
    </row>
    <row r="2428" spans="1:33" hidden="1" x14ac:dyDescent="0.25">
      <c r="A2428" t="str">
        <f>"1881853406"</f>
        <v>1881853406</v>
      </c>
      <c r="B2428" t="str">
        <f>"03128925"</f>
        <v>03128925</v>
      </c>
      <c r="C2428" t="s">
        <v>10500</v>
      </c>
      <c r="D2428" t="s">
        <v>10501</v>
      </c>
      <c r="E2428" t="s">
        <v>10502</v>
      </c>
      <c r="G2428" t="s">
        <v>2224</v>
      </c>
      <c r="H2428" t="s">
        <v>2225</v>
      </c>
      <c r="J2428" t="s">
        <v>2226</v>
      </c>
      <c r="L2428" t="s">
        <v>88</v>
      </c>
      <c r="M2428" t="s">
        <v>73</v>
      </c>
      <c r="R2428" t="s">
        <v>10503</v>
      </c>
      <c r="W2428" t="s">
        <v>10504</v>
      </c>
      <c r="X2428" t="s">
        <v>3440</v>
      </c>
      <c r="Y2428" t="s">
        <v>91</v>
      </c>
      <c r="Z2428" t="s">
        <v>74</v>
      </c>
      <c r="AA2428" t="str">
        <f>"10032-3720"</f>
        <v>10032-3720</v>
      </c>
      <c r="AB2428" t="s">
        <v>75</v>
      </c>
      <c r="AC2428" t="s">
        <v>76</v>
      </c>
      <c r="AD2428" t="s">
        <v>73</v>
      </c>
      <c r="AE2428" t="s">
        <v>77</v>
      </c>
      <c r="AF2428" t="s">
        <v>2254</v>
      </c>
      <c r="AG2428" t="s">
        <v>78</v>
      </c>
    </row>
    <row r="2429" spans="1:33" hidden="1" x14ac:dyDescent="0.25">
      <c r="A2429" t="str">
        <f>"1881873594"</f>
        <v>1881873594</v>
      </c>
      <c r="B2429" t="str">
        <f>"02706701"</f>
        <v>02706701</v>
      </c>
      <c r="C2429" t="s">
        <v>10505</v>
      </c>
      <c r="D2429" t="s">
        <v>10506</v>
      </c>
      <c r="E2429" t="s">
        <v>10507</v>
      </c>
      <c r="G2429" t="s">
        <v>2224</v>
      </c>
      <c r="H2429" t="s">
        <v>2225</v>
      </c>
      <c r="J2429" t="s">
        <v>2226</v>
      </c>
      <c r="L2429" t="s">
        <v>72</v>
      </c>
      <c r="M2429" t="s">
        <v>73</v>
      </c>
      <c r="R2429" t="s">
        <v>10508</v>
      </c>
      <c r="W2429" t="s">
        <v>10509</v>
      </c>
      <c r="X2429" t="s">
        <v>1784</v>
      </c>
      <c r="Y2429" t="s">
        <v>91</v>
      </c>
      <c r="Z2429" t="s">
        <v>74</v>
      </c>
      <c r="AA2429" t="str">
        <f>"10032-3724"</f>
        <v>10032-3724</v>
      </c>
      <c r="AB2429" t="s">
        <v>113</v>
      </c>
      <c r="AC2429" t="s">
        <v>76</v>
      </c>
      <c r="AD2429" t="s">
        <v>73</v>
      </c>
      <c r="AE2429" t="s">
        <v>77</v>
      </c>
      <c r="AF2429" t="s">
        <v>2228</v>
      </c>
      <c r="AG2429" t="s">
        <v>78</v>
      </c>
    </row>
    <row r="2430" spans="1:33" hidden="1" x14ac:dyDescent="0.25">
      <c r="A2430" t="str">
        <f>"1902221351"</f>
        <v>1902221351</v>
      </c>
      <c r="C2430" t="s">
        <v>10510</v>
      </c>
      <c r="G2430" t="s">
        <v>2224</v>
      </c>
      <c r="H2430" t="s">
        <v>2312</v>
      </c>
      <c r="J2430" t="s">
        <v>2226</v>
      </c>
      <c r="K2430" t="s">
        <v>171</v>
      </c>
      <c r="L2430" t="s">
        <v>96</v>
      </c>
      <c r="M2430" t="s">
        <v>73</v>
      </c>
      <c r="R2430" t="s">
        <v>10511</v>
      </c>
      <c r="S2430" t="s">
        <v>10512</v>
      </c>
      <c r="T2430" t="s">
        <v>91</v>
      </c>
      <c r="U2430" t="s">
        <v>74</v>
      </c>
      <c r="V2430" t="str">
        <f>"100025540"</f>
        <v>100025540</v>
      </c>
      <c r="AC2430" t="s">
        <v>76</v>
      </c>
      <c r="AD2430" t="s">
        <v>73</v>
      </c>
      <c r="AE2430" t="s">
        <v>97</v>
      </c>
      <c r="AF2430" t="s">
        <v>2228</v>
      </c>
      <c r="AG2430" t="s">
        <v>78</v>
      </c>
    </row>
    <row r="2431" spans="1:33" hidden="1" x14ac:dyDescent="0.25">
      <c r="A2431" t="str">
        <f>"1568563567"</f>
        <v>1568563567</v>
      </c>
      <c r="B2431" t="str">
        <f>"02058877"</f>
        <v>02058877</v>
      </c>
      <c r="C2431" t="s">
        <v>10513</v>
      </c>
      <c r="D2431" t="s">
        <v>10514</v>
      </c>
      <c r="E2431" t="s">
        <v>10515</v>
      </c>
      <c r="G2431" t="s">
        <v>2224</v>
      </c>
      <c r="H2431" t="s">
        <v>2225</v>
      </c>
      <c r="J2431" t="s">
        <v>2226</v>
      </c>
      <c r="L2431" t="s">
        <v>80</v>
      </c>
      <c r="M2431" t="s">
        <v>73</v>
      </c>
      <c r="R2431" t="s">
        <v>10516</v>
      </c>
      <c r="W2431" t="s">
        <v>10515</v>
      </c>
      <c r="X2431" t="s">
        <v>1714</v>
      </c>
      <c r="Y2431" t="s">
        <v>153</v>
      </c>
      <c r="Z2431" t="s">
        <v>74</v>
      </c>
      <c r="AA2431" t="str">
        <f>"11021-5100"</f>
        <v>11021-5100</v>
      </c>
      <c r="AB2431" t="s">
        <v>75</v>
      </c>
      <c r="AC2431" t="s">
        <v>76</v>
      </c>
      <c r="AD2431" t="s">
        <v>73</v>
      </c>
      <c r="AE2431" t="s">
        <v>77</v>
      </c>
      <c r="AF2431" t="s">
        <v>2254</v>
      </c>
      <c r="AG2431" t="s">
        <v>78</v>
      </c>
    </row>
    <row r="2432" spans="1:33" hidden="1" x14ac:dyDescent="0.25">
      <c r="A2432" t="str">
        <f>"1669560330"</f>
        <v>1669560330</v>
      </c>
      <c r="B2432" t="str">
        <f>"00877472"</f>
        <v>00877472</v>
      </c>
      <c r="C2432" t="s">
        <v>10517</v>
      </c>
      <c r="D2432" t="s">
        <v>10518</v>
      </c>
      <c r="E2432" t="s">
        <v>10519</v>
      </c>
      <c r="G2432" t="s">
        <v>2224</v>
      </c>
      <c r="H2432" t="s">
        <v>2225</v>
      </c>
      <c r="J2432" t="s">
        <v>2226</v>
      </c>
      <c r="L2432" t="s">
        <v>80</v>
      </c>
      <c r="M2432" t="s">
        <v>73</v>
      </c>
      <c r="R2432" t="s">
        <v>10520</v>
      </c>
      <c r="W2432" t="s">
        <v>10519</v>
      </c>
      <c r="X2432" t="s">
        <v>354</v>
      </c>
      <c r="Y2432" t="s">
        <v>91</v>
      </c>
      <c r="Z2432" t="s">
        <v>74</v>
      </c>
      <c r="AA2432" t="str">
        <f>"10032-3725"</f>
        <v>10032-3725</v>
      </c>
      <c r="AB2432" t="s">
        <v>79</v>
      </c>
      <c r="AC2432" t="s">
        <v>76</v>
      </c>
      <c r="AD2432" t="s">
        <v>73</v>
      </c>
      <c r="AE2432" t="s">
        <v>77</v>
      </c>
      <c r="AF2432" t="s">
        <v>2398</v>
      </c>
      <c r="AG2432" t="s">
        <v>78</v>
      </c>
    </row>
    <row r="2433" spans="1:33" hidden="1" x14ac:dyDescent="0.25">
      <c r="A2433" t="str">
        <f>"1669569745"</f>
        <v>1669569745</v>
      </c>
      <c r="B2433" t="str">
        <f>"01793044"</f>
        <v>01793044</v>
      </c>
      <c r="C2433" t="s">
        <v>10521</v>
      </c>
      <c r="D2433" t="s">
        <v>10522</v>
      </c>
      <c r="E2433" t="s">
        <v>10523</v>
      </c>
      <c r="G2433" t="s">
        <v>2224</v>
      </c>
      <c r="H2433" t="s">
        <v>2225</v>
      </c>
      <c r="J2433" t="s">
        <v>2226</v>
      </c>
      <c r="L2433" t="s">
        <v>80</v>
      </c>
      <c r="M2433" t="s">
        <v>73</v>
      </c>
      <c r="R2433" t="s">
        <v>2117</v>
      </c>
      <c r="W2433" t="s">
        <v>10524</v>
      </c>
      <c r="X2433" t="s">
        <v>10525</v>
      </c>
      <c r="Y2433" t="s">
        <v>91</v>
      </c>
      <c r="Z2433" t="s">
        <v>74</v>
      </c>
      <c r="AA2433" t="str">
        <f>"10065-4870"</f>
        <v>10065-4870</v>
      </c>
      <c r="AB2433" t="s">
        <v>75</v>
      </c>
      <c r="AC2433" t="s">
        <v>76</v>
      </c>
      <c r="AD2433" t="s">
        <v>73</v>
      </c>
      <c r="AE2433" t="s">
        <v>77</v>
      </c>
      <c r="AF2433" t="s">
        <v>2398</v>
      </c>
      <c r="AG2433" t="s">
        <v>78</v>
      </c>
    </row>
    <row r="2434" spans="1:33" hidden="1" x14ac:dyDescent="0.25">
      <c r="A2434" t="str">
        <f>"1669620670"</f>
        <v>1669620670</v>
      </c>
      <c r="B2434" t="str">
        <f>"03330898"</f>
        <v>03330898</v>
      </c>
      <c r="C2434" t="s">
        <v>10526</v>
      </c>
      <c r="D2434" t="s">
        <v>10527</v>
      </c>
      <c r="E2434" t="s">
        <v>10528</v>
      </c>
      <c r="G2434" t="s">
        <v>2224</v>
      </c>
      <c r="H2434" t="s">
        <v>2225</v>
      </c>
      <c r="J2434" t="s">
        <v>2226</v>
      </c>
      <c r="L2434" t="s">
        <v>72</v>
      </c>
      <c r="M2434" t="s">
        <v>73</v>
      </c>
      <c r="R2434" t="s">
        <v>10529</v>
      </c>
      <c r="W2434" t="s">
        <v>10528</v>
      </c>
      <c r="X2434" t="s">
        <v>1397</v>
      </c>
      <c r="Y2434" t="s">
        <v>91</v>
      </c>
      <c r="Z2434" t="s">
        <v>74</v>
      </c>
      <c r="AA2434" t="str">
        <f>"10032-3724"</f>
        <v>10032-3724</v>
      </c>
      <c r="AB2434" t="s">
        <v>106</v>
      </c>
      <c r="AC2434" t="s">
        <v>76</v>
      </c>
      <c r="AD2434" t="s">
        <v>73</v>
      </c>
      <c r="AE2434" t="s">
        <v>77</v>
      </c>
      <c r="AF2434" t="s">
        <v>2254</v>
      </c>
      <c r="AG2434" t="s">
        <v>78</v>
      </c>
    </row>
    <row r="2435" spans="1:33" hidden="1" x14ac:dyDescent="0.25">
      <c r="A2435" t="str">
        <f>"1134381148"</f>
        <v>1134381148</v>
      </c>
      <c r="B2435" t="str">
        <f>"03473443"</f>
        <v>03473443</v>
      </c>
      <c r="C2435" t="s">
        <v>10530</v>
      </c>
      <c r="D2435" t="s">
        <v>10531</v>
      </c>
      <c r="E2435" t="s">
        <v>10532</v>
      </c>
      <c r="G2435" t="s">
        <v>2224</v>
      </c>
      <c r="H2435" t="s">
        <v>2225</v>
      </c>
      <c r="J2435" t="s">
        <v>2226</v>
      </c>
      <c r="L2435" t="s">
        <v>80</v>
      </c>
      <c r="M2435" t="s">
        <v>73</v>
      </c>
      <c r="R2435" t="s">
        <v>10533</v>
      </c>
      <c r="W2435" t="s">
        <v>10532</v>
      </c>
      <c r="X2435" t="s">
        <v>496</v>
      </c>
      <c r="Y2435" t="s">
        <v>91</v>
      </c>
      <c r="Z2435" t="s">
        <v>74</v>
      </c>
      <c r="AA2435" t="str">
        <f>"10032-3726"</f>
        <v>10032-3726</v>
      </c>
      <c r="AB2435" t="s">
        <v>75</v>
      </c>
      <c r="AC2435" t="s">
        <v>76</v>
      </c>
      <c r="AD2435" t="s">
        <v>73</v>
      </c>
      <c r="AE2435" t="s">
        <v>77</v>
      </c>
      <c r="AF2435" t="s">
        <v>2254</v>
      </c>
      <c r="AG2435" t="s">
        <v>78</v>
      </c>
    </row>
    <row r="2436" spans="1:33" hidden="1" x14ac:dyDescent="0.25">
      <c r="C2436" t="s">
        <v>10534</v>
      </c>
      <c r="G2436" t="s">
        <v>2514</v>
      </c>
      <c r="H2436" t="s">
        <v>10535</v>
      </c>
      <c r="J2436" t="s">
        <v>2516</v>
      </c>
      <c r="K2436" t="s">
        <v>507</v>
      </c>
      <c r="L2436" t="s">
        <v>94</v>
      </c>
      <c r="M2436" t="s">
        <v>73</v>
      </c>
      <c r="AC2436" t="s">
        <v>76</v>
      </c>
      <c r="AD2436" t="s">
        <v>73</v>
      </c>
      <c r="AE2436" t="s">
        <v>95</v>
      </c>
      <c r="AF2436" t="s">
        <v>2518</v>
      </c>
      <c r="AG2436" t="s">
        <v>78</v>
      </c>
    </row>
    <row r="2437" spans="1:33" hidden="1" x14ac:dyDescent="0.25">
      <c r="A2437" t="str">
        <f>"1295995892"</f>
        <v>1295995892</v>
      </c>
      <c r="B2437" t="str">
        <f>"03674004"</f>
        <v>03674004</v>
      </c>
      <c r="C2437" t="s">
        <v>10536</v>
      </c>
      <c r="D2437" t="s">
        <v>10537</v>
      </c>
      <c r="E2437" t="s">
        <v>10538</v>
      </c>
      <c r="G2437" t="s">
        <v>2514</v>
      </c>
      <c r="H2437" t="s">
        <v>10539</v>
      </c>
      <c r="J2437" t="s">
        <v>2516</v>
      </c>
      <c r="L2437" t="s">
        <v>72</v>
      </c>
      <c r="M2437" t="s">
        <v>73</v>
      </c>
      <c r="R2437" t="s">
        <v>10540</v>
      </c>
      <c r="W2437" t="s">
        <v>10541</v>
      </c>
      <c r="X2437" t="s">
        <v>1929</v>
      </c>
      <c r="Y2437" t="s">
        <v>91</v>
      </c>
      <c r="Z2437" t="s">
        <v>74</v>
      </c>
      <c r="AA2437" t="str">
        <f>"10032-4207"</f>
        <v>10032-4207</v>
      </c>
      <c r="AB2437" t="s">
        <v>75</v>
      </c>
      <c r="AC2437" t="s">
        <v>76</v>
      </c>
      <c r="AD2437" t="s">
        <v>73</v>
      </c>
      <c r="AE2437" t="s">
        <v>77</v>
      </c>
      <c r="AF2437" t="s">
        <v>2518</v>
      </c>
      <c r="AG2437" t="s">
        <v>78</v>
      </c>
    </row>
    <row r="2438" spans="1:33" hidden="1" x14ac:dyDescent="0.25">
      <c r="A2438" t="str">
        <f>"1710966379"</f>
        <v>1710966379</v>
      </c>
      <c r="B2438" t="str">
        <f>"00312258"</f>
        <v>00312258</v>
      </c>
      <c r="C2438" t="s">
        <v>10542</v>
      </c>
      <c r="D2438" t="s">
        <v>1827</v>
      </c>
      <c r="E2438" t="s">
        <v>1828</v>
      </c>
      <c r="G2438" t="s">
        <v>2260</v>
      </c>
      <c r="H2438" t="s">
        <v>1511</v>
      </c>
      <c r="J2438" t="s">
        <v>8355</v>
      </c>
      <c r="L2438" t="s">
        <v>15</v>
      </c>
      <c r="M2438" t="s">
        <v>82</v>
      </c>
      <c r="R2438" t="s">
        <v>1829</v>
      </c>
      <c r="W2438" t="s">
        <v>1828</v>
      </c>
      <c r="X2438" t="s">
        <v>1585</v>
      </c>
      <c r="Y2438" t="s">
        <v>91</v>
      </c>
      <c r="Z2438" t="s">
        <v>74</v>
      </c>
      <c r="AA2438" t="str">
        <f>"10021-4707"</f>
        <v>10021-4707</v>
      </c>
      <c r="AB2438" t="s">
        <v>102</v>
      </c>
      <c r="AC2438" t="s">
        <v>76</v>
      </c>
      <c r="AD2438" t="s">
        <v>73</v>
      </c>
      <c r="AE2438" t="s">
        <v>77</v>
      </c>
      <c r="AG2438" t="s">
        <v>78</v>
      </c>
    </row>
    <row r="2439" spans="1:33" hidden="1" x14ac:dyDescent="0.25">
      <c r="A2439" t="str">
        <f>"1801920038"</f>
        <v>1801920038</v>
      </c>
      <c r="B2439" t="str">
        <f>"01342552"</f>
        <v>01342552</v>
      </c>
      <c r="C2439" t="s">
        <v>10543</v>
      </c>
      <c r="D2439" t="s">
        <v>10544</v>
      </c>
      <c r="E2439" t="s">
        <v>10545</v>
      </c>
      <c r="G2439" t="s">
        <v>2224</v>
      </c>
      <c r="H2439" t="s">
        <v>2225</v>
      </c>
      <c r="J2439" t="s">
        <v>2226</v>
      </c>
      <c r="L2439" t="s">
        <v>72</v>
      </c>
      <c r="M2439" t="s">
        <v>73</v>
      </c>
      <c r="R2439" t="s">
        <v>1992</v>
      </c>
      <c r="W2439" t="s">
        <v>10545</v>
      </c>
      <c r="X2439" t="s">
        <v>10546</v>
      </c>
      <c r="Y2439" t="s">
        <v>91</v>
      </c>
      <c r="Z2439" t="s">
        <v>74</v>
      </c>
      <c r="AA2439" t="str">
        <f>"10032-3725"</f>
        <v>10032-3725</v>
      </c>
      <c r="AB2439" t="s">
        <v>79</v>
      </c>
      <c r="AC2439" t="s">
        <v>76</v>
      </c>
      <c r="AD2439" t="s">
        <v>73</v>
      </c>
      <c r="AE2439" t="s">
        <v>77</v>
      </c>
      <c r="AF2439" t="s">
        <v>2254</v>
      </c>
      <c r="AG2439" t="s">
        <v>78</v>
      </c>
    </row>
    <row r="2440" spans="1:33" hidden="1" x14ac:dyDescent="0.25">
      <c r="A2440" t="str">
        <f>"1588844245"</f>
        <v>1588844245</v>
      </c>
      <c r="B2440" t="str">
        <f>"03501131"</f>
        <v>03501131</v>
      </c>
      <c r="C2440" t="s">
        <v>10547</v>
      </c>
      <c r="D2440" t="s">
        <v>10548</v>
      </c>
      <c r="E2440" t="s">
        <v>10549</v>
      </c>
      <c r="G2440" t="s">
        <v>2224</v>
      </c>
      <c r="H2440" t="s">
        <v>2225</v>
      </c>
      <c r="J2440" t="s">
        <v>2226</v>
      </c>
      <c r="L2440" t="s">
        <v>81</v>
      </c>
      <c r="M2440" t="s">
        <v>73</v>
      </c>
      <c r="R2440" t="s">
        <v>10550</v>
      </c>
      <c r="W2440" t="s">
        <v>10549</v>
      </c>
      <c r="X2440" t="s">
        <v>167</v>
      </c>
      <c r="Y2440" t="s">
        <v>91</v>
      </c>
      <c r="Z2440" t="s">
        <v>74</v>
      </c>
      <c r="AA2440" t="str">
        <f>"10032-3720"</f>
        <v>10032-3720</v>
      </c>
      <c r="AB2440" t="s">
        <v>75</v>
      </c>
      <c r="AC2440" t="s">
        <v>76</v>
      </c>
      <c r="AD2440" t="s">
        <v>73</v>
      </c>
      <c r="AE2440" t="s">
        <v>77</v>
      </c>
      <c r="AF2440" t="s">
        <v>2254</v>
      </c>
      <c r="AG2440" t="s">
        <v>78</v>
      </c>
    </row>
    <row r="2441" spans="1:33" hidden="1" x14ac:dyDescent="0.25">
      <c r="A2441" t="str">
        <f>"1851415632"</f>
        <v>1851415632</v>
      </c>
      <c r="B2441" t="str">
        <f>"02819941"</f>
        <v>02819941</v>
      </c>
      <c r="C2441" t="s">
        <v>10551</v>
      </c>
      <c r="D2441" t="s">
        <v>10552</v>
      </c>
      <c r="E2441" t="s">
        <v>10553</v>
      </c>
      <c r="G2441" t="s">
        <v>2224</v>
      </c>
      <c r="H2441" t="s">
        <v>2225</v>
      </c>
      <c r="J2441" t="s">
        <v>2226</v>
      </c>
      <c r="L2441" t="s">
        <v>81</v>
      </c>
      <c r="M2441" t="s">
        <v>82</v>
      </c>
      <c r="R2441" t="s">
        <v>10554</v>
      </c>
      <c r="W2441" t="s">
        <v>10553</v>
      </c>
      <c r="X2441" t="s">
        <v>3407</v>
      </c>
      <c r="Y2441" t="s">
        <v>91</v>
      </c>
      <c r="Z2441" t="s">
        <v>74</v>
      </c>
      <c r="AA2441" t="str">
        <f>"10032-3720"</f>
        <v>10032-3720</v>
      </c>
      <c r="AB2441" t="s">
        <v>75</v>
      </c>
      <c r="AC2441" t="s">
        <v>76</v>
      </c>
      <c r="AD2441" t="s">
        <v>73</v>
      </c>
      <c r="AE2441" t="s">
        <v>77</v>
      </c>
      <c r="AF2441" t="s">
        <v>2228</v>
      </c>
      <c r="AG2441" t="s">
        <v>78</v>
      </c>
    </row>
    <row r="2442" spans="1:33" hidden="1" x14ac:dyDescent="0.25">
      <c r="A2442" t="str">
        <f>"1770895153"</f>
        <v>1770895153</v>
      </c>
      <c r="B2442" t="str">
        <f>"03461676"</f>
        <v>03461676</v>
      </c>
      <c r="C2442" t="s">
        <v>10555</v>
      </c>
      <c r="D2442" t="s">
        <v>10556</v>
      </c>
      <c r="E2442" t="s">
        <v>10557</v>
      </c>
      <c r="G2442" t="s">
        <v>2224</v>
      </c>
      <c r="H2442" t="s">
        <v>2225</v>
      </c>
      <c r="J2442" t="s">
        <v>2226</v>
      </c>
      <c r="L2442" t="s">
        <v>88</v>
      </c>
      <c r="M2442" t="s">
        <v>73</v>
      </c>
      <c r="R2442" t="s">
        <v>10558</v>
      </c>
      <c r="W2442" t="s">
        <v>10557</v>
      </c>
      <c r="X2442" t="s">
        <v>2116</v>
      </c>
      <c r="Y2442" t="s">
        <v>91</v>
      </c>
      <c r="Z2442" t="s">
        <v>74</v>
      </c>
      <c r="AA2442" t="str">
        <f>"10034-4915"</f>
        <v>10034-4915</v>
      </c>
      <c r="AB2442" t="s">
        <v>75</v>
      </c>
      <c r="AC2442" t="s">
        <v>76</v>
      </c>
      <c r="AD2442" t="s">
        <v>73</v>
      </c>
      <c r="AE2442" t="s">
        <v>77</v>
      </c>
      <c r="AF2442" t="s">
        <v>2228</v>
      </c>
      <c r="AG2442" t="s">
        <v>78</v>
      </c>
    </row>
    <row r="2443" spans="1:33" hidden="1" x14ac:dyDescent="0.25">
      <c r="A2443" t="str">
        <f>"1780771865"</f>
        <v>1780771865</v>
      </c>
      <c r="B2443" t="str">
        <f>"02134563"</f>
        <v>02134563</v>
      </c>
      <c r="C2443" t="s">
        <v>10559</v>
      </c>
      <c r="D2443" t="s">
        <v>625</v>
      </c>
      <c r="E2443" t="s">
        <v>626</v>
      </c>
      <c r="G2443" t="s">
        <v>2224</v>
      </c>
      <c r="H2443" t="s">
        <v>2225</v>
      </c>
      <c r="J2443" t="s">
        <v>2226</v>
      </c>
      <c r="L2443" t="s">
        <v>81</v>
      </c>
      <c r="M2443" t="s">
        <v>82</v>
      </c>
      <c r="R2443" t="s">
        <v>627</v>
      </c>
      <c r="W2443" t="s">
        <v>626</v>
      </c>
      <c r="X2443" t="s">
        <v>628</v>
      </c>
      <c r="Y2443" t="s">
        <v>91</v>
      </c>
      <c r="Z2443" t="s">
        <v>74</v>
      </c>
      <c r="AA2443" t="str">
        <f>"10021-4872"</f>
        <v>10021-4872</v>
      </c>
      <c r="AB2443" t="s">
        <v>75</v>
      </c>
      <c r="AC2443" t="s">
        <v>76</v>
      </c>
      <c r="AD2443" t="s">
        <v>73</v>
      </c>
      <c r="AE2443" t="s">
        <v>77</v>
      </c>
      <c r="AF2443" t="s">
        <v>2242</v>
      </c>
      <c r="AG2443" t="s">
        <v>78</v>
      </c>
    </row>
    <row r="2444" spans="1:33" hidden="1" x14ac:dyDescent="0.25">
      <c r="A2444" t="str">
        <f>"1902914849"</f>
        <v>1902914849</v>
      </c>
      <c r="B2444" t="str">
        <f>"01538563"</f>
        <v>01538563</v>
      </c>
      <c r="C2444" t="s">
        <v>3498</v>
      </c>
      <c r="D2444" t="s">
        <v>10560</v>
      </c>
      <c r="E2444" t="s">
        <v>10561</v>
      </c>
      <c r="L2444" t="s">
        <v>36</v>
      </c>
      <c r="M2444" t="s">
        <v>73</v>
      </c>
      <c r="R2444" t="s">
        <v>3498</v>
      </c>
      <c r="W2444" t="s">
        <v>3498</v>
      </c>
      <c r="X2444" t="s">
        <v>170</v>
      </c>
      <c r="Y2444" t="s">
        <v>91</v>
      </c>
      <c r="Z2444" t="s">
        <v>74</v>
      </c>
      <c r="AA2444" t="str">
        <f>"10065-4870"</f>
        <v>10065-4870</v>
      </c>
      <c r="AB2444" t="s">
        <v>114</v>
      </c>
      <c r="AC2444" t="s">
        <v>76</v>
      </c>
      <c r="AD2444" t="s">
        <v>73</v>
      </c>
      <c r="AE2444" t="s">
        <v>77</v>
      </c>
      <c r="AG2444" t="s">
        <v>78</v>
      </c>
    </row>
    <row r="2445" spans="1:33" hidden="1" x14ac:dyDescent="0.25">
      <c r="A2445" t="str">
        <f>"1932143815"</f>
        <v>1932143815</v>
      </c>
      <c r="C2445" t="s">
        <v>3498</v>
      </c>
      <c r="K2445" t="s">
        <v>36</v>
      </c>
      <c r="L2445" t="s">
        <v>96</v>
      </c>
      <c r="M2445" t="s">
        <v>73</v>
      </c>
      <c r="R2445" t="s">
        <v>3498</v>
      </c>
      <c r="S2445" t="s">
        <v>170</v>
      </c>
      <c r="T2445" t="s">
        <v>91</v>
      </c>
      <c r="U2445" t="s">
        <v>74</v>
      </c>
      <c r="V2445" t="str">
        <f>"100214870"</f>
        <v>100214870</v>
      </c>
      <c r="AC2445" t="s">
        <v>76</v>
      </c>
      <c r="AD2445" t="s">
        <v>73</v>
      </c>
      <c r="AE2445" t="s">
        <v>97</v>
      </c>
      <c r="AG2445" t="s">
        <v>78</v>
      </c>
    </row>
    <row r="2446" spans="1:33" hidden="1" x14ac:dyDescent="0.25">
      <c r="A2446" t="str">
        <f>"1124098686"</f>
        <v>1124098686</v>
      </c>
      <c r="B2446" t="str">
        <f>"02010240"</f>
        <v>02010240</v>
      </c>
      <c r="C2446" t="s">
        <v>2172</v>
      </c>
      <c r="D2446" t="s">
        <v>658</v>
      </c>
      <c r="E2446" t="s">
        <v>659</v>
      </c>
      <c r="L2446" t="s">
        <v>80</v>
      </c>
      <c r="M2446" t="s">
        <v>73</v>
      </c>
      <c r="R2446" t="s">
        <v>660</v>
      </c>
      <c r="W2446" t="s">
        <v>659</v>
      </c>
      <c r="X2446" t="s">
        <v>661</v>
      </c>
      <c r="Y2446" t="s">
        <v>118</v>
      </c>
      <c r="Z2446" t="s">
        <v>74</v>
      </c>
      <c r="AA2446" t="str">
        <f>"10461-1400"</f>
        <v>10461-1400</v>
      </c>
      <c r="AB2446" t="s">
        <v>115</v>
      </c>
      <c r="AC2446" t="s">
        <v>76</v>
      </c>
      <c r="AD2446" t="s">
        <v>73</v>
      </c>
      <c r="AE2446" t="s">
        <v>77</v>
      </c>
      <c r="AG2446" t="s">
        <v>78</v>
      </c>
    </row>
    <row r="2447" spans="1:33" hidden="1" x14ac:dyDescent="0.25">
      <c r="A2447" t="str">
        <f>"1447347513"</f>
        <v>1447347513</v>
      </c>
      <c r="B2447" t="str">
        <f>"01648457"</f>
        <v>01648457</v>
      </c>
      <c r="C2447" t="s">
        <v>10562</v>
      </c>
      <c r="D2447" t="s">
        <v>10563</v>
      </c>
      <c r="E2447" t="s">
        <v>10564</v>
      </c>
      <c r="G2447" t="s">
        <v>2224</v>
      </c>
      <c r="H2447" t="s">
        <v>2225</v>
      </c>
      <c r="J2447" t="s">
        <v>2226</v>
      </c>
      <c r="L2447" t="s">
        <v>88</v>
      </c>
      <c r="M2447" t="s">
        <v>73</v>
      </c>
      <c r="R2447" t="s">
        <v>10565</v>
      </c>
      <c r="W2447" t="s">
        <v>10564</v>
      </c>
      <c r="X2447" t="s">
        <v>1583</v>
      </c>
      <c r="Y2447" t="s">
        <v>91</v>
      </c>
      <c r="Z2447" t="s">
        <v>74</v>
      </c>
      <c r="AA2447" t="str">
        <f>"10021-9800"</f>
        <v>10021-9800</v>
      </c>
      <c r="AB2447" t="s">
        <v>75</v>
      </c>
      <c r="AC2447" t="s">
        <v>76</v>
      </c>
      <c r="AD2447" t="s">
        <v>73</v>
      </c>
      <c r="AE2447" t="s">
        <v>77</v>
      </c>
      <c r="AF2447" t="s">
        <v>2242</v>
      </c>
      <c r="AG2447" t="s">
        <v>78</v>
      </c>
    </row>
    <row r="2448" spans="1:33" hidden="1" x14ac:dyDescent="0.25">
      <c r="A2448" t="str">
        <f>"1457518300"</f>
        <v>1457518300</v>
      </c>
      <c r="B2448" t="str">
        <f>"03227910"</f>
        <v>03227910</v>
      </c>
      <c r="C2448" t="s">
        <v>10566</v>
      </c>
      <c r="D2448" t="s">
        <v>10567</v>
      </c>
      <c r="E2448" t="s">
        <v>10568</v>
      </c>
      <c r="G2448" t="s">
        <v>2224</v>
      </c>
      <c r="H2448" t="s">
        <v>2225</v>
      </c>
      <c r="J2448" t="s">
        <v>2226</v>
      </c>
      <c r="L2448" t="s">
        <v>81</v>
      </c>
      <c r="M2448" t="s">
        <v>82</v>
      </c>
      <c r="R2448" t="s">
        <v>10569</v>
      </c>
      <c r="W2448" t="s">
        <v>10568</v>
      </c>
      <c r="X2448" t="s">
        <v>4560</v>
      </c>
      <c r="Y2448" t="s">
        <v>353</v>
      </c>
      <c r="Z2448" t="s">
        <v>74</v>
      </c>
      <c r="AA2448" t="str">
        <f>"10021-4780"</f>
        <v>10021-4780</v>
      </c>
      <c r="AB2448" t="s">
        <v>75</v>
      </c>
      <c r="AC2448" t="s">
        <v>76</v>
      </c>
      <c r="AD2448" t="s">
        <v>73</v>
      </c>
      <c r="AE2448" t="s">
        <v>77</v>
      </c>
      <c r="AF2448" t="s">
        <v>2242</v>
      </c>
      <c r="AG2448" t="s">
        <v>78</v>
      </c>
    </row>
    <row r="2449" spans="1:33" hidden="1" x14ac:dyDescent="0.25">
      <c r="A2449" t="str">
        <f>"1124231014"</f>
        <v>1124231014</v>
      </c>
      <c r="B2449" t="str">
        <f>"01811449"</f>
        <v>01811449</v>
      </c>
      <c r="C2449" t="s">
        <v>10570</v>
      </c>
      <c r="D2449" t="s">
        <v>10571</v>
      </c>
      <c r="E2449" t="s">
        <v>10572</v>
      </c>
      <c r="G2449" t="s">
        <v>2224</v>
      </c>
      <c r="H2449" t="s">
        <v>2225</v>
      </c>
      <c r="J2449" t="s">
        <v>2226</v>
      </c>
      <c r="L2449" t="s">
        <v>72</v>
      </c>
      <c r="M2449" t="s">
        <v>73</v>
      </c>
      <c r="R2449" t="s">
        <v>10572</v>
      </c>
      <c r="W2449" t="s">
        <v>10572</v>
      </c>
      <c r="X2449" t="s">
        <v>1784</v>
      </c>
      <c r="Y2449" t="s">
        <v>91</v>
      </c>
      <c r="Z2449" t="s">
        <v>74</v>
      </c>
      <c r="AA2449" t="str">
        <f>"10032-3724"</f>
        <v>10032-3724</v>
      </c>
      <c r="AB2449" t="s">
        <v>113</v>
      </c>
      <c r="AC2449" t="s">
        <v>76</v>
      </c>
      <c r="AD2449" t="s">
        <v>73</v>
      </c>
      <c r="AE2449" t="s">
        <v>77</v>
      </c>
      <c r="AF2449" t="s">
        <v>2228</v>
      </c>
      <c r="AG2449" t="s">
        <v>78</v>
      </c>
    </row>
    <row r="2450" spans="1:33" hidden="1" x14ac:dyDescent="0.25">
      <c r="A2450" t="str">
        <f>"1366489700"</f>
        <v>1366489700</v>
      </c>
      <c r="B2450" t="str">
        <f>"02771415"</f>
        <v>02771415</v>
      </c>
      <c r="C2450" t="s">
        <v>10573</v>
      </c>
      <c r="D2450" t="s">
        <v>10574</v>
      </c>
      <c r="E2450" t="s">
        <v>10575</v>
      </c>
      <c r="G2450" t="s">
        <v>2224</v>
      </c>
      <c r="H2450" t="s">
        <v>2225</v>
      </c>
      <c r="J2450" t="s">
        <v>2226</v>
      </c>
      <c r="L2450" t="s">
        <v>80</v>
      </c>
      <c r="M2450" t="s">
        <v>73</v>
      </c>
      <c r="R2450" t="s">
        <v>10576</v>
      </c>
      <c r="W2450" t="s">
        <v>10575</v>
      </c>
      <c r="X2450" t="s">
        <v>160</v>
      </c>
      <c r="Y2450" t="s">
        <v>144</v>
      </c>
      <c r="Z2450" t="s">
        <v>74</v>
      </c>
      <c r="AA2450" t="str">
        <f>"11040-1402"</f>
        <v>11040-1402</v>
      </c>
      <c r="AB2450" t="s">
        <v>75</v>
      </c>
      <c r="AC2450" t="s">
        <v>76</v>
      </c>
      <c r="AD2450" t="s">
        <v>73</v>
      </c>
      <c r="AE2450" t="s">
        <v>77</v>
      </c>
      <c r="AF2450" t="s">
        <v>2398</v>
      </c>
      <c r="AG2450" t="s">
        <v>78</v>
      </c>
    </row>
    <row r="2451" spans="1:33" hidden="1" x14ac:dyDescent="0.25">
      <c r="A2451" t="str">
        <f>"1558590125"</f>
        <v>1558590125</v>
      </c>
      <c r="B2451" t="str">
        <f>"03920207"</f>
        <v>03920207</v>
      </c>
      <c r="C2451" t="s">
        <v>10577</v>
      </c>
      <c r="D2451" t="s">
        <v>10578</v>
      </c>
      <c r="E2451" t="s">
        <v>10579</v>
      </c>
      <c r="L2451" t="s">
        <v>80</v>
      </c>
      <c r="M2451" t="s">
        <v>73</v>
      </c>
      <c r="R2451" t="s">
        <v>10579</v>
      </c>
      <c r="W2451" t="s">
        <v>10579</v>
      </c>
      <c r="X2451" t="s">
        <v>2688</v>
      </c>
      <c r="Y2451" t="s">
        <v>91</v>
      </c>
      <c r="Z2451" t="s">
        <v>74</v>
      </c>
      <c r="AA2451" t="str">
        <f>"10024-4332"</f>
        <v>10024-4332</v>
      </c>
      <c r="AB2451" t="s">
        <v>75</v>
      </c>
      <c r="AC2451" t="s">
        <v>76</v>
      </c>
      <c r="AD2451" t="s">
        <v>73</v>
      </c>
      <c r="AE2451" t="s">
        <v>77</v>
      </c>
      <c r="AF2451" t="s">
        <v>2242</v>
      </c>
      <c r="AG2451" t="s">
        <v>78</v>
      </c>
    </row>
    <row r="2452" spans="1:33" hidden="1" x14ac:dyDescent="0.25">
      <c r="A2452" t="str">
        <f>"1659362838"</f>
        <v>1659362838</v>
      </c>
      <c r="B2452" t="str">
        <f>"02833205"</f>
        <v>02833205</v>
      </c>
      <c r="C2452" t="s">
        <v>10580</v>
      </c>
      <c r="D2452" t="s">
        <v>1520</v>
      </c>
      <c r="E2452" t="s">
        <v>1521</v>
      </c>
      <c r="L2452" t="s">
        <v>80</v>
      </c>
      <c r="M2452" t="s">
        <v>82</v>
      </c>
      <c r="R2452" t="s">
        <v>1522</v>
      </c>
      <c r="W2452" t="s">
        <v>1521</v>
      </c>
      <c r="X2452" t="s">
        <v>1523</v>
      </c>
      <c r="Y2452" t="s">
        <v>91</v>
      </c>
      <c r="Z2452" t="s">
        <v>74</v>
      </c>
      <c r="AA2452" t="str">
        <f>"10128-6703"</f>
        <v>10128-6703</v>
      </c>
      <c r="AB2452" t="s">
        <v>75</v>
      </c>
      <c r="AC2452" t="s">
        <v>76</v>
      </c>
      <c r="AD2452" t="s">
        <v>73</v>
      </c>
      <c r="AE2452" t="s">
        <v>77</v>
      </c>
      <c r="AF2452" t="s">
        <v>2242</v>
      </c>
      <c r="AG2452" t="s">
        <v>78</v>
      </c>
    </row>
    <row r="2453" spans="1:33" hidden="1" x14ac:dyDescent="0.25">
      <c r="A2453" t="str">
        <f>"1609977933"</f>
        <v>1609977933</v>
      </c>
      <c r="B2453" t="str">
        <f>"01502074"</f>
        <v>01502074</v>
      </c>
      <c r="C2453" t="s">
        <v>10581</v>
      </c>
      <c r="D2453" t="s">
        <v>366</v>
      </c>
      <c r="E2453" t="s">
        <v>367</v>
      </c>
      <c r="L2453" t="s">
        <v>80</v>
      </c>
      <c r="M2453" t="s">
        <v>73</v>
      </c>
      <c r="R2453" t="s">
        <v>365</v>
      </c>
      <c r="W2453" t="s">
        <v>367</v>
      </c>
      <c r="X2453" t="s">
        <v>188</v>
      </c>
      <c r="Y2453" t="s">
        <v>186</v>
      </c>
      <c r="Z2453" t="s">
        <v>74</v>
      </c>
      <c r="AA2453" t="str">
        <f>"11530-4713"</f>
        <v>11530-4713</v>
      </c>
      <c r="AB2453" t="s">
        <v>75</v>
      </c>
      <c r="AC2453" t="s">
        <v>76</v>
      </c>
      <c r="AD2453" t="s">
        <v>73</v>
      </c>
      <c r="AE2453" t="s">
        <v>77</v>
      </c>
      <c r="AF2453" t="s">
        <v>2242</v>
      </c>
      <c r="AG2453" t="s">
        <v>78</v>
      </c>
    </row>
    <row r="2454" spans="1:33" hidden="1" x14ac:dyDescent="0.25">
      <c r="A2454" t="str">
        <f>"1184966988"</f>
        <v>1184966988</v>
      </c>
      <c r="B2454" t="str">
        <f>"04002604"</f>
        <v>04002604</v>
      </c>
      <c r="C2454" t="s">
        <v>10582</v>
      </c>
      <c r="D2454" t="s">
        <v>10583</v>
      </c>
      <c r="E2454" t="s">
        <v>10584</v>
      </c>
      <c r="G2454" t="s">
        <v>2224</v>
      </c>
      <c r="H2454" t="s">
        <v>2312</v>
      </c>
      <c r="J2454" t="s">
        <v>2226</v>
      </c>
      <c r="L2454" t="s">
        <v>72</v>
      </c>
      <c r="M2454" t="s">
        <v>73</v>
      </c>
      <c r="R2454" t="s">
        <v>10585</v>
      </c>
      <c r="W2454" t="s">
        <v>10584</v>
      </c>
      <c r="X2454" t="s">
        <v>2693</v>
      </c>
      <c r="Y2454" t="s">
        <v>91</v>
      </c>
      <c r="Z2454" t="s">
        <v>74</v>
      </c>
      <c r="AA2454" t="str">
        <f>"10065-4870"</f>
        <v>10065-4870</v>
      </c>
      <c r="AB2454" t="s">
        <v>75</v>
      </c>
      <c r="AC2454" t="s">
        <v>76</v>
      </c>
      <c r="AD2454" t="s">
        <v>73</v>
      </c>
      <c r="AE2454" t="s">
        <v>77</v>
      </c>
      <c r="AF2454" t="s">
        <v>2242</v>
      </c>
      <c r="AG2454" t="s">
        <v>78</v>
      </c>
    </row>
    <row r="2455" spans="1:33" hidden="1" x14ac:dyDescent="0.25">
      <c r="A2455" t="str">
        <f>"1730314030"</f>
        <v>1730314030</v>
      </c>
      <c r="B2455" t="str">
        <f>"03922552"</f>
        <v>03922552</v>
      </c>
      <c r="C2455" t="s">
        <v>10586</v>
      </c>
      <c r="D2455" t="s">
        <v>10587</v>
      </c>
      <c r="E2455" t="s">
        <v>10588</v>
      </c>
      <c r="L2455" t="s">
        <v>80</v>
      </c>
      <c r="M2455" t="s">
        <v>73</v>
      </c>
      <c r="R2455" t="s">
        <v>10588</v>
      </c>
      <c r="W2455" t="s">
        <v>10588</v>
      </c>
      <c r="X2455" t="s">
        <v>2693</v>
      </c>
      <c r="Y2455" t="s">
        <v>91</v>
      </c>
      <c r="Z2455" t="s">
        <v>74</v>
      </c>
      <c r="AA2455" t="str">
        <f>"10065-4885"</f>
        <v>10065-4885</v>
      </c>
      <c r="AB2455" t="s">
        <v>75</v>
      </c>
      <c r="AC2455" t="s">
        <v>76</v>
      </c>
      <c r="AD2455" t="s">
        <v>73</v>
      </c>
      <c r="AE2455" t="s">
        <v>77</v>
      </c>
      <c r="AG2455" t="s">
        <v>78</v>
      </c>
    </row>
    <row r="2456" spans="1:33" hidden="1" x14ac:dyDescent="0.25">
      <c r="A2456" t="str">
        <f>"1588632012"</f>
        <v>1588632012</v>
      </c>
      <c r="B2456" t="str">
        <f>"03824619"</f>
        <v>03824619</v>
      </c>
      <c r="C2456" t="s">
        <v>10589</v>
      </c>
      <c r="D2456" t="s">
        <v>10590</v>
      </c>
      <c r="E2456" t="s">
        <v>10591</v>
      </c>
      <c r="L2456" t="s">
        <v>80</v>
      </c>
      <c r="M2456" t="s">
        <v>73</v>
      </c>
      <c r="R2456" t="s">
        <v>10592</v>
      </c>
      <c r="W2456" t="s">
        <v>10593</v>
      </c>
      <c r="X2456" t="s">
        <v>2693</v>
      </c>
      <c r="Y2456" t="s">
        <v>91</v>
      </c>
      <c r="Z2456" t="s">
        <v>74</v>
      </c>
      <c r="AA2456" t="str">
        <f>"10065-4870"</f>
        <v>10065-4870</v>
      </c>
      <c r="AB2456" t="s">
        <v>75</v>
      </c>
      <c r="AC2456" t="s">
        <v>76</v>
      </c>
      <c r="AD2456" t="s">
        <v>73</v>
      </c>
      <c r="AE2456" t="s">
        <v>77</v>
      </c>
      <c r="AF2456" t="s">
        <v>2242</v>
      </c>
      <c r="AG2456" t="s">
        <v>78</v>
      </c>
    </row>
    <row r="2457" spans="1:33" hidden="1" x14ac:dyDescent="0.25">
      <c r="A2457" t="str">
        <f>"1558520890"</f>
        <v>1558520890</v>
      </c>
      <c r="B2457" t="str">
        <f>"03589411"</f>
        <v>03589411</v>
      </c>
      <c r="C2457" t="s">
        <v>10594</v>
      </c>
      <c r="D2457" t="s">
        <v>10595</v>
      </c>
      <c r="E2457" t="s">
        <v>10596</v>
      </c>
      <c r="L2457" t="s">
        <v>80</v>
      </c>
      <c r="M2457" t="s">
        <v>73</v>
      </c>
      <c r="R2457" t="s">
        <v>10597</v>
      </c>
      <c r="W2457" t="s">
        <v>10598</v>
      </c>
      <c r="X2457" t="s">
        <v>10599</v>
      </c>
      <c r="Y2457" t="s">
        <v>91</v>
      </c>
      <c r="Z2457" t="s">
        <v>74</v>
      </c>
      <c r="AA2457" t="str">
        <f>"10021-5663"</f>
        <v>10021-5663</v>
      </c>
      <c r="AB2457" t="s">
        <v>75</v>
      </c>
      <c r="AC2457" t="s">
        <v>76</v>
      </c>
      <c r="AD2457" t="s">
        <v>73</v>
      </c>
      <c r="AE2457" t="s">
        <v>77</v>
      </c>
      <c r="AF2457" t="s">
        <v>2242</v>
      </c>
      <c r="AG2457" t="s">
        <v>78</v>
      </c>
    </row>
    <row r="2458" spans="1:33" hidden="1" x14ac:dyDescent="0.25">
      <c r="A2458" t="str">
        <f>"1508154766"</f>
        <v>1508154766</v>
      </c>
      <c r="C2458" t="s">
        <v>10600</v>
      </c>
      <c r="G2458" t="s">
        <v>2224</v>
      </c>
      <c r="H2458" t="s">
        <v>2312</v>
      </c>
      <c r="J2458" t="s">
        <v>2226</v>
      </c>
      <c r="K2458" t="s">
        <v>171</v>
      </c>
      <c r="L2458" t="s">
        <v>96</v>
      </c>
      <c r="M2458" t="s">
        <v>73</v>
      </c>
      <c r="R2458" t="s">
        <v>10601</v>
      </c>
      <c r="S2458" t="s">
        <v>10602</v>
      </c>
      <c r="T2458" t="s">
        <v>10603</v>
      </c>
      <c r="U2458" t="s">
        <v>1161</v>
      </c>
      <c r="V2458" t="str">
        <f>"495031455"</f>
        <v>495031455</v>
      </c>
      <c r="AC2458" t="s">
        <v>76</v>
      </c>
      <c r="AD2458" t="s">
        <v>73</v>
      </c>
      <c r="AE2458" t="s">
        <v>97</v>
      </c>
      <c r="AF2458" t="s">
        <v>2242</v>
      </c>
      <c r="AG2458" t="s">
        <v>78</v>
      </c>
    </row>
    <row r="2459" spans="1:33" hidden="1" x14ac:dyDescent="0.25">
      <c r="C2459" t="s">
        <v>10604</v>
      </c>
      <c r="G2459" t="s">
        <v>2224</v>
      </c>
      <c r="H2459" t="s">
        <v>2312</v>
      </c>
      <c r="J2459" t="s">
        <v>2226</v>
      </c>
      <c r="K2459" t="s">
        <v>171</v>
      </c>
      <c r="L2459" t="s">
        <v>94</v>
      </c>
      <c r="M2459" t="s">
        <v>73</v>
      </c>
      <c r="AC2459" t="s">
        <v>76</v>
      </c>
      <c r="AD2459" t="s">
        <v>73</v>
      </c>
      <c r="AE2459" t="s">
        <v>95</v>
      </c>
      <c r="AF2459" t="s">
        <v>2234</v>
      </c>
      <c r="AG2459" t="s">
        <v>78</v>
      </c>
    </row>
    <row r="2460" spans="1:33" hidden="1" x14ac:dyDescent="0.25">
      <c r="A2460" t="str">
        <f>"1194887281"</f>
        <v>1194887281</v>
      </c>
      <c r="B2460" t="str">
        <f>"01761059"</f>
        <v>01761059</v>
      </c>
      <c r="C2460" t="s">
        <v>10605</v>
      </c>
      <c r="D2460" t="s">
        <v>482</v>
      </c>
      <c r="E2460" t="s">
        <v>483</v>
      </c>
      <c r="L2460" t="s">
        <v>80</v>
      </c>
      <c r="M2460" t="s">
        <v>82</v>
      </c>
      <c r="R2460" t="s">
        <v>484</v>
      </c>
      <c r="W2460" t="s">
        <v>483</v>
      </c>
      <c r="X2460" t="s">
        <v>272</v>
      </c>
      <c r="Y2460" t="s">
        <v>91</v>
      </c>
      <c r="Z2460" t="s">
        <v>74</v>
      </c>
      <c r="AA2460" t="str">
        <f>"10038-2612"</f>
        <v>10038-2612</v>
      </c>
      <c r="AB2460" t="s">
        <v>75</v>
      </c>
      <c r="AC2460" t="s">
        <v>76</v>
      </c>
      <c r="AD2460" t="s">
        <v>73</v>
      </c>
      <c r="AE2460" t="s">
        <v>77</v>
      </c>
      <c r="AG2460" t="s">
        <v>78</v>
      </c>
    </row>
    <row r="2461" spans="1:33" hidden="1" x14ac:dyDescent="0.25">
      <c r="A2461" t="str">
        <f>"1326356643"</f>
        <v>1326356643</v>
      </c>
      <c r="C2461" t="s">
        <v>10606</v>
      </c>
      <c r="G2461" t="s">
        <v>2224</v>
      </c>
      <c r="H2461" t="s">
        <v>2312</v>
      </c>
      <c r="J2461" t="s">
        <v>2226</v>
      </c>
      <c r="K2461" t="s">
        <v>171</v>
      </c>
      <c r="L2461" t="s">
        <v>96</v>
      </c>
      <c r="M2461" t="s">
        <v>73</v>
      </c>
      <c r="R2461" t="s">
        <v>10607</v>
      </c>
      <c r="S2461" t="s">
        <v>10608</v>
      </c>
      <c r="T2461" t="s">
        <v>91</v>
      </c>
      <c r="U2461" t="s">
        <v>74</v>
      </c>
      <c r="V2461" t="str">
        <f>"100323720"</f>
        <v>100323720</v>
      </c>
      <c r="AC2461" t="s">
        <v>76</v>
      </c>
      <c r="AD2461" t="s">
        <v>73</v>
      </c>
      <c r="AE2461" t="s">
        <v>97</v>
      </c>
      <c r="AF2461" t="s">
        <v>2228</v>
      </c>
      <c r="AG2461" t="s">
        <v>78</v>
      </c>
    </row>
    <row r="2462" spans="1:33" hidden="1" x14ac:dyDescent="0.25">
      <c r="A2462" t="str">
        <f>"1255674958"</f>
        <v>1255674958</v>
      </c>
      <c r="C2462" t="s">
        <v>10609</v>
      </c>
      <c r="G2462" t="s">
        <v>2224</v>
      </c>
      <c r="H2462" t="s">
        <v>2312</v>
      </c>
      <c r="J2462" t="s">
        <v>2226</v>
      </c>
      <c r="K2462" t="s">
        <v>171</v>
      </c>
      <c r="L2462" t="s">
        <v>96</v>
      </c>
      <c r="M2462" t="s">
        <v>73</v>
      </c>
      <c r="R2462" t="s">
        <v>10610</v>
      </c>
      <c r="S2462" t="s">
        <v>3387</v>
      </c>
      <c r="T2462" t="s">
        <v>91</v>
      </c>
      <c r="U2462" t="s">
        <v>74</v>
      </c>
      <c r="V2462" t="str">
        <f>"100323720"</f>
        <v>100323720</v>
      </c>
      <c r="AC2462" t="s">
        <v>76</v>
      </c>
      <c r="AD2462" t="s">
        <v>73</v>
      </c>
      <c r="AE2462" t="s">
        <v>97</v>
      </c>
      <c r="AF2462" t="s">
        <v>2228</v>
      </c>
      <c r="AG2462" t="s">
        <v>78</v>
      </c>
    </row>
    <row r="2463" spans="1:33" hidden="1" x14ac:dyDescent="0.25">
      <c r="A2463" t="str">
        <f>"1043630957"</f>
        <v>1043630957</v>
      </c>
      <c r="C2463" t="s">
        <v>10611</v>
      </c>
      <c r="G2463" t="s">
        <v>2224</v>
      </c>
      <c r="H2463" t="s">
        <v>2312</v>
      </c>
      <c r="J2463" t="s">
        <v>2226</v>
      </c>
      <c r="K2463" t="s">
        <v>171</v>
      </c>
      <c r="L2463" t="s">
        <v>96</v>
      </c>
      <c r="M2463" t="s">
        <v>73</v>
      </c>
      <c r="R2463" t="s">
        <v>10612</v>
      </c>
      <c r="S2463" t="s">
        <v>3925</v>
      </c>
      <c r="T2463" t="s">
        <v>91</v>
      </c>
      <c r="U2463" t="s">
        <v>74</v>
      </c>
      <c r="V2463" t="str">
        <f>"100323720"</f>
        <v>100323720</v>
      </c>
      <c r="AC2463" t="s">
        <v>76</v>
      </c>
      <c r="AD2463" t="s">
        <v>73</v>
      </c>
      <c r="AE2463" t="s">
        <v>97</v>
      </c>
      <c r="AF2463" t="s">
        <v>2228</v>
      </c>
      <c r="AG2463" t="s">
        <v>78</v>
      </c>
    </row>
    <row r="2464" spans="1:33" hidden="1" x14ac:dyDescent="0.25">
      <c r="A2464" t="str">
        <f>"1487072195"</f>
        <v>1487072195</v>
      </c>
      <c r="C2464" t="s">
        <v>10613</v>
      </c>
      <c r="G2464" t="s">
        <v>2224</v>
      </c>
      <c r="H2464" t="s">
        <v>2312</v>
      </c>
      <c r="J2464" t="s">
        <v>2226</v>
      </c>
      <c r="K2464" t="s">
        <v>171</v>
      </c>
      <c r="L2464" t="s">
        <v>96</v>
      </c>
      <c r="M2464" t="s">
        <v>73</v>
      </c>
      <c r="R2464" t="s">
        <v>10614</v>
      </c>
      <c r="S2464" t="s">
        <v>3925</v>
      </c>
      <c r="T2464" t="s">
        <v>91</v>
      </c>
      <c r="U2464" t="s">
        <v>74</v>
      </c>
      <c r="V2464" t="str">
        <f>"100323720"</f>
        <v>100323720</v>
      </c>
      <c r="AC2464" t="s">
        <v>76</v>
      </c>
      <c r="AD2464" t="s">
        <v>73</v>
      </c>
      <c r="AE2464" t="s">
        <v>97</v>
      </c>
      <c r="AF2464" t="s">
        <v>2228</v>
      </c>
      <c r="AG2464" t="s">
        <v>78</v>
      </c>
    </row>
    <row r="2465" spans="1:33" hidden="1" x14ac:dyDescent="0.25">
      <c r="A2465" t="str">
        <f>"1356617625"</f>
        <v>1356617625</v>
      </c>
      <c r="C2465" t="s">
        <v>10615</v>
      </c>
      <c r="G2465" t="s">
        <v>2224</v>
      </c>
      <c r="H2465" t="s">
        <v>2312</v>
      </c>
      <c r="J2465" t="s">
        <v>2226</v>
      </c>
      <c r="K2465" t="s">
        <v>171</v>
      </c>
      <c r="L2465" t="s">
        <v>96</v>
      </c>
      <c r="M2465" t="s">
        <v>73</v>
      </c>
      <c r="R2465" t="s">
        <v>10616</v>
      </c>
      <c r="S2465" t="s">
        <v>10617</v>
      </c>
      <c r="T2465" t="s">
        <v>541</v>
      </c>
      <c r="U2465" t="s">
        <v>519</v>
      </c>
      <c r="V2465" t="str">
        <f>"152321260"</f>
        <v>152321260</v>
      </c>
      <c r="AC2465" t="s">
        <v>76</v>
      </c>
      <c r="AD2465" t="s">
        <v>73</v>
      </c>
      <c r="AE2465" t="s">
        <v>97</v>
      </c>
      <c r="AF2465" t="s">
        <v>2228</v>
      </c>
      <c r="AG2465" t="s">
        <v>78</v>
      </c>
    </row>
    <row r="2466" spans="1:33" hidden="1" x14ac:dyDescent="0.25">
      <c r="A2466" t="str">
        <f>"1295026276"</f>
        <v>1295026276</v>
      </c>
      <c r="C2466" t="s">
        <v>10618</v>
      </c>
      <c r="G2466" t="s">
        <v>2224</v>
      </c>
      <c r="H2466" t="s">
        <v>2312</v>
      </c>
      <c r="J2466" t="s">
        <v>2226</v>
      </c>
      <c r="K2466" t="s">
        <v>171</v>
      </c>
      <c r="L2466" t="s">
        <v>96</v>
      </c>
      <c r="M2466" t="s">
        <v>73</v>
      </c>
      <c r="R2466" t="s">
        <v>10619</v>
      </c>
      <c r="S2466" t="s">
        <v>167</v>
      </c>
      <c r="T2466" t="s">
        <v>91</v>
      </c>
      <c r="U2466" t="s">
        <v>74</v>
      </c>
      <c r="V2466" t="str">
        <f>"100323720"</f>
        <v>100323720</v>
      </c>
      <c r="AC2466" t="s">
        <v>76</v>
      </c>
      <c r="AD2466" t="s">
        <v>73</v>
      </c>
      <c r="AE2466" t="s">
        <v>97</v>
      </c>
      <c r="AF2466" t="s">
        <v>2234</v>
      </c>
      <c r="AG2466" t="s">
        <v>78</v>
      </c>
    </row>
    <row r="2467" spans="1:33" hidden="1" x14ac:dyDescent="0.25">
      <c r="A2467" t="str">
        <f>"1841530458"</f>
        <v>1841530458</v>
      </c>
      <c r="C2467" t="s">
        <v>10620</v>
      </c>
      <c r="G2467" t="s">
        <v>2224</v>
      </c>
      <c r="H2467" t="s">
        <v>2312</v>
      </c>
      <c r="J2467" t="s">
        <v>2226</v>
      </c>
      <c r="K2467" t="s">
        <v>171</v>
      </c>
      <c r="L2467" t="s">
        <v>96</v>
      </c>
      <c r="M2467" t="s">
        <v>73</v>
      </c>
      <c r="R2467" t="s">
        <v>10621</v>
      </c>
      <c r="S2467" t="s">
        <v>10622</v>
      </c>
      <c r="T2467" t="s">
        <v>91</v>
      </c>
      <c r="U2467" t="s">
        <v>74</v>
      </c>
      <c r="V2467" t="str">
        <f>"100323722"</f>
        <v>100323722</v>
      </c>
      <c r="AC2467" t="s">
        <v>76</v>
      </c>
      <c r="AD2467" t="s">
        <v>73</v>
      </c>
      <c r="AE2467" t="s">
        <v>97</v>
      </c>
      <c r="AF2467" t="s">
        <v>2228</v>
      </c>
      <c r="AG2467" t="s">
        <v>78</v>
      </c>
    </row>
    <row r="2468" spans="1:33" hidden="1" x14ac:dyDescent="0.25">
      <c r="A2468" t="str">
        <f>"1609987866"</f>
        <v>1609987866</v>
      </c>
      <c r="B2468" t="str">
        <f>"01216462"</f>
        <v>01216462</v>
      </c>
      <c r="C2468" t="s">
        <v>10623</v>
      </c>
      <c r="D2468" t="s">
        <v>10624</v>
      </c>
      <c r="E2468" t="s">
        <v>10625</v>
      </c>
      <c r="L2468" t="s">
        <v>80</v>
      </c>
      <c r="M2468" t="s">
        <v>73</v>
      </c>
      <c r="R2468" t="s">
        <v>10626</v>
      </c>
      <c r="W2468" t="s">
        <v>10625</v>
      </c>
      <c r="X2468" t="s">
        <v>528</v>
      </c>
      <c r="Y2468" t="s">
        <v>84</v>
      </c>
      <c r="Z2468" t="s">
        <v>74</v>
      </c>
      <c r="AA2468" t="str">
        <f>"11237-4006"</f>
        <v>11237-4006</v>
      </c>
      <c r="AB2468" t="s">
        <v>75</v>
      </c>
      <c r="AC2468" t="s">
        <v>76</v>
      </c>
      <c r="AD2468" t="s">
        <v>73</v>
      </c>
      <c r="AE2468" t="s">
        <v>77</v>
      </c>
      <c r="AF2468" t="s">
        <v>2242</v>
      </c>
      <c r="AG2468" t="s">
        <v>78</v>
      </c>
    </row>
    <row r="2469" spans="1:33" hidden="1" x14ac:dyDescent="0.25">
      <c r="A2469" t="str">
        <f>"1194769471"</f>
        <v>1194769471</v>
      </c>
      <c r="B2469" t="str">
        <f>"02809227"</f>
        <v>02809227</v>
      </c>
      <c r="C2469" t="s">
        <v>10627</v>
      </c>
      <c r="D2469" t="s">
        <v>10628</v>
      </c>
      <c r="E2469" t="s">
        <v>10629</v>
      </c>
      <c r="L2469" t="s">
        <v>80</v>
      </c>
      <c r="M2469" t="s">
        <v>73</v>
      </c>
      <c r="R2469" t="s">
        <v>10630</v>
      </c>
      <c r="W2469" t="s">
        <v>10629</v>
      </c>
      <c r="X2469" t="s">
        <v>1167</v>
      </c>
      <c r="Y2469" t="s">
        <v>91</v>
      </c>
      <c r="Z2469" t="s">
        <v>74</v>
      </c>
      <c r="AA2469" t="str">
        <f>"10065-4870"</f>
        <v>10065-4870</v>
      </c>
      <c r="AB2469" t="s">
        <v>75</v>
      </c>
      <c r="AC2469" t="s">
        <v>76</v>
      </c>
      <c r="AD2469" t="s">
        <v>73</v>
      </c>
      <c r="AE2469" t="s">
        <v>77</v>
      </c>
      <c r="AF2469" t="s">
        <v>2242</v>
      </c>
      <c r="AG2469" t="s">
        <v>78</v>
      </c>
    </row>
    <row r="2470" spans="1:33" hidden="1" x14ac:dyDescent="0.25">
      <c r="A2470" t="str">
        <f>"1922374495"</f>
        <v>1922374495</v>
      </c>
      <c r="C2470" t="s">
        <v>10631</v>
      </c>
      <c r="G2470" t="s">
        <v>2224</v>
      </c>
      <c r="H2470" t="s">
        <v>2312</v>
      </c>
      <c r="J2470" t="s">
        <v>2226</v>
      </c>
      <c r="K2470" t="s">
        <v>171</v>
      </c>
      <c r="L2470" t="s">
        <v>96</v>
      </c>
      <c r="M2470" t="s">
        <v>73</v>
      </c>
      <c r="R2470" t="s">
        <v>10632</v>
      </c>
      <c r="S2470" t="s">
        <v>354</v>
      </c>
      <c r="T2470" t="s">
        <v>91</v>
      </c>
      <c r="U2470" t="s">
        <v>74</v>
      </c>
      <c r="V2470" t="str">
        <f>"100323725"</f>
        <v>100323725</v>
      </c>
      <c r="AC2470" t="s">
        <v>76</v>
      </c>
      <c r="AD2470" t="s">
        <v>73</v>
      </c>
      <c r="AE2470" t="s">
        <v>97</v>
      </c>
      <c r="AF2470" t="s">
        <v>2228</v>
      </c>
      <c r="AG2470" t="s">
        <v>78</v>
      </c>
    </row>
    <row r="2471" spans="1:33" hidden="1" x14ac:dyDescent="0.25">
      <c r="A2471" t="str">
        <f>"1982022661"</f>
        <v>1982022661</v>
      </c>
      <c r="C2471" t="s">
        <v>10633</v>
      </c>
      <c r="G2471" t="s">
        <v>2224</v>
      </c>
      <c r="H2471" t="s">
        <v>2312</v>
      </c>
      <c r="J2471" t="s">
        <v>2226</v>
      </c>
      <c r="K2471" t="s">
        <v>171</v>
      </c>
      <c r="L2471" t="s">
        <v>96</v>
      </c>
      <c r="M2471" t="s">
        <v>73</v>
      </c>
      <c r="R2471" t="s">
        <v>10634</v>
      </c>
      <c r="S2471" t="s">
        <v>2442</v>
      </c>
      <c r="T2471" t="s">
        <v>91</v>
      </c>
      <c r="U2471" t="s">
        <v>74</v>
      </c>
      <c r="V2471" t="str">
        <f>"100323720"</f>
        <v>100323720</v>
      </c>
      <c r="AC2471" t="s">
        <v>76</v>
      </c>
      <c r="AD2471" t="s">
        <v>73</v>
      </c>
      <c r="AE2471" t="s">
        <v>97</v>
      </c>
      <c r="AF2471" t="s">
        <v>2228</v>
      </c>
      <c r="AG2471" t="s">
        <v>78</v>
      </c>
    </row>
    <row r="2472" spans="1:33" hidden="1" x14ac:dyDescent="0.25">
      <c r="A2472" t="str">
        <f>"1467504282"</f>
        <v>1467504282</v>
      </c>
      <c r="B2472" t="str">
        <f>"01782618"</f>
        <v>01782618</v>
      </c>
      <c r="C2472" t="s">
        <v>10635</v>
      </c>
      <c r="D2472" t="s">
        <v>10636</v>
      </c>
      <c r="E2472" t="s">
        <v>10637</v>
      </c>
      <c r="L2472" t="s">
        <v>80</v>
      </c>
      <c r="M2472" t="s">
        <v>73</v>
      </c>
      <c r="R2472" t="s">
        <v>10638</v>
      </c>
      <c r="W2472" t="s">
        <v>10637</v>
      </c>
      <c r="X2472" t="s">
        <v>9020</v>
      </c>
      <c r="Y2472" t="s">
        <v>91</v>
      </c>
      <c r="Z2472" t="s">
        <v>74</v>
      </c>
      <c r="AA2472" t="str">
        <f>"10032-3720"</f>
        <v>10032-3720</v>
      </c>
      <c r="AB2472" t="s">
        <v>75</v>
      </c>
      <c r="AC2472" t="s">
        <v>76</v>
      </c>
      <c r="AD2472" t="s">
        <v>73</v>
      </c>
      <c r="AE2472" t="s">
        <v>77</v>
      </c>
      <c r="AF2472" t="s">
        <v>2228</v>
      </c>
      <c r="AG2472" t="s">
        <v>78</v>
      </c>
    </row>
    <row r="2473" spans="1:33" hidden="1" x14ac:dyDescent="0.25">
      <c r="A2473" t="str">
        <f>"1609023126"</f>
        <v>1609023126</v>
      </c>
      <c r="B2473" t="str">
        <f>"03395044"</f>
        <v>03395044</v>
      </c>
      <c r="C2473" t="s">
        <v>10639</v>
      </c>
      <c r="D2473" t="s">
        <v>10640</v>
      </c>
      <c r="E2473" t="s">
        <v>10641</v>
      </c>
      <c r="L2473" t="s">
        <v>72</v>
      </c>
      <c r="M2473" t="s">
        <v>73</v>
      </c>
      <c r="R2473" t="s">
        <v>10642</v>
      </c>
      <c r="W2473" t="s">
        <v>10641</v>
      </c>
      <c r="X2473" t="s">
        <v>167</v>
      </c>
      <c r="Y2473" t="s">
        <v>91</v>
      </c>
      <c r="Z2473" t="s">
        <v>74</v>
      </c>
      <c r="AA2473" t="str">
        <f>"10032-3720"</f>
        <v>10032-3720</v>
      </c>
      <c r="AB2473" t="s">
        <v>75</v>
      </c>
      <c r="AC2473" t="s">
        <v>76</v>
      </c>
      <c r="AD2473" t="s">
        <v>73</v>
      </c>
      <c r="AE2473" t="s">
        <v>77</v>
      </c>
      <c r="AF2473" t="s">
        <v>2228</v>
      </c>
      <c r="AG2473" t="s">
        <v>78</v>
      </c>
    </row>
    <row r="2474" spans="1:33" hidden="1" x14ac:dyDescent="0.25">
      <c r="A2474" t="str">
        <f>"1619121050"</f>
        <v>1619121050</v>
      </c>
      <c r="B2474" t="str">
        <f>"03412062"</f>
        <v>03412062</v>
      </c>
      <c r="C2474" t="s">
        <v>10643</v>
      </c>
      <c r="D2474" t="s">
        <v>10644</v>
      </c>
      <c r="E2474" t="s">
        <v>10645</v>
      </c>
      <c r="L2474" t="s">
        <v>80</v>
      </c>
      <c r="M2474" t="s">
        <v>73</v>
      </c>
      <c r="R2474" t="s">
        <v>10646</v>
      </c>
      <c r="W2474" t="s">
        <v>10645</v>
      </c>
      <c r="X2474" t="s">
        <v>167</v>
      </c>
      <c r="Y2474" t="s">
        <v>91</v>
      </c>
      <c r="Z2474" t="s">
        <v>74</v>
      </c>
      <c r="AA2474" t="str">
        <f>"10032-3720"</f>
        <v>10032-3720</v>
      </c>
      <c r="AB2474" t="s">
        <v>75</v>
      </c>
      <c r="AC2474" t="s">
        <v>76</v>
      </c>
      <c r="AD2474" t="s">
        <v>73</v>
      </c>
      <c r="AE2474" t="s">
        <v>77</v>
      </c>
      <c r="AF2474" t="s">
        <v>2228</v>
      </c>
      <c r="AG2474" t="s">
        <v>78</v>
      </c>
    </row>
    <row r="2475" spans="1:33" hidden="1" x14ac:dyDescent="0.25">
      <c r="A2475" t="str">
        <f>"1023186194"</f>
        <v>1023186194</v>
      </c>
      <c r="B2475" t="str">
        <f>"02483883"</f>
        <v>02483883</v>
      </c>
      <c r="C2475" t="s">
        <v>10647</v>
      </c>
      <c r="D2475" t="s">
        <v>10648</v>
      </c>
      <c r="E2475" t="s">
        <v>10649</v>
      </c>
      <c r="L2475" t="s">
        <v>72</v>
      </c>
      <c r="M2475" t="s">
        <v>73</v>
      </c>
      <c r="R2475" t="s">
        <v>10650</v>
      </c>
      <c r="W2475" t="s">
        <v>10649</v>
      </c>
      <c r="X2475" t="s">
        <v>10651</v>
      </c>
      <c r="Y2475" t="s">
        <v>144</v>
      </c>
      <c r="Z2475" t="s">
        <v>74</v>
      </c>
      <c r="AA2475" t="str">
        <f>"11042-1102"</f>
        <v>11042-1102</v>
      </c>
      <c r="AB2475" t="s">
        <v>75</v>
      </c>
      <c r="AC2475" t="s">
        <v>76</v>
      </c>
      <c r="AD2475" t="s">
        <v>73</v>
      </c>
      <c r="AE2475" t="s">
        <v>77</v>
      </c>
      <c r="AG2475" t="s">
        <v>78</v>
      </c>
    </row>
    <row r="2476" spans="1:33" hidden="1" x14ac:dyDescent="0.25">
      <c r="A2476" t="str">
        <f>"1770875023"</f>
        <v>1770875023</v>
      </c>
      <c r="B2476" t="str">
        <f>"04550863"</f>
        <v>04550863</v>
      </c>
      <c r="C2476" t="s">
        <v>10652</v>
      </c>
      <c r="D2476" t="s">
        <v>10653</v>
      </c>
      <c r="E2476" t="s">
        <v>10654</v>
      </c>
      <c r="G2476" t="s">
        <v>2224</v>
      </c>
      <c r="H2476" t="s">
        <v>2312</v>
      </c>
      <c r="J2476" t="s">
        <v>2226</v>
      </c>
      <c r="L2476" t="s">
        <v>96</v>
      </c>
      <c r="M2476" t="s">
        <v>73</v>
      </c>
      <c r="R2476" t="s">
        <v>10655</v>
      </c>
      <c r="W2476" t="s">
        <v>10654</v>
      </c>
      <c r="AB2476" t="s">
        <v>75</v>
      </c>
      <c r="AC2476" t="s">
        <v>76</v>
      </c>
      <c r="AD2476" t="s">
        <v>73</v>
      </c>
      <c r="AE2476" t="s">
        <v>77</v>
      </c>
      <c r="AF2476" t="s">
        <v>2234</v>
      </c>
      <c r="AG2476" t="s">
        <v>78</v>
      </c>
    </row>
    <row r="2477" spans="1:33" hidden="1" x14ac:dyDescent="0.25">
      <c r="A2477" t="str">
        <f>"1417986340"</f>
        <v>1417986340</v>
      </c>
      <c r="B2477" t="str">
        <f>"01741726"</f>
        <v>01741726</v>
      </c>
      <c r="C2477" t="s">
        <v>1042</v>
      </c>
      <c r="D2477" t="s">
        <v>1043</v>
      </c>
      <c r="E2477" t="s">
        <v>1044</v>
      </c>
      <c r="G2477" t="s">
        <v>2384</v>
      </c>
      <c r="H2477" t="s">
        <v>1021</v>
      </c>
      <c r="J2477" t="s">
        <v>934</v>
      </c>
      <c r="L2477" t="s">
        <v>108</v>
      </c>
      <c r="M2477" t="s">
        <v>82</v>
      </c>
      <c r="R2477" t="s">
        <v>1045</v>
      </c>
      <c r="W2477" t="s">
        <v>1044</v>
      </c>
      <c r="X2477" t="s">
        <v>1046</v>
      </c>
      <c r="Y2477" t="s">
        <v>91</v>
      </c>
      <c r="Z2477" t="s">
        <v>74</v>
      </c>
      <c r="AA2477" t="str">
        <f>"10027-4920"</f>
        <v>10027-4920</v>
      </c>
      <c r="AB2477" t="s">
        <v>110</v>
      </c>
      <c r="AC2477" t="s">
        <v>76</v>
      </c>
      <c r="AD2477" t="s">
        <v>73</v>
      </c>
      <c r="AE2477" t="s">
        <v>77</v>
      </c>
      <c r="AF2477" t="s">
        <v>2385</v>
      </c>
      <c r="AG2477" t="s">
        <v>78</v>
      </c>
    </row>
    <row r="2478" spans="1:33" hidden="1" x14ac:dyDescent="0.25">
      <c r="A2478" t="str">
        <f>"1609087790"</f>
        <v>1609087790</v>
      </c>
      <c r="B2478" t="str">
        <f>"01756596"</f>
        <v>01756596</v>
      </c>
      <c r="C2478" t="s">
        <v>1047</v>
      </c>
      <c r="D2478" t="s">
        <v>1048</v>
      </c>
      <c r="E2478" t="s">
        <v>1049</v>
      </c>
      <c r="G2478" t="s">
        <v>2384</v>
      </c>
      <c r="H2478" t="s">
        <v>1025</v>
      </c>
      <c r="J2478" t="s">
        <v>934</v>
      </c>
      <c r="L2478" t="s">
        <v>34</v>
      </c>
      <c r="M2478" t="s">
        <v>82</v>
      </c>
      <c r="R2478" t="s">
        <v>1049</v>
      </c>
      <c r="W2478" t="s">
        <v>1049</v>
      </c>
      <c r="X2478" t="s">
        <v>1050</v>
      </c>
      <c r="Y2478" t="s">
        <v>91</v>
      </c>
      <c r="Z2478" t="s">
        <v>74</v>
      </c>
      <c r="AA2478" t="str">
        <f>"10027-4465"</f>
        <v>10027-4465</v>
      </c>
      <c r="AB2478" t="s">
        <v>92</v>
      </c>
      <c r="AC2478" t="s">
        <v>76</v>
      </c>
      <c r="AD2478" t="s">
        <v>73</v>
      </c>
      <c r="AE2478" t="s">
        <v>77</v>
      </c>
      <c r="AF2478" t="s">
        <v>2385</v>
      </c>
      <c r="AG2478" t="s">
        <v>78</v>
      </c>
    </row>
    <row r="2479" spans="1:33" hidden="1" x14ac:dyDescent="0.25">
      <c r="A2479" t="str">
        <f>"1750355434"</f>
        <v>1750355434</v>
      </c>
      <c r="B2479" t="str">
        <f>"01835496"</f>
        <v>01835496</v>
      </c>
      <c r="C2479" t="s">
        <v>10656</v>
      </c>
      <c r="D2479" t="s">
        <v>10657</v>
      </c>
      <c r="E2479" t="s">
        <v>10658</v>
      </c>
      <c r="G2479" t="s">
        <v>2224</v>
      </c>
      <c r="H2479" t="s">
        <v>2225</v>
      </c>
      <c r="J2479" t="s">
        <v>2226</v>
      </c>
      <c r="L2479" t="s">
        <v>72</v>
      </c>
      <c r="M2479" t="s">
        <v>73</v>
      </c>
      <c r="R2479" t="s">
        <v>10658</v>
      </c>
      <c r="W2479" t="s">
        <v>10658</v>
      </c>
      <c r="X2479" t="s">
        <v>10658</v>
      </c>
      <c r="Y2479" t="s">
        <v>186</v>
      </c>
      <c r="Z2479" t="s">
        <v>74</v>
      </c>
      <c r="AA2479" t="str">
        <f>"11530-5766"</f>
        <v>11530-5766</v>
      </c>
      <c r="AB2479" t="s">
        <v>75</v>
      </c>
      <c r="AC2479" t="s">
        <v>76</v>
      </c>
      <c r="AD2479" t="s">
        <v>73</v>
      </c>
      <c r="AE2479" t="s">
        <v>77</v>
      </c>
      <c r="AF2479" t="s">
        <v>2254</v>
      </c>
      <c r="AG2479" t="s">
        <v>78</v>
      </c>
    </row>
    <row r="2480" spans="1:33" hidden="1" x14ac:dyDescent="0.25">
      <c r="A2480" t="str">
        <f>"1235442294"</f>
        <v>1235442294</v>
      </c>
      <c r="C2480" t="s">
        <v>10659</v>
      </c>
      <c r="G2480" t="s">
        <v>2224</v>
      </c>
      <c r="H2480" t="s">
        <v>2225</v>
      </c>
      <c r="J2480" t="s">
        <v>2226</v>
      </c>
      <c r="K2480" t="s">
        <v>171</v>
      </c>
      <c r="L2480" t="s">
        <v>96</v>
      </c>
      <c r="M2480" t="s">
        <v>73</v>
      </c>
      <c r="R2480" t="s">
        <v>10660</v>
      </c>
      <c r="S2480" t="s">
        <v>10661</v>
      </c>
      <c r="T2480" t="s">
        <v>91</v>
      </c>
      <c r="U2480" t="s">
        <v>74</v>
      </c>
      <c r="V2480" t="str">
        <f>"100215304"</f>
        <v>100215304</v>
      </c>
      <c r="AC2480" t="s">
        <v>76</v>
      </c>
      <c r="AD2480" t="s">
        <v>73</v>
      </c>
      <c r="AE2480" t="s">
        <v>97</v>
      </c>
      <c r="AF2480" t="s">
        <v>2234</v>
      </c>
      <c r="AG2480" t="s">
        <v>78</v>
      </c>
    </row>
    <row r="2481" spans="1:33" hidden="1" x14ac:dyDescent="0.25">
      <c r="A2481" t="str">
        <f>"1851364111"</f>
        <v>1851364111</v>
      </c>
      <c r="B2481" t="str">
        <f>"01370805"</f>
        <v>01370805</v>
      </c>
      <c r="C2481" t="s">
        <v>10662</v>
      </c>
      <c r="D2481" t="s">
        <v>10663</v>
      </c>
      <c r="E2481" t="s">
        <v>10664</v>
      </c>
      <c r="G2481" t="s">
        <v>2224</v>
      </c>
      <c r="H2481" t="s">
        <v>2225</v>
      </c>
      <c r="J2481" t="s">
        <v>2226</v>
      </c>
      <c r="L2481" t="s">
        <v>81</v>
      </c>
      <c r="M2481" t="s">
        <v>82</v>
      </c>
      <c r="R2481" t="s">
        <v>10665</v>
      </c>
      <c r="W2481" t="s">
        <v>10664</v>
      </c>
      <c r="X2481" t="s">
        <v>410</v>
      </c>
      <c r="Y2481" t="s">
        <v>91</v>
      </c>
      <c r="Z2481" t="s">
        <v>74</v>
      </c>
      <c r="AA2481" t="str">
        <f>"10032-1559"</f>
        <v>10032-1559</v>
      </c>
      <c r="AB2481" t="s">
        <v>75</v>
      </c>
      <c r="AC2481" t="s">
        <v>76</v>
      </c>
      <c r="AD2481" t="s">
        <v>73</v>
      </c>
      <c r="AE2481" t="s">
        <v>77</v>
      </c>
      <c r="AF2481" t="s">
        <v>2228</v>
      </c>
      <c r="AG2481" t="s">
        <v>78</v>
      </c>
    </row>
    <row r="2482" spans="1:33" hidden="1" x14ac:dyDescent="0.25">
      <c r="A2482" t="str">
        <f>"1255384236"</f>
        <v>1255384236</v>
      </c>
      <c r="B2482" t="str">
        <f>"02862811"</f>
        <v>02862811</v>
      </c>
      <c r="C2482" t="s">
        <v>10666</v>
      </c>
      <c r="D2482" t="s">
        <v>10667</v>
      </c>
      <c r="E2482" t="s">
        <v>10668</v>
      </c>
      <c r="G2482" t="s">
        <v>2224</v>
      </c>
      <c r="H2482" t="s">
        <v>2225</v>
      </c>
      <c r="J2482" t="s">
        <v>2226</v>
      </c>
      <c r="L2482" t="s">
        <v>72</v>
      </c>
      <c r="M2482" t="s">
        <v>73</v>
      </c>
      <c r="R2482" t="s">
        <v>10669</v>
      </c>
      <c r="W2482" t="s">
        <v>10668</v>
      </c>
      <c r="X2482" t="s">
        <v>496</v>
      </c>
      <c r="Y2482" t="s">
        <v>91</v>
      </c>
      <c r="Z2482" t="s">
        <v>74</v>
      </c>
      <c r="AA2482" t="str">
        <f>"10032-3726"</f>
        <v>10032-3726</v>
      </c>
      <c r="AB2482" t="s">
        <v>75</v>
      </c>
      <c r="AC2482" t="s">
        <v>76</v>
      </c>
      <c r="AD2482" t="s">
        <v>73</v>
      </c>
      <c r="AE2482" t="s">
        <v>77</v>
      </c>
      <c r="AF2482" t="s">
        <v>2254</v>
      </c>
      <c r="AG2482" t="s">
        <v>78</v>
      </c>
    </row>
    <row r="2483" spans="1:33" hidden="1" x14ac:dyDescent="0.25">
      <c r="A2483" t="str">
        <f>"1083750061"</f>
        <v>1083750061</v>
      </c>
      <c r="B2483" t="str">
        <f>"02099998"</f>
        <v>02099998</v>
      </c>
      <c r="C2483" t="s">
        <v>10670</v>
      </c>
      <c r="D2483" t="s">
        <v>10671</v>
      </c>
      <c r="E2483" t="s">
        <v>10672</v>
      </c>
      <c r="G2483" t="s">
        <v>2224</v>
      </c>
      <c r="H2483" t="s">
        <v>2225</v>
      </c>
      <c r="J2483" t="s">
        <v>2226</v>
      </c>
      <c r="L2483" t="s">
        <v>81</v>
      </c>
      <c r="M2483" t="s">
        <v>82</v>
      </c>
      <c r="R2483" t="s">
        <v>10673</v>
      </c>
      <c r="W2483" t="s">
        <v>10674</v>
      </c>
      <c r="X2483" t="s">
        <v>10675</v>
      </c>
      <c r="Y2483" t="s">
        <v>91</v>
      </c>
      <c r="Z2483" t="s">
        <v>74</v>
      </c>
      <c r="AA2483" t="str">
        <f>"10065-4870"</f>
        <v>10065-4870</v>
      </c>
      <c r="AB2483" t="s">
        <v>75</v>
      </c>
      <c r="AC2483" t="s">
        <v>76</v>
      </c>
      <c r="AD2483" t="s">
        <v>73</v>
      </c>
      <c r="AE2483" t="s">
        <v>77</v>
      </c>
      <c r="AF2483" t="s">
        <v>2242</v>
      </c>
      <c r="AG2483" t="s">
        <v>78</v>
      </c>
    </row>
    <row r="2484" spans="1:33" hidden="1" x14ac:dyDescent="0.25">
      <c r="A2484" t="str">
        <f>"1083751739"</f>
        <v>1083751739</v>
      </c>
      <c r="B2484" t="str">
        <f>"01749935"</f>
        <v>01749935</v>
      </c>
      <c r="C2484" t="s">
        <v>10676</v>
      </c>
      <c r="D2484" t="s">
        <v>10677</v>
      </c>
      <c r="E2484" t="s">
        <v>10678</v>
      </c>
      <c r="G2484" t="s">
        <v>2224</v>
      </c>
      <c r="H2484" t="s">
        <v>2225</v>
      </c>
      <c r="J2484" t="s">
        <v>2226</v>
      </c>
      <c r="L2484" t="s">
        <v>81</v>
      </c>
      <c r="M2484" t="s">
        <v>82</v>
      </c>
      <c r="R2484" t="s">
        <v>10679</v>
      </c>
      <c r="W2484" t="s">
        <v>10678</v>
      </c>
      <c r="Y2484" t="s">
        <v>91</v>
      </c>
      <c r="Z2484" t="s">
        <v>74</v>
      </c>
      <c r="AA2484" t="str">
        <f>"10029-6500"</f>
        <v>10029-6500</v>
      </c>
      <c r="AB2484" t="s">
        <v>75</v>
      </c>
      <c r="AC2484" t="s">
        <v>76</v>
      </c>
      <c r="AD2484" t="s">
        <v>73</v>
      </c>
      <c r="AE2484" t="s">
        <v>77</v>
      </c>
      <c r="AF2484" t="s">
        <v>2398</v>
      </c>
      <c r="AG2484" t="s">
        <v>78</v>
      </c>
    </row>
    <row r="2485" spans="1:33" hidden="1" x14ac:dyDescent="0.25">
      <c r="A2485" t="str">
        <f>"1871795732"</f>
        <v>1871795732</v>
      </c>
      <c r="B2485" t="str">
        <f>"02990572"</f>
        <v>02990572</v>
      </c>
      <c r="C2485" t="s">
        <v>10680</v>
      </c>
      <c r="D2485" t="s">
        <v>2058</v>
      </c>
      <c r="E2485" t="s">
        <v>2059</v>
      </c>
      <c r="G2485" t="s">
        <v>2224</v>
      </c>
      <c r="H2485" t="s">
        <v>2225</v>
      </c>
      <c r="J2485" t="s">
        <v>2226</v>
      </c>
      <c r="L2485" t="s">
        <v>100</v>
      </c>
      <c r="M2485" t="s">
        <v>73</v>
      </c>
      <c r="R2485" t="s">
        <v>2060</v>
      </c>
      <c r="W2485" t="s">
        <v>2061</v>
      </c>
      <c r="X2485" t="s">
        <v>2062</v>
      </c>
      <c r="Y2485" t="s">
        <v>91</v>
      </c>
      <c r="Z2485" t="s">
        <v>74</v>
      </c>
      <c r="AA2485" t="str">
        <f>"10032-1802"</f>
        <v>10032-1802</v>
      </c>
      <c r="AB2485" t="s">
        <v>75</v>
      </c>
      <c r="AC2485" t="s">
        <v>76</v>
      </c>
      <c r="AD2485" t="s">
        <v>73</v>
      </c>
      <c r="AE2485" t="s">
        <v>77</v>
      </c>
      <c r="AF2485" t="s">
        <v>2228</v>
      </c>
      <c r="AG2485" t="s">
        <v>78</v>
      </c>
    </row>
    <row r="2486" spans="1:33" hidden="1" x14ac:dyDescent="0.25">
      <c r="A2486" t="str">
        <f>"1629173414"</f>
        <v>1629173414</v>
      </c>
      <c r="B2486" t="str">
        <f>"02867352"</f>
        <v>02867352</v>
      </c>
      <c r="C2486" t="s">
        <v>10681</v>
      </c>
      <c r="D2486" t="s">
        <v>10682</v>
      </c>
      <c r="E2486" t="s">
        <v>10683</v>
      </c>
      <c r="G2486" t="s">
        <v>2224</v>
      </c>
      <c r="H2486" t="s">
        <v>2225</v>
      </c>
      <c r="J2486" t="s">
        <v>2226</v>
      </c>
      <c r="L2486" t="s">
        <v>88</v>
      </c>
      <c r="M2486" t="s">
        <v>82</v>
      </c>
      <c r="R2486" t="s">
        <v>10684</v>
      </c>
      <c r="W2486" t="s">
        <v>10683</v>
      </c>
      <c r="X2486" t="s">
        <v>167</v>
      </c>
      <c r="Y2486" t="s">
        <v>91</v>
      </c>
      <c r="Z2486" t="s">
        <v>74</v>
      </c>
      <c r="AA2486" t="str">
        <f>"10032-3720"</f>
        <v>10032-3720</v>
      </c>
      <c r="AB2486" t="s">
        <v>75</v>
      </c>
      <c r="AC2486" t="s">
        <v>76</v>
      </c>
      <c r="AD2486" t="s">
        <v>73</v>
      </c>
      <c r="AE2486" t="s">
        <v>77</v>
      </c>
      <c r="AF2486" t="s">
        <v>2228</v>
      </c>
      <c r="AG2486" t="s">
        <v>78</v>
      </c>
    </row>
    <row r="2487" spans="1:33" hidden="1" x14ac:dyDescent="0.25">
      <c r="A2487" t="str">
        <f>"1780809517"</f>
        <v>1780809517</v>
      </c>
      <c r="B2487" t="str">
        <f>"02973628"</f>
        <v>02973628</v>
      </c>
      <c r="C2487" t="s">
        <v>10685</v>
      </c>
      <c r="D2487" t="s">
        <v>1978</v>
      </c>
      <c r="E2487" t="s">
        <v>1979</v>
      </c>
      <c r="G2487" t="s">
        <v>2224</v>
      </c>
      <c r="H2487" t="s">
        <v>2225</v>
      </c>
      <c r="J2487" t="s">
        <v>2226</v>
      </c>
      <c r="L2487" t="s">
        <v>100</v>
      </c>
      <c r="M2487" t="s">
        <v>73</v>
      </c>
      <c r="R2487" t="s">
        <v>1980</v>
      </c>
      <c r="W2487" t="s">
        <v>1979</v>
      </c>
      <c r="X2487" t="s">
        <v>1981</v>
      </c>
      <c r="Y2487" t="s">
        <v>91</v>
      </c>
      <c r="Z2487" t="s">
        <v>74</v>
      </c>
      <c r="AA2487" t="str">
        <f>"10032-1559"</f>
        <v>10032-1559</v>
      </c>
      <c r="AB2487" t="s">
        <v>75</v>
      </c>
      <c r="AC2487" t="s">
        <v>76</v>
      </c>
      <c r="AD2487" t="s">
        <v>73</v>
      </c>
      <c r="AE2487" t="s">
        <v>77</v>
      </c>
      <c r="AF2487" t="s">
        <v>2228</v>
      </c>
      <c r="AG2487" t="s">
        <v>78</v>
      </c>
    </row>
    <row r="2488" spans="1:33" hidden="1" x14ac:dyDescent="0.25">
      <c r="A2488" t="str">
        <f>"1437470531"</f>
        <v>1437470531</v>
      </c>
      <c r="B2488" t="str">
        <f>"03688460"</f>
        <v>03688460</v>
      </c>
      <c r="C2488" t="s">
        <v>10686</v>
      </c>
      <c r="D2488" t="s">
        <v>10687</v>
      </c>
      <c r="E2488" t="s">
        <v>10688</v>
      </c>
      <c r="G2488" t="s">
        <v>2224</v>
      </c>
      <c r="H2488" t="s">
        <v>2225</v>
      </c>
      <c r="J2488" t="s">
        <v>2226</v>
      </c>
      <c r="L2488" t="s">
        <v>72</v>
      </c>
      <c r="M2488" t="s">
        <v>73</v>
      </c>
      <c r="R2488" t="s">
        <v>10688</v>
      </c>
      <c r="W2488" t="s">
        <v>10689</v>
      </c>
      <c r="X2488" t="s">
        <v>170</v>
      </c>
      <c r="Y2488" t="s">
        <v>91</v>
      </c>
      <c r="Z2488" t="s">
        <v>74</v>
      </c>
      <c r="AA2488" t="str">
        <f>"10065-4885"</f>
        <v>10065-4885</v>
      </c>
      <c r="AB2488" t="s">
        <v>75</v>
      </c>
      <c r="AC2488" t="s">
        <v>76</v>
      </c>
      <c r="AD2488" t="s">
        <v>73</v>
      </c>
      <c r="AE2488" t="s">
        <v>77</v>
      </c>
      <c r="AF2488" t="s">
        <v>2242</v>
      </c>
      <c r="AG2488" t="s">
        <v>78</v>
      </c>
    </row>
    <row r="2489" spans="1:33" hidden="1" x14ac:dyDescent="0.25">
      <c r="A2489" t="str">
        <f>"1407933195"</f>
        <v>1407933195</v>
      </c>
      <c r="B2489" t="str">
        <f>"01441212"</f>
        <v>01441212</v>
      </c>
      <c r="C2489" t="s">
        <v>10690</v>
      </c>
      <c r="D2489" t="s">
        <v>10691</v>
      </c>
      <c r="E2489" t="s">
        <v>10692</v>
      </c>
      <c r="G2489" t="s">
        <v>2224</v>
      </c>
      <c r="H2489" t="s">
        <v>2225</v>
      </c>
      <c r="J2489" t="s">
        <v>2226</v>
      </c>
      <c r="L2489" t="s">
        <v>81</v>
      </c>
      <c r="M2489" t="s">
        <v>73</v>
      </c>
      <c r="R2489" t="s">
        <v>10693</v>
      </c>
      <c r="W2489" t="s">
        <v>10692</v>
      </c>
      <c r="Y2489" t="s">
        <v>91</v>
      </c>
      <c r="Z2489" t="s">
        <v>74</v>
      </c>
      <c r="AA2489" t="str">
        <f>"10032-3725"</f>
        <v>10032-3725</v>
      </c>
      <c r="AB2489" t="s">
        <v>75</v>
      </c>
      <c r="AC2489" t="s">
        <v>76</v>
      </c>
      <c r="AD2489" t="s">
        <v>73</v>
      </c>
      <c r="AE2489" t="s">
        <v>77</v>
      </c>
      <c r="AF2489" t="s">
        <v>2254</v>
      </c>
      <c r="AG2489" t="s">
        <v>78</v>
      </c>
    </row>
    <row r="2490" spans="1:33" hidden="1" x14ac:dyDescent="0.25">
      <c r="A2490" t="str">
        <f>"1336475128"</f>
        <v>1336475128</v>
      </c>
      <c r="B2490" t="str">
        <f>"03375091"</f>
        <v>03375091</v>
      </c>
      <c r="C2490" t="s">
        <v>10694</v>
      </c>
      <c r="D2490" t="s">
        <v>10695</v>
      </c>
      <c r="E2490" t="s">
        <v>10696</v>
      </c>
      <c r="G2490" t="s">
        <v>2224</v>
      </c>
      <c r="H2490" t="s">
        <v>2225</v>
      </c>
      <c r="J2490" t="s">
        <v>2226</v>
      </c>
      <c r="L2490" t="s">
        <v>72</v>
      </c>
      <c r="M2490" t="s">
        <v>73</v>
      </c>
      <c r="R2490" t="s">
        <v>10697</v>
      </c>
      <c r="W2490" t="s">
        <v>10696</v>
      </c>
      <c r="X2490" t="s">
        <v>10698</v>
      </c>
      <c r="Y2490" t="s">
        <v>91</v>
      </c>
      <c r="Z2490" t="s">
        <v>74</v>
      </c>
      <c r="AA2490" t="str">
        <f>"10030-2432"</f>
        <v>10030-2432</v>
      </c>
      <c r="AB2490" t="s">
        <v>113</v>
      </c>
      <c r="AC2490" t="s">
        <v>76</v>
      </c>
      <c r="AD2490" t="s">
        <v>73</v>
      </c>
      <c r="AE2490" t="s">
        <v>77</v>
      </c>
      <c r="AF2490" t="s">
        <v>2228</v>
      </c>
      <c r="AG2490" t="s">
        <v>78</v>
      </c>
    </row>
    <row r="2491" spans="1:33" hidden="1" x14ac:dyDescent="0.25">
      <c r="A2491" t="str">
        <f>"1790879146"</f>
        <v>1790879146</v>
      </c>
      <c r="B2491" t="str">
        <f>"00313548"</f>
        <v>00313548</v>
      </c>
      <c r="C2491" t="s">
        <v>1794</v>
      </c>
      <c r="D2491" t="s">
        <v>864</v>
      </c>
      <c r="E2491" t="s">
        <v>865</v>
      </c>
      <c r="G2491" t="s">
        <v>1795</v>
      </c>
      <c r="H2491" t="s">
        <v>1796</v>
      </c>
      <c r="J2491" t="s">
        <v>866</v>
      </c>
      <c r="L2491" t="s">
        <v>101</v>
      </c>
      <c r="M2491" t="s">
        <v>82</v>
      </c>
      <c r="R2491" t="s">
        <v>867</v>
      </c>
      <c r="W2491" t="s">
        <v>868</v>
      </c>
      <c r="X2491" t="s">
        <v>869</v>
      </c>
      <c r="Y2491" t="s">
        <v>118</v>
      </c>
      <c r="Z2491" t="s">
        <v>74</v>
      </c>
      <c r="AA2491" t="str">
        <f>"10471-3919"</f>
        <v>10471-3919</v>
      </c>
      <c r="AB2491" t="s">
        <v>102</v>
      </c>
      <c r="AC2491" t="s">
        <v>76</v>
      </c>
      <c r="AD2491" t="s">
        <v>73</v>
      </c>
      <c r="AE2491" t="s">
        <v>77</v>
      </c>
      <c r="AG2491" t="s">
        <v>78</v>
      </c>
    </row>
    <row r="2492" spans="1:33" hidden="1" x14ac:dyDescent="0.25">
      <c r="A2492" t="str">
        <f>"1710067368"</f>
        <v>1710067368</v>
      </c>
      <c r="B2492" t="str">
        <f>"02661952"</f>
        <v>02661952</v>
      </c>
      <c r="C2492" t="s">
        <v>10699</v>
      </c>
      <c r="D2492" t="s">
        <v>10700</v>
      </c>
      <c r="E2492" t="s">
        <v>10701</v>
      </c>
      <c r="L2492" t="s">
        <v>80</v>
      </c>
      <c r="M2492" t="s">
        <v>73</v>
      </c>
      <c r="R2492" t="s">
        <v>10702</v>
      </c>
      <c r="W2492" t="s">
        <v>10701</v>
      </c>
      <c r="X2492" t="s">
        <v>1583</v>
      </c>
      <c r="Y2492" t="s">
        <v>91</v>
      </c>
      <c r="Z2492" t="s">
        <v>74</v>
      </c>
      <c r="AA2492" t="str">
        <f>"10021-9800"</f>
        <v>10021-9800</v>
      </c>
      <c r="AB2492" t="s">
        <v>75</v>
      </c>
      <c r="AC2492" t="s">
        <v>76</v>
      </c>
      <c r="AD2492" t="s">
        <v>73</v>
      </c>
      <c r="AE2492" t="s">
        <v>77</v>
      </c>
      <c r="AF2492" t="s">
        <v>2242</v>
      </c>
      <c r="AG2492" t="s">
        <v>78</v>
      </c>
    </row>
    <row r="2493" spans="1:33" hidden="1" x14ac:dyDescent="0.25">
      <c r="A2493" t="str">
        <f>"1699928788"</f>
        <v>1699928788</v>
      </c>
      <c r="B2493" t="str">
        <f>"03108192"</f>
        <v>03108192</v>
      </c>
      <c r="C2493" t="s">
        <v>10703</v>
      </c>
      <c r="D2493" t="s">
        <v>10704</v>
      </c>
      <c r="E2493" t="s">
        <v>10705</v>
      </c>
      <c r="G2493" t="s">
        <v>2224</v>
      </c>
      <c r="H2493" t="s">
        <v>2225</v>
      </c>
      <c r="J2493" t="s">
        <v>2226</v>
      </c>
      <c r="L2493" t="s">
        <v>80</v>
      </c>
      <c r="M2493" t="s">
        <v>82</v>
      </c>
      <c r="R2493" t="s">
        <v>10706</v>
      </c>
      <c r="W2493" t="s">
        <v>10707</v>
      </c>
      <c r="X2493" t="s">
        <v>3440</v>
      </c>
      <c r="Y2493" t="s">
        <v>91</v>
      </c>
      <c r="Z2493" t="s">
        <v>74</v>
      </c>
      <c r="AA2493" t="str">
        <f>"10032-3720"</f>
        <v>10032-3720</v>
      </c>
      <c r="AB2493" t="s">
        <v>75</v>
      </c>
      <c r="AC2493" t="s">
        <v>76</v>
      </c>
      <c r="AD2493" t="s">
        <v>73</v>
      </c>
      <c r="AE2493" t="s">
        <v>77</v>
      </c>
      <c r="AF2493" t="s">
        <v>2254</v>
      </c>
      <c r="AG2493" t="s">
        <v>78</v>
      </c>
    </row>
    <row r="2494" spans="1:33" hidden="1" x14ac:dyDescent="0.25">
      <c r="A2494" t="str">
        <f>"1003842618"</f>
        <v>1003842618</v>
      </c>
      <c r="B2494" t="str">
        <f>"03918632"</f>
        <v>03918632</v>
      </c>
      <c r="C2494" t="s">
        <v>10708</v>
      </c>
      <c r="D2494" t="s">
        <v>10709</v>
      </c>
      <c r="E2494" t="s">
        <v>10710</v>
      </c>
      <c r="G2494" t="s">
        <v>2224</v>
      </c>
      <c r="H2494" t="s">
        <v>2225</v>
      </c>
      <c r="J2494" t="s">
        <v>2226</v>
      </c>
      <c r="L2494" t="s">
        <v>80</v>
      </c>
      <c r="M2494" t="s">
        <v>73</v>
      </c>
      <c r="R2494" t="s">
        <v>10711</v>
      </c>
      <c r="W2494" t="s">
        <v>10710</v>
      </c>
      <c r="X2494" t="s">
        <v>183</v>
      </c>
      <c r="Y2494" t="s">
        <v>91</v>
      </c>
      <c r="Z2494" t="s">
        <v>74</v>
      </c>
      <c r="AA2494" t="str">
        <f>"10032-3729"</f>
        <v>10032-3729</v>
      </c>
      <c r="AB2494" t="s">
        <v>75</v>
      </c>
      <c r="AC2494" t="s">
        <v>76</v>
      </c>
      <c r="AD2494" t="s">
        <v>73</v>
      </c>
      <c r="AE2494" t="s">
        <v>77</v>
      </c>
      <c r="AF2494" t="s">
        <v>2228</v>
      </c>
      <c r="AG2494" t="s">
        <v>78</v>
      </c>
    </row>
    <row r="2495" spans="1:33" hidden="1" x14ac:dyDescent="0.25">
      <c r="A2495" t="str">
        <f>"1023104023"</f>
        <v>1023104023</v>
      </c>
      <c r="B2495" t="str">
        <f>"02294053"</f>
        <v>02294053</v>
      </c>
      <c r="C2495" t="s">
        <v>10712</v>
      </c>
      <c r="D2495" t="s">
        <v>10713</v>
      </c>
      <c r="E2495" t="s">
        <v>10714</v>
      </c>
      <c r="G2495" t="s">
        <v>2224</v>
      </c>
      <c r="H2495" t="s">
        <v>2225</v>
      </c>
      <c r="J2495" t="s">
        <v>2226</v>
      </c>
      <c r="L2495" t="s">
        <v>80</v>
      </c>
      <c r="M2495" t="s">
        <v>73</v>
      </c>
      <c r="R2495" t="s">
        <v>10714</v>
      </c>
      <c r="W2495" t="s">
        <v>10714</v>
      </c>
      <c r="X2495" t="s">
        <v>10715</v>
      </c>
      <c r="Y2495" t="s">
        <v>91</v>
      </c>
      <c r="Z2495" t="s">
        <v>74</v>
      </c>
      <c r="AA2495" t="str">
        <f>"10025-1737"</f>
        <v>10025-1737</v>
      </c>
      <c r="AB2495" t="s">
        <v>75</v>
      </c>
      <c r="AC2495" t="s">
        <v>76</v>
      </c>
      <c r="AD2495" t="s">
        <v>73</v>
      </c>
      <c r="AE2495" t="s">
        <v>77</v>
      </c>
      <c r="AF2495" t="s">
        <v>2228</v>
      </c>
      <c r="AG2495" t="s">
        <v>78</v>
      </c>
    </row>
    <row r="2496" spans="1:33" hidden="1" x14ac:dyDescent="0.25">
      <c r="A2496" t="str">
        <f>"1568620425"</f>
        <v>1568620425</v>
      </c>
      <c r="B2496" t="str">
        <f>"03470344"</f>
        <v>03470344</v>
      </c>
      <c r="C2496" t="s">
        <v>10716</v>
      </c>
      <c r="D2496" t="s">
        <v>10717</v>
      </c>
      <c r="E2496" t="s">
        <v>10718</v>
      </c>
      <c r="G2496" t="s">
        <v>2224</v>
      </c>
      <c r="H2496" t="s">
        <v>2225</v>
      </c>
      <c r="J2496" t="s">
        <v>2226</v>
      </c>
      <c r="L2496" t="s">
        <v>81</v>
      </c>
      <c r="M2496" t="s">
        <v>73</v>
      </c>
      <c r="R2496" t="s">
        <v>10719</v>
      </c>
      <c r="W2496" t="s">
        <v>10718</v>
      </c>
      <c r="X2496" t="s">
        <v>10720</v>
      </c>
      <c r="Y2496" t="s">
        <v>91</v>
      </c>
      <c r="Z2496" t="s">
        <v>74</v>
      </c>
      <c r="AA2496" t="str">
        <f>"10032-3702"</f>
        <v>10032-3702</v>
      </c>
      <c r="AB2496" t="s">
        <v>75</v>
      </c>
      <c r="AC2496" t="s">
        <v>76</v>
      </c>
      <c r="AD2496" t="s">
        <v>73</v>
      </c>
      <c r="AE2496" t="s">
        <v>77</v>
      </c>
      <c r="AF2496" t="s">
        <v>2254</v>
      </c>
      <c r="AG2496" t="s">
        <v>78</v>
      </c>
    </row>
    <row r="2497" spans="1:33" hidden="1" x14ac:dyDescent="0.25">
      <c r="A2497" t="str">
        <f>"1962677195"</f>
        <v>1962677195</v>
      </c>
      <c r="C2497" t="s">
        <v>10721</v>
      </c>
      <c r="K2497" t="s">
        <v>36</v>
      </c>
      <c r="L2497" t="s">
        <v>96</v>
      </c>
      <c r="M2497" t="s">
        <v>73</v>
      </c>
      <c r="R2497" t="s">
        <v>10721</v>
      </c>
      <c r="S2497" t="s">
        <v>1690</v>
      </c>
      <c r="T2497" t="s">
        <v>91</v>
      </c>
      <c r="U2497" t="s">
        <v>74</v>
      </c>
      <c r="V2497" t="str">
        <f>"100191412"</f>
        <v>100191412</v>
      </c>
      <c r="AC2497" t="s">
        <v>76</v>
      </c>
      <c r="AD2497" t="s">
        <v>73</v>
      </c>
      <c r="AE2497" t="s">
        <v>97</v>
      </c>
      <c r="AG2497" t="s">
        <v>78</v>
      </c>
    </row>
    <row r="2498" spans="1:33" hidden="1" x14ac:dyDescent="0.25">
      <c r="A2498" t="str">
        <f>"1295994838"</f>
        <v>1295994838</v>
      </c>
      <c r="B2498" t="str">
        <f>"03237914"</f>
        <v>03237914</v>
      </c>
      <c r="C2498" t="s">
        <v>10722</v>
      </c>
      <c r="D2498" t="s">
        <v>10723</v>
      </c>
      <c r="E2498" t="s">
        <v>10724</v>
      </c>
      <c r="G2498" t="s">
        <v>2224</v>
      </c>
      <c r="H2498" t="s">
        <v>2225</v>
      </c>
      <c r="J2498" t="s">
        <v>2226</v>
      </c>
      <c r="L2498" t="s">
        <v>72</v>
      </c>
      <c r="M2498" t="s">
        <v>73</v>
      </c>
      <c r="R2498" t="s">
        <v>10725</v>
      </c>
      <c r="W2498" t="s">
        <v>10726</v>
      </c>
      <c r="X2498" t="s">
        <v>167</v>
      </c>
      <c r="Y2498" t="s">
        <v>91</v>
      </c>
      <c r="Z2498" t="s">
        <v>74</v>
      </c>
      <c r="AA2498" t="str">
        <f>"10032-3720"</f>
        <v>10032-3720</v>
      </c>
      <c r="AB2498" t="s">
        <v>75</v>
      </c>
      <c r="AC2498" t="s">
        <v>76</v>
      </c>
      <c r="AD2498" t="s">
        <v>73</v>
      </c>
      <c r="AE2498" t="s">
        <v>77</v>
      </c>
      <c r="AF2498" t="s">
        <v>2228</v>
      </c>
      <c r="AG2498" t="s">
        <v>78</v>
      </c>
    </row>
    <row r="2499" spans="1:33" hidden="1" x14ac:dyDescent="0.25">
      <c r="A2499" t="str">
        <f>"1396782629"</f>
        <v>1396782629</v>
      </c>
      <c r="B2499" t="str">
        <f>"01932714"</f>
        <v>01932714</v>
      </c>
      <c r="C2499" t="s">
        <v>10727</v>
      </c>
      <c r="D2499" t="s">
        <v>10728</v>
      </c>
      <c r="E2499" t="s">
        <v>10729</v>
      </c>
      <c r="G2499" t="s">
        <v>2224</v>
      </c>
      <c r="H2499" t="s">
        <v>2225</v>
      </c>
      <c r="J2499" t="s">
        <v>2226</v>
      </c>
      <c r="L2499" t="s">
        <v>80</v>
      </c>
      <c r="M2499" t="s">
        <v>73</v>
      </c>
      <c r="R2499" t="s">
        <v>2212</v>
      </c>
      <c r="W2499" t="s">
        <v>10730</v>
      </c>
      <c r="X2499" t="s">
        <v>1146</v>
      </c>
      <c r="Y2499" t="s">
        <v>91</v>
      </c>
      <c r="Z2499" t="s">
        <v>74</v>
      </c>
      <c r="AA2499" t="str">
        <f>"10032-3720"</f>
        <v>10032-3720</v>
      </c>
      <c r="AB2499" t="s">
        <v>75</v>
      </c>
      <c r="AC2499" t="s">
        <v>76</v>
      </c>
      <c r="AD2499" t="s">
        <v>73</v>
      </c>
      <c r="AE2499" t="s">
        <v>77</v>
      </c>
      <c r="AF2499" t="s">
        <v>2228</v>
      </c>
      <c r="AG2499" t="s">
        <v>78</v>
      </c>
    </row>
    <row r="2500" spans="1:33" hidden="1" x14ac:dyDescent="0.25">
      <c r="A2500" t="str">
        <f>"1467504886"</f>
        <v>1467504886</v>
      </c>
      <c r="B2500" t="str">
        <f>"02387268"</f>
        <v>02387268</v>
      </c>
      <c r="C2500" t="s">
        <v>10731</v>
      </c>
      <c r="D2500" t="s">
        <v>10732</v>
      </c>
      <c r="E2500" t="s">
        <v>10733</v>
      </c>
      <c r="L2500" t="s">
        <v>80</v>
      </c>
      <c r="M2500" t="s">
        <v>73</v>
      </c>
      <c r="R2500" t="s">
        <v>10734</v>
      </c>
      <c r="W2500" t="s">
        <v>10733</v>
      </c>
      <c r="X2500" t="s">
        <v>158</v>
      </c>
      <c r="Y2500" t="s">
        <v>91</v>
      </c>
      <c r="Z2500" t="s">
        <v>74</v>
      </c>
      <c r="AA2500" t="str">
        <f>"10035-2709"</f>
        <v>10035-2709</v>
      </c>
      <c r="AB2500" t="s">
        <v>75</v>
      </c>
      <c r="AC2500" t="s">
        <v>76</v>
      </c>
      <c r="AD2500" t="s">
        <v>73</v>
      </c>
      <c r="AE2500" t="s">
        <v>77</v>
      </c>
      <c r="AF2500" t="s">
        <v>2228</v>
      </c>
      <c r="AG2500" t="s">
        <v>78</v>
      </c>
    </row>
    <row r="2501" spans="1:33" hidden="1" x14ac:dyDescent="0.25">
      <c r="A2501" t="str">
        <f>"1528202454"</f>
        <v>1528202454</v>
      </c>
      <c r="B2501" t="str">
        <f>"03417067"</f>
        <v>03417067</v>
      </c>
      <c r="C2501" t="s">
        <v>10735</v>
      </c>
      <c r="D2501" t="s">
        <v>10736</v>
      </c>
      <c r="E2501" t="s">
        <v>10737</v>
      </c>
      <c r="L2501" t="s">
        <v>80</v>
      </c>
      <c r="M2501" t="s">
        <v>73</v>
      </c>
      <c r="R2501" t="s">
        <v>10738</v>
      </c>
      <c r="W2501" t="s">
        <v>10737</v>
      </c>
      <c r="X2501" t="s">
        <v>167</v>
      </c>
      <c r="Y2501" t="s">
        <v>91</v>
      </c>
      <c r="Z2501" t="s">
        <v>74</v>
      </c>
      <c r="AA2501" t="str">
        <f>"10032-3720"</f>
        <v>10032-3720</v>
      </c>
      <c r="AB2501" t="s">
        <v>75</v>
      </c>
      <c r="AC2501" t="s">
        <v>76</v>
      </c>
      <c r="AD2501" t="s">
        <v>73</v>
      </c>
      <c r="AE2501" t="s">
        <v>77</v>
      </c>
      <c r="AF2501" t="s">
        <v>2228</v>
      </c>
      <c r="AG2501" t="s">
        <v>78</v>
      </c>
    </row>
    <row r="2502" spans="1:33" hidden="1" x14ac:dyDescent="0.25">
      <c r="A2502" t="str">
        <f>"1063532141"</f>
        <v>1063532141</v>
      </c>
      <c r="B2502" t="str">
        <f>"03214142"</f>
        <v>03214142</v>
      </c>
      <c r="C2502" t="s">
        <v>10739</v>
      </c>
      <c r="D2502" t="s">
        <v>10740</v>
      </c>
      <c r="E2502" t="s">
        <v>10741</v>
      </c>
      <c r="G2502" t="s">
        <v>282</v>
      </c>
      <c r="H2502" t="s">
        <v>248</v>
      </c>
      <c r="I2502">
        <v>2604</v>
      </c>
      <c r="J2502" t="s">
        <v>283</v>
      </c>
      <c r="L2502" t="s">
        <v>81</v>
      </c>
      <c r="M2502" t="s">
        <v>82</v>
      </c>
      <c r="R2502" t="s">
        <v>10742</v>
      </c>
      <c r="W2502" t="s">
        <v>10743</v>
      </c>
      <c r="X2502" t="s">
        <v>160</v>
      </c>
      <c r="Y2502" t="s">
        <v>144</v>
      </c>
      <c r="Z2502" t="s">
        <v>74</v>
      </c>
      <c r="AA2502" t="str">
        <f>"11040-1402"</f>
        <v>11040-1402</v>
      </c>
      <c r="AB2502" t="s">
        <v>75</v>
      </c>
      <c r="AC2502" t="s">
        <v>76</v>
      </c>
      <c r="AD2502" t="s">
        <v>73</v>
      </c>
      <c r="AE2502" t="s">
        <v>77</v>
      </c>
      <c r="AF2502" t="s">
        <v>2319</v>
      </c>
      <c r="AG2502" t="s">
        <v>78</v>
      </c>
    </row>
    <row r="2503" spans="1:33" hidden="1" x14ac:dyDescent="0.25">
      <c r="A2503" t="str">
        <f>"1235226317"</f>
        <v>1235226317</v>
      </c>
      <c r="B2503" t="str">
        <f>"01512330"</f>
        <v>01512330</v>
      </c>
      <c r="C2503" t="s">
        <v>10744</v>
      </c>
      <c r="D2503" t="s">
        <v>10745</v>
      </c>
      <c r="E2503" t="s">
        <v>10746</v>
      </c>
      <c r="G2503" t="s">
        <v>2224</v>
      </c>
      <c r="H2503" t="s">
        <v>2225</v>
      </c>
      <c r="J2503" t="s">
        <v>2226</v>
      </c>
      <c r="L2503" t="s">
        <v>80</v>
      </c>
      <c r="M2503" t="s">
        <v>73</v>
      </c>
      <c r="R2503" t="s">
        <v>10747</v>
      </c>
      <c r="W2503" t="s">
        <v>10746</v>
      </c>
      <c r="X2503" t="s">
        <v>170</v>
      </c>
      <c r="Y2503" t="s">
        <v>91</v>
      </c>
      <c r="Z2503" t="s">
        <v>74</v>
      </c>
      <c r="AA2503" t="str">
        <f>"10065-4870"</f>
        <v>10065-4870</v>
      </c>
      <c r="AB2503" t="s">
        <v>75</v>
      </c>
      <c r="AC2503" t="s">
        <v>76</v>
      </c>
      <c r="AD2503" t="s">
        <v>73</v>
      </c>
      <c r="AE2503" t="s">
        <v>77</v>
      </c>
      <c r="AF2503" t="s">
        <v>2242</v>
      </c>
      <c r="AG2503" t="s">
        <v>78</v>
      </c>
    </row>
    <row r="2504" spans="1:33" hidden="1" x14ac:dyDescent="0.25">
      <c r="A2504" t="str">
        <f>"1235226333"</f>
        <v>1235226333</v>
      </c>
      <c r="B2504" t="str">
        <f>"00627725"</f>
        <v>00627725</v>
      </c>
      <c r="C2504" t="s">
        <v>10748</v>
      </c>
      <c r="D2504" t="s">
        <v>10749</v>
      </c>
      <c r="E2504" t="s">
        <v>10750</v>
      </c>
      <c r="G2504" t="s">
        <v>2224</v>
      </c>
      <c r="H2504" t="s">
        <v>2225</v>
      </c>
      <c r="J2504" t="s">
        <v>2226</v>
      </c>
      <c r="L2504" t="s">
        <v>80</v>
      </c>
      <c r="M2504" t="s">
        <v>73</v>
      </c>
      <c r="R2504" t="s">
        <v>10751</v>
      </c>
      <c r="W2504" t="s">
        <v>10750</v>
      </c>
      <c r="X2504" t="s">
        <v>10752</v>
      </c>
      <c r="Y2504" t="s">
        <v>91</v>
      </c>
      <c r="Z2504" t="s">
        <v>74</v>
      </c>
      <c r="AA2504" t="str">
        <f>"10021-9800"</f>
        <v>10021-9800</v>
      </c>
      <c r="AB2504" t="s">
        <v>75</v>
      </c>
      <c r="AC2504" t="s">
        <v>76</v>
      </c>
      <c r="AD2504" t="s">
        <v>73</v>
      </c>
      <c r="AE2504" t="s">
        <v>77</v>
      </c>
      <c r="AF2504" t="s">
        <v>2254</v>
      </c>
      <c r="AG2504" t="s">
        <v>78</v>
      </c>
    </row>
    <row r="2505" spans="1:33" hidden="1" x14ac:dyDescent="0.25">
      <c r="A2505" t="str">
        <f>"1982993184"</f>
        <v>1982993184</v>
      </c>
      <c r="B2505" t="str">
        <f>"03845145"</f>
        <v>03845145</v>
      </c>
      <c r="C2505" t="s">
        <v>3674</v>
      </c>
      <c r="D2505" t="s">
        <v>10753</v>
      </c>
      <c r="E2505" t="s">
        <v>3280</v>
      </c>
      <c r="L2505" t="s">
        <v>36</v>
      </c>
      <c r="M2505" t="s">
        <v>73</v>
      </c>
      <c r="R2505" t="s">
        <v>3674</v>
      </c>
      <c r="W2505" t="s">
        <v>3280</v>
      </c>
      <c r="X2505" t="s">
        <v>236</v>
      </c>
      <c r="Y2505" t="s">
        <v>91</v>
      </c>
      <c r="Z2505" t="s">
        <v>74</v>
      </c>
      <c r="AA2505" t="str">
        <f>"10034-1159"</f>
        <v>10034-1159</v>
      </c>
      <c r="AB2505" t="s">
        <v>114</v>
      </c>
      <c r="AC2505" t="s">
        <v>76</v>
      </c>
      <c r="AD2505" t="s">
        <v>73</v>
      </c>
      <c r="AE2505" t="s">
        <v>77</v>
      </c>
      <c r="AG2505" t="s">
        <v>78</v>
      </c>
    </row>
    <row r="2506" spans="1:33" hidden="1" x14ac:dyDescent="0.25">
      <c r="A2506" t="str">
        <f>"1972895217"</f>
        <v>1972895217</v>
      </c>
      <c r="B2506" t="str">
        <f>"04262153"</f>
        <v>04262153</v>
      </c>
      <c r="C2506" t="s">
        <v>10754</v>
      </c>
      <c r="D2506" t="s">
        <v>10755</v>
      </c>
      <c r="E2506" t="s">
        <v>10756</v>
      </c>
      <c r="G2506" t="s">
        <v>2224</v>
      </c>
      <c r="H2506" t="s">
        <v>2312</v>
      </c>
      <c r="J2506" t="s">
        <v>2226</v>
      </c>
      <c r="L2506" t="s">
        <v>80</v>
      </c>
      <c r="M2506" t="s">
        <v>73</v>
      </c>
      <c r="R2506" t="s">
        <v>10756</v>
      </c>
      <c r="W2506" t="s">
        <v>10756</v>
      </c>
      <c r="X2506" t="s">
        <v>170</v>
      </c>
      <c r="Y2506" t="s">
        <v>91</v>
      </c>
      <c r="Z2506" t="s">
        <v>74</v>
      </c>
      <c r="AA2506" t="str">
        <f>"10065-4870"</f>
        <v>10065-4870</v>
      </c>
      <c r="AB2506" t="s">
        <v>75</v>
      </c>
      <c r="AC2506" t="s">
        <v>76</v>
      </c>
      <c r="AD2506" t="s">
        <v>73</v>
      </c>
      <c r="AE2506" t="s">
        <v>77</v>
      </c>
      <c r="AF2506" t="s">
        <v>2242</v>
      </c>
      <c r="AG2506" t="s">
        <v>78</v>
      </c>
    </row>
    <row r="2507" spans="1:33" hidden="1" x14ac:dyDescent="0.25">
      <c r="A2507" t="str">
        <f>"1356607535"</f>
        <v>1356607535</v>
      </c>
      <c r="C2507" t="s">
        <v>10757</v>
      </c>
      <c r="G2507" t="s">
        <v>2224</v>
      </c>
      <c r="H2507" t="s">
        <v>2312</v>
      </c>
      <c r="J2507" t="s">
        <v>2226</v>
      </c>
      <c r="K2507" t="s">
        <v>171</v>
      </c>
      <c r="L2507" t="s">
        <v>96</v>
      </c>
      <c r="M2507" t="s">
        <v>73</v>
      </c>
      <c r="R2507" t="s">
        <v>10758</v>
      </c>
      <c r="S2507" t="s">
        <v>10759</v>
      </c>
      <c r="T2507" t="s">
        <v>91</v>
      </c>
      <c r="U2507" t="s">
        <v>74</v>
      </c>
      <c r="V2507" t="str">
        <f>"100214875"</f>
        <v>100214875</v>
      </c>
      <c r="AC2507" t="s">
        <v>76</v>
      </c>
      <c r="AD2507" t="s">
        <v>73</v>
      </c>
      <c r="AE2507" t="s">
        <v>97</v>
      </c>
      <c r="AF2507" t="s">
        <v>2242</v>
      </c>
      <c r="AG2507" t="s">
        <v>78</v>
      </c>
    </row>
    <row r="2508" spans="1:33" hidden="1" x14ac:dyDescent="0.25">
      <c r="A2508" t="str">
        <f>"1801214549"</f>
        <v>1801214549</v>
      </c>
      <c r="C2508" t="s">
        <v>10760</v>
      </c>
      <c r="G2508" t="s">
        <v>2224</v>
      </c>
      <c r="H2508" t="s">
        <v>2312</v>
      </c>
      <c r="J2508" t="s">
        <v>2226</v>
      </c>
      <c r="K2508" t="s">
        <v>171</v>
      </c>
      <c r="L2508" t="s">
        <v>96</v>
      </c>
      <c r="M2508" t="s">
        <v>73</v>
      </c>
      <c r="R2508" t="s">
        <v>10761</v>
      </c>
      <c r="S2508" t="s">
        <v>170</v>
      </c>
      <c r="T2508" t="s">
        <v>91</v>
      </c>
      <c r="U2508" t="s">
        <v>74</v>
      </c>
      <c r="V2508" t="str">
        <f>"100654870"</f>
        <v>100654870</v>
      </c>
      <c r="AC2508" t="s">
        <v>76</v>
      </c>
      <c r="AD2508" t="s">
        <v>73</v>
      </c>
      <c r="AE2508" t="s">
        <v>97</v>
      </c>
      <c r="AF2508" t="s">
        <v>2242</v>
      </c>
      <c r="AG2508" t="s">
        <v>78</v>
      </c>
    </row>
    <row r="2509" spans="1:33" hidden="1" x14ac:dyDescent="0.25">
      <c r="A2509" t="str">
        <f>"1497917413"</f>
        <v>1497917413</v>
      </c>
      <c r="B2509" t="str">
        <f>"04630764"</f>
        <v>04630764</v>
      </c>
      <c r="C2509" t="s">
        <v>10762</v>
      </c>
      <c r="D2509" t="s">
        <v>10763</v>
      </c>
      <c r="E2509" t="s">
        <v>10764</v>
      </c>
      <c r="G2509" t="s">
        <v>2224</v>
      </c>
      <c r="H2509" t="s">
        <v>2312</v>
      </c>
      <c r="J2509" t="s">
        <v>2226</v>
      </c>
      <c r="L2509" t="s">
        <v>96</v>
      </c>
      <c r="M2509" t="s">
        <v>73</v>
      </c>
      <c r="R2509" t="s">
        <v>10765</v>
      </c>
      <c r="W2509" t="s">
        <v>10764</v>
      </c>
      <c r="AB2509" t="s">
        <v>75</v>
      </c>
      <c r="AC2509" t="s">
        <v>76</v>
      </c>
      <c r="AD2509" t="s">
        <v>73</v>
      </c>
      <c r="AE2509" t="s">
        <v>77</v>
      </c>
      <c r="AF2509" t="s">
        <v>2228</v>
      </c>
      <c r="AG2509" t="s">
        <v>78</v>
      </c>
    </row>
    <row r="2510" spans="1:33" hidden="1" x14ac:dyDescent="0.25">
      <c r="A2510" t="str">
        <f>"1023029410"</f>
        <v>1023029410</v>
      </c>
      <c r="B2510" t="str">
        <f>"01135964"</f>
        <v>01135964</v>
      </c>
      <c r="C2510" t="s">
        <v>10766</v>
      </c>
      <c r="D2510" t="s">
        <v>10767</v>
      </c>
      <c r="E2510" t="s">
        <v>10768</v>
      </c>
      <c r="L2510" t="s">
        <v>80</v>
      </c>
      <c r="M2510" t="s">
        <v>73</v>
      </c>
      <c r="R2510" t="s">
        <v>10769</v>
      </c>
      <c r="W2510" t="s">
        <v>10768</v>
      </c>
      <c r="X2510" t="s">
        <v>10770</v>
      </c>
      <c r="Y2510" t="s">
        <v>91</v>
      </c>
      <c r="Z2510" t="s">
        <v>74</v>
      </c>
      <c r="AA2510" t="str">
        <f>"10065-4870"</f>
        <v>10065-4870</v>
      </c>
      <c r="AB2510" t="s">
        <v>75</v>
      </c>
      <c r="AC2510" t="s">
        <v>76</v>
      </c>
      <c r="AD2510" t="s">
        <v>73</v>
      </c>
      <c r="AE2510" t="s">
        <v>77</v>
      </c>
      <c r="AF2510" t="s">
        <v>2242</v>
      </c>
      <c r="AG2510" t="s">
        <v>78</v>
      </c>
    </row>
    <row r="2511" spans="1:33" hidden="1" x14ac:dyDescent="0.25">
      <c r="A2511" t="str">
        <f>"1194833459"</f>
        <v>1194833459</v>
      </c>
      <c r="B2511" t="str">
        <f>"01550178"</f>
        <v>01550178</v>
      </c>
      <c r="C2511" t="s">
        <v>10771</v>
      </c>
      <c r="D2511" t="s">
        <v>10772</v>
      </c>
      <c r="E2511" t="s">
        <v>10773</v>
      </c>
      <c r="G2511" t="s">
        <v>2224</v>
      </c>
      <c r="H2511" t="s">
        <v>2312</v>
      </c>
      <c r="J2511" t="s">
        <v>2226</v>
      </c>
      <c r="L2511" t="s">
        <v>80</v>
      </c>
      <c r="M2511" t="s">
        <v>73</v>
      </c>
      <c r="R2511" t="s">
        <v>10774</v>
      </c>
      <c r="W2511" t="s">
        <v>10773</v>
      </c>
      <c r="Y2511" t="s">
        <v>118</v>
      </c>
      <c r="Z2511" t="s">
        <v>74</v>
      </c>
      <c r="AA2511" t="str">
        <f>"10466-2697"</f>
        <v>10466-2697</v>
      </c>
      <c r="AB2511" t="s">
        <v>75</v>
      </c>
      <c r="AC2511" t="s">
        <v>76</v>
      </c>
      <c r="AD2511" t="s">
        <v>73</v>
      </c>
      <c r="AE2511" t="s">
        <v>77</v>
      </c>
      <c r="AF2511" t="s">
        <v>2228</v>
      </c>
      <c r="AG2511" t="s">
        <v>78</v>
      </c>
    </row>
    <row r="2512" spans="1:33" hidden="1" x14ac:dyDescent="0.25">
      <c r="A2512" t="str">
        <f>"1417976267"</f>
        <v>1417976267</v>
      </c>
      <c r="B2512" t="str">
        <f>"00186067"</f>
        <v>00186067</v>
      </c>
      <c r="C2512" t="s">
        <v>10775</v>
      </c>
      <c r="D2512" t="s">
        <v>10776</v>
      </c>
      <c r="E2512" t="s">
        <v>10777</v>
      </c>
      <c r="G2512" t="s">
        <v>2224</v>
      </c>
      <c r="H2512" t="s">
        <v>9730</v>
      </c>
      <c r="J2512" t="s">
        <v>2226</v>
      </c>
      <c r="L2512" t="s">
        <v>72</v>
      </c>
      <c r="M2512" t="s">
        <v>73</v>
      </c>
      <c r="R2512" t="s">
        <v>10778</v>
      </c>
      <c r="W2512" t="s">
        <v>10777</v>
      </c>
      <c r="X2512" t="s">
        <v>354</v>
      </c>
      <c r="Y2512" t="s">
        <v>91</v>
      </c>
      <c r="Z2512" t="s">
        <v>74</v>
      </c>
      <c r="AA2512" t="str">
        <f>"10032-3725"</f>
        <v>10032-3725</v>
      </c>
      <c r="AB2512" t="s">
        <v>75</v>
      </c>
      <c r="AC2512" t="s">
        <v>76</v>
      </c>
      <c r="AD2512" t="s">
        <v>73</v>
      </c>
      <c r="AE2512" t="s">
        <v>77</v>
      </c>
      <c r="AF2512" t="s">
        <v>2234</v>
      </c>
      <c r="AG2512" t="s">
        <v>78</v>
      </c>
    </row>
    <row r="2513" spans="1:33" hidden="1" x14ac:dyDescent="0.25">
      <c r="A2513" t="str">
        <f>"1861421992"</f>
        <v>1861421992</v>
      </c>
      <c r="B2513" t="str">
        <f>"01086740"</f>
        <v>01086740</v>
      </c>
      <c r="C2513" t="s">
        <v>10779</v>
      </c>
      <c r="D2513" t="s">
        <v>10780</v>
      </c>
      <c r="E2513" t="s">
        <v>10781</v>
      </c>
      <c r="G2513" t="s">
        <v>2224</v>
      </c>
      <c r="H2513" t="s">
        <v>7886</v>
      </c>
      <c r="J2513" t="s">
        <v>2226</v>
      </c>
      <c r="L2513" t="s">
        <v>80</v>
      </c>
      <c r="M2513" t="s">
        <v>73</v>
      </c>
      <c r="R2513" t="s">
        <v>10782</v>
      </c>
      <c r="W2513" t="s">
        <v>10781</v>
      </c>
      <c r="Y2513" t="s">
        <v>91</v>
      </c>
      <c r="Z2513" t="s">
        <v>74</v>
      </c>
      <c r="AA2513" t="str">
        <f>"10032-3720"</f>
        <v>10032-3720</v>
      </c>
      <c r="AB2513" t="s">
        <v>75</v>
      </c>
      <c r="AC2513" t="s">
        <v>76</v>
      </c>
      <c r="AD2513" t="s">
        <v>73</v>
      </c>
      <c r="AE2513" t="s">
        <v>77</v>
      </c>
      <c r="AF2513" t="s">
        <v>2228</v>
      </c>
      <c r="AG2513" t="s">
        <v>78</v>
      </c>
    </row>
    <row r="2514" spans="1:33" hidden="1" x14ac:dyDescent="0.25">
      <c r="A2514" t="str">
        <f>"1538232962"</f>
        <v>1538232962</v>
      </c>
      <c r="B2514" t="str">
        <f>"00983500"</f>
        <v>00983500</v>
      </c>
      <c r="C2514" t="s">
        <v>262</v>
      </c>
      <c r="D2514" t="s">
        <v>260</v>
      </c>
      <c r="E2514" t="s">
        <v>261</v>
      </c>
      <c r="G2514" t="s">
        <v>2224</v>
      </c>
      <c r="H2514" t="s">
        <v>8415</v>
      </c>
      <c r="J2514" t="s">
        <v>2226</v>
      </c>
      <c r="L2514" t="s">
        <v>88</v>
      </c>
      <c r="M2514" t="s">
        <v>82</v>
      </c>
      <c r="R2514" t="s">
        <v>263</v>
      </c>
      <c r="W2514" t="s">
        <v>261</v>
      </c>
      <c r="X2514" t="s">
        <v>264</v>
      </c>
      <c r="Y2514" t="s">
        <v>91</v>
      </c>
      <c r="Z2514" t="s">
        <v>74</v>
      </c>
      <c r="AA2514" t="str">
        <f>"10034-2502"</f>
        <v>10034-2502</v>
      </c>
      <c r="AB2514" t="s">
        <v>75</v>
      </c>
      <c r="AC2514" t="s">
        <v>76</v>
      </c>
      <c r="AD2514" t="s">
        <v>73</v>
      </c>
      <c r="AE2514" t="s">
        <v>77</v>
      </c>
      <c r="AF2514" t="s">
        <v>2228</v>
      </c>
      <c r="AG2514" t="s">
        <v>78</v>
      </c>
    </row>
    <row r="2515" spans="1:33" hidden="1" x14ac:dyDescent="0.25">
      <c r="A2515" t="str">
        <f>"1134205495"</f>
        <v>1134205495</v>
      </c>
      <c r="B2515" t="str">
        <f>"01177215"</f>
        <v>01177215</v>
      </c>
      <c r="C2515" t="s">
        <v>10783</v>
      </c>
      <c r="D2515" t="s">
        <v>10784</v>
      </c>
      <c r="E2515" t="s">
        <v>10785</v>
      </c>
      <c r="G2515" t="s">
        <v>2224</v>
      </c>
      <c r="H2515" t="s">
        <v>2225</v>
      </c>
      <c r="J2515" t="s">
        <v>2226</v>
      </c>
      <c r="L2515" t="s">
        <v>80</v>
      </c>
      <c r="M2515" t="s">
        <v>73</v>
      </c>
      <c r="R2515" t="s">
        <v>10786</v>
      </c>
      <c r="W2515" t="s">
        <v>10785</v>
      </c>
      <c r="X2515" t="s">
        <v>1203</v>
      </c>
      <c r="Y2515" t="s">
        <v>91</v>
      </c>
      <c r="Z2515" t="s">
        <v>74</v>
      </c>
      <c r="AA2515" t="str">
        <f>"10032-3720"</f>
        <v>10032-3720</v>
      </c>
      <c r="AB2515" t="s">
        <v>75</v>
      </c>
      <c r="AC2515" t="s">
        <v>76</v>
      </c>
      <c r="AD2515" t="s">
        <v>73</v>
      </c>
      <c r="AE2515" t="s">
        <v>77</v>
      </c>
      <c r="AF2515" t="s">
        <v>2228</v>
      </c>
      <c r="AG2515" t="s">
        <v>78</v>
      </c>
    </row>
    <row r="2516" spans="1:33" hidden="1" x14ac:dyDescent="0.25">
      <c r="A2516" t="str">
        <f>"1013013671"</f>
        <v>1013013671</v>
      </c>
      <c r="B2516" t="str">
        <f>"01554461"</f>
        <v>01554461</v>
      </c>
      <c r="C2516" t="s">
        <v>10787</v>
      </c>
      <c r="D2516" t="s">
        <v>10788</v>
      </c>
      <c r="E2516" t="s">
        <v>10789</v>
      </c>
      <c r="G2516" t="s">
        <v>2224</v>
      </c>
      <c r="H2516" t="s">
        <v>2225</v>
      </c>
      <c r="J2516" t="s">
        <v>2226</v>
      </c>
      <c r="L2516" t="s">
        <v>72</v>
      </c>
      <c r="M2516" t="s">
        <v>73</v>
      </c>
      <c r="R2516" t="s">
        <v>10790</v>
      </c>
      <c r="W2516" t="s">
        <v>10789</v>
      </c>
      <c r="X2516" t="s">
        <v>1397</v>
      </c>
      <c r="Y2516" t="s">
        <v>91</v>
      </c>
      <c r="Z2516" t="s">
        <v>74</v>
      </c>
      <c r="AA2516" t="str">
        <f>"10032-3724"</f>
        <v>10032-3724</v>
      </c>
      <c r="AB2516" t="s">
        <v>75</v>
      </c>
      <c r="AC2516" t="s">
        <v>76</v>
      </c>
      <c r="AD2516" t="s">
        <v>73</v>
      </c>
      <c r="AE2516" t="s">
        <v>77</v>
      </c>
      <c r="AF2516" t="s">
        <v>2228</v>
      </c>
      <c r="AG2516" t="s">
        <v>78</v>
      </c>
    </row>
    <row r="2517" spans="1:33" hidden="1" x14ac:dyDescent="0.25">
      <c r="A2517" t="str">
        <f>"1689603789"</f>
        <v>1689603789</v>
      </c>
      <c r="B2517" t="str">
        <f>"02679409"</f>
        <v>02679409</v>
      </c>
      <c r="C2517" t="s">
        <v>10791</v>
      </c>
      <c r="D2517" t="s">
        <v>10792</v>
      </c>
      <c r="E2517" t="s">
        <v>10793</v>
      </c>
      <c r="G2517" t="s">
        <v>2224</v>
      </c>
      <c r="H2517" t="s">
        <v>2225</v>
      </c>
      <c r="J2517" t="s">
        <v>2226</v>
      </c>
      <c r="L2517" t="s">
        <v>80</v>
      </c>
      <c r="M2517" t="s">
        <v>82</v>
      </c>
      <c r="R2517" t="s">
        <v>10794</v>
      </c>
      <c r="W2517" t="s">
        <v>10793</v>
      </c>
      <c r="X2517" t="s">
        <v>167</v>
      </c>
      <c r="Y2517" t="s">
        <v>91</v>
      </c>
      <c r="Z2517" t="s">
        <v>74</v>
      </c>
      <c r="AA2517" t="str">
        <f>"10032-3720"</f>
        <v>10032-3720</v>
      </c>
      <c r="AB2517" t="s">
        <v>75</v>
      </c>
      <c r="AC2517" t="s">
        <v>76</v>
      </c>
      <c r="AD2517" t="s">
        <v>73</v>
      </c>
      <c r="AE2517" t="s">
        <v>77</v>
      </c>
      <c r="AF2517" t="s">
        <v>2228</v>
      </c>
      <c r="AG2517" t="s">
        <v>78</v>
      </c>
    </row>
    <row r="2518" spans="1:33" hidden="1" x14ac:dyDescent="0.25">
      <c r="A2518" t="str">
        <f>"1093771552"</f>
        <v>1093771552</v>
      </c>
      <c r="B2518" t="str">
        <f>"01025263"</f>
        <v>01025263</v>
      </c>
      <c r="C2518" t="s">
        <v>10795</v>
      </c>
      <c r="D2518" t="s">
        <v>10796</v>
      </c>
      <c r="E2518" t="s">
        <v>10797</v>
      </c>
      <c r="G2518" t="s">
        <v>2224</v>
      </c>
      <c r="H2518" t="s">
        <v>2225</v>
      </c>
      <c r="J2518" t="s">
        <v>2226</v>
      </c>
      <c r="L2518" t="s">
        <v>72</v>
      </c>
      <c r="M2518" t="s">
        <v>73</v>
      </c>
      <c r="R2518" t="s">
        <v>10798</v>
      </c>
      <c r="W2518" t="s">
        <v>10797</v>
      </c>
      <c r="X2518" t="s">
        <v>10799</v>
      </c>
      <c r="Y2518" t="s">
        <v>132</v>
      </c>
      <c r="Z2518" t="s">
        <v>74</v>
      </c>
      <c r="AA2518" t="str">
        <f>"10595"</f>
        <v>10595</v>
      </c>
      <c r="AB2518" t="s">
        <v>75</v>
      </c>
      <c r="AC2518" t="s">
        <v>76</v>
      </c>
      <c r="AD2518" t="s">
        <v>73</v>
      </c>
      <c r="AE2518" t="s">
        <v>77</v>
      </c>
      <c r="AF2518" t="s">
        <v>2228</v>
      </c>
      <c r="AG2518" t="s">
        <v>78</v>
      </c>
    </row>
    <row r="2519" spans="1:33" hidden="1" x14ac:dyDescent="0.25">
      <c r="A2519" t="str">
        <f>"1992009617"</f>
        <v>1992009617</v>
      </c>
      <c r="B2519" t="str">
        <f>"03518412"</f>
        <v>03518412</v>
      </c>
      <c r="C2519" t="s">
        <v>10800</v>
      </c>
      <c r="D2519" t="s">
        <v>10801</v>
      </c>
      <c r="E2519" t="s">
        <v>10802</v>
      </c>
      <c r="G2519" t="s">
        <v>2224</v>
      </c>
      <c r="H2519" t="s">
        <v>2225</v>
      </c>
      <c r="J2519" t="s">
        <v>2226</v>
      </c>
      <c r="L2519" t="s">
        <v>72</v>
      </c>
      <c r="M2519" t="s">
        <v>73</v>
      </c>
      <c r="R2519" t="s">
        <v>10802</v>
      </c>
      <c r="W2519" t="s">
        <v>10802</v>
      </c>
      <c r="X2519" t="s">
        <v>167</v>
      </c>
      <c r="Y2519" t="s">
        <v>91</v>
      </c>
      <c r="Z2519" t="s">
        <v>74</v>
      </c>
      <c r="AA2519" t="str">
        <f>"10032-3720"</f>
        <v>10032-3720</v>
      </c>
      <c r="AB2519" t="s">
        <v>104</v>
      </c>
      <c r="AC2519" t="s">
        <v>76</v>
      </c>
      <c r="AD2519" t="s">
        <v>73</v>
      </c>
      <c r="AE2519" t="s">
        <v>77</v>
      </c>
      <c r="AF2519" t="s">
        <v>2234</v>
      </c>
      <c r="AG2519" t="s">
        <v>78</v>
      </c>
    </row>
    <row r="2520" spans="1:33" hidden="1" x14ac:dyDescent="0.25">
      <c r="A2520" t="str">
        <f>"1649286139"</f>
        <v>1649286139</v>
      </c>
      <c r="C2520" t="s">
        <v>3498</v>
      </c>
      <c r="K2520" t="s">
        <v>36</v>
      </c>
      <c r="L2520" t="s">
        <v>96</v>
      </c>
      <c r="M2520" t="s">
        <v>73</v>
      </c>
      <c r="R2520" t="s">
        <v>3498</v>
      </c>
      <c r="S2520" t="s">
        <v>654</v>
      </c>
      <c r="T2520" t="s">
        <v>162</v>
      </c>
      <c r="U2520" t="s">
        <v>74</v>
      </c>
      <c r="V2520" t="str">
        <f>"111064705"</f>
        <v>111064705</v>
      </c>
      <c r="AC2520" t="s">
        <v>76</v>
      </c>
      <c r="AD2520" t="s">
        <v>73</v>
      </c>
      <c r="AE2520" t="s">
        <v>97</v>
      </c>
      <c r="AG2520" t="s">
        <v>78</v>
      </c>
    </row>
    <row r="2521" spans="1:33" hidden="1" x14ac:dyDescent="0.25">
      <c r="A2521" t="str">
        <f>"1699723296"</f>
        <v>1699723296</v>
      </c>
      <c r="B2521" t="str">
        <f>"02710369"</f>
        <v>02710369</v>
      </c>
      <c r="C2521" t="s">
        <v>3498</v>
      </c>
      <c r="D2521" t="s">
        <v>10803</v>
      </c>
      <c r="E2521" t="s">
        <v>8279</v>
      </c>
      <c r="L2521" t="s">
        <v>36</v>
      </c>
      <c r="M2521" t="s">
        <v>73</v>
      </c>
      <c r="R2521" t="s">
        <v>3498</v>
      </c>
      <c r="W2521" t="s">
        <v>3498</v>
      </c>
      <c r="X2521" t="s">
        <v>1583</v>
      </c>
      <c r="Y2521" t="s">
        <v>91</v>
      </c>
      <c r="Z2521" t="s">
        <v>74</v>
      </c>
      <c r="AA2521" t="str">
        <f>"10021-9800"</f>
        <v>10021-9800</v>
      </c>
      <c r="AB2521" t="s">
        <v>114</v>
      </c>
      <c r="AC2521" t="s">
        <v>76</v>
      </c>
      <c r="AD2521" t="s">
        <v>73</v>
      </c>
      <c r="AE2521" t="s">
        <v>77</v>
      </c>
      <c r="AG2521" t="s">
        <v>78</v>
      </c>
    </row>
    <row r="2522" spans="1:33" hidden="1" x14ac:dyDescent="0.25">
      <c r="A2522" t="str">
        <f>"1881604866"</f>
        <v>1881604866</v>
      </c>
      <c r="C2522" t="s">
        <v>3498</v>
      </c>
      <c r="K2522" t="s">
        <v>36</v>
      </c>
      <c r="L2522" t="s">
        <v>96</v>
      </c>
      <c r="M2522" t="s">
        <v>73</v>
      </c>
      <c r="R2522" t="s">
        <v>3498</v>
      </c>
      <c r="S2522" t="s">
        <v>170</v>
      </c>
      <c r="T2522" t="s">
        <v>91</v>
      </c>
      <c r="U2522" t="s">
        <v>74</v>
      </c>
      <c r="V2522" t="str">
        <f>"100214870"</f>
        <v>100214870</v>
      </c>
      <c r="AC2522" t="s">
        <v>76</v>
      </c>
      <c r="AD2522" t="s">
        <v>73</v>
      </c>
      <c r="AE2522" t="s">
        <v>97</v>
      </c>
      <c r="AG2522" t="s">
        <v>78</v>
      </c>
    </row>
    <row r="2523" spans="1:33" hidden="1" x14ac:dyDescent="0.25">
      <c r="A2523" t="str">
        <f>"1922148576"</f>
        <v>1922148576</v>
      </c>
      <c r="B2523" t="str">
        <f>"01748558"</f>
        <v>01748558</v>
      </c>
      <c r="C2523" t="s">
        <v>3498</v>
      </c>
      <c r="D2523" t="s">
        <v>10804</v>
      </c>
      <c r="E2523" t="s">
        <v>3500</v>
      </c>
      <c r="L2523" t="s">
        <v>36</v>
      </c>
      <c r="M2523" t="s">
        <v>73</v>
      </c>
      <c r="R2523" t="s">
        <v>3498</v>
      </c>
      <c r="W2523" t="s">
        <v>3498</v>
      </c>
      <c r="X2523" t="s">
        <v>170</v>
      </c>
      <c r="Y2523" t="s">
        <v>91</v>
      </c>
      <c r="Z2523" t="s">
        <v>74</v>
      </c>
      <c r="AA2523" t="str">
        <f>"10065-4870"</f>
        <v>10065-4870</v>
      </c>
      <c r="AB2523" t="s">
        <v>114</v>
      </c>
      <c r="AC2523" t="s">
        <v>76</v>
      </c>
      <c r="AD2523" t="s">
        <v>73</v>
      </c>
      <c r="AE2523" t="s">
        <v>77</v>
      </c>
      <c r="AG2523" t="s">
        <v>78</v>
      </c>
    </row>
    <row r="2524" spans="1:33" hidden="1" x14ac:dyDescent="0.25">
      <c r="A2524" t="str">
        <f>"1932127743"</f>
        <v>1932127743</v>
      </c>
      <c r="B2524" t="str">
        <f>"00501244"</f>
        <v>00501244</v>
      </c>
      <c r="C2524" t="s">
        <v>3498</v>
      </c>
      <c r="D2524" t="s">
        <v>10805</v>
      </c>
      <c r="E2524" t="s">
        <v>10806</v>
      </c>
      <c r="L2524" t="s">
        <v>36</v>
      </c>
      <c r="M2524" t="s">
        <v>73</v>
      </c>
      <c r="R2524" t="s">
        <v>3498</v>
      </c>
      <c r="W2524" t="s">
        <v>3498</v>
      </c>
      <c r="X2524" t="s">
        <v>628</v>
      </c>
      <c r="Y2524" t="s">
        <v>91</v>
      </c>
      <c r="Z2524" t="s">
        <v>74</v>
      </c>
      <c r="AA2524" t="str">
        <f>"10021-4872"</f>
        <v>10021-4872</v>
      </c>
      <c r="AB2524" t="s">
        <v>114</v>
      </c>
      <c r="AC2524" t="s">
        <v>76</v>
      </c>
      <c r="AD2524" t="s">
        <v>73</v>
      </c>
      <c r="AE2524" t="s">
        <v>77</v>
      </c>
      <c r="AG2524" t="s">
        <v>78</v>
      </c>
    </row>
    <row r="2525" spans="1:33" hidden="1" x14ac:dyDescent="0.25">
      <c r="A2525" t="str">
        <f>"1073804654"</f>
        <v>1073804654</v>
      </c>
      <c r="C2525" t="s">
        <v>10807</v>
      </c>
      <c r="G2525" t="s">
        <v>2224</v>
      </c>
      <c r="H2525" t="s">
        <v>10808</v>
      </c>
      <c r="J2525" t="s">
        <v>2226</v>
      </c>
      <c r="K2525" t="s">
        <v>171</v>
      </c>
      <c r="L2525" t="s">
        <v>96</v>
      </c>
      <c r="M2525" t="s">
        <v>73</v>
      </c>
      <c r="R2525" t="s">
        <v>10809</v>
      </c>
      <c r="S2525" t="s">
        <v>1669</v>
      </c>
      <c r="T2525" t="s">
        <v>91</v>
      </c>
      <c r="U2525" t="s">
        <v>74</v>
      </c>
      <c r="V2525" t="str">
        <f>"10016"</f>
        <v>10016</v>
      </c>
      <c r="AC2525" t="s">
        <v>76</v>
      </c>
      <c r="AD2525" t="s">
        <v>73</v>
      </c>
      <c r="AE2525" t="s">
        <v>97</v>
      </c>
      <c r="AF2525" t="s">
        <v>2228</v>
      </c>
      <c r="AG2525" t="s">
        <v>78</v>
      </c>
    </row>
    <row r="2526" spans="1:33" hidden="1" x14ac:dyDescent="0.25">
      <c r="A2526" t="str">
        <f>"1508932864"</f>
        <v>1508932864</v>
      </c>
      <c r="B2526" t="str">
        <f>"02618775"</f>
        <v>02618775</v>
      </c>
      <c r="C2526" t="s">
        <v>10810</v>
      </c>
      <c r="D2526" t="s">
        <v>10811</v>
      </c>
      <c r="E2526" t="s">
        <v>10812</v>
      </c>
      <c r="L2526" t="s">
        <v>88</v>
      </c>
      <c r="M2526" t="s">
        <v>73</v>
      </c>
      <c r="R2526" t="s">
        <v>10813</v>
      </c>
      <c r="W2526" t="s">
        <v>10812</v>
      </c>
      <c r="X2526" t="s">
        <v>3120</v>
      </c>
      <c r="Y2526" t="s">
        <v>91</v>
      </c>
      <c r="Z2526" t="s">
        <v>74</v>
      </c>
      <c r="AA2526" t="str">
        <f>"10032-3720"</f>
        <v>10032-3720</v>
      </c>
      <c r="AB2526" t="s">
        <v>75</v>
      </c>
      <c r="AC2526" t="s">
        <v>76</v>
      </c>
      <c r="AD2526" t="s">
        <v>73</v>
      </c>
      <c r="AE2526" t="s">
        <v>77</v>
      </c>
      <c r="AF2526" t="s">
        <v>2228</v>
      </c>
      <c r="AG2526" t="s">
        <v>78</v>
      </c>
    </row>
    <row r="2527" spans="1:33" hidden="1" x14ac:dyDescent="0.25">
      <c r="A2527" t="str">
        <f>"1174699037"</f>
        <v>1174699037</v>
      </c>
      <c r="B2527" t="str">
        <f>"01847745"</f>
        <v>01847745</v>
      </c>
      <c r="C2527" t="s">
        <v>10814</v>
      </c>
      <c r="D2527" t="s">
        <v>10815</v>
      </c>
      <c r="E2527" t="s">
        <v>10816</v>
      </c>
      <c r="L2527" t="s">
        <v>72</v>
      </c>
      <c r="M2527" t="s">
        <v>73</v>
      </c>
      <c r="R2527" t="s">
        <v>10817</v>
      </c>
      <c r="W2527" t="s">
        <v>10816</v>
      </c>
      <c r="X2527" t="s">
        <v>2115</v>
      </c>
      <c r="Y2527" t="s">
        <v>91</v>
      </c>
      <c r="Z2527" t="s">
        <v>74</v>
      </c>
      <c r="AA2527" t="str">
        <f>"10032-7104"</f>
        <v>10032-7104</v>
      </c>
      <c r="AB2527" t="s">
        <v>75</v>
      </c>
      <c r="AC2527" t="s">
        <v>76</v>
      </c>
      <c r="AD2527" t="s">
        <v>73</v>
      </c>
      <c r="AE2527" t="s">
        <v>77</v>
      </c>
      <c r="AG2527" t="s">
        <v>78</v>
      </c>
    </row>
    <row r="2528" spans="1:33" hidden="1" x14ac:dyDescent="0.25">
      <c r="A2528" t="str">
        <f>"1962580092"</f>
        <v>1962580092</v>
      </c>
      <c r="B2528" t="str">
        <f>"01990849"</f>
        <v>01990849</v>
      </c>
      <c r="C2528" t="s">
        <v>10818</v>
      </c>
      <c r="D2528" t="s">
        <v>10819</v>
      </c>
      <c r="E2528" t="s">
        <v>10820</v>
      </c>
      <c r="L2528" t="s">
        <v>88</v>
      </c>
      <c r="M2528" t="s">
        <v>73</v>
      </c>
      <c r="R2528" t="s">
        <v>10821</v>
      </c>
      <c r="W2528" t="s">
        <v>10822</v>
      </c>
      <c r="Y2528" t="s">
        <v>91</v>
      </c>
      <c r="Z2528" t="s">
        <v>74</v>
      </c>
      <c r="AA2528" t="str">
        <f>"10032-3720"</f>
        <v>10032-3720</v>
      </c>
      <c r="AB2528" t="s">
        <v>75</v>
      </c>
      <c r="AC2528" t="s">
        <v>76</v>
      </c>
      <c r="AD2528" t="s">
        <v>73</v>
      </c>
      <c r="AE2528" t="s">
        <v>77</v>
      </c>
      <c r="AF2528" t="s">
        <v>2228</v>
      </c>
      <c r="AG2528" t="s">
        <v>78</v>
      </c>
    </row>
    <row r="2529" spans="1:33" hidden="1" x14ac:dyDescent="0.25">
      <c r="A2529" t="str">
        <f>"1780759894"</f>
        <v>1780759894</v>
      </c>
      <c r="B2529" t="str">
        <f>"02356114"</f>
        <v>02356114</v>
      </c>
      <c r="C2529" t="s">
        <v>10823</v>
      </c>
      <c r="D2529" t="s">
        <v>10824</v>
      </c>
      <c r="E2529" t="s">
        <v>10825</v>
      </c>
      <c r="L2529" t="s">
        <v>72</v>
      </c>
      <c r="M2529" t="s">
        <v>73</v>
      </c>
      <c r="R2529" t="s">
        <v>10826</v>
      </c>
      <c r="W2529" t="s">
        <v>10825</v>
      </c>
      <c r="X2529" t="s">
        <v>372</v>
      </c>
      <c r="Y2529" t="s">
        <v>118</v>
      </c>
      <c r="Z2529" t="s">
        <v>74</v>
      </c>
      <c r="AA2529" t="str">
        <f>"10451-5589"</f>
        <v>10451-5589</v>
      </c>
      <c r="AB2529" t="s">
        <v>75</v>
      </c>
      <c r="AC2529" t="s">
        <v>76</v>
      </c>
      <c r="AD2529" t="s">
        <v>73</v>
      </c>
      <c r="AE2529" t="s">
        <v>77</v>
      </c>
      <c r="AF2529" t="s">
        <v>2228</v>
      </c>
      <c r="AG2529" t="s">
        <v>78</v>
      </c>
    </row>
    <row r="2530" spans="1:33" hidden="1" x14ac:dyDescent="0.25">
      <c r="A2530" t="str">
        <f>"1841239829"</f>
        <v>1841239829</v>
      </c>
      <c r="B2530" t="str">
        <f>"01732829"</f>
        <v>01732829</v>
      </c>
      <c r="C2530" t="s">
        <v>3674</v>
      </c>
      <c r="D2530" t="s">
        <v>10827</v>
      </c>
      <c r="E2530" t="s">
        <v>4598</v>
      </c>
      <c r="L2530" t="s">
        <v>36</v>
      </c>
      <c r="M2530" t="s">
        <v>73</v>
      </c>
      <c r="R2530" t="s">
        <v>3674</v>
      </c>
      <c r="W2530" t="s">
        <v>3280</v>
      </c>
      <c r="X2530" t="s">
        <v>167</v>
      </c>
      <c r="Y2530" t="s">
        <v>91</v>
      </c>
      <c r="Z2530" t="s">
        <v>74</v>
      </c>
      <c r="AA2530" t="str">
        <f>"10032-3720"</f>
        <v>10032-3720</v>
      </c>
      <c r="AB2530" t="s">
        <v>114</v>
      </c>
      <c r="AC2530" t="s">
        <v>76</v>
      </c>
      <c r="AD2530" t="s">
        <v>73</v>
      </c>
      <c r="AE2530" t="s">
        <v>77</v>
      </c>
      <c r="AG2530" t="s">
        <v>78</v>
      </c>
    </row>
    <row r="2531" spans="1:33" hidden="1" x14ac:dyDescent="0.25">
      <c r="A2531" t="str">
        <f>"1558520197"</f>
        <v>1558520197</v>
      </c>
      <c r="B2531" t="str">
        <f>"03978154"</f>
        <v>03978154</v>
      </c>
      <c r="C2531" t="s">
        <v>10828</v>
      </c>
      <c r="D2531" t="s">
        <v>10829</v>
      </c>
      <c r="E2531" t="s">
        <v>10830</v>
      </c>
      <c r="G2531" t="s">
        <v>2224</v>
      </c>
      <c r="H2531" t="s">
        <v>2225</v>
      </c>
      <c r="J2531" t="s">
        <v>2226</v>
      </c>
      <c r="L2531" t="s">
        <v>72</v>
      </c>
      <c r="M2531" t="s">
        <v>73</v>
      </c>
      <c r="R2531" t="s">
        <v>10831</v>
      </c>
      <c r="W2531" t="s">
        <v>10830</v>
      </c>
      <c r="X2531" t="s">
        <v>1698</v>
      </c>
      <c r="Y2531" t="s">
        <v>91</v>
      </c>
      <c r="Z2531" t="s">
        <v>74</v>
      </c>
      <c r="AA2531" t="str">
        <f>"10032-3725"</f>
        <v>10032-3725</v>
      </c>
      <c r="AB2531" t="s">
        <v>75</v>
      </c>
      <c r="AC2531" t="s">
        <v>76</v>
      </c>
      <c r="AD2531" t="s">
        <v>73</v>
      </c>
      <c r="AE2531" t="s">
        <v>77</v>
      </c>
      <c r="AF2531" t="s">
        <v>2228</v>
      </c>
      <c r="AG2531" t="s">
        <v>78</v>
      </c>
    </row>
    <row r="2532" spans="1:33" hidden="1" x14ac:dyDescent="0.25">
      <c r="A2532" t="str">
        <f>"1558537555"</f>
        <v>1558537555</v>
      </c>
      <c r="B2532" t="str">
        <f>"02978187"</f>
        <v>02978187</v>
      </c>
      <c r="C2532" t="s">
        <v>10832</v>
      </c>
      <c r="D2532" t="s">
        <v>10833</v>
      </c>
      <c r="E2532" t="s">
        <v>10834</v>
      </c>
      <c r="G2532" t="s">
        <v>2224</v>
      </c>
      <c r="H2532" t="s">
        <v>2225</v>
      </c>
      <c r="J2532" t="s">
        <v>2226</v>
      </c>
      <c r="L2532" t="s">
        <v>72</v>
      </c>
      <c r="M2532" t="s">
        <v>73</v>
      </c>
      <c r="R2532" t="s">
        <v>10835</v>
      </c>
      <c r="W2532" t="s">
        <v>10836</v>
      </c>
      <c r="X2532" t="s">
        <v>496</v>
      </c>
      <c r="Y2532" t="s">
        <v>91</v>
      </c>
      <c r="Z2532" t="s">
        <v>74</v>
      </c>
      <c r="AA2532" t="str">
        <f>"10032-3726"</f>
        <v>10032-3726</v>
      </c>
      <c r="AB2532" t="s">
        <v>75</v>
      </c>
      <c r="AC2532" t="s">
        <v>76</v>
      </c>
      <c r="AD2532" t="s">
        <v>73</v>
      </c>
      <c r="AE2532" t="s">
        <v>77</v>
      </c>
      <c r="AF2532" t="s">
        <v>2228</v>
      </c>
      <c r="AG2532" t="s">
        <v>78</v>
      </c>
    </row>
    <row r="2533" spans="1:33" hidden="1" x14ac:dyDescent="0.25">
      <c r="A2533" t="str">
        <f>"1154661494"</f>
        <v>1154661494</v>
      </c>
      <c r="B2533" t="str">
        <f>"03989200"</f>
        <v>03989200</v>
      </c>
      <c r="C2533" t="s">
        <v>10837</v>
      </c>
      <c r="D2533" t="s">
        <v>10838</v>
      </c>
      <c r="E2533" t="s">
        <v>10839</v>
      </c>
      <c r="G2533" t="s">
        <v>2224</v>
      </c>
      <c r="H2533" t="s">
        <v>2225</v>
      </c>
      <c r="J2533" t="s">
        <v>2226</v>
      </c>
      <c r="L2533" t="s">
        <v>72</v>
      </c>
      <c r="M2533" t="s">
        <v>73</v>
      </c>
      <c r="R2533" t="s">
        <v>10840</v>
      </c>
      <c r="W2533" t="s">
        <v>10841</v>
      </c>
      <c r="X2533" t="s">
        <v>496</v>
      </c>
      <c r="Y2533" t="s">
        <v>91</v>
      </c>
      <c r="Z2533" t="s">
        <v>74</v>
      </c>
      <c r="AA2533" t="str">
        <f>"10032-3726"</f>
        <v>10032-3726</v>
      </c>
      <c r="AB2533" t="s">
        <v>75</v>
      </c>
      <c r="AC2533" t="s">
        <v>76</v>
      </c>
      <c r="AD2533" t="s">
        <v>73</v>
      </c>
      <c r="AE2533" t="s">
        <v>77</v>
      </c>
      <c r="AF2533" t="s">
        <v>2228</v>
      </c>
      <c r="AG2533" t="s">
        <v>78</v>
      </c>
    </row>
    <row r="2534" spans="1:33" hidden="1" x14ac:dyDescent="0.25">
      <c r="A2534" t="str">
        <f>"1871570226"</f>
        <v>1871570226</v>
      </c>
      <c r="B2534" t="str">
        <f>"01671205"</f>
        <v>01671205</v>
      </c>
      <c r="C2534" t="s">
        <v>10842</v>
      </c>
      <c r="D2534" t="s">
        <v>10843</v>
      </c>
      <c r="E2534" t="s">
        <v>10844</v>
      </c>
      <c r="L2534" t="s">
        <v>80</v>
      </c>
      <c r="M2534" t="s">
        <v>73</v>
      </c>
      <c r="R2534" t="s">
        <v>10845</v>
      </c>
      <c r="W2534" t="s">
        <v>10844</v>
      </c>
      <c r="X2534" t="s">
        <v>10846</v>
      </c>
      <c r="Y2534" t="s">
        <v>91</v>
      </c>
      <c r="Z2534" t="s">
        <v>74</v>
      </c>
      <c r="AA2534" t="str">
        <f>"10065-4870"</f>
        <v>10065-4870</v>
      </c>
      <c r="AB2534" t="s">
        <v>75</v>
      </c>
      <c r="AC2534" t="s">
        <v>76</v>
      </c>
      <c r="AD2534" t="s">
        <v>73</v>
      </c>
      <c r="AE2534" t="s">
        <v>77</v>
      </c>
      <c r="AF2534" t="s">
        <v>2228</v>
      </c>
      <c r="AG2534" t="s">
        <v>78</v>
      </c>
    </row>
    <row r="2535" spans="1:33" hidden="1" x14ac:dyDescent="0.25">
      <c r="A2535" t="str">
        <f>"1831403278"</f>
        <v>1831403278</v>
      </c>
      <c r="B2535" t="str">
        <f>"03965620"</f>
        <v>03965620</v>
      </c>
      <c r="C2535" t="s">
        <v>10847</v>
      </c>
      <c r="D2535" t="s">
        <v>1468</v>
      </c>
      <c r="E2535" t="s">
        <v>1469</v>
      </c>
      <c r="G2535" t="s">
        <v>2224</v>
      </c>
      <c r="H2535" t="s">
        <v>2225</v>
      </c>
      <c r="J2535" t="s">
        <v>2226</v>
      </c>
      <c r="L2535" t="s">
        <v>80</v>
      </c>
      <c r="M2535" t="s">
        <v>73</v>
      </c>
      <c r="R2535" t="s">
        <v>1470</v>
      </c>
      <c r="W2535" t="s">
        <v>1469</v>
      </c>
      <c r="X2535" t="s">
        <v>1397</v>
      </c>
      <c r="Y2535" t="s">
        <v>91</v>
      </c>
      <c r="Z2535" t="s">
        <v>74</v>
      </c>
      <c r="AA2535" t="str">
        <f>"10032-3724"</f>
        <v>10032-3724</v>
      </c>
      <c r="AB2535" t="s">
        <v>75</v>
      </c>
      <c r="AC2535" t="s">
        <v>76</v>
      </c>
      <c r="AD2535" t="s">
        <v>73</v>
      </c>
      <c r="AE2535" t="s">
        <v>77</v>
      </c>
      <c r="AF2535" t="s">
        <v>2234</v>
      </c>
      <c r="AG2535" t="s">
        <v>78</v>
      </c>
    </row>
    <row r="2536" spans="1:33" hidden="1" x14ac:dyDescent="0.25">
      <c r="A2536" t="str">
        <f>"1841224342"</f>
        <v>1841224342</v>
      </c>
      <c r="B2536" t="str">
        <f>"03477552"</f>
        <v>03477552</v>
      </c>
      <c r="C2536" t="s">
        <v>10848</v>
      </c>
      <c r="D2536" t="s">
        <v>10849</v>
      </c>
      <c r="E2536" t="s">
        <v>10850</v>
      </c>
      <c r="G2536" t="s">
        <v>2224</v>
      </c>
      <c r="H2536" t="s">
        <v>2225</v>
      </c>
      <c r="J2536" t="s">
        <v>2226</v>
      </c>
      <c r="L2536" t="s">
        <v>80</v>
      </c>
      <c r="M2536" t="s">
        <v>73</v>
      </c>
      <c r="R2536" t="s">
        <v>10851</v>
      </c>
      <c r="W2536" t="s">
        <v>10850</v>
      </c>
      <c r="X2536" t="s">
        <v>10852</v>
      </c>
      <c r="Y2536" t="s">
        <v>91</v>
      </c>
      <c r="Z2536" t="s">
        <v>74</v>
      </c>
      <c r="AA2536" t="str">
        <f>"10021-9800"</f>
        <v>10021-9800</v>
      </c>
      <c r="AB2536" t="s">
        <v>75</v>
      </c>
      <c r="AC2536" t="s">
        <v>76</v>
      </c>
      <c r="AD2536" t="s">
        <v>73</v>
      </c>
      <c r="AE2536" t="s">
        <v>77</v>
      </c>
      <c r="AF2536" t="s">
        <v>2228</v>
      </c>
      <c r="AG2536" t="s">
        <v>78</v>
      </c>
    </row>
    <row r="2537" spans="1:33" hidden="1" x14ac:dyDescent="0.25">
      <c r="A2537" t="str">
        <f>"1609035583"</f>
        <v>1609035583</v>
      </c>
      <c r="B2537" t="str">
        <f>"03255598"</f>
        <v>03255598</v>
      </c>
      <c r="C2537" t="s">
        <v>10853</v>
      </c>
      <c r="D2537" t="s">
        <v>10854</v>
      </c>
      <c r="E2537" t="s">
        <v>10855</v>
      </c>
      <c r="G2537" t="s">
        <v>2224</v>
      </c>
      <c r="H2537" t="s">
        <v>2225</v>
      </c>
      <c r="J2537" t="s">
        <v>2226</v>
      </c>
      <c r="L2537" t="s">
        <v>88</v>
      </c>
      <c r="M2537" t="s">
        <v>82</v>
      </c>
      <c r="R2537" t="s">
        <v>10856</v>
      </c>
      <c r="W2537" t="s">
        <v>10857</v>
      </c>
      <c r="X2537" t="s">
        <v>10858</v>
      </c>
      <c r="Y2537" t="s">
        <v>91</v>
      </c>
      <c r="Z2537" t="s">
        <v>74</v>
      </c>
      <c r="AA2537" t="str">
        <f>"10032-1537"</f>
        <v>10032-1537</v>
      </c>
      <c r="AB2537" t="s">
        <v>75</v>
      </c>
      <c r="AC2537" t="s">
        <v>76</v>
      </c>
      <c r="AD2537" t="s">
        <v>73</v>
      </c>
      <c r="AE2537" t="s">
        <v>77</v>
      </c>
      <c r="AF2537" t="s">
        <v>2234</v>
      </c>
      <c r="AG2537" t="s">
        <v>78</v>
      </c>
    </row>
    <row r="2538" spans="1:33" hidden="1" x14ac:dyDescent="0.25">
      <c r="A2538" t="str">
        <f>"1326115999"</f>
        <v>1326115999</v>
      </c>
      <c r="B2538" t="str">
        <f>"01971035"</f>
        <v>01971035</v>
      </c>
      <c r="C2538" t="s">
        <v>10859</v>
      </c>
      <c r="D2538" t="s">
        <v>10860</v>
      </c>
      <c r="E2538" t="s">
        <v>10861</v>
      </c>
      <c r="G2538" t="s">
        <v>2224</v>
      </c>
      <c r="H2538" t="s">
        <v>2225</v>
      </c>
      <c r="J2538" t="s">
        <v>2226</v>
      </c>
      <c r="L2538" t="s">
        <v>72</v>
      </c>
      <c r="M2538" t="s">
        <v>73</v>
      </c>
      <c r="R2538" t="s">
        <v>10862</v>
      </c>
      <c r="W2538" t="s">
        <v>10861</v>
      </c>
      <c r="X2538" t="s">
        <v>10863</v>
      </c>
      <c r="Y2538" t="s">
        <v>91</v>
      </c>
      <c r="Z2538" t="s">
        <v>74</v>
      </c>
      <c r="AA2538" t="str">
        <f>"10025-1716"</f>
        <v>10025-1716</v>
      </c>
      <c r="AB2538" t="s">
        <v>75</v>
      </c>
      <c r="AC2538" t="s">
        <v>76</v>
      </c>
      <c r="AD2538" t="s">
        <v>73</v>
      </c>
      <c r="AE2538" t="s">
        <v>77</v>
      </c>
      <c r="AF2538" t="s">
        <v>2228</v>
      </c>
      <c r="AG2538" t="s">
        <v>78</v>
      </c>
    </row>
    <row r="2539" spans="1:33" hidden="1" x14ac:dyDescent="0.25">
      <c r="A2539" t="str">
        <f>"1962692178"</f>
        <v>1962692178</v>
      </c>
      <c r="B2539" t="str">
        <f>"03479090"</f>
        <v>03479090</v>
      </c>
      <c r="C2539" t="s">
        <v>10864</v>
      </c>
      <c r="D2539" t="s">
        <v>2050</v>
      </c>
      <c r="E2539" t="s">
        <v>2051</v>
      </c>
      <c r="G2539" t="s">
        <v>2224</v>
      </c>
      <c r="H2539" t="s">
        <v>2225</v>
      </c>
      <c r="J2539" t="s">
        <v>2226</v>
      </c>
      <c r="L2539" t="s">
        <v>80</v>
      </c>
      <c r="M2539" t="s">
        <v>73</v>
      </c>
      <c r="R2539" t="s">
        <v>2052</v>
      </c>
      <c r="W2539" t="s">
        <v>2051</v>
      </c>
      <c r="X2539" t="s">
        <v>170</v>
      </c>
      <c r="Y2539" t="s">
        <v>91</v>
      </c>
      <c r="Z2539" t="s">
        <v>74</v>
      </c>
      <c r="AA2539" t="str">
        <f>"10065-4885"</f>
        <v>10065-4885</v>
      </c>
      <c r="AB2539" t="s">
        <v>75</v>
      </c>
      <c r="AC2539" t="s">
        <v>76</v>
      </c>
      <c r="AD2539" t="s">
        <v>73</v>
      </c>
      <c r="AE2539" t="s">
        <v>77</v>
      </c>
      <c r="AF2539" t="s">
        <v>2242</v>
      </c>
      <c r="AG2539" t="s">
        <v>78</v>
      </c>
    </row>
    <row r="2540" spans="1:33" hidden="1" x14ac:dyDescent="0.25">
      <c r="A2540" t="str">
        <f>"1922064435"</f>
        <v>1922064435</v>
      </c>
      <c r="B2540" t="str">
        <f>"01726521"</f>
        <v>01726521</v>
      </c>
      <c r="C2540" t="s">
        <v>10865</v>
      </c>
      <c r="D2540" t="s">
        <v>10866</v>
      </c>
      <c r="E2540" t="s">
        <v>10867</v>
      </c>
      <c r="G2540" t="s">
        <v>2224</v>
      </c>
      <c r="H2540" t="s">
        <v>2225</v>
      </c>
      <c r="J2540" t="s">
        <v>2226</v>
      </c>
      <c r="L2540" t="s">
        <v>80</v>
      </c>
      <c r="M2540" t="s">
        <v>73</v>
      </c>
      <c r="R2540" t="s">
        <v>10868</v>
      </c>
      <c r="W2540" t="s">
        <v>10867</v>
      </c>
      <c r="X2540" t="s">
        <v>2959</v>
      </c>
      <c r="Y2540" t="s">
        <v>137</v>
      </c>
      <c r="Z2540" t="s">
        <v>74</v>
      </c>
      <c r="AA2540" t="str">
        <f>"12601-5465"</f>
        <v>12601-5465</v>
      </c>
      <c r="AB2540" t="s">
        <v>75</v>
      </c>
      <c r="AC2540" t="s">
        <v>76</v>
      </c>
      <c r="AD2540" t="s">
        <v>73</v>
      </c>
      <c r="AE2540" t="s">
        <v>77</v>
      </c>
      <c r="AF2540" t="s">
        <v>2228</v>
      </c>
      <c r="AG2540" t="s">
        <v>78</v>
      </c>
    </row>
    <row r="2541" spans="1:33" hidden="1" x14ac:dyDescent="0.25">
      <c r="A2541" t="str">
        <f>"1922171602"</f>
        <v>1922171602</v>
      </c>
      <c r="B2541" t="str">
        <f>"00930369"</f>
        <v>00930369</v>
      </c>
      <c r="C2541" t="s">
        <v>10869</v>
      </c>
      <c r="D2541" t="s">
        <v>10870</v>
      </c>
      <c r="E2541" t="s">
        <v>10871</v>
      </c>
      <c r="G2541" t="s">
        <v>2224</v>
      </c>
      <c r="H2541" t="s">
        <v>2225</v>
      </c>
      <c r="J2541" t="s">
        <v>2226</v>
      </c>
      <c r="L2541" t="s">
        <v>80</v>
      </c>
      <c r="M2541" t="s">
        <v>73</v>
      </c>
      <c r="R2541" t="s">
        <v>10872</v>
      </c>
      <c r="W2541" t="s">
        <v>10871</v>
      </c>
      <c r="X2541" t="s">
        <v>167</v>
      </c>
      <c r="Y2541" t="s">
        <v>91</v>
      </c>
      <c r="Z2541" t="s">
        <v>74</v>
      </c>
      <c r="AA2541" t="str">
        <f>"10032-3720"</f>
        <v>10032-3720</v>
      </c>
      <c r="AB2541" t="s">
        <v>75</v>
      </c>
      <c r="AC2541" t="s">
        <v>76</v>
      </c>
      <c r="AD2541" t="s">
        <v>73</v>
      </c>
      <c r="AE2541" t="s">
        <v>77</v>
      </c>
      <c r="AF2541" t="s">
        <v>2398</v>
      </c>
      <c r="AG2541" t="s">
        <v>78</v>
      </c>
    </row>
    <row r="2542" spans="1:33" hidden="1" x14ac:dyDescent="0.25">
      <c r="A2542" t="str">
        <f>"1972759744"</f>
        <v>1972759744</v>
      </c>
      <c r="B2542" t="str">
        <f>"03174792"</f>
        <v>03174792</v>
      </c>
      <c r="C2542" t="s">
        <v>10873</v>
      </c>
      <c r="D2542" t="s">
        <v>10874</v>
      </c>
      <c r="E2542" t="s">
        <v>10875</v>
      </c>
      <c r="G2542" t="s">
        <v>2224</v>
      </c>
      <c r="H2542" t="s">
        <v>2225</v>
      </c>
      <c r="J2542" t="s">
        <v>2226</v>
      </c>
      <c r="L2542" t="s">
        <v>72</v>
      </c>
      <c r="M2542" t="s">
        <v>73</v>
      </c>
      <c r="R2542" t="s">
        <v>10876</v>
      </c>
      <c r="W2542" t="s">
        <v>10875</v>
      </c>
      <c r="X2542" t="s">
        <v>5266</v>
      </c>
      <c r="Y2542" t="s">
        <v>91</v>
      </c>
      <c r="Z2542" t="s">
        <v>74</v>
      </c>
      <c r="AA2542" t="str">
        <f>"10040-2101"</f>
        <v>10040-2101</v>
      </c>
      <c r="AB2542" t="s">
        <v>106</v>
      </c>
      <c r="AC2542" t="s">
        <v>76</v>
      </c>
      <c r="AD2542" t="s">
        <v>73</v>
      </c>
      <c r="AE2542" t="s">
        <v>77</v>
      </c>
      <c r="AF2542" t="s">
        <v>2234</v>
      </c>
      <c r="AG2542" t="s">
        <v>78</v>
      </c>
    </row>
    <row r="2543" spans="1:33" hidden="1" x14ac:dyDescent="0.25">
      <c r="A2543" t="str">
        <f>"1972764819"</f>
        <v>1972764819</v>
      </c>
      <c r="B2543" t="str">
        <f>"03918201"</f>
        <v>03918201</v>
      </c>
      <c r="C2543" t="s">
        <v>10877</v>
      </c>
      <c r="D2543" t="s">
        <v>10878</v>
      </c>
      <c r="E2543" t="s">
        <v>10879</v>
      </c>
      <c r="G2543" t="s">
        <v>2224</v>
      </c>
      <c r="H2543" t="s">
        <v>2225</v>
      </c>
      <c r="J2543" t="s">
        <v>2226</v>
      </c>
      <c r="L2543" t="s">
        <v>72</v>
      </c>
      <c r="M2543" t="s">
        <v>73</v>
      </c>
      <c r="R2543" t="s">
        <v>10880</v>
      </c>
      <c r="W2543" t="s">
        <v>10881</v>
      </c>
      <c r="X2543" t="s">
        <v>1958</v>
      </c>
      <c r="Y2543" t="s">
        <v>91</v>
      </c>
      <c r="Z2543" t="s">
        <v>74</v>
      </c>
      <c r="AA2543" t="str">
        <f>"10032-3722"</f>
        <v>10032-3722</v>
      </c>
      <c r="AB2543" t="s">
        <v>75</v>
      </c>
      <c r="AC2543" t="s">
        <v>76</v>
      </c>
      <c r="AD2543" t="s">
        <v>73</v>
      </c>
      <c r="AE2543" t="s">
        <v>77</v>
      </c>
      <c r="AF2543" t="s">
        <v>2228</v>
      </c>
      <c r="AG2543" t="s">
        <v>78</v>
      </c>
    </row>
    <row r="2544" spans="1:33" hidden="1" x14ac:dyDescent="0.25">
      <c r="A2544" t="str">
        <f>"1336106418"</f>
        <v>1336106418</v>
      </c>
      <c r="B2544" t="str">
        <f>"01115035"</f>
        <v>01115035</v>
      </c>
      <c r="C2544" t="s">
        <v>10882</v>
      </c>
      <c r="D2544" t="s">
        <v>10883</v>
      </c>
      <c r="E2544" t="s">
        <v>10884</v>
      </c>
      <c r="G2544" t="s">
        <v>2224</v>
      </c>
      <c r="H2544" t="s">
        <v>2225</v>
      </c>
      <c r="J2544" t="s">
        <v>2226</v>
      </c>
      <c r="L2544" t="s">
        <v>80</v>
      </c>
      <c r="M2544" t="s">
        <v>73</v>
      </c>
      <c r="R2544" t="s">
        <v>10885</v>
      </c>
      <c r="W2544" t="s">
        <v>10884</v>
      </c>
      <c r="X2544" t="s">
        <v>1397</v>
      </c>
      <c r="Y2544" t="s">
        <v>91</v>
      </c>
      <c r="Z2544" t="s">
        <v>74</v>
      </c>
      <c r="AA2544" t="str">
        <f>"10032-3724"</f>
        <v>10032-3724</v>
      </c>
      <c r="AB2544" t="s">
        <v>75</v>
      </c>
      <c r="AC2544" t="s">
        <v>76</v>
      </c>
      <c r="AD2544" t="s">
        <v>73</v>
      </c>
      <c r="AE2544" t="s">
        <v>77</v>
      </c>
      <c r="AF2544" t="s">
        <v>2228</v>
      </c>
      <c r="AG2544" t="s">
        <v>78</v>
      </c>
    </row>
    <row r="2545" spans="1:33" hidden="1" x14ac:dyDescent="0.25">
      <c r="A2545" t="str">
        <f>"1609080993"</f>
        <v>1609080993</v>
      </c>
      <c r="B2545" t="str">
        <f>"02706307"</f>
        <v>02706307</v>
      </c>
      <c r="C2545" t="s">
        <v>10886</v>
      </c>
      <c r="D2545" t="s">
        <v>10887</v>
      </c>
      <c r="E2545" t="s">
        <v>10888</v>
      </c>
      <c r="G2545" t="s">
        <v>2224</v>
      </c>
      <c r="H2545" t="s">
        <v>2225</v>
      </c>
      <c r="J2545" t="s">
        <v>2226</v>
      </c>
      <c r="L2545" t="s">
        <v>72</v>
      </c>
      <c r="M2545" t="s">
        <v>73</v>
      </c>
      <c r="R2545" t="s">
        <v>10889</v>
      </c>
      <c r="W2545" t="s">
        <v>10890</v>
      </c>
      <c r="X2545" t="s">
        <v>1784</v>
      </c>
      <c r="Y2545" t="s">
        <v>91</v>
      </c>
      <c r="Z2545" t="s">
        <v>74</v>
      </c>
      <c r="AA2545" t="str">
        <f>"10032-3724"</f>
        <v>10032-3724</v>
      </c>
      <c r="AB2545" t="s">
        <v>113</v>
      </c>
      <c r="AC2545" t="s">
        <v>76</v>
      </c>
      <c r="AD2545" t="s">
        <v>73</v>
      </c>
      <c r="AE2545" t="s">
        <v>77</v>
      </c>
      <c r="AF2545" t="s">
        <v>2254</v>
      </c>
      <c r="AG2545" t="s">
        <v>78</v>
      </c>
    </row>
    <row r="2546" spans="1:33" hidden="1" x14ac:dyDescent="0.25">
      <c r="A2546" t="str">
        <f>"1275682213"</f>
        <v>1275682213</v>
      </c>
      <c r="B2546" t="str">
        <f>"02840820"</f>
        <v>02840820</v>
      </c>
      <c r="C2546" t="s">
        <v>10891</v>
      </c>
      <c r="D2546" t="s">
        <v>10892</v>
      </c>
      <c r="E2546" t="s">
        <v>10893</v>
      </c>
      <c r="G2546" t="s">
        <v>2224</v>
      </c>
      <c r="H2546" t="s">
        <v>2225</v>
      </c>
      <c r="J2546" t="s">
        <v>2226</v>
      </c>
      <c r="L2546" t="s">
        <v>80</v>
      </c>
      <c r="M2546" t="s">
        <v>73</v>
      </c>
      <c r="R2546" t="s">
        <v>10894</v>
      </c>
      <c r="W2546" t="s">
        <v>10893</v>
      </c>
      <c r="X2546" t="s">
        <v>290</v>
      </c>
      <c r="Y2546" t="s">
        <v>91</v>
      </c>
      <c r="Z2546" t="s">
        <v>74</v>
      </c>
      <c r="AA2546" t="str">
        <f>"10037-1802"</f>
        <v>10037-1802</v>
      </c>
      <c r="AB2546" t="s">
        <v>75</v>
      </c>
      <c r="AC2546" t="s">
        <v>76</v>
      </c>
      <c r="AD2546" t="s">
        <v>73</v>
      </c>
      <c r="AE2546" t="s">
        <v>77</v>
      </c>
      <c r="AF2546" t="s">
        <v>2228</v>
      </c>
      <c r="AG2546" t="s">
        <v>78</v>
      </c>
    </row>
    <row r="2547" spans="1:33" hidden="1" x14ac:dyDescent="0.25">
      <c r="A2547" t="str">
        <f>"1275686594"</f>
        <v>1275686594</v>
      </c>
      <c r="B2547" t="str">
        <f>"02706449"</f>
        <v>02706449</v>
      </c>
      <c r="C2547" t="s">
        <v>10895</v>
      </c>
      <c r="D2547" t="s">
        <v>10896</v>
      </c>
      <c r="E2547" t="s">
        <v>10897</v>
      </c>
      <c r="G2547" t="s">
        <v>2224</v>
      </c>
      <c r="H2547" t="s">
        <v>2225</v>
      </c>
      <c r="J2547" t="s">
        <v>2226</v>
      </c>
      <c r="L2547" t="s">
        <v>72</v>
      </c>
      <c r="M2547" t="s">
        <v>73</v>
      </c>
      <c r="R2547" t="s">
        <v>10898</v>
      </c>
      <c r="W2547" t="s">
        <v>10897</v>
      </c>
      <c r="X2547" t="s">
        <v>5788</v>
      </c>
      <c r="Y2547" t="s">
        <v>91</v>
      </c>
      <c r="Z2547" t="s">
        <v>74</v>
      </c>
      <c r="AA2547" t="str">
        <f>"10032-1559"</f>
        <v>10032-1559</v>
      </c>
      <c r="AB2547" t="s">
        <v>113</v>
      </c>
      <c r="AC2547" t="s">
        <v>76</v>
      </c>
      <c r="AD2547" t="s">
        <v>73</v>
      </c>
      <c r="AE2547" t="s">
        <v>77</v>
      </c>
      <c r="AF2547" t="s">
        <v>2228</v>
      </c>
      <c r="AG2547" t="s">
        <v>78</v>
      </c>
    </row>
    <row r="2548" spans="1:33" hidden="1" x14ac:dyDescent="0.25">
      <c r="A2548" t="str">
        <f>"1477704419"</f>
        <v>1477704419</v>
      </c>
      <c r="B2548" t="str">
        <f>"03557040"</f>
        <v>03557040</v>
      </c>
      <c r="C2548" t="s">
        <v>10899</v>
      </c>
      <c r="D2548" t="s">
        <v>10900</v>
      </c>
      <c r="E2548" t="s">
        <v>10901</v>
      </c>
      <c r="L2548" t="s">
        <v>80</v>
      </c>
      <c r="M2548" t="s">
        <v>73</v>
      </c>
      <c r="R2548" t="s">
        <v>10902</v>
      </c>
      <c r="W2548" t="s">
        <v>10903</v>
      </c>
      <c r="X2548" t="s">
        <v>2693</v>
      </c>
      <c r="Y2548" t="s">
        <v>91</v>
      </c>
      <c r="Z2548" t="s">
        <v>74</v>
      </c>
      <c r="AA2548" t="str">
        <f>"10065-4870"</f>
        <v>10065-4870</v>
      </c>
      <c r="AB2548" t="s">
        <v>75</v>
      </c>
      <c r="AC2548" t="s">
        <v>76</v>
      </c>
      <c r="AD2548" t="s">
        <v>73</v>
      </c>
      <c r="AE2548" t="s">
        <v>77</v>
      </c>
      <c r="AF2548" t="s">
        <v>2242</v>
      </c>
      <c r="AG2548" t="s">
        <v>78</v>
      </c>
    </row>
    <row r="2549" spans="1:33" hidden="1" x14ac:dyDescent="0.25">
      <c r="A2549" t="str">
        <f>"1578738852"</f>
        <v>1578738852</v>
      </c>
      <c r="B2549" t="str">
        <f>"03589420"</f>
        <v>03589420</v>
      </c>
      <c r="C2549" t="s">
        <v>10904</v>
      </c>
      <c r="D2549" t="s">
        <v>10905</v>
      </c>
      <c r="E2549" t="s">
        <v>10906</v>
      </c>
      <c r="L2549" t="s">
        <v>80</v>
      </c>
      <c r="M2549" t="s">
        <v>73</v>
      </c>
      <c r="R2549" t="s">
        <v>10906</v>
      </c>
      <c r="W2549" t="s">
        <v>10906</v>
      </c>
      <c r="X2549" t="s">
        <v>4461</v>
      </c>
      <c r="Y2549" t="s">
        <v>91</v>
      </c>
      <c r="Z2549" t="s">
        <v>74</v>
      </c>
      <c r="AA2549" t="str">
        <f>"10022-5252"</f>
        <v>10022-5252</v>
      </c>
      <c r="AB2549" t="s">
        <v>75</v>
      </c>
      <c r="AC2549" t="s">
        <v>76</v>
      </c>
      <c r="AD2549" t="s">
        <v>73</v>
      </c>
      <c r="AE2549" t="s">
        <v>77</v>
      </c>
      <c r="AF2549" t="s">
        <v>2242</v>
      </c>
      <c r="AG2549" t="s">
        <v>78</v>
      </c>
    </row>
    <row r="2550" spans="1:33" hidden="1" x14ac:dyDescent="0.25">
      <c r="A2550" t="str">
        <f>"1518224450"</f>
        <v>1518224450</v>
      </c>
      <c r="C2550" t="s">
        <v>10907</v>
      </c>
      <c r="G2550" t="s">
        <v>2224</v>
      </c>
      <c r="H2550" t="s">
        <v>2312</v>
      </c>
      <c r="J2550" t="s">
        <v>2226</v>
      </c>
      <c r="K2550" t="s">
        <v>171</v>
      </c>
      <c r="L2550" t="s">
        <v>96</v>
      </c>
      <c r="M2550" t="s">
        <v>73</v>
      </c>
      <c r="R2550" t="s">
        <v>1773</v>
      </c>
      <c r="S2550" t="s">
        <v>156</v>
      </c>
      <c r="T2550" t="s">
        <v>91</v>
      </c>
      <c r="U2550" t="s">
        <v>74</v>
      </c>
      <c r="V2550" t="str">
        <f>"100251716"</f>
        <v>100251716</v>
      </c>
      <c r="AC2550" t="s">
        <v>76</v>
      </c>
      <c r="AD2550" t="s">
        <v>73</v>
      </c>
      <c r="AE2550" t="s">
        <v>97</v>
      </c>
      <c r="AF2550" t="s">
        <v>2234</v>
      </c>
      <c r="AG2550" t="s">
        <v>78</v>
      </c>
    </row>
    <row r="2551" spans="1:33" hidden="1" x14ac:dyDescent="0.25">
      <c r="A2551" t="str">
        <f>"1275823858"</f>
        <v>1275823858</v>
      </c>
      <c r="C2551" t="s">
        <v>10908</v>
      </c>
      <c r="G2551" t="s">
        <v>2224</v>
      </c>
      <c r="H2551" t="s">
        <v>2312</v>
      </c>
      <c r="J2551" t="s">
        <v>2226</v>
      </c>
      <c r="K2551" t="s">
        <v>171</v>
      </c>
      <c r="L2551" t="s">
        <v>96</v>
      </c>
      <c r="M2551" t="s">
        <v>73</v>
      </c>
      <c r="R2551" t="s">
        <v>10909</v>
      </c>
      <c r="S2551" t="s">
        <v>167</v>
      </c>
      <c r="T2551" t="s">
        <v>91</v>
      </c>
      <c r="U2551" t="s">
        <v>74</v>
      </c>
      <c r="V2551" t="str">
        <f>"100323720"</f>
        <v>100323720</v>
      </c>
      <c r="AC2551" t="s">
        <v>76</v>
      </c>
      <c r="AD2551" t="s">
        <v>73</v>
      </c>
      <c r="AE2551" t="s">
        <v>97</v>
      </c>
      <c r="AF2551" t="s">
        <v>2234</v>
      </c>
      <c r="AG2551" t="s">
        <v>78</v>
      </c>
    </row>
    <row r="2552" spans="1:33" hidden="1" x14ac:dyDescent="0.25">
      <c r="A2552" t="str">
        <f>"1578829065"</f>
        <v>1578829065</v>
      </c>
      <c r="B2552" t="str">
        <f>"04617103"</f>
        <v>04617103</v>
      </c>
      <c r="C2552" t="s">
        <v>10910</v>
      </c>
      <c r="D2552" t="s">
        <v>10911</v>
      </c>
      <c r="E2552" t="s">
        <v>10912</v>
      </c>
      <c r="G2552" t="s">
        <v>2224</v>
      </c>
      <c r="H2552" t="s">
        <v>2312</v>
      </c>
      <c r="J2552" t="s">
        <v>2226</v>
      </c>
      <c r="L2552" t="s">
        <v>96</v>
      </c>
      <c r="M2552" t="s">
        <v>73</v>
      </c>
      <c r="R2552" t="s">
        <v>10913</v>
      </c>
      <c r="W2552" t="s">
        <v>10912</v>
      </c>
      <c r="AB2552" t="s">
        <v>75</v>
      </c>
      <c r="AC2552" t="s">
        <v>76</v>
      </c>
      <c r="AD2552" t="s">
        <v>73</v>
      </c>
      <c r="AE2552" t="s">
        <v>77</v>
      </c>
      <c r="AF2552" t="s">
        <v>2228</v>
      </c>
      <c r="AG2552" t="s">
        <v>78</v>
      </c>
    </row>
    <row r="2553" spans="1:33" hidden="1" x14ac:dyDescent="0.25">
      <c r="A2553" t="str">
        <f>"1588920516"</f>
        <v>1588920516</v>
      </c>
      <c r="C2553" t="s">
        <v>10914</v>
      </c>
      <c r="G2553" t="s">
        <v>2224</v>
      </c>
      <c r="H2553" t="s">
        <v>2312</v>
      </c>
      <c r="J2553" t="s">
        <v>2226</v>
      </c>
      <c r="K2553" t="s">
        <v>171</v>
      </c>
      <c r="L2553" t="s">
        <v>96</v>
      </c>
      <c r="M2553" t="s">
        <v>73</v>
      </c>
      <c r="R2553" t="s">
        <v>10915</v>
      </c>
      <c r="S2553" t="s">
        <v>10916</v>
      </c>
      <c r="T2553" t="s">
        <v>1173</v>
      </c>
      <c r="U2553" t="s">
        <v>139</v>
      </c>
      <c r="V2553" t="str">
        <f>"085274486"</f>
        <v>085274486</v>
      </c>
      <c r="AC2553" t="s">
        <v>76</v>
      </c>
      <c r="AD2553" t="s">
        <v>73</v>
      </c>
      <c r="AE2553" t="s">
        <v>97</v>
      </c>
      <c r="AF2553" t="s">
        <v>2228</v>
      </c>
      <c r="AG2553" t="s">
        <v>78</v>
      </c>
    </row>
    <row r="2554" spans="1:33" hidden="1" x14ac:dyDescent="0.25">
      <c r="A2554" t="str">
        <f>"1174937304"</f>
        <v>1174937304</v>
      </c>
      <c r="C2554" t="s">
        <v>10917</v>
      </c>
      <c r="G2554" t="s">
        <v>2224</v>
      </c>
      <c r="H2554" t="s">
        <v>2312</v>
      </c>
      <c r="J2554" t="s">
        <v>2226</v>
      </c>
      <c r="K2554" t="s">
        <v>171</v>
      </c>
      <c r="L2554" t="s">
        <v>96</v>
      </c>
      <c r="M2554" t="s">
        <v>73</v>
      </c>
      <c r="R2554" t="s">
        <v>10918</v>
      </c>
      <c r="S2554" t="s">
        <v>10919</v>
      </c>
      <c r="T2554" t="s">
        <v>91</v>
      </c>
      <c r="U2554" t="s">
        <v>74</v>
      </c>
      <c r="V2554" t="str">
        <f>"100214800"</f>
        <v>100214800</v>
      </c>
      <c r="AC2554" t="s">
        <v>76</v>
      </c>
      <c r="AD2554" t="s">
        <v>73</v>
      </c>
      <c r="AE2554" t="s">
        <v>97</v>
      </c>
      <c r="AF2554" t="s">
        <v>2242</v>
      </c>
      <c r="AG2554" t="s">
        <v>78</v>
      </c>
    </row>
    <row r="2555" spans="1:33" hidden="1" x14ac:dyDescent="0.25">
      <c r="A2555" t="str">
        <f>"1376576892"</f>
        <v>1376576892</v>
      </c>
      <c r="C2555" t="s">
        <v>3674</v>
      </c>
      <c r="K2555" t="s">
        <v>36</v>
      </c>
      <c r="L2555" t="s">
        <v>96</v>
      </c>
      <c r="M2555" t="s">
        <v>73</v>
      </c>
      <c r="R2555" t="s">
        <v>3674</v>
      </c>
      <c r="S2555" t="s">
        <v>10920</v>
      </c>
      <c r="T2555" t="s">
        <v>91</v>
      </c>
      <c r="U2555" t="s">
        <v>74</v>
      </c>
      <c r="V2555" t="str">
        <f>"100323724"</f>
        <v>100323724</v>
      </c>
      <c r="AC2555" t="s">
        <v>76</v>
      </c>
      <c r="AD2555" t="s">
        <v>73</v>
      </c>
      <c r="AE2555" t="s">
        <v>97</v>
      </c>
      <c r="AG2555" t="s">
        <v>78</v>
      </c>
    </row>
    <row r="2556" spans="1:33" hidden="1" x14ac:dyDescent="0.25">
      <c r="A2556" t="str">
        <f>"1457554792"</f>
        <v>1457554792</v>
      </c>
      <c r="B2556" t="str">
        <f>"03203849"</f>
        <v>03203849</v>
      </c>
      <c r="C2556" t="s">
        <v>3674</v>
      </c>
      <c r="D2556" t="s">
        <v>10921</v>
      </c>
      <c r="E2556" t="s">
        <v>3280</v>
      </c>
      <c r="L2556" t="s">
        <v>36</v>
      </c>
      <c r="M2556" t="s">
        <v>73</v>
      </c>
      <c r="R2556" t="s">
        <v>3674</v>
      </c>
      <c r="W2556" t="s">
        <v>3280</v>
      </c>
      <c r="X2556" t="s">
        <v>167</v>
      </c>
      <c r="Y2556" t="s">
        <v>91</v>
      </c>
      <c r="Z2556" t="s">
        <v>74</v>
      </c>
      <c r="AA2556" t="str">
        <f>"10032-3720"</f>
        <v>10032-3720</v>
      </c>
      <c r="AB2556" t="s">
        <v>114</v>
      </c>
      <c r="AC2556" t="s">
        <v>76</v>
      </c>
      <c r="AD2556" t="s">
        <v>73</v>
      </c>
      <c r="AE2556" t="s">
        <v>77</v>
      </c>
      <c r="AG2556" t="s">
        <v>78</v>
      </c>
    </row>
    <row r="2557" spans="1:33" hidden="1" x14ac:dyDescent="0.25">
      <c r="A2557" t="str">
        <f>"1679747182"</f>
        <v>1679747182</v>
      </c>
      <c r="B2557" t="str">
        <f>"03508812"</f>
        <v>03508812</v>
      </c>
      <c r="C2557" t="s">
        <v>10922</v>
      </c>
      <c r="D2557" t="s">
        <v>10923</v>
      </c>
      <c r="E2557" t="s">
        <v>10924</v>
      </c>
      <c r="G2557" t="s">
        <v>2224</v>
      </c>
      <c r="H2557" t="s">
        <v>6997</v>
      </c>
      <c r="J2557" t="s">
        <v>2226</v>
      </c>
      <c r="L2557" t="s">
        <v>80</v>
      </c>
      <c r="M2557" t="s">
        <v>73</v>
      </c>
      <c r="R2557" t="s">
        <v>10925</v>
      </c>
      <c r="W2557" t="s">
        <v>10924</v>
      </c>
      <c r="X2557" t="s">
        <v>1582</v>
      </c>
      <c r="Y2557" t="s">
        <v>91</v>
      </c>
      <c r="Z2557" t="s">
        <v>74</v>
      </c>
      <c r="AA2557" t="str">
        <f>"10022-1096"</f>
        <v>10022-1096</v>
      </c>
      <c r="AB2557" t="s">
        <v>75</v>
      </c>
      <c r="AC2557" t="s">
        <v>76</v>
      </c>
      <c r="AD2557" t="s">
        <v>73</v>
      </c>
      <c r="AE2557" t="s">
        <v>77</v>
      </c>
      <c r="AF2557" t="s">
        <v>2228</v>
      </c>
      <c r="AG2557" t="s">
        <v>78</v>
      </c>
    </row>
    <row r="2558" spans="1:33" hidden="1" x14ac:dyDescent="0.25">
      <c r="A2558" t="str">
        <f>"1215202841"</f>
        <v>1215202841</v>
      </c>
      <c r="B2558" t="str">
        <f>"03437767"</f>
        <v>03437767</v>
      </c>
      <c r="C2558" t="s">
        <v>10926</v>
      </c>
      <c r="D2558" t="s">
        <v>10927</v>
      </c>
      <c r="E2558" t="s">
        <v>10928</v>
      </c>
      <c r="G2558" t="s">
        <v>2224</v>
      </c>
      <c r="H2558" t="s">
        <v>2225</v>
      </c>
      <c r="J2558" t="s">
        <v>2226</v>
      </c>
      <c r="L2558" t="s">
        <v>80</v>
      </c>
      <c r="M2558" t="s">
        <v>73</v>
      </c>
      <c r="R2558" t="s">
        <v>10929</v>
      </c>
      <c r="W2558" t="s">
        <v>10928</v>
      </c>
      <c r="X2558" t="s">
        <v>628</v>
      </c>
      <c r="Y2558" t="s">
        <v>91</v>
      </c>
      <c r="Z2558" t="s">
        <v>74</v>
      </c>
      <c r="AA2558" t="str">
        <f>"10021-4872"</f>
        <v>10021-4872</v>
      </c>
      <c r="AB2558" t="s">
        <v>75</v>
      </c>
      <c r="AC2558" t="s">
        <v>76</v>
      </c>
      <c r="AD2558" t="s">
        <v>73</v>
      </c>
      <c r="AE2558" t="s">
        <v>77</v>
      </c>
      <c r="AF2558" t="s">
        <v>2242</v>
      </c>
      <c r="AG2558" t="s">
        <v>78</v>
      </c>
    </row>
    <row r="2559" spans="1:33" hidden="1" x14ac:dyDescent="0.25">
      <c r="A2559" t="str">
        <f>"1083811707"</f>
        <v>1083811707</v>
      </c>
      <c r="B2559" t="str">
        <f>"03174701"</f>
        <v>03174701</v>
      </c>
      <c r="C2559" t="s">
        <v>10930</v>
      </c>
      <c r="D2559" t="s">
        <v>1484</v>
      </c>
      <c r="E2559" t="s">
        <v>1485</v>
      </c>
      <c r="G2559" t="s">
        <v>2224</v>
      </c>
      <c r="H2559" t="s">
        <v>2225</v>
      </c>
      <c r="J2559" t="s">
        <v>2226</v>
      </c>
      <c r="L2559" t="s">
        <v>72</v>
      </c>
      <c r="M2559" t="s">
        <v>73</v>
      </c>
      <c r="R2559" t="s">
        <v>1486</v>
      </c>
      <c r="W2559" t="s">
        <v>1487</v>
      </c>
      <c r="X2559" t="s">
        <v>183</v>
      </c>
      <c r="Y2559" t="s">
        <v>91</v>
      </c>
      <c r="Z2559" t="s">
        <v>74</v>
      </c>
      <c r="AA2559" t="str">
        <f>"10032-3729"</f>
        <v>10032-3729</v>
      </c>
      <c r="AB2559" t="s">
        <v>75</v>
      </c>
      <c r="AC2559" t="s">
        <v>76</v>
      </c>
      <c r="AD2559" t="s">
        <v>73</v>
      </c>
      <c r="AE2559" t="s">
        <v>77</v>
      </c>
      <c r="AF2559" t="s">
        <v>2228</v>
      </c>
      <c r="AG2559" t="s">
        <v>78</v>
      </c>
    </row>
    <row r="2560" spans="1:33" hidden="1" x14ac:dyDescent="0.25">
      <c r="A2560" t="str">
        <f>"1538269790"</f>
        <v>1538269790</v>
      </c>
      <c r="B2560" t="str">
        <f>"01644279"</f>
        <v>01644279</v>
      </c>
      <c r="C2560" t="s">
        <v>10931</v>
      </c>
      <c r="D2560" t="s">
        <v>10932</v>
      </c>
      <c r="E2560" t="s">
        <v>10933</v>
      </c>
      <c r="G2560" t="s">
        <v>2224</v>
      </c>
      <c r="H2560" t="s">
        <v>2225</v>
      </c>
      <c r="J2560" t="s">
        <v>2226</v>
      </c>
      <c r="L2560" t="s">
        <v>72</v>
      </c>
      <c r="M2560" t="s">
        <v>73</v>
      </c>
      <c r="R2560" t="s">
        <v>10934</v>
      </c>
      <c r="W2560" t="s">
        <v>10935</v>
      </c>
      <c r="X2560" t="s">
        <v>4824</v>
      </c>
      <c r="Y2560" t="s">
        <v>91</v>
      </c>
      <c r="Z2560" t="s">
        <v>74</v>
      </c>
      <c r="AA2560" t="str">
        <f>"10032-3725"</f>
        <v>10032-3725</v>
      </c>
      <c r="AB2560" t="s">
        <v>75</v>
      </c>
      <c r="AC2560" t="s">
        <v>76</v>
      </c>
      <c r="AD2560" t="s">
        <v>73</v>
      </c>
      <c r="AE2560" t="s">
        <v>77</v>
      </c>
      <c r="AF2560" t="s">
        <v>2228</v>
      </c>
      <c r="AG2560" t="s">
        <v>78</v>
      </c>
    </row>
    <row r="2561" spans="1:33" hidden="1" x14ac:dyDescent="0.25">
      <c r="A2561" t="str">
        <f>"1841522919"</f>
        <v>1841522919</v>
      </c>
      <c r="B2561" t="str">
        <f>"03708954"</f>
        <v>03708954</v>
      </c>
      <c r="C2561" t="s">
        <v>10936</v>
      </c>
      <c r="D2561" t="s">
        <v>10937</v>
      </c>
      <c r="E2561" t="s">
        <v>10938</v>
      </c>
      <c r="G2561" t="s">
        <v>2224</v>
      </c>
      <c r="H2561" t="s">
        <v>2225</v>
      </c>
      <c r="J2561" t="s">
        <v>2226</v>
      </c>
      <c r="L2561" t="s">
        <v>72</v>
      </c>
      <c r="M2561" t="s">
        <v>73</v>
      </c>
      <c r="R2561" t="s">
        <v>10939</v>
      </c>
      <c r="W2561" t="s">
        <v>10938</v>
      </c>
      <c r="X2561" t="s">
        <v>1379</v>
      </c>
      <c r="Y2561" t="s">
        <v>91</v>
      </c>
      <c r="Z2561" t="s">
        <v>74</v>
      </c>
      <c r="AA2561" t="str">
        <f>"10032-3720"</f>
        <v>10032-3720</v>
      </c>
      <c r="AB2561" t="s">
        <v>75</v>
      </c>
      <c r="AC2561" t="s">
        <v>76</v>
      </c>
      <c r="AD2561" t="s">
        <v>73</v>
      </c>
      <c r="AE2561" t="s">
        <v>77</v>
      </c>
      <c r="AF2561" t="s">
        <v>2228</v>
      </c>
      <c r="AG2561" t="s">
        <v>78</v>
      </c>
    </row>
    <row r="2562" spans="1:33" hidden="1" x14ac:dyDescent="0.25">
      <c r="A2562" t="str">
        <f>"1447465125"</f>
        <v>1447465125</v>
      </c>
      <c r="B2562" t="str">
        <f>"02706605"</f>
        <v>02706605</v>
      </c>
      <c r="C2562" t="s">
        <v>10940</v>
      </c>
      <c r="D2562" t="s">
        <v>10941</v>
      </c>
      <c r="E2562" t="s">
        <v>10942</v>
      </c>
      <c r="G2562" t="s">
        <v>2224</v>
      </c>
      <c r="H2562" t="s">
        <v>2225</v>
      </c>
      <c r="J2562" t="s">
        <v>2226</v>
      </c>
      <c r="L2562" t="s">
        <v>72</v>
      </c>
      <c r="M2562" t="s">
        <v>73</v>
      </c>
      <c r="R2562" t="s">
        <v>10943</v>
      </c>
      <c r="W2562" t="s">
        <v>10942</v>
      </c>
      <c r="X2562" t="s">
        <v>1397</v>
      </c>
      <c r="Y2562" t="s">
        <v>91</v>
      </c>
      <c r="Z2562" t="s">
        <v>74</v>
      </c>
      <c r="AA2562" t="str">
        <f>"10032-3724"</f>
        <v>10032-3724</v>
      </c>
      <c r="AB2562" t="s">
        <v>75</v>
      </c>
      <c r="AC2562" t="s">
        <v>76</v>
      </c>
      <c r="AD2562" t="s">
        <v>73</v>
      </c>
      <c r="AE2562" t="s">
        <v>77</v>
      </c>
      <c r="AF2562" t="s">
        <v>2254</v>
      </c>
      <c r="AG2562" t="s">
        <v>78</v>
      </c>
    </row>
    <row r="2563" spans="1:33" hidden="1" x14ac:dyDescent="0.25">
      <c r="A2563" t="str">
        <f>"1538147608"</f>
        <v>1538147608</v>
      </c>
      <c r="B2563" t="str">
        <f>"02945260"</f>
        <v>02945260</v>
      </c>
      <c r="C2563" t="s">
        <v>10944</v>
      </c>
      <c r="D2563" t="s">
        <v>10945</v>
      </c>
      <c r="E2563" t="s">
        <v>10946</v>
      </c>
      <c r="L2563" t="s">
        <v>80</v>
      </c>
      <c r="M2563" t="s">
        <v>73</v>
      </c>
      <c r="R2563" t="s">
        <v>10947</v>
      </c>
      <c r="W2563" t="s">
        <v>10948</v>
      </c>
      <c r="X2563" t="s">
        <v>170</v>
      </c>
      <c r="Y2563" t="s">
        <v>91</v>
      </c>
      <c r="Z2563" t="s">
        <v>74</v>
      </c>
      <c r="AA2563" t="str">
        <f>"10065-4870"</f>
        <v>10065-4870</v>
      </c>
      <c r="AB2563" t="s">
        <v>75</v>
      </c>
      <c r="AC2563" t="s">
        <v>76</v>
      </c>
      <c r="AD2563" t="s">
        <v>73</v>
      </c>
      <c r="AE2563" t="s">
        <v>77</v>
      </c>
      <c r="AF2563" t="s">
        <v>2242</v>
      </c>
      <c r="AG2563" t="s">
        <v>78</v>
      </c>
    </row>
    <row r="2564" spans="1:33" hidden="1" x14ac:dyDescent="0.25">
      <c r="A2564" t="str">
        <f>"1437136710"</f>
        <v>1437136710</v>
      </c>
      <c r="B2564" t="str">
        <f>"01574363"</f>
        <v>01574363</v>
      </c>
      <c r="C2564" t="s">
        <v>10949</v>
      </c>
      <c r="D2564" t="s">
        <v>10950</v>
      </c>
      <c r="E2564" t="s">
        <v>1169</v>
      </c>
      <c r="L2564" t="s">
        <v>80</v>
      </c>
      <c r="M2564" t="s">
        <v>73</v>
      </c>
      <c r="R2564" t="s">
        <v>10951</v>
      </c>
      <c r="W2564" t="s">
        <v>10952</v>
      </c>
      <c r="X2564" t="s">
        <v>345</v>
      </c>
      <c r="Y2564" t="s">
        <v>155</v>
      </c>
      <c r="Z2564" t="s">
        <v>74</v>
      </c>
      <c r="AA2564" t="str">
        <f>"10703-3402"</f>
        <v>10703-3402</v>
      </c>
      <c r="AB2564" t="s">
        <v>75</v>
      </c>
      <c r="AC2564" t="s">
        <v>76</v>
      </c>
      <c r="AD2564" t="s">
        <v>73</v>
      </c>
      <c r="AE2564" t="s">
        <v>77</v>
      </c>
      <c r="AF2564" t="s">
        <v>2242</v>
      </c>
      <c r="AG2564" t="s">
        <v>78</v>
      </c>
    </row>
    <row r="2565" spans="1:33" hidden="1" x14ac:dyDescent="0.25">
      <c r="A2565" t="str">
        <f>"1477759611"</f>
        <v>1477759611</v>
      </c>
      <c r="B2565" t="str">
        <f>"03458871"</f>
        <v>03458871</v>
      </c>
      <c r="C2565" t="s">
        <v>10953</v>
      </c>
      <c r="D2565" t="s">
        <v>10954</v>
      </c>
      <c r="E2565" t="s">
        <v>10955</v>
      </c>
      <c r="G2565" t="s">
        <v>2224</v>
      </c>
      <c r="H2565" t="s">
        <v>2225</v>
      </c>
      <c r="J2565" t="s">
        <v>2226</v>
      </c>
      <c r="L2565" t="s">
        <v>80</v>
      </c>
      <c r="M2565" t="s">
        <v>73</v>
      </c>
      <c r="R2565" t="s">
        <v>10956</v>
      </c>
      <c r="W2565" t="s">
        <v>10955</v>
      </c>
      <c r="X2565" t="s">
        <v>10957</v>
      </c>
      <c r="Y2565" t="s">
        <v>91</v>
      </c>
      <c r="Z2565" t="s">
        <v>74</v>
      </c>
      <c r="AA2565" t="str">
        <f>"10034-1159"</f>
        <v>10034-1159</v>
      </c>
      <c r="AB2565" t="s">
        <v>75</v>
      </c>
      <c r="AC2565" t="s">
        <v>76</v>
      </c>
      <c r="AD2565" t="s">
        <v>73</v>
      </c>
      <c r="AE2565" t="s">
        <v>77</v>
      </c>
      <c r="AF2565" t="s">
        <v>2254</v>
      </c>
      <c r="AG2565" t="s">
        <v>78</v>
      </c>
    </row>
    <row r="2566" spans="1:33" hidden="1" x14ac:dyDescent="0.25">
      <c r="A2566" t="str">
        <f>"1598817454"</f>
        <v>1598817454</v>
      </c>
      <c r="B2566" t="str">
        <f>"01825070"</f>
        <v>01825070</v>
      </c>
      <c r="C2566" t="s">
        <v>10958</v>
      </c>
      <c r="D2566" t="s">
        <v>10959</v>
      </c>
      <c r="E2566" t="s">
        <v>10960</v>
      </c>
      <c r="L2566" t="s">
        <v>80</v>
      </c>
      <c r="M2566" t="s">
        <v>73</v>
      </c>
      <c r="R2566" t="s">
        <v>10961</v>
      </c>
      <c r="W2566" t="s">
        <v>10960</v>
      </c>
      <c r="X2566" t="s">
        <v>9020</v>
      </c>
      <c r="Y2566" t="s">
        <v>91</v>
      </c>
      <c r="Z2566" t="s">
        <v>74</v>
      </c>
      <c r="AA2566" t="str">
        <f>"10032-3720"</f>
        <v>10032-3720</v>
      </c>
      <c r="AB2566" t="s">
        <v>75</v>
      </c>
      <c r="AC2566" t="s">
        <v>76</v>
      </c>
      <c r="AD2566" t="s">
        <v>73</v>
      </c>
      <c r="AE2566" t="s">
        <v>77</v>
      </c>
      <c r="AF2566" t="s">
        <v>2228</v>
      </c>
      <c r="AG2566" t="s">
        <v>78</v>
      </c>
    </row>
    <row r="2567" spans="1:33" hidden="1" x14ac:dyDescent="0.25">
      <c r="A2567" t="str">
        <f>"1629105044"</f>
        <v>1629105044</v>
      </c>
      <c r="B2567" t="str">
        <f>"01809058"</f>
        <v>01809058</v>
      </c>
      <c r="C2567" t="s">
        <v>10962</v>
      </c>
      <c r="D2567" t="s">
        <v>10963</v>
      </c>
      <c r="E2567" t="s">
        <v>10964</v>
      </c>
      <c r="L2567" t="s">
        <v>80</v>
      </c>
      <c r="M2567" t="s">
        <v>73</v>
      </c>
      <c r="R2567" t="s">
        <v>10965</v>
      </c>
      <c r="W2567" t="s">
        <v>10964</v>
      </c>
      <c r="X2567" t="s">
        <v>142</v>
      </c>
      <c r="Y2567" t="s">
        <v>143</v>
      </c>
      <c r="Z2567" t="s">
        <v>74</v>
      </c>
      <c r="AA2567" t="str">
        <f>"11030-3816"</f>
        <v>11030-3816</v>
      </c>
      <c r="AB2567" t="s">
        <v>75</v>
      </c>
      <c r="AC2567" t="s">
        <v>76</v>
      </c>
      <c r="AD2567" t="s">
        <v>73</v>
      </c>
      <c r="AE2567" t="s">
        <v>77</v>
      </c>
      <c r="AF2567" t="s">
        <v>2242</v>
      </c>
      <c r="AG2567" t="s">
        <v>78</v>
      </c>
    </row>
    <row r="2568" spans="1:33" hidden="1" x14ac:dyDescent="0.25">
      <c r="A2568" t="str">
        <f>"1306973722"</f>
        <v>1306973722</v>
      </c>
      <c r="B2568" t="str">
        <f>"02863330"</f>
        <v>02863330</v>
      </c>
      <c r="C2568" t="s">
        <v>10966</v>
      </c>
      <c r="D2568" t="s">
        <v>10967</v>
      </c>
      <c r="E2568" t="s">
        <v>10968</v>
      </c>
      <c r="L2568" t="s">
        <v>80</v>
      </c>
      <c r="M2568" t="s">
        <v>73</v>
      </c>
      <c r="R2568" t="s">
        <v>10968</v>
      </c>
      <c r="W2568" t="s">
        <v>10968</v>
      </c>
      <c r="X2568" t="s">
        <v>3477</v>
      </c>
      <c r="Y2568" t="s">
        <v>91</v>
      </c>
      <c r="Z2568" t="s">
        <v>74</v>
      </c>
      <c r="AA2568" t="str">
        <f>"10032-3725"</f>
        <v>10032-3725</v>
      </c>
      <c r="AB2568" t="s">
        <v>75</v>
      </c>
      <c r="AC2568" t="s">
        <v>76</v>
      </c>
      <c r="AD2568" t="s">
        <v>73</v>
      </c>
      <c r="AE2568" t="s">
        <v>77</v>
      </c>
      <c r="AF2568" t="s">
        <v>2228</v>
      </c>
      <c r="AG2568" t="s">
        <v>78</v>
      </c>
    </row>
    <row r="2569" spans="1:33" hidden="1" x14ac:dyDescent="0.25">
      <c r="A2569" t="str">
        <f>"1609838986"</f>
        <v>1609838986</v>
      </c>
      <c r="B2569" t="str">
        <f>"01541895"</f>
        <v>01541895</v>
      </c>
      <c r="C2569" t="s">
        <v>10969</v>
      </c>
      <c r="D2569" t="s">
        <v>10970</v>
      </c>
      <c r="E2569" t="s">
        <v>10971</v>
      </c>
      <c r="G2569" t="s">
        <v>2224</v>
      </c>
      <c r="H2569" t="s">
        <v>2225</v>
      </c>
      <c r="J2569" t="s">
        <v>2226</v>
      </c>
      <c r="L2569" t="s">
        <v>72</v>
      </c>
      <c r="M2569" t="s">
        <v>73</v>
      </c>
      <c r="R2569" t="s">
        <v>10972</v>
      </c>
      <c r="W2569" t="s">
        <v>10971</v>
      </c>
      <c r="X2569" t="s">
        <v>10973</v>
      </c>
      <c r="Y2569" t="s">
        <v>1256</v>
      </c>
      <c r="Z2569" t="s">
        <v>139</v>
      </c>
      <c r="AA2569" t="str">
        <f>"07631-4958"</f>
        <v>07631-4958</v>
      </c>
      <c r="AB2569" t="s">
        <v>75</v>
      </c>
      <c r="AC2569" t="s">
        <v>76</v>
      </c>
      <c r="AD2569" t="s">
        <v>73</v>
      </c>
      <c r="AE2569" t="s">
        <v>77</v>
      </c>
      <c r="AF2569" t="s">
        <v>2254</v>
      </c>
      <c r="AG2569" t="s">
        <v>78</v>
      </c>
    </row>
    <row r="2570" spans="1:33" hidden="1" x14ac:dyDescent="0.25">
      <c r="A2570" t="str">
        <f>"1306873443"</f>
        <v>1306873443</v>
      </c>
      <c r="B2570" t="str">
        <f>"00849647"</f>
        <v>00849647</v>
      </c>
      <c r="C2570" t="s">
        <v>10974</v>
      </c>
      <c r="D2570" t="s">
        <v>2153</v>
      </c>
      <c r="E2570" t="s">
        <v>2154</v>
      </c>
      <c r="G2570" t="s">
        <v>2224</v>
      </c>
      <c r="H2570" t="s">
        <v>2225</v>
      </c>
      <c r="J2570" t="s">
        <v>2226</v>
      </c>
      <c r="L2570" t="s">
        <v>80</v>
      </c>
      <c r="M2570" t="s">
        <v>73</v>
      </c>
      <c r="R2570" t="s">
        <v>2155</v>
      </c>
      <c r="W2570" t="s">
        <v>2154</v>
      </c>
      <c r="X2570" t="s">
        <v>571</v>
      </c>
      <c r="Y2570" t="s">
        <v>580</v>
      </c>
      <c r="Z2570" t="s">
        <v>74</v>
      </c>
      <c r="AA2570" t="str">
        <f>"10901"</f>
        <v>10901</v>
      </c>
      <c r="AB2570" t="s">
        <v>75</v>
      </c>
      <c r="AC2570" t="s">
        <v>76</v>
      </c>
      <c r="AD2570" t="s">
        <v>73</v>
      </c>
      <c r="AE2570" t="s">
        <v>77</v>
      </c>
      <c r="AF2570" t="s">
        <v>2254</v>
      </c>
      <c r="AG2570" t="s">
        <v>78</v>
      </c>
    </row>
    <row r="2571" spans="1:33" hidden="1" x14ac:dyDescent="0.25">
      <c r="A2571" t="str">
        <f>"1306925722"</f>
        <v>1306925722</v>
      </c>
      <c r="B2571" t="str">
        <f>"02851063"</f>
        <v>02851063</v>
      </c>
      <c r="C2571" t="s">
        <v>10975</v>
      </c>
      <c r="D2571" t="s">
        <v>10976</v>
      </c>
      <c r="E2571" t="s">
        <v>10977</v>
      </c>
      <c r="G2571" t="s">
        <v>2224</v>
      </c>
      <c r="H2571" t="s">
        <v>2225</v>
      </c>
      <c r="J2571" t="s">
        <v>2226</v>
      </c>
      <c r="L2571" t="s">
        <v>80</v>
      </c>
      <c r="M2571" t="s">
        <v>73</v>
      </c>
      <c r="R2571" t="s">
        <v>10978</v>
      </c>
      <c r="W2571" t="s">
        <v>10979</v>
      </c>
      <c r="X2571" t="s">
        <v>10980</v>
      </c>
      <c r="Y2571" t="s">
        <v>91</v>
      </c>
      <c r="Z2571" t="s">
        <v>74</v>
      </c>
      <c r="AA2571" t="str">
        <f>"10065-4870"</f>
        <v>10065-4870</v>
      </c>
      <c r="AB2571" t="s">
        <v>75</v>
      </c>
      <c r="AC2571" t="s">
        <v>76</v>
      </c>
      <c r="AD2571" t="s">
        <v>73</v>
      </c>
      <c r="AE2571" t="s">
        <v>77</v>
      </c>
      <c r="AF2571" t="s">
        <v>2398</v>
      </c>
      <c r="AG2571" t="s">
        <v>78</v>
      </c>
    </row>
    <row r="2572" spans="1:33" hidden="1" x14ac:dyDescent="0.25">
      <c r="A2572" t="str">
        <f>"1306938337"</f>
        <v>1306938337</v>
      </c>
      <c r="B2572" t="str">
        <f>"00760370"</f>
        <v>00760370</v>
      </c>
      <c r="C2572" t="s">
        <v>10981</v>
      </c>
      <c r="D2572" t="s">
        <v>10982</v>
      </c>
      <c r="E2572" t="s">
        <v>10983</v>
      </c>
      <c r="G2572" t="s">
        <v>2224</v>
      </c>
      <c r="H2572" t="s">
        <v>2225</v>
      </c>
      <c r="J2572" t="s">
        <v>2226</v>
      </c>
      <c r="L2572" t="s">
        <v>72</v>
      </c>
      <c r="M2572" t="s">
        <v>73</v>
      </c>
      <c r="R2572" t="s">
        <v>10984</v>
      </c>
      <c r="W2572" t="s">
        <v>10983</v>
      </c>
      <c r="Y2572" t="s">
        <v>91</v>
      </c>
      <c r="Z2572" t="s">
        <v>74</v>
      </c>
      <c r="AA2572" t="str">
        <f>"10032-3725"</f>
        <v>10032-3725</v>
      </c>
      <c r="AB2572" t="s">
        <v>75</v>
      </c>
      <c r="AC2572" t="s">
        <v>76</v>
      </c>
      <c r="AD2572" t="s">
        <v>73</v>
      </c>
      <c r="AE2572" t="s">
        <v>77</v>
      </c>
      <c r="AF2572" t="s">
        <v>2234</v>
      </c>
      <c r="AG2572" t="s">
        <v>78</v>
      </c>
    </row>
    <row r="2573" spans="1:33" hidden="1" x14ac:dyDescent="0.25">
      <c r="A2573" t="str">
        <f>"1316055189"</f>
        <v>1316055189</v>
      </c>
      <c r="B2573" t="str">
        <f>"02797804"</f>
        <v>02797804</v>
      </c>
      <c r="C2573" t="s">
        <v>10985</v>
      </c>
      <c r="D2573" t="s">
        <v>10986</v>
      </c>
      <c r="E2573" t="s">
        <v>10987</v>
      </c>
      <c r="G2573" t="s">
        <v>2224</v>
      </c>
      <c r="H2573" t="s">
        <v>2225</v>
      </c>
      <c r="J2573" t="s">
        <v>2226</v>
      </c>
      <c r="L2573" t="s">
        <v>72</v>
      </c>
      <c r="M2573" t="s">
        <v>73</v>
      </c>
      <c r="R2573" t="s">
        <v>10988</v>
      </c>
      <c r="W2573" t="s">
        <v>10987</v>
      </c>
      <c r="X2573" t="s">
        <v>10989</v>
      </c>
      <c r="Y2573" t="s">
        <v>91</v>
      </c>
      <c r="Z2573" t="s">
        <v>74</v>
      </c>
      <c r="AA2573" t="str">
        <f>"10065-4870"</f>
        <v>10065-4870</v>
      </c>
      <c r="AB2573" t="s">
        <v>75</v>
      </c>
      <c r="AC2573" t="s">
        <v>76</v>
      </c>
      <c r="AD2573" t="s">
        <v>73</v>
      </c>
      <c r="AE2573" t="s">
        <v>77</v>
      </c>
      <c r="AF2573" t="s">
        <v>2242</v>
      </c>
      <c r="AG2573" t="s">
        <v>78</v>
      </c>
    </row>
    <row r="2574" spans="1:33" hidden="1" x14ac:dyDescent="0.25">
      <c r="A2574" t="str">
        <f>"1316112071"</f>
        <v>1316112071</v>
      </c>
      <c r="B2574" t="str">
        <f>"02668500"</f>
        <v>02668500</v>
      </c>
      <c r="C2574" t="s">
        <v>10990</v>
      </c>
      <c r="D2574" t="s">
        <v>10991</v>
      </c>
      <c r="E2574" t="s">
        <v>10992</v>
      </c>
      <c r="G2574" t="s">
        <v>2224</v>
      </c>
      <c r="H2574" t="s">
        <v>2225</v>
      </c>
      <c r="J2574" t="s">
        <v>2226</v>
      </c>
      <c r="L2574" t="s">
        <v>72</v>
      </c>
      <c r="M2574" t="s">
        <v>73</v>
      </c>
      <c r="R2574" t="s">
        <v>10993</v>
      </c>
      <c r="W2574" t="s">
        <v>10992</v>
      </c>
      <c r="X2574" t="s">
        <v>410</v>
      </c>
      <c r="Y2574" t="s">
        <v>91</v>
      </c>
      <c r="Z2574" t="s">
        <v>74</v>
      </c>
      <c r="AA2574" t="str">
        <f>"10032-1559"</f>
        <v>10032-1559</v>
      </c>
      <c r="AB2574" t="s">
        <v>75</v>
      </c>
      <c r="AC2574" t="s">
        <v>76</v>
      </c>
      <c r="AD2574" t="s">
        <v>73</v>
      </c>
      <c r="AE2574" t="s">
        <v>77</v>
      </c>
      <c r="AF2574" t="s">
        <v>2228</v>
      </c>
      <c r="AG2574" t="s">
        <v>78</v>
      </c>
    </row>
    <row r="2575" spans="1:33" hidden="1" x14ac:dyDescent="0.25">
      <c r="A2575" t="str">
        <f>"1285893503"</f>
        <v>1285893503</v>
      </c>
      <c r="B2575" t="str">
        <f>"03768210"</f>
        <v>03768210</v>
      </c>
      <c r="C2575" t="s">
        <v>10994</v>
      </c>
      <c r="D2575" t="s">
        <v>10995</v>
      </c>
      <c r="E2575" t="s">
        <v>10996</v>
      </c>
      <c r="G2575" t="s">
        <v>2224</v>
      </c>
      <c r="H2575" t="s">
        <v>2225</v>
      </c>
      <c r="J2575" t="s">
        <v>2226</v>
      </c>
      <c r="L2575" t="s">
        <v>72</v>
      </c>
      <c r="M2575" t="s">
        <v>73</v>
      </c>
      <c r="R2575" t="s">
        <v>10997</v>
      </c>
      <c r="W2575" t="s">
        <v>10996</v>
      </c>
      <c r="X2575" t="s">
        <v>10998</v>
      </c>
      <c r="Y2575" t="s">
        <v>91</v>
      </c>
      <c r="Z2575" t="s">
        <v>74</v>
      </c>
      <c r="AA2575" t="str">
        <f>"10065-6001"</f>
        <v>10065-6001</v>
      </c>
      <c r="AB2575" t="s">
        <v>75</v>
      </c>
      <c r="AC2575" t="s">
        <v>76</v>
      </c>
      <c r="AD2575" t="s">
        <v>73</v>
      </c>
      <c r="AE2575" t="s">
        <v>77</v>
      </c>
      <c r="AF2575" t="s">
        <v>2242</v>
      </c>
      <c r="AG2575" t="s">
        <v>78</v>
      </c>
    </row>
    <row r="2576" spans="1:33" hidden="1" x14ac:dyDescent="0.25">
      <c r="A2576" t="str">
        <f>"1295002160"</f>
        <v>1295002160</v>
      </c>
      <c r="B2576" t="str">
        <f>"03922772"</f>
        <v>03922772</v>
      </c>
      <c r="C2576" t="s">
        <v>10999</v>
      </c>
      <c r="D2576" t="s">
        <v>11000</v>
      </c>
      <c r="E2576" t="s">
        <v>11001</v>
      </c>
      <c r="G2576" t="s">
        <v>2224</v>
      </c>
      <c r="H2576" t="s">
        <v>2225</v>
      </c>
      <c r="J2576" t="s">
        <v>2226</v>
      </c>
      <c r="L2576" t="s">
        <v>80</v>
      </c>
      <c r="M2576" t="s">
        <v>73</v>
      </c>
      <c r="R2576" t="s">
        <v>11002</v>
      </c>
      <c r="W2576" t="s">
        <v>11001</v>
      </c>
      <c r="X2576" t="s">
        <v>1690</v>
      </c>
      <c r="Y2576" t="s">
        <v>91</v>
      </c>
      <c r="Z2576" t="s">
        <v>74</v>
      </c>
      <c r="AA2576" t="str">
        <f>"10019-1412"</f>
        <v>10019-1412</v>
      </c>
      <c r="AB2576" t="s">
        <v>75</v>
      </c>
      <c r="AC2576" t="s">
        <v>76</v>
      </c>
      <c r="AD2576" t="s">
        <v>73</v>
      </c>
      <c r="AE2576" t="s">
        <v>77</v>
      </c>
      <c r="AF2576" t="s">
        <v>2254</v>
      </c>
      <c r="AG2576" t="s">
        <v>78</v>
      </c>
    </row>
    <row r="2577" spans="1:33" hidden="1" x14ac:dyDescent="0.25">
      <c r="A2577" t="str">
        <f>"1487819603"</f>
        <v>1487819603</v>
      </c>
      <c r="B2577" t="str">
        <f>"03051705"</f>
        <v>03051705</v>
      </c>
      <c r="C2577" t="s">
        <v>11003</v>
      </c>
      <c r="D2577" t="s">
        <v>11004</v>
      </c>
      <c r="E2577" t="s">
        <v>11005</v>
      </c>
      <c r="G2577" t="s">
        <v>2224</v>
      </c>
      <c r="H2577" t="s">
        <v>2225</v>
      </c>
      <c r="J2577" t="s">
        <v>2226</v>
      </c>
      <c r="L2577" t="s">
        <v>80</v>
      </c>
      <c r="M2577" t="s">
        <v>82</v>
      </c>
      <c r="R2577" t="s">
        <v>11005</v>
      </c>
      <c r="W2577" t="s">
        <v>11006</v>
      </c>
      <c r="X2577" t="s">
        <v>1096</v>
      </c>
      <c r="Y2577" t="s">
        <v>91</v>
      </c>
      <c r="Z2577" t="s">
        <v>74</v>
      </c>
      <c r="AA2577" t="str">
        <f>"10065-4870"</f>
        <v>10065-4870</v>
      </c>
      <c r="AB2577" t="s">
        <v>75</v>
      </c>
      <c r="AC2577" t="s">
        <v>76</v>
      </c>
      <c r="AD2577" t="s">
        <v>73</v>
      </c>
      <c r="AE2577" t="s">
        <v>77</v>
      </c>
      <c r="AF2577" t="s">
        <v>2398</v>
      </c>
      <c r="AG2577" t="s">
        <v>78</v>
      </c>
    </row>
    <row r="2578" spans="1:33" hidden="1" x14ac:dyDescent="0.25">
      <c r="A2578" t="str">
        <f>"1295887776"</f>
        <v>1295887776</v>
      </c>
      <c r="B2578" t="str">
        <f>"02700636"</f>
        <v>02700636</v>
      </c>
      <c r="C2578" t="s">
        <v>11007</v>
      </c>
      <c r="D2578" t="s">
        <v>11008</v>
      </c>
      <c r="E2578" t="s">
        <v>11009</v>
      </c>
      <c r="L2578" t="s">
        <v>80</v>
      </c>
      <c r="M2578" t="s">
        <v>73</v>
      </c>
      <c r="R2578" t="s">
        <v>11010</v>
      </c>
      <c r="W2578" t="s">
        <v>11009</v>
      </c>
      <c r="X2578" t="s">
        <v>167</v>
      </c>
      <c r="Y2578" t="s">
        <v>91</v>
      </c>
      <c r="Z2578" t="s">
        <v>74</v>
      </c>
      <c r="AA2578" t="str">
        <f>"10032-3720"</f>
        <v>10032-3720</v>
      </c>
      <c r="AB2578" t="s">
        <v>75</v>
      </c>
      <c r="AC2578" t="s">
        <v>76</v>
      </c>
      <c r="AD2578" t="s">
        <v>73</v>
      </c>
      <c r="AE2578" t="s">
        <v>77</v>
      </c>
      <c r="AF2578" t="s">
        <v>2228</v>
      </c>
      <c r="AG2578" t="s">
        <v>78</v>
      </c>
    </row>
    <row r="2579" spans="1:33" hidden="1" x14ac:dyDescent="0.25">
      <c r="A2579" t="str">
        <f>"1780736025"</f>
        <v>1780736025</v>
      </c>
      <c r="B2579" t="str">
        <f>"01817830"</f>
        <v>01817830</v>
      </c>
      <c r="C2579" t="s">
        <v>11011</v>
      </c>
      <c r="D2579" t="s">
        <v>11012</v>
      </c>
      <c r="E2579" t="s">
        <v>11013</v>
      </c>
      <c r="L2579" t="s">
        <v>80</v>
      </c>
      <c r="M2579" t="s">
        <v>73</v>
      </c>
      <c r="R2579" t="s">
        <v>11014</v>
      </c>
      <c r="W2579" t="s">
        <v>11013</v>
      </c>
      <c r="X2579" t="s">
        <v>9020</v>
      </c>
      <c r="Y2579" t="s">
        <v>91</v>
      </c>
      <c r="Z2579" t="s">
        <v>74</v>
      </c>
      <c r="AA2579" t="str">
        <f>"10032-3720"</f>
        <v>10032-3720</v>
      </c>
      <c r="AB2579" t="s">
        <v>75</v>
      </c>
      <c r="AC2579" t="s">
        <v>76</v>
      </c>
      <c r="AD2579" t="s">
        <v>73</v>
      </c>
      <c r="AE2579" t="s">
        <v>77</v>
      </c>
      <c r="AF2579" t="s">
        <v>2228</v>
      </c>
      <c r="AG2579" t="s">
        <v>78</v>
      </c>
    </row>
    <row r="2580" spans="1:33" hidden="1" x14ac:dyDescent="0.25">
      <c r="A2580" t="str">
        <f>"1386804383"</f>
        <v>1386804383</v>
      </c>
      <c r="B2580" t="str">
        <f>"03593368"</f>
        <v>03593368</v>
      </c>
      <c r="C2580" t="s">
        <v>11015</v>
      </c>
      <c r="D2580" t="s">
        <v>11016</v>
      </c>
      <c r="E2580" t="s">
        <v>11017</v>
      </c>
      <c r="L2580" t="s">
        <v>80</v>
      </c>
      <c r="M2580" t="s">
        <v>73</v>
      </c>
      <c r="R2580" t="s">
        <v>11018</v>
      </c>
      <c r="W2580" t="s">
        <v>11017</v>
      </c>
      <c r="X2580" t="s">
        <v>167</v>
      </c>
      <c r="Y2580" t="s">
        <v>91</v>
      </c>
      <c r="Z2580" t="s">
        <v>74</v>
      </c>
      <c r="AA2580" t="str">
        <f>"10032-3720"</f>
        <v>10032-3720</v>
      </c>
      <c r="AB2580" t="s">
        <v>75</v>
      </c>
      <c r="AC2580" t="s">
        <v>76</v>
      </c>
      <c r="AD2580" t="s">
        <v>73</v>
      </c>
      <c r="AE2580" t="s">
        <v>77</v>
      </c>
      <c r="AF2580" t="s">
        <v>2228</v>
      </c>
      <c r="AG2580" t="s">
        <v>78</v>
      </c>
    </row>
    <row r="2581" spans="1:33" hidden="1" x14ac:dyDescent="0.25">
      <c r="A2581" t="str">
        <f>"1164478228"</f>
        <v>1164478228</v>
      </c>
      <c r="C2581" t="s">
        <v>11019</v>
      </c>
      <c r="G2581" t="s">
        <v>2224</v>
      </c>
      <c r="H2581" t="s">
        <v>2312</v>
      </c>
      <c r="J2581" t="s">
        <v>2226</v>
      </c>
      <c r="K2581" t="s">
        <v>171</v>
      </c>
      <c r="L2581" t="s">
        <v>96</v>
      </c>
      <c r="M2581" t="s">
        <v>73</v>
      </c>
      <c r="R2581" t="s">
        <v>11020</v>
      </c>
      <c r="S2581" t="s">
        <v>11021</v>
      </c>
      <c r="T2581" t="s">
        <v>393</v>
      </c>
      <c r="U2581" t="s">
        <v>139</v>
      </c>
      <c r="V2581" t="str">
        <f>"075032621"</f>
        <v>075032621</v>
      </c>
      <c r="AC2581" t="s">
        <v>76</v>
      </c>
      <c r="AD2581" t="s">
        <v>73</v>
      </c>
      <c r="AE2581" t="s">
        <v>97</v>
      </c>
      <c r="AF2581" t="s">
        <v>2228</v>
      </c>
      <c r="AG2581" t="s">
        <v>78</v>
      </c>
    </row>
    <row r="2582" spans="1:33" hidden="1" x14ac:dyDescent="0.25">
      <c r="A2582" t="str">
        <f>"1285073650"</f>
        <v>1285073650</v>
      </c>
      <c r="B2582" t="str">
        <f>"04231903"</f>
        <v>04231903</v>
      </c>
      <c r="C2582" t="s">
        <v>11022</v>
      </c>
      <c r="D2582" t="s">
        <v>11023</v>
      </c>
      <c r="E2582" t="s">
        <v>11024</v>
      </c>
      <c r="G2582" t="s">
        <v>2224</v>
      </c>
      <c r="H2582" t="s">
        <v>2312</v>
      </c>
      <c r="J2582" t="s">
        <v>2226</v>
      </c>
      <c r="L2582" t="s">
        <v>72</v>
      </c>
      <c r="M2582" t="s">
        <v>73</v>
      </c>
      <c r="R2582" t="s">
        <v>538</v>
      </c>
      <c r="W2582" t="s">
        <v>11024</v>
      </c>
      <c r="X2582" t="s">
        <v>497</v>
      </c>
      <c r="Y2582" t="s">
        <v>498</v>
      </c>
      <c r="Z2582" t="s">
        <v>74</v>
      </c>
      <c r="AA2582" t="str">
        <f>"12308-2425"</f>
        <v>12308-2425</v>
      </c>
      <c r="AB2582" t="s">
        <v>75</v>
      </c>
      <c r="AC2582" t="s">
        <v>76</v>
      </c>
      <c r="AD2582" t="s">
        <v>73</v>
      </c>
      <c r="AE2582" t="s">
        <v>77</v>
      </c>
      <c r="AF2582" t="s">
        <v>2234</v>
      </c>
      <c r="AG2582" t="s">
        <v>78</v>
      </c>
    </row>
    <row r="2583" spans="1:33" hidden="1" x14ac:dyDescent="0.25">
      <c r="A2583" t="str">
        <f>"1710324991"</f>
        <v>1710324991</v>
      </c>
      <c r="B2583" t="str">
        <f>"03624462"</f>
        <v>03624462</v>
      </c>
      <c r="C2583" t="s">
        <v>11025</v>
      </c>
      <c r="D2583" t="s">
        <v>11026</v>
      </c>
      <c r="E2583" t="s">
        <v>11027</v>
      </c>
      <c r="L2583" t="s">
        <v>80</v>
      </c>
      <c r="M2583" t="s">
        <v>73</v>
      </c>
      <c r="R2583" t="s">
        <v>11028</v>
      </c>
      <c r="W2583" t="s">
        <v>11027</v>
      </c>
      <c r="X2583" t="s">
        <v>167</v>
      </c>
      <c r="Y2583" t="s">
        <v>91</v>
      </c>
      <c r="Z2583" t="s">
        <v>74</v>
      </c>
      <c r="AA2583" t="str">
        <f>"10032-3720"</f>
        <v>10032-3720</v>
      </c>
      <c r="AB2583" t="s">
        <v>75</v>
      </c>
      <c r="AC2583" t="s">
        <v>76</v>
      </c>
      <c r="AD2583" t="s">
        <v>73</v>
      </c>
      <c r="AE2583" t="s">
        <v>77</v>
      </c>
      <c r="AG2583" t="s">
        <v>78</v>
      </c>
    </row>
    <row r="2584" spans="1:33" hidden="1" x14ac:dyDescent="0.25">
      <c r="A2584" t="str">
        <f>"1841386711"</f>
        <v>1841386711</v>
      </c>
      <c r="B2584" t="str">
        <f>"01883687"</f>
        <v>01883687</v>
      </c>
      <c r="C2584" t="s">
        <v>11029</v>
      </c>
      <c r="D2584" t="s">
        <v>11030</v>
      </c>
      <c r="E2584" t="s">
        <v>11031</v>
      </c>
      <c r="G2584" t="s">
        <v>2224</v>
      </c>
      <c r="H2584" t="s">
        <v>2225</v>
      </c>
      <c r="J2584" t="s">
        <v>2226</v>
      </c>
      <c r="L2584" t="s">
        <v>81</v>
      </c>
      <c r="M2584" t="s">
        <v>82</v>
      </c>
      <c r="R2584" t="s">
        <v>11032</v>
      </c>
      <c r="W2584" t="s">
        <v>11031</v>
      </c>
      <c r="X2584" t="s">
        <v>2085</v>
      </c>
      <c r="Y2584" t="s">
        <v>91</v>
      </c>
      <c r="Z2584" t="s">
        <v>74</v>
      </c>
      <c r="AA2584" t="str">
        <f>"10032-3720"</f>
        <v>10032-3720</v>
      </c>
      <c r="AB2584" t="s">
        <v>75</v>
      </c>
      <c r="AC2584" t="s">
        <v>76</v>
      </c>
      <c r="AD2584" t="s">
        <v>73</v>
      </c>
      <c r="AE2584" t="s">
        <v>77</v>
      </c>
      <c r="AF2584" t="s">
        <v>2228</v>
      </c>
      <c r="AG2584" t="s">
        <v>78</v>
      </c>
    </row>
    <row r="2585" spans="1:33" hidden="1" x14ac:dyDescent="0.25">
      <c r="A2585" t="str">
        <f>"1649545583"</f>
        <v>1649545583</v>
      </c>
      <c r="B2585" t="str">
        <f>"03994570"</f>
        <v>03994570</v>
      </c>
      <c r="C2585" t="s">
        <v>11033</v>
      </c>
      <c r="D2585" t="s">
        <v>11034</v>
      </c>
      <c r="E2585" t="s">
        <v>11035</v>
      </c>
      <c r="G2585" t="s">
        <v>2224</v>
      </c>
      <c r="H2585" t="s">
        <v>2312</v>
      </c>
      <c r="J2585" t="s">
        <v>2226</v>
      </c>
      <c r="L2585" t="s">
        <v>72</v>
      </c>
      <c r="M2585" t="s">
        <v>73</v>
      </c>
      <c r="R2585" t="s">
        <v>11035</v>
      </c>
      <c r="W2585" t="s">
        <v>11035</v>
      </c>
      <c r="X2585" t="s">
        <v>272</v>
      </c>
      <c r="Y2585" t="s">
        <v>91</v>
      </c>
      <c r="Z2585" t="s">
        <v>74</v>
      </c>
      <c r="AA2585" t="str">
        <f>"10038-2612"</f>
        <v>10038-2612</v>
      </c>
      <c r="AB2585" t="s">
        <v>75</v>
      </c>
      <c r="AC2585" t="s">
        <v>76</v>
      </c>
      <c r="AD2585" t="s">
        <v>73</v>
      </c>
      <c r="AE2585" t="s">
        <v>77</v>
      </c>
      <c r="AF2585" t="s">
        <v>2242</v>
      </c>
      <c r="AG2585" t="s">
        <v>78</v>
      </c>
    </row>
    <row r="2586" spans="1:33" hidden="1" x14ac:dyDescent="0.25">
      <c r="A2586" t="str">
        <f>"1750799318"</f>
        <v>1750799318</v>
      </c>
      <c r="B2586" t="str">
        <f>"03996201"</f>
        <v>03996201</v>
      </c>
      <c r="C2586" t="s">
        <v>11036</v>
      </c>
      <c r="D2586" t="s">
        <v>11037</v>
      </c>
      <c r="E2586" t="s">
        <v>11038</v>
      </c>
      <c r="G2586" t="s">
        <v>2224</v>
      </c>
      <c r="H2586" t="s">
        <v>2312</v>
      </c>
      <c r="J2586" t="s">
        <v>2226</v>
      </c>
      <c r="L2586" t="s">
        <v>72</v>
      </c>
      <c r="M2586" t="s">
        <v>73</v>
      </c>
      <c r="R2586" t="s">
        <v>11038</v>
      </c>
      <c r="W2586" t="s">
        <v>11038</v>
      </c>
      <c r="X2586" t="s">
        <v>167</v>
      </c>
      <c r="Y2586" t="s">
        <v>91</v>
      </c>
      <c r="Z2586" t="s">
        <v>74</v>
      </c>
      <c r="AA2586" t="str">
        <f>"10032-3720"</f>
        <v>10032-3720</v>
      </c>
      <c r="AB2586" t="s">
        <v>75</v>
      </c>
      <c r="AC2586" t="s">
        <v>76</v>
      </c>
      <c r="AD2586" t="s">
        <v>73</v>
      </c>
      <c r="AE2586" t="s">
        <v>77</v>
      </c>
      <c r="AF2586" t="s">
        <v>2228</v>
      </c>
      <c r="AG2586" t="s">
        <v>78</v>
      </c>
    </row>
    <row r="2587" spans="1:33" hidden="1" x14ac:dyDescent="0.25">
      <c r="A2587" t="str">
        <f>"1609809722"</f>
        <v>1609809722</v>
      </c>
      <c r="B2587" t="str">
        <f>"00620228"</f>
        <v>00620228</v>
      </c>
      <c r="C2587" t="s">
        <v>11039</v>
      </c>
      <c r="D2587" t="s">
        <v>11040</v>
      </c>
      <c r="E2587" t="s">
        <v>11041</v>
      </c>
      <c r="L2587" t="s">
        <v>96</v>
      </c>
      <c r="M2587" t="s">
        <v>73</v>
      </c>
      <c r="R2587" t="s">
        <v>11042</v>
      </c>
      <c r="W2587" t="s">
        <v>11041</v>
      </c>
      <c r="X2587" t="s">
        <v>2180</v>
      </c>
      <c r="Y2587" t="s">
        <v>118</v>
      </c>
      <c r="Z2587" t="s">
        <v>74</v>
      </c>
      <c r="AA2587" t="str">
        <f>"10458-6803"</f>
        <v>10458-6803</v>
      </c>
      <c r="AB2587" t="s">
        <v>75</v>
      </c>
      <c r="AC2587" t="s">
        <v>76</v>
      </c>
      <c r="AD2587" t="s">
        <v>73</v>
      </c>
      <c r="AE2587" t="s">
        <v>77</v>
      </c>
      <c r="AF2587" t="s">
        <v>2228</v>
      </c>
      <c r="AG2587" t="s">
        <v>78</v>
      </c>
    </row>
    <row r="2588" spans="1:33" hidden="1" x14ac:dyDescent="0.25">
      <c r="A2588" t="str">
        <f>"1619109089"</f>
        <v>1619109089</v>
      </c>
      <c r="B2588" t="str">
        <f>"03756512"</f>
        <v>03756512</v>
      </c>
      <c r="C2588" t="s">
        <v>826</v>
      </c>
      <c r="D2588" t="s">
        <v>824</v>
      </c>
      <c r="E2588" t="s">
        <v>825</v>
      </c>
      <c r="L2588" t="s">
        <v>36</v>
      </c>
      <c r="M2588" t="s">
        <v>82</v>
      </c>
      <c r="R2588" t="s">
        <v>826</v>
      </c>
      <c r="W2588" t="s">
        <v>825</v>
      </c>
      <c r="X2588" t="s">
        <v>704</v>
      </c>
      <c r="Y2588" t="s">
        <v>91</v>
      </c>
      <c r="Z2588" t="s">
        <v>74</v>
      </c>
      <c r="AA2588" t="str">
        <f>"10035-4521"</f>
        <v>10035-4521</v>
      </c>
      <c r="AB2588" t="s">
        <v>114</v>
      </c>
      <c r="AC2588" t="s">
        <v>76</v>
      </c>
      <c r="AD2588" t="s">
        <v>73</v>
      </c>
      <c r="AE2588" t="s">
        <v>77</v>
      </c>
      <c r="AG2588" t="s">
        <v>78</v>
      </c>
    </row>
    <row r="2589" spans="1:33" hidden="1" x14ac:dyDescent="0.25">
      <c r="B2589" t="str">
        <f>"03173113"</f>
        <v>03173113</v>
      </c>
      <c r="C2589" t="s">
        <v>2145</v>
      </c>
      <c r="D2589" t="s">
        <v>2146</v>
      </c>
      <c r="E2589" t="s">
        <v>2145</v>
      </c>
      <c r="G2589" t="s">
        <v>5513</v>
      </c>
      <c r="H2589" t="s">
        <v>338</v>
      </c>
      <c r="J2589" t="s">
        <v>339</v>
      </c>
      <c r="L2589" t="s">
        <v>96</v>
      </c>
      <c r="M2589" t="s">
        <v>73</v>
      </c>
      <c r="W2589" t="s">
        <v>2145</v>
      </c>
      <c r="X2589" t="s">
        <v>2072</v>
      </c>
      <c r="Y2589" t="s">
        <v>84</v>
      </c>
      <c r="Z2589" t="s">
        <v>74</v>
      </c>
      <c r="AA2589" t="str">
        <f>"11220-4753"</f>
        <v>11220-4753</v>
      </c>
      <c r="AB2589" t="s">
        <v>286</v>
      </c>
      <c r="AC2589" t="s">
        <v>76</v>
      </c>
      <c r="AD2589" t="s">
        <v>73</v>
      </c>
      <c r="AE2589" t="s">
        <v>77</v>
      </c>
      <c r="AG2589" t="s">
        <v>78</v>
      </c>
    </row>
    <row r="2590" spans="1:33" hidden="1" x14ac:dyDescent="0.25">
      <c r="A2590" t="str">
        <f>"1528196631"</f>
        <v>1528196631</v>
      </c>
      <c r="B2590" t="str">
        <f>"01084624"</f>
        <v>01084624</v>
      </c>
      <c r="C2590" t="s">
        <v>11043</v>
      </c>
      <c r="D2590" t="s">
        <v>11044</v>
      </c>
      <c r="E2590" t="s">
        <v>11045</v>
      </c>
      <c r="G2590" t="s">
        <v>2224</v>
      </c>
      <c r="H2590" t="s">
        <v>2225</v>
      </c>
      <c r="J2590" t="s">
        <v>2226</v>
      </c>
      <c r="L2590" t="s">
        <v>81</v>
      </c>
      <c r="M2590" t="s">
        <v>82</v>
      </c>
      <c r="R2590" t="s">
        <v>11046</v>
      </c>
      <c r="W2590" t="s">
        <v>11045</v>
      </c>
      <c r="X2590" t="s">
        <v>170</v>
      </c>
      <c r="Y2590" t="s">
        <v>91</v>
      </c>
      <c r="Z2590" t="s">
        <v>74</v>
      </c>
      <c r="AA2590" t="str">
        <f>"10065-4870"</f>
        <v>10065-4870</v>
      </c>
      <c r="AB2590" t="s">
        <v>75</v>
      </c>
      <c r="AC2590" t="s">
        <v>76</v>
      </c>
      <c r="AD2590" t="s">
        <v>73</v>
      </c>
      <c r="AE2590" t="s">
        <v>77</v>
      </c>
      <c r="AF2590" t="s">
        <v>2398</v>
      </c>
      <c r="AG2590" t="s">
        <v>78</v>
      </c>
    </row>
    <row r="2591" spans="1:33" hidden="1" x14ac:dyDescent="0.25">
      <c r="A2591" t="str">
        <f>"1285878694"</f>
        <v>1285878694</v>
      </c>
      <c r="B2591" t="str">
        <f>"03834342"</f>
        <v>03834342</v>
      </c>
      <c r="C2591" t="s">
        <v>11047</v>
      </c>
      <c r="D2591" t="s">
        <v>11048</v>
      </c>
      <c r="E2591" t="s">
        <v>11049</v>
      </c>
      <c r="G2591" t="s">
        <v>2224</v>
      </c>
      <c r="H2591" t="s">
        <v>2225</v>
      </c>
      <c r="J2591" t="s">
        <v>2226</v>
      </c>
      <c r="L2591" t="s">
        <v>80</v>
      </c>
      <c r="M2591" t="s">
        <v>73</v>
      </c>
      <c r="R2591" t="s">
        <v>11050</v>
      </c>
      <c r="W2591" t="s">
        <v>11049</v>
      </c>
      <c r="X2591" t="s">
        <v>167</v>
      </c>
      <c r="Y2591" t="s">
        <v>91</v>
      </c>
      <c r="Z2591" t="s">
        <v>74</v>
      </c>
      <c r="AA2591" t="str">
        <f>"10032-3720"</f>
        <v>10032-3720</v>
      </c>
      <c r="AB2591" t="s">
        <v>75</v>
      </c>
      <c r="AC2591" t="s">
        <v>76</v>
      </c>
      <c r="AD2591" t="s">
        <v>73</v>
      </c>
      <c r="AE2591" t="s">
        <v>77</v>
      </c>
      <c r="AF2591" t="s">
        <v>2228</v>
      </c>
      <c r="AG2591" t="s">
        <v>78</v>
      </c>
    </row>
    <row r="2592" spans="1:33" hidden="1" x14ac:dyDescent="0.25">
      <c r="A2592" t="str">
        <f>"1972604700"</f>
        <v>1972604700</v>
      </c>
      <c r="B2592" t="str">
        <f>"00340698"</f>
        <v>00340698</v>
      </c>
      <c r="C2592" t="s">
        <v>11051</v>
      </c>
      <c r="D2592" t="s">
        <v>11052</v>
      </c>
      <c r="E2592" t="s">
        <v>11053</v>
      </c>
      <c r="G2592" t="s">
        <v>2224</v>
      </c>
      <c r="H2592" t="s">
        <v>2225</v>
      </c>
      <c r="J2592" t="s">
        <v>2226</v>
      </c>
      <c r="L2592" t="s">
        <v>72</v>
      </c>
      <c r="M2592" t="s">
        <v>73</v>
      </c>
      <c r="R2592" t="s">
        <v>11054</v>
      </c>
      <c r="W2592" t="s">
        <v>11053</v>
      </c>
      <c r="X2592" t="s">
        <v>11055</v>
      </c>
      <c r="Y2592" t="s">
        <v>84</v>
      </c>
      <c r="Z2592" t="s">
        <v>74</v>
      </c>
      <c r="AA2592" t="str">
        <f>"11206-2722"</f>
        <v>11206-2722</v>
      </c>
      <c r="AB2592" t="s">
        <v>75</v>
      </c>
      <c r="AC2592" t="s">
        <v>76</v>
      </c>
      <c r="AD2592" t="s">
        <v>73</v>
      </c>
      <c r="AE2592" t="s">
        <v>77</v>
      </c>
      <c r="AF2592" t="s">
        <v>2254</v>
      </c>
      <c r="AG2592" t="s">
        <v>78</v>
      </c>
    </row>
    <row r="2593" spans="1:33" hidden="1" x14ac:dyDescent="0.25">
      <c r="A2593" t="str">
        <f>"1972687887"</f>
        <v>1972687887</v>
      </c>
      <c r="B2593" t="str">
        <f>"03182950"</f>
        <v>03182950</v>
      </c>
      <c r="C2593" t="s">
        <v>11056</v>
      </c>
      <c r="D2593" t="s">
        <v>11057</v>
      </c>
      <c r="E2593" t="s">
        <v>11058</v>
      </c>
      <c r="G2593" t="s">
        <v>2224</v>
      </c>
      <c r="H2593" t="s">
        <v>2225</v>
      </c>
      <c r="J2593" t="s">
        <v>2226</v>
      </c>
      <c r="L2593" t="s">
        <v>80</v>
      </c>
      <c r="M2593" t="s">
        <v>73</v>
      </c>
      <c r="R2593" t="s">
        <v>11059</v>
      </c>
      <c r="W2593" t="s">
        <v>11059</v>
      </c>
      <c r="X2593" t="s">
        <v>309</v>
      </c>
      <c r="Y2593" t="s">
        <v>91</v>
      </c>
      <c r="Z2593" t="s">
        <v>74</v>
      </c>
      <c r="AA2593" t="str">
        <f>"10032-3724"</f>
        <v>10032-3724</v>
      </c>
      <c r="AB2593" t="s">
        <v>75</v>
      </c>
      <c r="AC2593" t="s">
        <v>76</v>
      </c>
      <c r="AD2593" t="s">
        <v>73</v>
      </c>
      <c r="AE2593" t="s">
        <v>77</v>
      </c>
      <c r="AF2593" t="s">
        <v>2254</v>
      </c>
      <c r="AG2593" t="s">
        <v>78</v>
      </c>
    </row>
    <row r="2594" spans="1:33" hidden="1" x14ac:dyDescent="0.25">
      <c r="A2594" t="str">
        <f>"1790722940"</f>
        <v>1790722940</v>
      </c>
      <c r="B2594" t="str">
        <f>"02757326"</f>
        <v>02757326</v>
      </c>
      <c r="C2594" t="s">
        <v>11060</v>
      </c>
      <c r="D2594" t="s">
        <v>11061</v>
      </c>
      <c r="E2594" t="s">
        <v>11062</v>
      </c>
      <c r="L2594" t="s">
        <v>80</v>
      </c>
      <c r="M2594" t="s">
        <v>73</v>
      </c>
      <c r="R2594" t="s">
        <v>11063</v>
      </c>
      <c r="W2594" t="s">
        <v>11062</v>
      </c>
      <c r="X2594" t="s">
        <v>170</v>
      </c>
      <c r="Y2594" t="s">
        <v>91</v>
      </c>
      <c r="Z2594" t="s">
        <v>74</v>
      </c>
      <c r="AA2594" t="str">
        <f>"10065-4870"</f>
        <v>10065-4870</v>
      </c>
      <c r="AB2594" t="s">
        <v>75</v>
      </c>
      <c r="AC2594" t="s">
        <v>76</v>
      </c>
      <c r="AD2594" t="s">
        <v>73</v>
      </c>
      <c r="AE2594" t="s">
        <v>77</v>
      </c>
      <c r="AF2594" t="s">
        <v>2242</v>
      </c>
      <c r="AG2594" t="s">
        <v>78</v>
      </c>
    </row>
    <row r="2595" spans="1:33" hidden="1" x14ac:dyDescent="0.25">
      <c r="A2595" t="str">
        <f>"1881980639"</f>
        <v>1881980639</v>
      </c>
      <c r="C2595" t="s">
        <v>11064</v>
      </c>
      <c r="G2595" t="s">
        <v>2224</v>
      </c>
      <c r="H2595" t="s">
        <v>2312</v>
      </c>
      <c r="J2595" t="s">
        <v>2226</v>
      </c>
      <c r="K2595" t="s">
        <v>171</v>
      </c>
      <c r="L2595" t="s">
        <v>96</v>
      </c>
      <c r="M2595" t="s">
        <v>73</v>
      </c>
      <c r="R2595" t="s">
        <v>1548</v>
      </c>
      <c r="S2595" t="s">
        <v>1367</v>
      </c>
      <c r="T2595" t="s">
        <v>91</v>
      </c>
      <c r="U2595" t="s">
        <v>74</v>
      </c>
      <c r="V2595" t="str">
        <f>"100296500"</f>
        <v>100296500</v>
      </c>
      <c r="AC2595" t="s">
        <v>76</v>
      </c>
      <c r="AD2595" t="s">
        <v>73</v>
      </c>
      <c r="AE2595" t="s">
        <v>97</v>
      </c>
      <c r="AF2595" t="s">
        <v>2242</v>
      </c>
      <c r="AG2595" t="s">
        <v>78</v>
      </c>
    </row>
    <row r="2596" spans="1:33" hidden="1" x14ac:dyDescent="0.25">
      <c r="A2596" t="str">
        <f>"1871505396"</f>
        <v>1871505396</v>
      </c>
      <c r="B2596" t="str">
        <f>"01153819"</f>
        <v>01153819</v>
      </c>
      <c r="C2596" t="s">
        <v>11065</v>
      </c>
      <c r="D2596" t="s">
        <v>11066</v>
      </c>
      <c r="E2596" t="s">
        <v>11067</v>
      </c>
      <c r="L2596" t="s">
        <v>80</v>
      </c>
      <c r="M2596" t="s">
        <v>73</v>
      </c>
      <c r="R2596" t="s">
        <v>11068</v>
      </c>
      <c r="W2596" t="s">
        <v>11067</v>
      </c>
      <c r="X2596" t="s">
        <v>170</v>
      </c>
      <c r="Y2596" t="s">
        <v>91</v>
      </c>
      <c r="Z2596" t="s">
        <v>74</v>
      </c>
      <c r="AA2596" t="str">
        <f>"10065-4870"</f>
        <v>10065-4870</v>
      </c>
      <c r="AB2596" t="s">
        <v>75</v>
      </c>
      <c r="AC2596" t="s">
        <v>76</v>
      </c>
      <c r="AD2596" t="s">
        <v>73</v>
      </c>
      <c r="AE2596" t="s">
        <v>77</v>
      </c>
      <c r="AF2596" t="s">
        <v>2242</v>
      </c>
      <c r="AG2596" t="s">
        <v>78</v>
      </c>
    </row>
    <row r="2597" spans="1:33" hidden="1" x14ac:dyDescent="0.25">
      <c r="A2597" t="str">
        <f>"1912291378"</f>
        <v>1912291378</v>
      </c>
      <c r="C2597" t="s">
        <v>11069</v>
      </c>
      <c r="G2597" t="s">
        <v>2224</v>
      </c>
      <c r="H2597" t="s">
        <v>2312</v>
      </c>
      <c r="J2597" t="s">
        <v>2226</v>
      </c>
      <c r="K2597" t="s">
        <v>171</v>
      </c>
      <c r="L2597" t="s">
        <v>96</v>
      </c>
      <c r="M2597" t="s">
        <v>73</v>
      </c>
      <c r="R2597" t="s">
        <v>11070</v>
      </c>
      <c r="S2597" t="s">
        <v>170</v>
      </c>
      <c r="T2597" t="s">
        <v>91</v>
      </c>
      <c r="U2597" t="s">
        <v>74</v>
      </c>
      <c r="V2597" t="str">
        <f>"100654870"</f>
        <v>100654870</v>
      </c>
      <c r="AC2597" t="s">
        <v>76</v>
      </c>
      <c r="AD2597" t="s">
        <v>73</v>
      </c>
      <c r="AE2597" t="s">
        <v>97</v>
      </c>
      <c r="AF2597" t="s">
        <v>2242</v>
      </c>
      <c r="AG2597" t="s">
        <v>78</v>
      </c>
    </row>
    <row r="2598" spans="1:33" hidden="1" x14ac:dyDescent="0.25">
      <c r="A2598" t="str">
        <f>"1588676019"</f>
        <v>1588676019</v>
      </c>
      <c r="B2598" t="str">
        <f>"01452217"</f>
        <v>01452217</v>
      </c>
      <c r="C2598" t="s">
        <v>11071</v>
      </c>
      <c r="D2598" t="s">
        <v>11072</v>
      </c>
      <c r="E2598" t="s">
        <v>11073</v>
      </c>
      <c r="L2598" t="s">
        <v>72</v>
      </c>
      <c r="M2598" t="s">
        <v>73</v>
      </c>
      <c r="R2598" t="s">
        <v>11074</v>
      </c>
      <c r="W2598" t="s">
        <v>11073</v>
      </c>
      <c r="X2598" t="s">
        <v>11075</v>
      </c>
      <c r="Y2598" t="s">
        <v>91</v>
      </c>
      <c r="Z2598" t="s">
        <v>74</v>
      </c>
      <c r="AA2598" t="str">
        <f>"10065-4870"</f>
        <v>10065-4870</v>
      </c>
      <c r="AB2598" t="s">
        <v>75</v>
      </c>
      <c r="AC2598" t="s">
        <v>76</v>
      </c>
      <c r="AD2598" t="s">
        <v>73</v>
      </c>
      <c r="AE2598" t="s">
        <v>77</v>
      </c>
      <c r="AF2598" t="s">
        <v>2242</v>
      </c>
      <c r="AG2598" t="s">
        <v>78</v>
      </c>
    </row>
    <row r="2599" spans="1:33" hidden="1" x14ac:dyDescent="0.25">
      <c r="A2599" t="str">
        <f>"1902946189"</f>
        <v>1902946189</v>
      </c>
      <c r="C2599" t="s">
        <v>11076</v>
      </c>
      <c r="G2599" t="s">
        <v>2224</v>
      </c>
      <c r="H2599" t="s">
        <v>2312</v>
      </c>
      <c r="J2599" t="s">
        <v>2226</v>
      </c>
      <c r="K2599" t="s">
        <v>171</v>
      </c>
      <c r="L2599" t="s">
        <v>96</v>
      </c>
      <c r="M2599" t="s">
        <v>73</v>
      </c>
      <c r="R2599" t="s">
        <v>11077</v>
      </c>
      <c r="S2599" t="s">
        <v>11078</v>
      </c>
      <c r="T2599" t="s">
        <v>91</v>
      </c>
      <c r="U2599" t="s">
        <v>74</v>
      </c>
      <c r="V2599" t="str">
        <f>"100214805"</f>
        <v>100214805</v>
      </c>
      <c r="AC2599" t="s">
        <v>76</v>
      </c>
      <c r="AD2599" t="s">
        <v>73</v>
      </c>
      <c r="AE2599" t="s">
        <v>97</v>
      </c>
      <c r="AF2599" t="s">
        <v>2242</v>
      </c>
      <c r="AG2599" t="s">
        <v>78</v>
      </c>
    </row>
    <row r="2600" spans="1:33" hidden="1" x14ac:dyDescent="0.25">
      <c r="A2600" t="str">
        <f>"1497767941"</f>
        <v>1497767941</v>
      </c>
      <c r="B2600" t="str">
        <f>"00250353"</f>
        <v>00250353</v>
      </c>
      <c r="C2600" t="s">
        <v>11079</v>
      </c>
      <c r="D2600" t="s">
        <v>11080</v>
      </c>
      <c r="E2600" t="s">
        <v>11081</v>
      </c>
      <c r="L2600" t="s">
        <v>80</v>
      </c>
      <c r="M2600" t="s">
        <v>73</v>
      </c>
      <c r="R2600" t="s">
        <v>11082</v>
      </c>
      <c r="W2600" t="s">
        <v>11083</v>
      </c>
      <c r="Y2600" t="s">
        <v>91</v>
      </c>
      <c r="Z2600" t="s">
        <v>74</v>
      </c>
      <c r="AA2600" t="str">
        <f>"10065-4885"</f>
        <v>10065-4885</v>
      </c>
      <c r="AB2600" t="s">
        <v>75</v>
      </c>
      <c r="AC2600" t="s">
        <v>76</v>
      </c>
      <c r="AD2600" t="s">
        <v>73</v>
      </c>
      <c r="AE2600" t="s">
        <v>77</v>
      </c>
      <c r="AF2600" t="s">
        <v>2242</v>
      </c>
      <c r="AG2600" t="s">
        <v>78</v>
      </c>
    </row>
    <row r="2601" spans="1:33" hidden="1" x14ac:dyDescent="0.25">
      <c r="A2601" t="str">
        <f>"1043458854"</f>
        <v>1043458854</v>
      </c>
      <c r="B2601" t="str">
        <f>"03281101"</f>
        <v>03281101</v>
      </c>
      <c r="C2601" t="s">
        <v>11084</v>
      </c>
      <c r="D2601" t="s">
        <v>11085</v>
      </c>
      <c r="E2601" t="s">
        <v>11086</v>
      </c>
      <c r="L2601" t="s">
        <v>80</v>
      </c>
      <c r="M2601" t="s">
        <v>73</v>
      </c>
      <c r="R2601" t="s">
        <v>11087</v>
      </c>
      <c r="W2601" t="s">
        <v>11086</v>
      </c>
      <c r="X2601" t="s">
        <v>170</v>
      </c>
      <c r="Y2601" t="s">
        <v>91</v>
      </c>
      <c r="Z2601" t="s">
        <v>74</v>
      </c>
      <c r="AA2601" t="str">
        <f>"10065-4870"</f>
        <v>10065-4870</v>
      </c>
      <c r="AB2601" t="s">
        <v>75</v>
      </c>
      <c r="AC2601" t="s">
        <v>76</v>
      </c>
      <c r="AD2601" t="s">
        <v>73</v>
      </c>
      <c r="AE2601" t="s">
        <v>77</v>
      </c>
      <c r="AF2601" t="s">
        <v>2242</v>
      </c>
      <c r="AG2601" t="s">
        <v>78</v>
      </c>
    </row>
    <row r="2602" spans="1:33" hidden="1" x14ac:dyDescent="0.25">
      <c r="A2602" t="str">
        <f>"1538194709"</f>
        <v>1538194709</v>
      </c>
      <c r="B2602" t="str">
        <f>"00309875"</f>
        <v>00309875</v>
      </c>
      <c r="C2602" t="s">
        <v>11088</v>
      </c>
      <c r="D2602" t="s">
        <v>1562</v>
      </c>
      <c r="E2602" t="s">
        <v>1563</v>
      </c>
      <c r="G2602" t="s">
        <v>2235</v>
      </c>
      <c r="H2602" t="s">
        <v>2236</v>
      </c>
      <c r="J2602" t="s">
        <v>2237</v>
      </c>
      <c r="L2602" t="s">
        <v>101</v>
      </c>
      <c r="M2602" t="s">
        <v>82</v>
      </c>
      <c r="R2602" t="s">
        <v>1564</v>
      </c>
      <c r="W2602" t="s">
        <v>1563</v>
      </c>
      <c r="X2602" t="s">
        <v>926</v>
      </c>
      <c r="Y2602" t="s">
        <v>91</v>
      </c>
      <c r="Z2602" t="s">
        <v>74</v>
      </c>
      <c r="AA2602" t="str">
        <f>"10040-3403"</f>
        <v>10040-3403</v>
      </c>
      <c r="AB2602" t="s">
        <v>102</v>
      </c>
      <c r="AC2602" t="s">
        <v>76</v>
      </c>
      <c r="AD2602" t="s">
        <v>73</v>
      </c>
      <c r="AE2602" t="s">
        <v>77</v>
      </c>
      <c r="AG2602" t="s">
        <v>78</v>
      </c>
    </row>
    <row r="2603" spans="1:33" hidden="1" x14ac:dyDescent="0.25">
      <c r="A2603" t="str">
        <f>"1639393069"</f>
        <v>1639393069</v>
      </c>
      <c r="B2603" t="str">
        <f>"02925253"</f>
        <v>02925253</v>
      </c>
      <c r="C2603" t="s">
        <v>11089</v>
      </c>
      <c r="D2603" t="s">
        <v>11090</v>
      </c>
      <c r="E2603" t="s">
        <v>11091</v>
      </c>
      <c r="G2603" t="s">
        <v>2224</v>
      </c>
      <c r="H2603" t="s">
        <v>2225</v>
      </c>
      <c r="J2603" t="s">
        <v>2226</v>
      </c>
      <c r="L2603" t="s">
        <v>80</v>
      </c>
      <c r="M2603" t="s">
        <v>82</v>
      </c>
      <c r="R2603" t="s">
        <v>11092</v>
      </c>
      <c r="W2603" t="s">
        <v>11091</v>
      </c>
      <c r="X2603" t="s">
        <v>3433</v>
      </c>
      <c r="Y2603" t="s">
        <v>91</v>
      </c>
      <c r="Z2603" t="s">
        <v>74</v>
      </c>
      <c r="AA2603" t="str">
        <f>"10032-4220"</f>
        <v>10032-4220</v>
      </c>
      <c r="AB2603" t="s">
        <v>75</v>
      </c>
      <c r="AC2603" t="s">
        <v>76</v>
      </c>
      <c r="AD2603" t="s">
        <v>73</v>
      </c>
      <c r="AE2603" t="s">
        <v>77</v>
      </c>
      <c r="AF2603" t="s">
        <v>2228</v>
      </c>
      <c r="AG2603" t="s">
        <v>78</v>
      </c>
    </row>
    <row r="2604" spans="1:33" hidden="1" x14ac:dyDescent="0.25">
      <c r="C2604" t="s">
        <v>11093</v>
      </c>
      <c r="G2604" t="s">
        <v>11094</v>
      </c>
      <c r="H2604" t="s">
        <v>11095</v>
      </c>
      <c r="I2604">
        <v>123</v>
      </c>
      <c r="J2604" t="s">
        <v>11096</v>
      </c>
      <c r="K2604" t="s">
        <v>247</v>
      </c>
      <c r="L2604" t="s">
        <v>94</v>
      </c>
      <c r="M2604" t="s">
        <v>73</v>
      </c>
      <c r="AC2604" t="s">
        <v>76</v>
      </c>
      <c r="AD2604" t="s">
        <v>73</v>
      </c>
      <c r="AE2604" t="s">
        <v>95</v>
      </c>
      <c r="AG2604" t="s">
        <v>78</v>
      </c>
    </row>
    <row r="2605" spans="1:33" hidden="1" x14ac:dyDescent="0.25">
      <c r="A2605" t="str">
        <f>"1124398300"</f>
        <v>1124398300</v>
      </c>
      <c r="C2605" t="s">
        <v>11097</v>
      </c>
      <c r="G2605" t="s">
        <v>2224</v>
      </c>
      <c r="H2605" t="s">
        <v>2225</v>
      </c>
      <c r="J2605" t="s">
        <v>2226</v>
      </c>
      <c r="K2605" t="s">
        <v>171</v>
      </c>
      <c r="L2605" t="s">
        <v>72</v>
      </c>
      <c r="M2605" t="s">
        <v>73</v>
      </c>
      <c r="R2605" t="s">
        <v>11098</v>
      </c>
      <c r="S2605" t="s">
        <v>170</v>
      </c>
      <c r="T2605" t="s">
        <v>91</v>
      </c>
      <c r="U2605" t="s">
        <v>74</v>
      </c>
      <c r="V2605" t="str">
        <f>"10021"</f>
        <v>10021</v>
      </c>
      <c r="AC2605" t="s">
        <v>76</v>
      </c>
      <c r="AD2605" t="s">
        <v>73</v>
      </c>
      <c r="AE2605" t="s">
        <v>97</v>
      </c>
      <c r="AF2605" t="s">
        <v>2398</v>
      </c>
      <c r="AG2605" t="s">
        <v>78</v>
      </c>
    </row>
    <row r="2606" spans="1:33" hidden="1" x14ac:dyDescent="0.25">
      <c r="A2606" t="str">
        <f>"1194739284"</f>
        <v>1194739284</v>
      </c>
      <c r="B2606" t="str">
        <f>"00967491"</f>
        <v>00967491</v>
      </c>
      <c r="C2606" t="s">
        <v>11099</v>
      </c>
      <c r="D2606" t="s">
        <v>11100</v>
      </c>
      <c r="E2606" t="s">
        <v>11101</v>
      </c>
      <c r="G2606" t="s">
        <v>2224</v>
      </c>
      <c r="H2606" t="s">
        <v>2225</v>
      </c>
      <c r="J2606" t="s">
        <v>2226</v>
      </c>
      <c r="L2606" t="s">
        <v>72</v>
      </c>
      <c r="M2606" t="s">
        <v>82</v>
      </c>
      <c r="R2606" t="s">
        <v>11102</v>
      </c>
      <c r="W2606" t="s">
        <v>11101</v>
      </c>
      <c r="X2606" t="s">
        <v>11103</v>
      </c>
      <c r="Y2606" t="s">
        <v>91</v>
      </c>
      <c r="Z2606" t="s">
        <v>74</v>
      </c>
      <c r="AA2606" t="str">
        <f>"10022-1236"</f>
        <v>10022-1236</v>
      </c>
      <c r="AB2606" t="s">
        <v>75</v>
      </c>
      <c r="AC2606" t="s">
        <v>76</v>
      </c>
      <c r="AD2606" t="s">
        <v>73</v>
      </c>
      <c r="AE2606" t="s">
        <v>77</v>
      </c>
      <c r="AF2606" t="s">
        <v>2254</v>
      </c>
      <c r="AG2606" t="s">
        <v>78</v>
      </c>
    </row>
    <row r="2607" spans="1:33" hidden="1" x14ac:dyDescent="0.25">
      <c r="A2607" t="str">
        <f>"1750517520"</f>
        <v>1750517520</v>
      </c>
      <c r="B2607" t="str">
        <f>"03918605"</f>
        <v>03918605</v>
      </c>
      <c r="C2607" t="s">
        <v>11104</v>
      </c>
      <c r="D2607" t="s">
        <v>11105</v>
      </c>
      <c r="E2607" t="s">
        <v>11106</v>
      </c>
      <c r="L2607" t="s">
        <v>96</v>
      </c>
      <c r="M2607" t="s">
        <v>73</v>
      </c>
      <c r="R2607" t="s">
        <v>11107</v>
      </c>
      <c r="W2607" t="s">
        <v>11106</v>
      </c>
      <c r="X2607" t="s">
        <v>693</v>
      </c>
      <c r="Y2607" t="s">
        <v>118</v>
      </c>
      <c r="Z2607" t="s">
        <v>74</v>
      </c>
      <c r="AA2607" t="str">
        <f>"10458-5048"</f>
        <v>10458-5048</v>
      </c>
      <c r="AB2607" t="s">
        <v>75</v>
      </c>
      <c r="AC2607" t="s">
        <v>76</v>
      </c>
      <c r="AD2607" t="s">
        <v>73</v>
      </c>
      <c r="AE2607" t="s">
        <v>77</v>
      </c>
      <c r="AG2607" t="s">
        <v>78</v>
      </c>
    </row>
    <row r="2608" spans="1:33" hidden="1" x14ac:dyDescent="0.25">
      <c r="A2608" t="str">
        <f>"1114194008"</f>
        <v>1114194008</v>
      </c>
      <c r="B2608" t="str">
        <f>"03727153"</f>
        <v>03727153</v>
      </c>
      <c r="C2608" t="s">
        <v>11108</v>
      </c>
      <c r="D2608" t="s">
        <v>11109</v>
      </c>
      <c r="E2608" t="s">
        <v>11110</v>
      </c>
      <c r="G2608" t="s">
        <v>2224</v>
      </c>
      <c r="H2608" t="s">
        <v>2225</v>
      </c>
      <c r="J2608" t="s">
        <v>2226</v>
      </c>
      <c r="L2608" t="s">
        <v>72</v>
      </c>
      <c r="M2608" t="s">
        <v>73</v>
      </c>
      <c r="R2608" t="s">
        <v>11111</v>
      </c>
      <c r="W2608" t="s">
        <v>11110</v>
      </c>
      <c r="X2608" t="s">
        <v>11112</v>
      </c>
      <c r="Y2608" t="s">
        <v>91</v>
      </c>
      <c r="Z2608" t="s">
        <v>74</v>
      </c>
      <c r="AA2608" t="str">
        <f>"10065-4870"</f>
        <v>10065-4870</v>
      </c>
      <c r="AB2608" t="s">
        <v>75</v>
      </c>
      <c r="AC2608" t="s">
        <v>76</v>
      </c>
      <c r="AD2608" t="s">
        <v>73</v>
      </c>
      <c r="AE2608" t="s">
        <v>77</v>
      </c>
      <c r="AF2608" t="s">
        <v>2398</v>
      </c>
      <c r="AG2608" t="s">
        <v>78</v>
      </c>
    </row>
    <row r="2609" spans="1:33" hidden="1" x14ac:dyDescent="0.25">
      <c r="A2609" t="str">
        <f>"1114205622"</f>
        <v>1114205622</v>
      </c>
      <c r="B2609" t="str">
        <f>"03375248"</f>
        <v>03375248</v>
      </c>
      <c r="C2609" t="s">
        <v>11113</v>
      </c>
      <c r="D2609" t="s">
        <v>11114</v>
      </c>
      <c r="E2609" t="s">
        <v>11115</v>
      </c>
      <c r="G2609" t="s">
        <v>2224</v>
      </c>
      <c r="H2609" t="s">
        <v>2225</v>
      </c>
      <c r="J2609" t="s">
        <v>2226</v>
      </c>
      <c r="L2609" t="s">
        <v>72</v>
      </c>
      <c r="M2609" t="s">
        <v>73</v>
      </c>
      <c r="R2609" t="s">
        <v>11116</v>
      </c>
      <c r="W2609" t="s">
        <v>11115</v>
      </c>
      <c r="X2609" t="s">
        <v>1397</v>
      </c>
      <c r="Y2609" t="s">
        <v>91</v>
      </c>
      <c r="Z2609" t="s">
        <v>74</v>
      </c>
      <c r="AA2609" t="str">
        <f>"10032-3724"</f>
        <v>10032-3724</v>
      </c>
      <c r="AB2609" t="s">
        <v>113</v>
      </c>
      <c r="AC2609" t="s">
        <v>76</v>
      </c>
      <c r="AD2609" t="s">
        <v>73</v>
      </c>
      <c r="AE2609" t="s">
        <v>77</v>
      </c>
      <c r="AF2609" t="s">
        <v>2228</v>
      </c>
      <c r="AG2609" t="s">
        <v>78</v>
      </c>
    </row>
    <row r="2610" spans="1:33" hidden="1" x14ac:dyDescent="0.25">
      <c r="A2610" t="str">
        <f>"1760641864"</f>
        <v>1760641864</v>
      </c>
      <c r="B2610" t="str">
        <f>"03056457"</f>
        <v>03056457</v>
      </c>
      <c r="C2610" t="s">
        <v>11117</v>
      </c>
      <c r="D2610" t="s">
        <v>11118</v>
      </c>
      <c r="E2610" t="s">
        <v>11119</v>
      </c>
      <c r="G2610" t="s">
        <v>2224</v>
      </c>
      <c r="H2610" t="s">
        <v>2225</v>
      </c>
      <c r="J2610" t="s">
        <v>2226</v>
      </c>
      <c r="L2610" t="s">
        <v>80</v>
      </c>
      <c r="M2610" t="s">
        <v>73</v>
      </c>
      <c r="R2610" t="s">
        <v>11120</v>
      </c>
      <c r="W2610" t="s">
        <v>11119</v>
      </c>
      <c r="X2610" t="s">
        <v>11121</v>
      </c>
      <c r="Y2610" t="s">
        <v>91</v>
      </c>
      <c r="Z2610" t="s">
        <v>74</v>
      </c>
      <c r="AA2610" t="str">
        <f>"10021-9800"</f>
        <v>10021-9800</v>
      </c>
      <c r="AB2610" t="s">
        <v>75</v>
      </c>
      <c r="AC2610" t="s">
        <v>76</v>
      </c>
      <c r="AD2610" t="s">
        <v>73</v>
      </c>
      <c r="AE2610" t="s">
        <v>77</v>
      </c>
      <c r="AF2610" t="s">
        <v>2242</v>
      </c>
      <c r="AG2610" t="s">
        <v>78</v>
      </c>
    </row>
    <row r="2611" spans="1:33" hidden="1" x14ac:dyDescent="0.25">
      <c r="A2611" t="str">
        <f>"1639148208"</f>
        <v>1639148208</v>
      </c>
      <c r="B2611" t="str">
        <f>"02152321"</f>
        <v>02152321</v>
      </c>
      <c r="C2611" t="s">
        <v>11122</v>
      </c>
      <c r="D2611" t="s">
        <v>2020</v>
      </c>
      <c r="E2611" t="s">
        <v>2021</v>
      </c>
      <c r="G2611" t="s">
        <v>2224</v>
      </c>
      <c r="H2611" t="s">
        <v>2225</v>
      </c>
      <c r="J2611" t="s">
        <v>2226</v>
      </c>
      <c r="L2611" t="s">
        <v>80</v>
      </c>
      <c r="M2611" t="s">
        <v>73</v>
      </c>
      <c r="R2611" t="s">
        <v>2022</v>
      </c>
      <c r="W2611" t="s">
        <v>2021</v>
      </c>
      <c r="X2611" t="s">
        <v>344</v>
      </c>
      <c r="Y2611" t="s">
        <v>118</v>
      </c>
      <c r="Z2611" t="s">
        <v>74</v>
      </c>
      <c r="AA2611" t="str">
        <f>"10461-1138"</f>
        <v>10461-1138</v>
      </c>
      <c r="AB2611" t="s">
        <v>75</v>
      </c>
      <c r="AC2611" t="s">
        <v>76</v>
      </c>
      <c r="AD2611" t="s">
        <v>73</v>
      </c>
      <c r="AE2611" t="s">
        <v>77</v>
      </c>
      <c r="AF2611" t="s">
        <v>2398</v>
      </c>
      <c r="AG2611" t="s">
        <v>78</v>
      </c>
    </row>
    <row r="2612" spans="1:33" hidden="1" x14ac:dyDescent="0.25">
      <c r="A2612" t="str">
        <f>"1962607846"</f>
        <v>1962607846</v>
      </c>
      <c r="B2612" t="str">
        <f>"03722185"</f>
        <v>03722185</v>
      </c>
      <c r="C2612" t="s">
        <v>11123</v>
      </c>
      <c r="D2612" t="s">
        <v>11124</v>
      </c>
      <c r="E2612" t="s">
        <v>11125</v>
      </c>
      <c r="G2612" t="s">
        <v>2224</v>
      </c>
      <c r="H2612" t="s">
        <v>2225</v>
      </c>
      <c r="J2612" t="s">
        <v>2226</v>
      </c>
      <c r="L2612" t="s">
        <v>80</v>
      </c>
      <c r="M2612" t="s">
        <v>73</v>
      </c>
      <c r="R2612" t="s">
        <v>11126</v>
      </c>
      <c r="W2612" t="s">
        <v>11125</v>
      </c>
      <c r="X2612" t="s">
        <v>170</v>
      </c>
      <c r="Y2612" t="s">
        <v>91</v>
      </c>
      <c r="Z2612" t="s">
        <v>74</v>
      </c>
      <c r="AA2612" t="str">
        <f>"10065-4870"</f>
        <v>10065-4870</v>
      </c>
      <c r="AB2612" t="s">
        <v>75</v>
      </c>
      <c r="AC2612" t="s">
        <v>76</v>
      </c>
      <c r="AD2612" t="s">
        <v>73</v>
      </c>
      <c r="AE2612" t="s">
        <v>77</v>
      </c>
      <c r="AF2612" t="s">
        <v>2242</v>
      </c>
      <c r="AG2612" t="s">
        <v>78</v>
      </c>
    </row>
    <row r="2613" spans="1:33" hidden="1" x14ac:dyDescent="0.25">
      <c r="A2613" t="str">
        <f>"1447222625"</f>
        <v>1447222625</v>
      </c>
      <c r="B2613" t="str">
        <f>"02040655"</f>
        <v>02040655</v>
      </c>
      <c r="C2613" t="s">
        <v>11127</v>
      </c>
      <c r="D2613" t="s">
        <v>11128</v>
      </c>
      <c r="E2613" t="s">
        <v>11129</v>
      </c>
      <c r="G2613" t="s">
        <v>2224</v>
      </c>
      <c r="H2613" t="s">
        <v>2225</v>
      </c>
      <c r="J2613" t="s">
        <v>2226</v>
      </c>
      <c r="L2613" t="s">
        <v>72</v>
      </c>
      <c r="M2613" t="s">
        <v>73</v>
      </c>
      <c r="R2613" t="s">
        <v>11130</v>
      </c>
      <c r="W2613" t="s">
        <v>11129</v>
      </c>
      <c r="X2613" t="s">
        <v>7717</v>
      </c>
      <c r="Y2613" t="s">
        <v>1216</v>
      </c>
      <c r="Z2613" t="s">
        <v>74</v>
      </c>
      <c r="AA2613" t="str">
        <f>"10962-1723"</f>
        <v>10962-1723</v>
      </c>
      <c r="AB2613" t="s">
        <v>75</v>
      </c>
      <c r="AC2613" t="s">
        <v>76</v>
      </c>
      <c r="AD2613" t="s">
        <v>73</v>
      </c>
      <c r="AE2613" t="s">
        <v>77</v>
      </c>
      <c r="AF2613" t="s">
        <v>2254</v>
      </c>
      <c r="AG2613" t="s">
        <v>78</v>
      </c>
    </row>
    <row r="2614" spans="1:33" hidden="1" x14ac:dyDescent="0.25">
      <c r="A2614" t="str">
        <f>"1790969269"</f>
        <v>1790969269</v>
      </c>
      <c r="B2614" t="str">
        <f>"02998649"</f>
        <v>02998649</v>
      </c>
      <c r="C2614" t="s">
        <v>11131</v>
      </c>
      <c r="D2614" t="s">
        <v>3459</v>
      </c>
      <c r="E2614" t="s">
        <v>3460</v>
      </c>
      <c r="G2614" t="s">
        <v>2224</v>
      </c>
      <c r="H2614" t="s">
        <v>2225</v>
      </c>
      <c r="J2614" t="s">
        <v>2226</v>
      </c>
      <c r="L2614" t="s">
        <v>444</v>
      </c>
      <c r="M2614" t="s">
        <v>82</v>
      </c>
      <c r="R2614" t="s">
        <v>3461</v>
      </c>
      <c r="W2614" t="s">
        <v>3462</v>
      </c>
      <c r="X2614" t="s">
        <v>170</v>
      </c>
      <c r="Y2614" t="s">
        <v>91</v>
      </c>
      <c r="Z2614" t="s">
        <v>74</v>
      </c>
      <c r="AA2614" t="str">
        <f>"10065-4870"</f>
        <v>10065-4870</v>
      </c>
      <c r="AB2614" t="s">
        <v>90</v>
      </c>
      <c r="AC2614" t="s">
        <v>76</v>
      </c>
      <c r="AD2614" t="s">
        <v>73</v>
      </c>
      <c r="AE2614" t="s">
        <v>77</v>
      </c>
      <c r="AF2614" t="s">
        <v>2242</v>
      </c>
      <c r="AG2614" t="s">
        <v>78</v>
      </c>
    </row>
    <row r="2615" spans="1:33" hidden="1" x14ac:dyDescent="0.25">
      <c r="A2615" t="str">
        <f>"1356652937"</f>
        <v>1356652937</v>
      </c>
      <c r="B2615" t="str">
        <f>"02040462"</f>
        <v>02040462</v>
      </c>
      <c r="C2615" t="s">
        <v>11132</v>
      </c>
      <c r="D2615" t="s">
        <v>11133</v>
      </c>
      <c r="E2615" t="s">
        <v>11134</v>
      </c>
      <c r="G2615" t="s">
        <v>2224</v>
      </c>
      <c r="H2615" t="s">
        <v>11135</v>
      </c>
      <c r="J2615" t="s">
        <v>2226</v>
      </c>
      <c r="L2615" t="s">
        <v>81</v>
      </c>
      <c r="M2615" t="s">
        <v>73</v>
      </c>
      <c r="R2615" t="s">
        <v>11136</v>
      </c>
      <c r="W2615" t="s">
        <v>11134</v>
      </c>
      <c r="X2615" t="s">
        <v>11137</v>
      </c>
      <c r="Y2615" t="s">
        <v>91</v>
      </c>
      <c r="Z2615" t="s">
        <v>74</v>
      </c>
      <c r="AA2615" t="str">
        <f>"10065-8788"</f>
        <v>10065-8788</v>
      </c>
      <c r="AB2615" t="s">
        <v>75</v>
      </c>
      <c r="AC2615" t="s">
        <v>76</v>
      </c>
      <c r="AD2615" t="s">
        <v>73</v>
      </c>
      <c r="AE2615" t="s">
        <v>77</v>
      </c>
      <c r="AF2615" t="s">
        <v>2234</v>
      </c>
      <c r="AG2615" t="s">
        <v>78</v>
      </c>
    </row>
    <row r="2616" spans="1:33" hidden="1" x14ac:dyDescent="0.25">
      <c r="A2616" t="str">
        <f>"1962559427"</f>
        <v>1962559427</v>
      </c>
      <c r="B2616" t="str">
        <f>"01846419"</f>
        <v>01846419</v>
      </c>
      <c r="C2616" t="s">
        <v>11138</v>
      </c>
      <c r="D2616" t="s">
        <v>11139</v>
      </c>
      <c r="E2616" t="s">
        <v>11140</v>
      </c>
      <c r="G2616" t="s">
        <v>2224</v>
      </c>
      <c r="H2616" t="s">
        <v>11141</v>
      </c>
      <c r="J2616" t="s">
        <v>2226</v>
      </c>
      <c r="L2616" t="s">
        <v>72</v>
      </c>
      <c r="M2616" t="s">
        <v>73</v>
      </c>
      <c r="R2616" t="s">
        <v>11142</v>
      </c>
      <c r="W2616" t="s">
        <v>11140</v>
      </c>
      <c r="X2616" t="s">
        <v>344</v>
      </c>
      <c r="Y2616" t="s">
        <v>118</v>
      </c>
      <c r="Z2616" t="s">
        <v>74</v>
      </c>
      <c r="AA2616" t="str">
        <f>"10461-1138"</f>
        <v>10461-1138</v>
      </c>
      <c r="AB2616" t="s">
        <v>75</v>
      </c>
      <c r="AC2616" t="s">
        <v>76</v>
      </c>
      <c r="AD2616" t="s">
        <v>73</v>
      </c>
      <c r="AE2616" t="s">
        <v>77</v>
      </c>
      <c r="AF2616" t="s">
        <v>2242</v>
      </c>
      <c r="AG2616" t="s">
        <v>78</v>
      </c>
    </row>
    <row r="2617" spans="1:33" hidden="1" x14ac:dyDescent="0.25">
      <c r="A2617" t="str">
        <f>"1245278498"</f>
        <v>1245278498</v>
      </c>
      <c r="B2617" t="str">
        <f>"02768894"</f>
        <v>02768894</v>
      </c>
      <c r="C2617" t="s">
        <v>11143</v>
      </c>
      <c r="D2617" t="s">
        <v>11144</v>
      </c>
      <c r="E2617" t="s">
        <v>11145</v>
      </c>
      <c r="G2617" t="s">
        <v>2224</v>
      </c>
      <c r="H2617" t="s">
        <v>2225</v>
      </c>
      <c r="J2617" t="s">
        <v>2226</v>
      </c>
      <c r="L2617" t="s">
        <v>80</v>
      </c>
      <c r="M2617" t="s">
        <v>73</v>
      </c>
      <c r="R2617" t="s">
        <v>11146</v>
      </c>
      <c r="W2617" t="s">
        <v>11145</v>
      </c>
      <c r="X2617" t="s">
        <v>183</v>
      </c>
      <c r="Y2617" t="s">
        <v>91</v>
      </c>
      <c r="Z2617" t="s">
        <v>74</v>
      </c>
      <c r="AA2617" t="str">
        <f>"10032-3729"</f>
        <v>10032-3729</v>
      </c>
      <c r="AB2617" t="s">
        <v>75</v>
      </c>
      <c r="AC2617" t="s">
        <v>76</v>
      </c>
      <c r="AD2617" t="s">
        <v>73</v>
      </c>
      <c r="AE2617" t="s">
        <v>77</v>
      </c>
      <c r="AF2617" t="s">
        <v>2228</v>
      </c>
      <c r="AG2617" t="s">
        <v>78</v>
      </c>
    </row>
    <row r="2618" spans="1:33" hidden="1" x14ac:dyDescent="0.25">
      <c r="A2618" t="str">
        <f>"1346412897"</f>
        <v>1346412897</v>
      </c>
      <c r="B2618" t="str">
        <f>"03922929"</f>
        <v>03922929</v>
      </c>
      <c r="C2618" t="s">
        <v>11147</v>
      </c>
      <c r="D2618" t="s">
        <v>11148</v>
      </c>
      <c r="E2618" t="s">
        <v>11149</v>
      </c>
      <c r="L2618" t="s">
        <v>80</v>
      </c>
      <c r="M2618" t="s">
        <v>73</v>
      </c>
      <c r="R2618" t="s">
        <v>11150</v>
      </c>
      <c r="W2618" t="s">
        <v>11149</v>
      </c>
      <c r="X2618" t="s">
        <v>170</v>
      </c>
      <c r="Y2618" t="s">
        <v>91</v>
      </c>
      <c r="Z2618" t="s">
        <v>74</v>
      </c>
      <c r="AA2618" t="str">
        <f>"10065-4870"</f>
        <v>10065-4870</v>
      </c>
      <c r="AB2618" t="s">
        <v>75</v>
      </c>
      <c r="AC2618" t="s">
        <v>76</v>
      </c>
      <c r="AD2618" t="s">
        <v>73</v>
      </c>
      <c r="AE2618" t="s">
        <v>77</v>
      </c>
      <c r="AG2618" t="s">
        <v>78</v>
      </c>
    </row>
    <row r="2619" spans="1:33" hidden="1" x14ac:dyDescent="0.25">
      <c r="A2619" t="str">
        <f>"1558372870"</f>
        <v>1558372870</v>
      </c>
      <c r="B2619" t="str">
        <f>"02558423"</f>
        <v>02558423</v>
      </c>
      <c r="C2619" t="s">
        <v>11151</v>
      </c>
      <c r="D2619" t="s">
        <v>11152</v>
      </c>
      <c r="E2619" t="s">
        <v>11153</v>
      </c>
      <c r="L2619" t="s">
        <v>80</v>
      </c>
      <c r="M2619" t="s">
        <v>73</v>
      </c>
      <c r="R2619" t="s">
        <v>11154</v>
      </c>
      <c r="W2619" t="s">
        <v>11153</v>
      </c>
      <c r="X2619" t="s">
        <v>1167</v>
      </c>
      <c r="Y2619" t="s">
        <v>91</v>
      </c>
      <c r="Z2619" t="s">
        <v>74</v>
      </c>
      <c r="AA2619" t="str">
        <f>"10065-4870"</f>
        <v>10065-4870</v>
      </c>
      <c r="AB2619" t="s">
        <v>75</v>
      </c>
      <c r="AC2619" t="s">
        <v>76</v>
      </c>
      <c r="AD2619" t="s">
        <v>73</v>
      </c>
      <c r="AE2619" t="s">
        <v>77</v>
      </c>
      <c r="AF2619" t="s">
        <v>2242</v>
      </c>
      <c r="AG2619" t="s">
        <v>78</v>
      </c>
    </row>
    <row r="2620" spans="1:33" hidden="1" x14ac:dyDescent="0.25">
      <c r="A2620" t="str">
        <f>"1538401765"</f>
        <v>1538401765</v>
      </c>
      <c r="C2620" t="s">
        <v>11155</v>
      </c>
      <c r="G2620" t="s">
        <v>2224</v>
      </c>
      <c r="H2620" t="s">
        <v>2312</v>
      </c>
      <c r="J2620" t="s">
        <v>2226</v>
      </c>
      <c r="K2620" t="s">
        <v>171</v>
      </c>
      <c r="L2620" t="s">
        <v>96</v>
      </c>
      <c r="M2620" t="s">
        <v>73</v>
      </c>
      <c r="R2620" t="s">
        <v>11156</v>
      </c>
      <c r="S2620" t="s">
        <v>3387</v>
      </c>
      <c r="T2620" t="s">
        <v>91</v>
      </c>
      <c r="U2620" t="s">
        <v>74</v>
      </c>
      <c r="V2620" t="str">
        <f>"100323720"</f>
        <v>100323720</v>
      </c>
      <c r="AC2620" t="s">
        <v>76</v>
      </c>
      <c r="AD2620" t="s">
        <v>73</v>
      </c>
      <c r="AE2620" t="s">
        <v>97</v>
      </c>
      <c r="AF2620" t="s">
        <v>2228</v>
      </c>
      <c r="AG2620" t="s">
        <v>78</v>
      </c>
    </row>
    <row r="2621" spans="1:33" hidden="1" x14ac:dyDescent="0.25">
      <c r="A2621" t="str">
        <f>"1972747749"</f>
        <v>1972747749</v>
      </c>
      <c r="B2621" t="str">
        <f>"03607696"</f>
        <v>03607696</v>
      </c>
      <c r="C2621" t="s">
        <v>11157</v>
      </c>
      <c r="D2621" t="s">
        <v>11158</v>
      </c>
      <c r="E2621" t="s">
        <v>11159</v>
      </c>
      <c r="G2621" t="s">
        <v>2224</v>
      </c>
      <c r="H2621" t="s">
        <v>2225</v>
      </c>
      <c r="J2621" t="s">
        <v>2226</v>
      </c>
      <c r="L2621" t="s">
        <v>72</v>
      </c>
      <c r="M2621" t="s">
        <v>73</v>
      </c>
      <c r="R2621" t="s">
        <v>11159</v>
      </c>
      <c r="W2621" t="s">
        <v>11159</v>
      </c>
      <c r="X2621" t="s">
        <v>1397</v>
      </c>
      <c r="Y2621" t="s">
        <v>91</v>
      </c>
      <c r="Z2621" t="s">
        <v>74</v>
      </c>
      <c r="AA2621" t="str">
        <f>"10032-3724"</f>
        <v>10032-3724</v>
      </c>
      <c r="AB2621" t="s">
        <v>75</v>
      </c>
      <c r="AC2621" t="s">
        <v>76</v>
      </c>
      <c r="AD2621" t="s">
        <v>73</v>
      </c>
      <c r="AE2621" t="s">
        <v>77</v>
      </c>
      <c r="AF2621" t="s">
        <v>2234</v>
      </c>
      <c r="AG2621" t="s">
        <v>78</v>
      </c>
    </row>
    <row r="2622" spans="1:33" hidden="1" x14ac:dyDescent="0.25">
      <c r="A2622" t="str">
        <f>"1720130685"</f>
        <v>1720130685</v>
      </c>
      <c r="B2622" t="str">
        <f>"02640471"</f>
        <v>02640471</v>
      </c>
      <c r="C2622" t="s">
        <v>11160</v>
      </c>
      <c r="D2622" t="s">
        <v>11161</v>
      </c>
      <c r="E2622" t="s">
        <v>11162</v>
      </c>
      <c r="L2622" t="s">
        <v>80</v>
      </c>
      <c r="M2622" t="s">
        <v>73</v>
      </c>
      <c r="R2622" t="s">
        <v>11163</v>
      </c>
      <c r="W2622" t="s">
        <v>11162</v>
      </c>
      <c r="X2622" t="s">
        <v>167</v>
      </c>
      <c r="Y2622" t="s">
        <v>91</v>
      </c>
      <c r="Z2622" t="s">
        <v>74</v>
      </c>
      <c r="AA2622" t="str">
        <f>"10032-3720"</f>
        <v>10032-3720</v>
      </c>
      <c r="AB2622" t="s">
        <v>75</v>
      </c>
      <c r="AC2622" t="s">
        <v>76</v>
      </c>
      <c r="AD2622" t="s">
        <v>73</v>
      </c>
      <c r="AE2622" t="s">
        <v>77</v>
      </c>
      <c r="AF2622" t="s">
        <v>2228</v>
      </c>
      <c r="AG2622" t="s">
        <v>78</v>
      </c>
    </row>
    <row r="2623" spans="1:33" hidden="1" x14ac:dyDescent="0.25">
      <c r="A2623" t="str">
        <f>"1578664397"</f>
        <v>1578664397</v>
      </c>
      <c r="B2623" t="str">
        <f>"02639554"</f>
        <v>02639554</v>
      </c>
      <c r="C2623" t="s">
        <v>11164</v>
      </c>
      <c r="D2623" t="s">
        <v>11165</v>
      </c>
      <c r="E2623" t="s">
        <v>11166</v>
      </c>
      <c r="L2623" t="s">
        <v>80</v>
      </c>
      <c r="M2623" t="s">
        <v>73</v>
      </c>
      <c r="R2623" t="s">
        <v>11167</v>
      </c>
      <c r="W2623" t="s">
        <v>11166</v>
      </c>
      <c r="X2623" t="s">
        <v>167</v>
      </c>
      <c r="Y2623" t="s">
        <v>91</v>
      </c>
      <c r="Z2623" t="s">
        <v>74</v>
      </c>
      <c r="AA2623" t="str">
        <f>"10032-3720"</f>
        <v>10032-3720</v>
      </c>
      <c r="AB2623" t="s">
        <v>75</v>
      </c>
      <c r="AC2623" t="s">
        <v>76</v>
      </c>
      <c r="AD2623" t="s">
        <v>73</v>
      </c>
      <c r="AE2623" t="s">
        <v>77</v>
      </c>
      <c r="AF2623" t="s">
        <v>2228</v>
      </c>
      <c r="AG2623" t="s">
        <v>78</v>
      </c>
    </row>
    <row r="2624" spans="1:33" hidden="1" x14ac:dyDescent="0.25">
      <c r="A2624" t="str">
        <f>"1366718033"</f>
        <v>1366718033</v>
      </c>
      <c r="C2624" t="s">
        <v>11168</v>
      </c>
      <c r="G2624" t="s">
        <v>2224</v>
      </c>
      <c r="H2624" t="s">
        <v>2312</v>
      </c>
      <c r="J2624" t="s">
        <v>2226</v>
      </c>
      <c r="K2624" t="s">
        <v>171</v>
      </c>
      <c r="L2624" t="s">
        <v>96</v>
      </c>
      <c r="M2624" t="s">
        <v>73</v>
      </c>
      <c r="R2624" t="s">
        <v>11169</v>
      </c>
      <c r="S2624" t="s">
        <v>11170</v>
      </c>
      <c r="T2624" t="s">
        <v>84</v>
      </c>
      <c r="U2624" t="s">
        <v>74</v>
      </c>
      <c r="V2624" t="str">
        <f>"112015437"</f>
        <v>112015437</v>
      </c>
      <c r="AC2624" t="s">
        <v>76</v>
      </c>
      <c r="AD2624" t="s">
        <v>73</v>
      </c>
      <c r="AE2624" t="s">
        <v>97</v>
      </c>
      <c r="AF2624" t="s">
        <v>2242</v>
      </c>
      <c r="AG2624" t="s">
        <v>78</v>
      </c>
    </row>
    <row r="2625" spans="1:33" hidden="1" x14ac:dyDescent="0.25">
      <c r="A2625" t="str">
        <f>"1033475439"</f>
        <v>1033475439</v>
      </c>
      <c r="C2625" t="s">
        <v>11171</v>
      </c>
      <c r="G2625" t="s">
        <v>2224</v>
      </c>
      <c r="H2625" t="s">
        <v>2312</v>
      </c>
      <c r="J2625" t="s">
        <v>2226</v>
      </c>
      <c r="K2625" t="s">
        <v>171</v>
      </c>
      <c r="L2625" t="s">
        <v>96</v>
      </c>
      <c r="M2625" t="s">
        <v>73</v>
      </c>
      <c r="R2625" t="s">
        <v>11172</v>
      </c>
      <c r="S2625" t="s">
        <v>11173</v>
      </c>
      <c r="T2625" t="s">
        <v>11174</v>
      </c>
      <c r="U2625" t="s">
        <v>111</v>
      </c>
      <c r="V2625" t="str">
        <f>"026015230"</f>
        <v>026015230</v>
      </c>
      <c r="AC2625" t="s">
        <v>76</v>
      </c>
      <c r="AD2625" t="s">
        <v>73</v>
      </c>
      <c r="AE2625" t="s">
        <v>97</v>
      </c>
      <c r="AF2625" t="s">
        <v>2242</v>
      </c>
      <c r="AG2625" t="s">
        <v>78</v>
      </c>
    </row>
    <row r="2626" spans="1:33" hidden="1" x14ac:dyDescent="0.25">
      <c r="A2626" t="str">
        <f>"1164765467"</f>
        <v>1164765467</v>
      </c>
      <c r="C2626" t="s">
        <v>11175</v>
      </c>
      <c r="G2626" t="s">
        <v>2224</v>
      </c>
      <c r="H2626" t="s">
        <v>2312</v>
      </c>
      <c r="J2626" t="s">
        <v>2226</v>
      </c>
      <c r="K2626" t="s">
        <v>171</v>
      </c>
      <c r="L2626" t="s">
        <v>96</v>
      </c>
      <c r="M2626" t="s">
        <v>73</v>
      </c>
      <c r="R2626" t="s">
        <v>11176</v>
      </c>
      <c r="S2626" t="s">
        <v>11177</v>
      </c>
      <c r="T2626" t="s">
        <v>11178</v>
      </c>
      <c r="U2626" t="s">
        <v>588</v>
      </c>
      <c r="V2626" t="str">
        <f>"229032115"</f>
        <v>229032115</v>
      </c>
      <c r="AC2626" t="s">
        <v>76</v>
      </c>
      <c r="AD2626" t="s">
        <v>73</v>
      </c>
      <c r="AE2626" t="s">
        <v>97</v>
      </c>
      <c r="AF2626" t="s">
        <v>2242</v>
      </c>
      <c r="AG2626" t="s">
        <v>78</v>
      </c>
    </row>
    <row r="2627" spans="1:33" hidden="1" x14ac:dyDescent="0.25">
      <c r="A2627" t="str">
        <f>"1164543096"</f>
        <v>1164543096</v>
      </c>
      <c r="B2627" t="str">
        <f>"03111135"</f>
        <v>03111135</v>
      </c>
      <c r="C2627" t="s">
        <v>11179</v>
      </c>
      <c r="D2627" t="s">
        <v>11180</v>
      </c>
      <c r="E2627" t="s">
        <v>11181</v>
      </c>
      <c r="G2627" t="s">
        <v>2224</v>
      </c>
      <c r="H2627" t="s">
        <v>11182</v>
      </c>
      <c r="J2627" t="s">
        <v>2226</v>
      </c>
      <c r="L2627" t="s">
        <v>80</v>
      </c>
      <c r="M2627" t="s">
        <v>73</v>
      </c>
      <c r="R2627" t="s">
        <v>11183</v>
      </c>
      <c r="W2627" t="s">
        <v>11181</v>
      </c>
      <c r="X2627" t="s">
        <v>167</v>
      </c>
      <c r="Y2627" t="s">
        <v>91</v>
      </c>
      <c r="Z2627" t="s">
        <v>74</v>
      </c>
      <c r="AA2627" t="str">
        <f t="shared" ref="AA2627:AA2632" si="3">"10032-3720"</f>
        <v>10032-3720</v>
      </c>
      <c r="AB2627" t="s">
        <v>75</v>
      </c>
      <c r="AC2627" t="s">
        <v>76</v>
      </c>
      <c r="AD2627" t="s">
        <v>73</v>
      </c>
      <c r="AE2627" t="s">
        <v>77</v>
      </c>
      <c r="AF2627" t="s">
        <v>2228</v>
      </c>
      <c r="AG2627" t="s">
        <v>78</v>
      </c>
    </row>
    <row r="2628" spans="1:33" hidden="1" x14ac:dyDescent="0.25">
      <c r="A2628" t="str">
        <f>"1750586665"</f>
        <v>1750586665</v>
      </c>
      <c r="B2628" t="str">
        <f>"03980274"</f>
        <v>03980274</v>
      </c>
      <c r="C2628" t="s">
        <v>11184</v>
      </c>
      <c r="D2628" t="s">
        <v>11185</v>
      </c>
      <c r="E2628" t="s">
        <v>11186</v>
      </c>
      <c r="G2628" t="s">
        <v>2224</v>
      </c>
      <c r="H2628" t="s">
        <v>2312</v>
      </c>
      <c r="J2628" t="s">
        <v>2226</v>
      </c>
      <c r="L2628" t="s">
        <v>80</v>
      </c>
      <c r="M2628" t="s">
        <v>73</v>
      </c>
      <c r="R2628" t="s">
        <v>11187</v>
      </c>
      <c r="W2628" t="s">
        <v>11186</v>
      </c>
      <c r="X2628" t="s">
        <v>167</v>
      </c>
      <c r="Y2628" t="s">
        <v>91</v>
      </c>
      <c r="Z2628" t="s">
        <v>74</v>
      </c>
      <c r="AA2628" t="str">
        <f t="shared" si="3"/>
        <v>10032-3720</v>
      </c>
      <c r="AB2628" t="s">
        <v>75</v>
      </c>
      <c r="AC2628" t="s">
        <v>76</v>
      </c>
      <c r="AD2628" t="s">
        <v>73</v>
      </c>
      <c r="AE2628" t="s">
        <v>77</v>
      </c>
      <c r="AF2628" t="s">
        <v>2228</v>
      </c>
      <c r="AG2628" t="s">
        <v>78</v>
      </c>
    </row>
    <row r="2629" spans="1:33" hidden="1" x14ac:dyDescent="0.25">
      <c r="A2629" t="str">
        <f>"1124252945"</f>
        <v>1124252945</v>
      </c>
      <c r="B2629" t="str">
        <f>"03919968"</f>
        <v>03919968</v>
      </c>
      <c r="C2629" t="s">
        <v>11188</v>
      </c>
      <c r="D2629" t="s">
        <v>11189</v>
      </c>
      <c r="E2629" t="s">
        <v>11190</v>
      </c>
      <c r="L2629" t="s">
        <v>80</v>
      </c>
      <c r="M2629" t="s">
        <v>73</v>
      </c>
      <c r="R2629" t="s">
        <v>11191</v>
      </c>
      <c r="W2629" t="s">
        <v>11190</v>
      </c>
      <c r="X2629" t="s">
        <v>1707</v>
      </c>
      <c r="Y2629" t="s">
        <v>91</v>
      </c>
      <c r="Z2629" t="s">
        <v>74</v>
      </c>
      <c r="AA2629" t="str">
        <f t="shared" si="3"/>
        <v>10032-3720</v>
      </c>
      <c r="AB2629" t="s">
        <v>75</v>
      </c>
      <c r="AC2629" t="s">
        <v>76</v>
      </c>
      <c r="AD2629" t="s">
        <v>73</v>
      </c>
      <c r="AE2629" t="s">
        <v>77</v>
      </c>
      <c r="AF2629" t="s">
        <v>2228</v>
      </c>
      <c r="AG2629" t="s">
        <v>78</v>
      </c>
    </row>
    <row r="2630" spans="1:33" hidden="1" x14ac:dyDescent="0.25">
      <c r="A2630" t="str">
        <f>"1245382571"</f>
        <v>1245382571</v>
      </c>
      <c r="B2630" t="str">
        <f>"01130996"</f>
        <v>01130996</v>
      </c>
      <c r="C2630" t="s">
        <v>11192</v>
      </c>
      <c r="D2630" t="s">
        <v>11193</v>
      </c>
      <c r="E2630" t="s">
        <v>11194</v>
      </c>
      <c r="L2630" t="s">
        <v>80</v>
      </c>
      <c r="M2630" t="s">
        <v>73</v>
      </c>
      <c r="R2630" t="s">
        <v>11195</v>
      </c>
      <c r="W2630" t="s">
        <v>11194</v>
      </c>
      <c r="X2630" t="s">
        <v>1696</v>
      </c>
      <c r="Y2630" t="s">
        <v>91</v>
      </c>
      <c r="Z2630" t="s">
        <v>74</v>
      </c>
      <c r="AA2630" t="str">
        <f t="shared" si="3"/>
        <v>10032-3720</v>
      </c>
      <c r="AB2630" t="s">
        <v>75</v>
      </c>
      <c r="AC2630" t="s">
        <v>76</v>
      </c>
      <c r="AD2630" t="s">
        <v>73</v>
      </c>
      <c r="AE2630" t="s">
        <v>77</v>
      </c>
      <c r="AF2630" t="s">
        <v>2228</v>
      </c>
      <c r="AG2630" t="s">
        <v>78</v>
      </c>
    </row>
    <row r="2631" spans="1:33" hidden="1" x14ac:dyDescent="0.25">
      <c r="A2631" t="str">
        <f>"1790837979"</f>
        <v>1790837979</v>
      </c>
      <c r="B2631" t="str">
        <f>"01872600"</f>
        <v>01872600</v>
      </c>
      <c r="C2631" t="s">
        <v>11196</v>
      </c>
      <c r="D2631" t="s">
        <v>11197</v>
      </c>
      <c r="E2631" t="s">
        <v>11198</v>
      </c>
      <c r="L2631" t="s">
        <v>80</v>
      </c>
      <c r="M2631" t="s">
        <v>73</v>
      </c>
      <c r="R2631" t="s">
        <v>11199</v>
      </c>
      <c r="W2631" t="s">
        <v>11198</v>
      </c>
      <c r="X2631" t="s">
        <v>3120</v>
      </c>
      <c r="Y2631" t="s">
        <v>91</v>
      </c>
      <c r="Z2631" t="s">
        <v>74</v>
      </c>
      <c r="AA2631" t="str">
        <f t="shared" si="3"/>
        <v>10032-3720</v>
      </c>
      <c r="AB2631" t="s">
        <v>75</v>
      </c>
      <c r="AC2631" t="s">
        <v>76</v>
      </c>
      <c r="AD2631" t="s">
        <v>73</v>
      </c>
      <c r="AE2631" t="s">
        <v>77</v>
      </c>
      <c r="AF2631" t="s">
        <v>2228</v>
      </c>
      <c r="AG2631" t="s">
        <v>78</v>
      </c>
    </row>
    <row r="2632" spans="1:33" hidden="1" x14ac:dyDescent="0.25">
      <c r="A2632" t="str">
        <f>"1376709246"</f>
        <v>1376709246</v>
      </c>
      <c r="B2632" t="str">
        <f>"03412071"</f>
        <v>03412071</v>
      </c>
      <c r="C2632" t="s">
        <v>11200</v>
      </c>
      <c r="D2632" t="s">
        <v>11201</v>
      </c>
      <c r="E2632" t="s">
        <v>11202</v>
      </c>
      <c r="L2632" t="s">
        <v>80</v>
      </c>
      <c r="M2632" t="s">
        <v>73</v>
      </c>
      <c r="R2632" t="s">
        <v>11203</v>
      </c>
      <c r="W2632" t="s">
        <v>11202</v>
      </c>
      <c r="X2632" t="s">
        <v>167</v>
      </c>
      <c r="Y2632" t="s">
        <v>91</v>
      </c>
      <c r="Z2632" t="s">
        <v>74</v>
      </c>
      <c r="AA2632" t="str">
        <f t="shared" si="3"/>
        <v>10032-3720</v>
      </c>
      <c r="AB2632" t="s">
        <v>75</v>
      </c>
      <c r="AC2632" t="s">
        <v>76</v>
      </c>
      <c r="AD2632" t="s">
        <v>73</v>
      </c>
      <c r="AE2632" t="s">
        <v>77</v>
      </c>
      <c r="AF2632" t="s">
        <v>2228</v>
      </c>
      <c r="AG2632" t="s">
        <v>78</v>
      </c>
    </row>
    <row r="2633" spans="1:33" hidden="1" x14ac:dyDescent="0.25">
      <c r="A2633" t="str">
        <f>"1194960096"</f>
        <v>1194960096</v>
      </c>
      <c r="C2633" t="s">
        <v>11204</v>
      </c>
      <c r="G2633" t="s">
        <v>2224</v>
      </c>
      <c r="H2633" t="s">
        <v>2312</v>
      </c>
      <c r="J2633" t="s">
        <v>2226</v>
      </c>
      <c r="K2633" t="s">
        <v>171</v>
      </c>
      <c r="L2633" t="s">
        <v>72</v>
      </c>
      <c r="M2633" t="s">
        <v>73</v>
      </c>
      <c r="R2633" t="s">
        <v>11205</v>
      </c>
      <c r="S2633" t="s">
        <v>167</v>
      </c>
      <c r="T2633" t="s">
        <v>91</v>
      </c>
      <c r="U2633" t="s">
        <v>74</v>
      </c>
      <c r="V2633" t="str">
        <f>"100323720"</f>
        <v>100323720</v>
      </c>
      <c r="AC2633" t="s">
        <v>76</v>
      </c>
      <c r="AD2633" t="s">
        <v>73</v>
      </c>
      <c r="AE2633" t="s">
        <v>97</v>
      </c>
      <c r="AF2633" t="s">
        <v>2228</v>
      </c>
      <c r="AG2633" t="s">
        <v>78</v>
      </c>
    </row>
    <row r="2634" spans="1:33" hidden="1" x14ac:dyDescent="0.25">
      <c r="A2634" t="str">
        <f>"1083856207"</f>
        <v>1083856207</v>
      </c>
      <c r="C2634" t="s">
        <v>11206</v>
      </c>
      <c r="G2634" t="s">
        <v>2224</v>
      </c>
      <c r="H2634" t="s">
        <v>2312</v>
      </c>
      <c r="J2634" t="s">
        <v>2226</v>
      </c>
      <c r="K2634" t="s">
        <v>171</v>
      </c>
      <c r="L2634" t="s">
        <v>96</v>
      </c>
      <c r="M2634" t="s">
        <v>73</v>
      </c>
      <c r="R2634" t="s">
        <v>11207</v>
      </c>
      <c r="S2634" t="s">
        <v>11208</v>
      </c>
      <c r="T2634" t="s">
        <v>91</v>
      </c>
      <c r="U2634" t="s">
        <v>74</v>
      </c>
      <c r="V2634" t="str">
        <f>"100323720"</f>
        <v>100323720</v>
      </c>
      <c r="AC2634" t="s">
        <v>76</v>
      </c>
      <c r="AD2634" t="s">
        <v>73</v>
      </c>
      <c r="AE2634" t="s">
        <v>97</v>
      </c>
      <c r="AF2634" t="s">
        <v>2228</v>
      </c>
      <c r="AG2634" t="s">
        <v>78</v>
      </c>
    </row>
    <row r="2635" spans="1:33" hidden="1" x14ac:dyDescent="0.25">
      <c r="A2635" t="str">
        <f>"1467504431"</f>
        <v>1467504431</v>
      </c>
      <c r="C2635" t="s">
        <v>11209</v>
      </c>
      <c r="G2635" t="s">
        <v>2224</v>
      </c>
      <c r="H2635" t="s">
        <v>2312</v>
      </c>
      <c r="J2635" t="s">
        <v>2226</v>
      </c>
      <c r="K2635" t="s">
        <v>171</v>
      </c>
      <c r="L2635" t="s">
        <v>96</v>
      </c>
      <c r="M2635" t="s">
        <v>73</v>
      </c>
      <c r="R2635" t="s">
        <v>11210</v>
      </c>
      <c r="S2635" t="s">
        <v>290</v>
      </c>
      <c r="T2635" t="s">
        <v>91</v>
      </c>
      <c r="U2635" t="s">
        <v>74</v>
      </c>
      <c r="V2635" t="str">
        <f>"100371802"</f>
        <v>100371802</v>
      </c>
      <c r="AC2635" t="s">
        <v>76</v>
      </c>
      <c r="AD2635" t="s">
        <v>73</v>
      </c>
      <c r="AE2635" t="s">
        <v>97</v>
      </c>
      <c r="AF2635" t="s">
        <v>2228</v>
      </c>
      <c r="AG2635" t="s">
        <v>78</v>
      </c>
    </row>
    <row r="2636" spans="1:33" hidden="1" x14ac:dyDescent="0.25">
      <c r="A2636" t="str">
        <f>"1578623765"</f>
        <v>1578623765</v>
      </c>
      <c r="C2636" t="s">
        <v>11211</v>
      </c>
      <c r="G2636" t="s">
        <v>2224</v>
      </c>
      <c r="H2636" t="s">
        <v>2312</v>
      </c>
      <c r="J2636" t="s">
        <v>2226</v>
      </c>
      <c r="K2636" t="s">
        <v>171</v>
      </c>
      <c r="L2636" t="s">
        <v>96</v>
      </c>
      <c r="M2636" t="s">
        <v>73</v>
      </c>
      <c r="R2636" t="s">
        <v>11212</v>
      </c>
      <c r="S2636" t="s">
        <v>167</v>
      </c>
      <c r="T2636" t="s">
        <v>91</v>
      </c>
      <c r="U2636" t="s">
        <v>74</v>
      </c>
      <c r="V2636" t="str">
        <f>"100323720"</f>
        <v>100323720</v>
      </c>
      <c r="AC2636" t="s">
        <v>76</v>
      </c>
      <c r="AD2636" t="s">
        <v>73</v>
      </c>
      <c r="AE2636" t="s">
        <v>97</v>
      </c>
      <c r="AF2636" t="s">
        <v>2228</v>
      </c>
      <c r="AG2636" t="s">
        <v>78</v>
      </c>
    </row>
    <row r="2637" spans="1:33" hidden="1" x14ac:dyDescent="0.25">
      <c r="A2637" t="str">
        <f>"1811039464"</f>
        <v>1811039464</v>
      </c>
      <c r="B2637" t="str">
        <f>"03025174"</f>
        <v>03025174</v>
      </c>
      <c r="C2637" t="s">
        <v>11213</v>
      </c>
      <c r="D2637" t="s">
        <v>11214</v>
      </c>
      <c r="E2637" t="s">
        <v>11215</v>
      </c>
      <c r="L2637" t="s">
        <v>80</v>
      </c>
      <c r="M2637" t="s">
        <v>73</v>
      </c>
      <c r="R2637" t="s">
        <v>11216</v>
      </c>
      <c r="W2637" t="s">
        <v>11217</v>
      </c>
      <c r="X2637" t="s">
        <v>167</v>
      </c>
      <c r="Y2637" t="s">
        <v>91</v>
      </c>
      <c r="Z2637" t="s">
        <v>74</v>
      </c>
      <c r="AA2637" t="str">
        <f>"10032-3720"</f>
        <v>10032-3720</v>
      </c>
      <c r="AB2637" t="s">
        <v>75</v>
      </c>
      <c r="AC2637" t="s">
        <v>76</v>
      </c>
      <c r="AD2637" t="s">
        <v>73</v>
      </c>
      <c r="AE2637" t="s">
        <v>77</v>
      </c>
      <c r="AF2637" t="s">
        <v>2228</v>
      </c>
      <c r="AG2637" t="s">
        <v>78</v>
      </c>
    </row>
    <row r="2638" spans="1:33" hidden="1" x14ac:dyDescent="0.25">
      <c r="A2638" t="str">
        <f>"1710997721"</f>
        <v>1710997721</v>
      </c>
      <c r="B2638" t="str">
        <f>"00677156"</f>
        <v>00677156</v>
      </c>
      <c r="C2638" t="s">
        <v>11218</v>
      </c>
      <c r="D2638" t="s">
        <v>11219</v>
      </c>
      <c r="E2638" t="s">
        <v>11220</v>
      </c>
      <c r="L2638" t="s">
        <v>80</v>
      </c>
      <c r="M2638" t="s">
        <v>73</v>
      </c>
      <c r="R2638" t="s">
        <v>11220</v>
      </c>
      <c r="W2638" t="s">
        <v>11220</v>
      </c>
      <c r="Y2638" t="s">
        <v>91</v>
      </c>
      <c r="Z2638" t="s">
        <v>74</v>
      </c>
      <c r="AA2638" t="str">
        <f>"10065-4885"</f>
        <v>10065-4885</v>
      </c>
      <c r="AB2638" t="s">
        <v>75</v>
      </c>
      <c r="AC2638" t="s">
        <v>76</v>
      </c>
      <c r="AD2638" t="s">
        <v>73</v>
      </c>
      <c r="AE2638" t="s">
        <v>77</v>
      </c>
      <c r="AF2638" t="s">
        <v>2242</v>
      </c>
      <c r="AG2638" t="s">
        <v>78</v>
      </c>
    </row>
    <row r="2639" spans="1:33" hidden="1" x14ac:dyDescent="0.25">
      <c r="A2639" t="str">
        <f>"1750427829"</f>
        <v>1750427829</v>
      </c>
      <c r="C2639" t="s">
        <v>11221</v>
      </c>
      <c r="G2639" t="s">
        <v>2224</v>
      </c>
      <c r="H2639" t="s">
        <v>2312</v>
      </c>
      <c r="J2639" t="s">
        <v>2226</v>
      </c>
      <c r="K2639" t="s">
        <v>171</v>
      </c>
      <c r="L2639" t="s">
        <v>96</v>
      </c>
      <c r="M2639" t="s">
        <v>73</v>
      </c>
      <c r="R2639" t="s">
        <v>11222</v>
      </c>
      <c r="S2639" t="s">
        <v>167</v>
      </c>
      <c r="T2639" t="s">
        <v>91</v>
      </c>
      <c r="U2639" t="s">
        <v>74</v>
      </c>
      <c r="V2639" t="str">
        <f>"100323720"</f>
        <v>100323720</v>
      </c>
      <c r="AC2639" t="s">
        <v>76</v>
      </c>
      <c r="AD2639" t="s">
        <v>73</v>
      </c>
      <c r="AE2639" t="s">
        <v>97</v>
      </c>
      <c r="AF2639" t="s">
        <v>2228</v>
      </c>
      <c r="AG2639" t="s">
        <v>78</v>
      </c>
    </row>
    <row r="2640" spans="1:33" hidden="1" x14ac:dyDescent="0.25">
      <c r="A2640" t="str">
        <f>"1619111341"</f>
        <v>1619111341</v>
      </c>
      <c r="B2640" t="str">
        <f>"03251741"</f>
        <v>03251741</v>
      </c>
      <c r="C2640" t="s">
        <v>11223</v>
      </c>
      <c r="D2640" t="s">
        <v>11224</v>
      </c>
      <c r="E2640" t="s">
        <v>11225</v>
      </c>
      <c r="L2640" t="s">
        <v>80</v>
      </c>
      <c r="M2640" t="s">
        <v>73</v>
      </c>
      <c r="R2640" t="s">
        <v>11226</v>
      </c>
      <c r="W2640" t="s">
        <v>11225</v>
      </c>
      <c r="X2640" t="s">
        <v>167</v>
      </c>
      <c r="Y2640" t="s">
        <v>91</v>
      </c>
      <c r="Z2640" t="s">
        <v>74</v>
      </c>
      <c r="AA2640" t="str">
        <f>"10032-3720"</f>
        <v>10032-3720</v>
      </c>
      <c r="AB2640" t="s">
        <v>75</v>
      </c>
      <c r="AC2640" t="s">
        <v>76</v>
      </c>
      <c r="AD2640" t="s">
        <v>73</v>
      </c>
      <c r="AE2640" t="s">
        <v>77</v>
      </c>
      <c r="AF2640" t="s">
        <v>2228</v>
      </c>
      <c r="AG2640" t="s">
        <v>78</v>
      </c>
    </row>
    <row r="2641" spans="1:33" hidden="1" x14ac:dyDescent="0.25">
      <c r="A2641" t="str">
        <f>"1598094732"</f>
        <v>1598094732</v>
      </c>
      <c r="C2641" t="s">
        <v>11227</v>
      </c>
      <c r="G2641" t="s">
        <v>2224</v>
      </c>
      <c r="H2641" t="s">
        <v>2312</v>
      </c>
      <c r="J2641" t="s">
        <v>2226</v>
      </c>
      <c r="K2641" t="s">
        <v>171</v>
      </c>
      <c r="L2641" t="s">
        <v>96</v>
      </c>
      <c r="M2641" t="s">
        <v>73</v>
      </c>
      <c r="R2641" t="s">
        <v>11228</v>
      </c>
      <c r="S2641" t="s">
        <v>167</v>
      </c>
      <c r="T2641" t="s">
        <v>91</v>
      </c>
      <c r="U2641" t="s">
        <v>74</v>
      </c>
      <c r="V2641" t="str">
        <f>"100323720"</f>
        <v>100323720</v>
      </c>
      <c r="AC2641" t="s">
        <v>76</v>
      </c>
      <c r="AD2641" t="s">
        <v>73</v>
      </c>
      <c r="AE2641" t="s">
        <v>97</v>
      </c>
      <c r="AF2641" t="s">
        <v>2228</v>
      </c>
      <c r="AG2641" t="s">
        <v>78</v>
      </c>
    </row>
    <row r="2642" spans="1:33" hidden="1" x14ac:dyDescent="0.25">
      <c r="A2642" t="str">
        <f>"1558663674"</f>
        <v>1558663674</v>
      </c>
      <c r="C2642" t="s">
        <v>11229</v>
      </c>
      <c r="G2642" t="s">
        <v>2224</v>
      </c>
      <c r="H2642" t="s">
        <v>2312</v>
      </c>
      <c r="J2642" t="s">
        <v>2226</v>
      </c>
      <c r="K2642" t="s">
        <v>171</v>
      </c>
      <c r="L2642" t="s">
        <v>72</v>
      </c>
      <c r="M2642" t="s">
        <v>73</v>
      </c>
      <c r="R2642" t="s">
        <v>11230</v>
      </c>
      <c r="S2642" t="s">
        <v>167</v>
      </c>
      <c r="T2642" t="s">
        <v>91</v>
      </c>
      <c r="U2642" t="s">
        <v>74</v>
      </c>
      <c r="V2642" t="str">
        <f>"100323720"</f>
        <v>100323720</v>
      </c>
      <c r="AC2642" t="s">
        <v>76</v>
      </c>
      <c r="AD2642" t="s">
        <v>73</v>
      </c>
      <c r="AE2642" t="s">
        <v>97</v>
      </c>
      <c r="AF2642" t="s">
        <v>2228</v>
      </c>
      <c r="AG2642" t="s">
        <v>78</v>
      </c>
    </row>
    <row r="2643" spans="1:33" hidden="1" x14ac:dyDescent="0.25">
      <c r="A2643" t="str">
        <f>"1871850230"</f>
        <v>1871850230</v>
      </c>
      <c r="B2643" t="str">
        <f>"04263058"</f>
        <v>04263058</v>
      </c>
      <c r="C2643" t="s">
        <v>11231</v>
      </c>
      <c r="D2643" t="s">
        <v>11232</v>
      </c>
      <c r="E2643" t="s">
        <v>11233</v>
      </c>
      <c r="G2643" t="s">
        <v>2224</v>
      </c>
      <c r="H2643" t="s">
        <v>2225</v>
      </c>
      <c r="J2643" t="s">
        <v>2226</v>
      </c>
      <c r="L2643" t="s">
        <v>81</v>
      </c>
      <c r="M2643" t="s">
        <v>73</v>
      </c>
      <c r="R2643" t="s">
        <v>11234</v>
      </c>
      <c r="W2643" t="s">
        <v>11235</v>
      </c>
      <c r="X2643" t="s">
        <v>505</v>
      </c>
      <c r="Y2643" t="s">
        <v>498</v>
      </c>
      <c r="Z2643" t="s">
        <v>74</v>
      </c>
      <c r="AA2643" t="str">
        <f>"12307-1508"</f>
        <v>12307-1508</v>
      </c>
      <c r="AB2643" t="s">
        <v>75</v>
      </c>
      <c r="AC2643" t="s">
        <v>76</v>
      </c>
      <c r="AD2643" t="s">
        <v>73</v>
      </c>
      <c r="AE2643" t="s">
        <v>77</v>
      </c>
      <c r="AF2643" t="s">
        <v>2234</v>
      </c>
      <c r="AG2643" t="s">
        <v>78</v>
      </c>
    </row>
    <row r="2644" spans="1:33" hidden="1" x14ac:dyDescent="0.25">
      <c r="A2644" t="str">
        <f>"1003172172"</f>
        <v>1003172172</v>
      </c>
      <c r="C2644" t="s">
        <v>11236</v>
      </c>
      <c r="G2644" t="s">
        <v>2224</v>
      </c>
      <c r="H2644" t="s">
        <v>2225</v>
      </c>
      <c r="J2644" t="s">
        <v>2226</v>
      </c>
      <c r="K2644" t="s">
        <v>93</v>
      </c>
      <c r="L2644" t="s">
        <v>96</v>
      </c>
      <c r="M2644" t="s">
        <v>73</v>
      </c>
      <c r="R2644" t="s">
        <v>11237</v>
      </c>
      <c r="S2644" t="s">
        <v>11238</v>
      </c>
      <c r="T2644" t="s">
        <v>1549</v>
      </c>
      <c r="U2644" t="s">
        <v>1550</v>
      </c>
      <c r="V2644" t="str">
        <f>"200096865"</f>
        <v>200096865</v>
      </c>
      <c r="AC2644" t="s">
        <v>76</v>
      </c>
      <c r="AD2644" t="s">
        <v>73</v>
      </c>
      <c r="AE2644" t="s">
        <v>97</v>
      </c>
      <c r="AF2644" t="s">
        <v>2234</v>
      </c>
      <c r="AG2644" t="s">
        <v>78</v>
      </c>
    </row>
    <row r="2645" spans="1:33" hidden="1" x14ac:dyDescent="0.25">
      <c r="A2645" t="str">
        <f>"1518200963"</f>
        <v>1518200963</v>
      </c>
      <c r="C2645" t="s">
        <v>11239</v>
      </c>
      <c r="G2645" t="s">
        <v>2224</v>
      </c>
      <c r="H2645" t="s">
        <v>2225</v>
      </c>
      <c r="J2645" t="s">
        <v>2226</v>
      </c>
      <c r="K2645" t="s">
        <v>93</v>
      </c>
      <c r="L2645" t="s">
        <v>96</v>
      </c>
      <c r="M2645" t="s">
        <v>73</v>
      </c>
      <c r="R2645" t="s">
        <v>11240</v>
      </c>
      <c r="S2645" t="s">
        <v>167</v>
      </c>
      <c r="T2645" t="s">
        <v>91</v>
      </c>
      <c r="U2645" t="s">
        <v>74</v>
      </c>
      <c r="V2645" t="str">
        <f>"100323720"</f>
        <v>100323720</v>
      </c>
      <c r="AC2645" t="s">
        <v>76</v>
      </c>
      <c r="AD2645" t="s">
        <v>73</v>
      </c>
      <c r="AE2645" t="s">
        <v>97</v>
      </c>
      <c r="AF2645" t="s">
        <v>2228</v>
      </c>
      <c r="AG2645" t="s">
        <v>78</v>
      </c>
    </row>
    <row r="2646" spans="1:33" hidden="1" x14ac:dyDescent="0.25">
      <c r="A2646" t="str">
        <f>"1952643231"</f>
        <v>1952643231</v>
      </c>
      <c r="C2646" t="s">
        <v>11241</v>
      </c>
      <c r="G2646" t="s">
        <v>2224</v>
      </c>
      <c r="H2646" t="s">
        <v>2225</v>
      </c>
      <c r="J2646" t="s">
        <v>2226</v>
      </c>
      <c r="K2646" t="s">
        <v>93</v>
      </c>
      <c r="L2646" t="s">
        <v>96</v>
      </c>
      <c r="M2646" t="s">
        <v>73</v>
      </c>
      <c r="R2646" t="s">
        <v>11242</v>
      </c>
      <c r="S2646" t="s">
        <v>2115</v>
      </c>
      <c r="T2646" t="s">
        <v>91</v>
      </c>
      <c r="U2646" t="s">
        <v>74</v>
      </c>
      <c r="V2646" t="str">
        <f>"100327104"</f>
        <v>100327104</v>
      </c>
      <c r="AC2646" t="s">
        <v>76</v>
      </c>
      <c r="AD2646" t="s">
        <v>73</v>
      </c>
      <c r="AE2646" t="s">
        <v>97</v>
      </c>
      <c r="AF2646" t="s">
        <v>2228</v>
      </c>
      <c r="AG2646" t="s">
        <v>78</v>
      </c>
    </row>
    <row r="2647" spans="1:33" hidden="1" x14ac:dyDescent="0.25">
      <c r="A2647" t="str">
        <f>"1386986776"</f>
        <v>1386986776</v>
      </c>
      <c r="B2647" t="str">
        <f>"04547926"</f>
        <v>04547926</v>
      </c>
      <c r="C2647" t="s">
        <v>11243</v>
      </c>
      <c r="D2647" t="s">
        <v>11244</v>
      </c>
      <c r="E2647" t="s">
        <v>11245</v>
      </c>
      <c r="G2647" t="s">
        <v>2224</v>
      </c>
      <c r="H2647" t="s">
        <v>2225</v>
      </c>
      <c r="J2647" t="s">
        <v>2226</v>
      </c>
      <c r="L2647" t="s">
        <v>72</v>
      </c>
      <c r="M2647" t="s">
        <v>73</v>
      </c>
      <c r="R2647" t="s">
        <v>11246</v>
      </c>
      <c r="W2647" t="s">
        <v>11245</v>
      </c>
      <c r="AB2647" t="s">
        <v>75</v>
      </c>
      <c r="AC2647" t="s">
        <v>76</v>
      </c>
      <c r="AD2647" t="s">
        <v>73</v>
      </c>
      <c r="AE2647" t="s">
        <v>77</v>
      </c>
      <c r="AF2647" t="s">
        <v>2228</v>
      </c>
      <c r="AG2647" t="s">
        <v>78</v>
      </c>
    </row>
    <row r="2648" spans="1:33" hidden="1" x14ac:dyDescent="0.25">
      <c r="A2648" t="str">
        <f>"1770825242"</f>
        <v>1770825242</v>
      </c>
      <c r="C2648" t="s">
        <v>11247</v>
      </c>
      <c r="G2648" t="s">
        <v>2224</v>
      </c>
      <c r="H2648" t="s">
        <v>2225</v>
      </c>
      <c r="J2648" t="s">
        <v>2226</v>
      </c>
      <c r="K2648" t="s">
        <v>93</v>
      </c>
      <c r="L2648" t="s">
        <v>96</v>
      </c>
      <c r="M2648" t="s">
        <v>73</v>
      </c>
      <c r="R2648" t="s">
        <v>11248</v>
      </c>
      <c r="S2648" t="s">
        <v>2115</v>
      </c>
      <c r="T2648" t="s">
        <v>91</v>
      </c>
      <c r="U2648" t="s">
        <v>74</v>
      </c>
      <c r="V2648" t="str">
        <f>"100327104"</f>
        <v>100327104</v>
      </c>
      <c r="AC2648" t="s">
        <v>76</v>
      </c>
      <c r="AD2648" t="s">
        <v>73</v>
      </c>
      <c r="AE2648" t="s">
        <v>97</v>
      </c>
      <c r="AF2648" t="s">
        <v>2228</v>
      </c>
      <c r="AG2648" t="s">
        <v>78</v>
      </c>
    </row>
    <row r="2649" spans="1:33" hidden="1" x14ac:dyDescent="0.25">
      <c r="A2649" t="str">
        <f>"1255775003"</f>
        <v>1255775003</v>
      </c>
      <c r="B2649" t="str">
        <f>"04549657"</f>
        <v>04549657</v>
      </c>
      <c r="C2649" t="s">
        <v>11249</v>
      </c>
      <c r="D2649" t="s">
        <v>11250</v>
      </c>
      <c r="E2649" t="s">
        <v>11251</v>
      </c>
      <c r="G2649" t="s">
        <v>2224</v>
      </c>
      <c r="H2649" t="s">
        <v>2225</v>
      </c>
      <c r="J2649" t="s">
        <v>2226</v>
      </c>
      <c r="L2649" t="s">
        <v>96</v>
      </c>
      <c r="M2649" t="s">
        <v>73</v>
      </c>
      <c r="R2649" t="s">
        <v>11252</v>
      </c>
      <c r="W2649" t="s">
        <v>11251</v>
      </c>
      <c r="AB2649" t="s">
        <v>75</v>
      </c>
      <c r="AC2649" t="s">
        <v>76</v>
      </c>
      <c r="AD2649" t="s">
        <v>73</v>
      </c>
      <c r="AE2649" t="s">
        <v>77</v>
      </c>
      <c r="AF2649" t="s">
        <v>2228</v>
      </c>
      <c r="AG2649" t="s">
        <v>78</v>
      </c>
    </row>
    <row r="2650" spans="1:33" hidden="1" x14ac:dyDescent="0.25">
      <c r="A2650" t="str">
        <f>"1538425723"</f>
        <v>1538425723</v>
      </c>
      <c r="B2650" t="str">
        <f>"04209050"</f>
        <v>04209050</v>
      </c>
      <c r="C2650" t="s">
        <v>11253</v>
      </c>
      <c r="D2650" t="s">
        <v>11254</v>
      </c>
      <c r="E2650" t="s">
        <v>11255</v>
      </c>
      <c r="G2650" t="s">
        <v>2224</v>
      </c>
      <c r="H2650" t="s">
        <v>2225</v>
      </c>
      <c r="J2650" t="s">
        <v>2226</v>
      </c>
      <c r="L2650" t="s">
        <v>81</v>
      </c>
      <c r="M2650" t="s">
        <v>73</v>
      </c>
      <c r="R2650" t="s">
        <v>11256</v>
      </c>
      <c r="W2650" t="s">
        <v>11257</v>
      </c>
      <c r="X2650" t="s">
        <v>226</v>
      </c>
      <c r="Y2650" t="s">
        <v>185</v>
      </c>
      <c r="Z2650" t="s">
        <v>74</v>
      </c>
      <c r="AA2650" t="str">
        <f>"11102-2448"</f>
        <v>11102-2448</v>
      </c>
      <c r="AB2650" t="s">
        <v>75</v>
      </c>
      <c r="AC2650" t="s">
        <v>76</v>
      </c>
      <c r="AD2650" t="s">
        <v>73</v>
      </c>
      <c r="AE2650" t="s">
        <v>77</v>
      </c>
      <c r="AF2650" t="s">
        <v>2234</v>
      </c>
      <c r="AG2650" t="s">
        <v>78</v>
      </c>
    </row>
    <row r="2651" spans="1:33" hidden="1" x14ac:dyDescent="0.25">
      <c r="A2651" t="str">
        <f>"1851657563"</f>
        <v>1851657563</v>
      </c>
      <c r="B2651" t="str">
        <f>"04210082"</f>
        <v>04210082</v>
      </c>
      <c r="C2651" t="s">
        <v>11258</v>
      </c>
      <c r="D2651" t="s">
        <v>2132</v>
      </c>
      <c r="E2651" t="s">
        <v>1401</v>
      </c>
      <c r="G2651" t="s">
        <v>2224</v>
      </c>
      <c r="H2651" t="s">
        <v>2225</v>
      </c>
      <c r="J2651" t="s">
        <v>2226</v>
      </c>
      <c r="L2651" t="s">
        <v>81</v>
      </c>
      <c r="M2651" t="s">
        <v>73</v>
      </c>
      <c r="R2651" t="s">
        <v>1401</v>
      </c>
      <c r="W2651" t="s">
        <v>2133</v>
      </c>
      <c r="X2651" t="s">
        <v>927</v>
      </c>
      <c r="Y2651" t="s">
        <v>118</v>
      </c>
      <c r="Z2651" t="s">
        <v>74</v>
      </c>
      <c r="AA2651" t="str">
        <f>"10473-2631"</f>
        <v>10473-2631</v>
      </c>
      <c r="AB2651" t="s">
        <v>75</v>
      </c>
      <c r="AC2651" t="s">
        <v>76</v>
      </c>
      <c r="AD2651" t="s">
        <v>73</v>
      </c>
      <c r="AE2651" t="s">
        <v>77</v>
      </c>
      <c r="AF2651" t="s">
        <v>2234</v>
      </c>
      <c r="AG2651" t="s">
        <v>78</v>
      </c>
    </row>
    <row r="2652" spans="1:33" hidden="1" x14ac:dyDescent="0.25">
      <c r="A2652" t="str">
        <f>"1194015149"</f>
        <v>1194015149</v>
      </c>
      <c r="C2652" t="s">
        <v>11259</v>
      </c>
      <c r="G2652" t="s">
        <v>2224</v>
      </c>
      <c r="H2652" t="s">
        <v>2225</v>
      </c>
      <c r="J2652" t="s">
        <v>2226</v>
      </c>
      <c r="K2652" t="s">
        <v>93</v>
      </c>
      <c r="L2652" t="s">
        <v>96</v>
      </c>
      <c r="M2652" t="s">
        <v>73</v>
      </c>
      <c r="R2652" t="s">
        <v>11260</v>
      </c>
      <c r="S2652" t="s">
        <v>11261</v>
      </c>
      <c r="T2652" t="s">
        <v>11262</v>
      </c>
      <c r="U2652" t="s">
        <v>409</v>
      </c>
      <c r="V2652" t="str">
        <f>"280786698"</f>
        <v>280786698</v>
      </c>
      <c r="AC2652" t="s">
        <v>76</v>
      </c>
      <c r="AD2652" t="s">
        <v>73</v>
      </c>
      <c r="AE2652" t="s">
        <v>97</v>
      </c>
      <c r="AF2652" t="s">
        <v>2234</v>
      </c>
      <c r="AG2652" t="s">
        <v>78</v>
      </c>
    </row>
    <row r="2653" spans="1:33" hidden="1" x14ac:dyDescent="0.25">
      <c r="A2653" t="str">
        <f>"1437340387"</f>
        <v>1437340387</v>
      </c>
      <c r="B2653" t="str">
        <f>"02200246"</f>
        <v>02200246</v>
      </c>
      <c r="C2653" t="s">
        <v>11263</v>
      </c>
      <c r="D2653" t="s">
        <v>11264</v>
      </c>
      <c r="E2653" t="s">
        <v>11265</v>
      </c>
      <c r="G2653" t="s">
        <v>2224</v>
      </c>
      <c r="H2653" t="s">
        <v>2312</v>
      </c>
      <c r="J2653" t="s">
        <v>2226</v>
      </c>
      <c r="L2653" t="s">
        <v>72</v>
      </c>
      <c r="M2653" t="s">
        <v>73</v>
      </c>
      <c r="R2653" t="s">
        <v>11266</v>
      </c>
      <c r="W2653" t="s">
        <v>11267</v>
      </c>
      <c r="X2653" t="s">
        <v>167</v>
      </c>
      <c r="Y2653" t="s">
        <v>91</v>
      </c>
      <c r="Z2653" t="s">
        <v>74</v>
      </c>
      <c r="AA2653" t="str">
        <f t="shared" ref="AA2653:AA2665" si="4">"10032-3720"</f>
        <v>10032-3720</v>
      </c>
      <c r="AB2653" t="s">
        <v>75</v>
      </c>
      <c r="AC2653" t="s">
        <v>76</v>
      </c>
      <c r="AD2653" t="s">
        <v>73</v>
      </c>
      <c r="AE2653" t="s">
        <v>77</v>
      </c>
      <c r="AF2653" t="s">
        <v>2228</v>
      </c>
      <c r="AG2653" t="s">
        <v>78</v>
      </c>
    </row>
    <row r="2654" spans="1:33" hidden="1" x14ac:dyDescent="0.25">
      <c r="A2654" t="str">
        <f>"1225054133"</f>
        <v>1225054133</v>
      </c>
      <c r="B2654" t="str">
        <f>"02213261"</f>
        <v>02213261</v>
      </c>
      <c r="C2654" t="s">
        <v>11268</v>
      </c>
      <c r="D2654" t="s">
        <v>11269</v>
      </c>
      <c r="E2654" t="s">
        <v>11270</v>
      </c>
      <c r="L2654" t="s">
        <v>80</v>
      </c>
      <c r="M2654" t="s">
        <v>73</v>
      </c>
      <c r="R2654" t="s">
        <v>11271</v>
      </c>
      <c r="W2654" t="s">
        <v>11270</v>
      </c>
      <c r="X2654" t="s">
        <v>167</v>
      </c>
      <c r="Y2654" t="s">
        <v>91</v>
      </c>
      <c r="Z2654" t="s">
        <v>74</v>
      </c>
      <c r="AA2654" t="str">
        <f t="shared" si="4"/>
        <v>10032-3720</v>
      </c>
      <c r="AB2654" t="s">
        <v>75</v>
      </c>
      <c r="AC2654" t="s">
        <v>76</v>
      </c>
      <c r="AD2654" t="s">
        <v>73</v>
      </c>
      <c r="AE2654" t="s">
        <v>77</v>
      </c>
      <c r="AF2654" t="s">
        <v>2228</v>
      </c>
      <c r="AG2654" t="s">
        <v>78</v>
      </c>
    </row>
    <row r="2655" spans="1:33" hidden="1" x14ac:dyDescent="0.25">
      <c r="A2655" t="str">
        <f>"1457586703"</f>
        <v>1457586703</v>
      </c>
      <c r="B2655" t="str">
        <f>"03376450"</f>
        <v>03376450</v>
      </c>
      <c r="C2655" t="s">
        <v>11272</v>
      </c>
      <c r="D2655" t="s">
        <v>11273</v>
      </c>
      <c r="E2655" t="s">
        <v>11274</v>
      </c>
      <c r="L2655" t="s">
        <v>80</v>
      </c>
      <c r="M2655" t="s">
        <v>73</v>
      </c>
      <c r="R2655" t="s">
        <v>11274</v>
      </c>
      <c r="W2655" t="s">
        <v>11274</v>
      </c>
      <c r="X2655" t="s">
        <v>167</v>
      </c>
      <c r="Y2655" t="s">
        <v>91</v>
      </c>
      <c r="Z2655" t="s">
        <v>74</v>
      </c>
      <c r="AA2655" t="str">
        <f t="shared" si="4"/>
        <v>10032-3720</v>
      </c>
      <c r="AB2655" t="s">
        <v>75</v>
      </c>
      <c r="AC2655" t="s">
        <v>76</v>
      </c>
      <c r="AD2655" t="s">
        <v>73</v>
      </c>
      <c r="AE2655" t="s">
        <v>77</v>
      </c>
      <c r="AF2655" t="s">
        <v>2228</v>
      </c>
      <c r="AG2655" t="s">
        <v>78</v>
      </c>
    </row>
    <row r="2656" spans="1:33" hidden="1" x14ac:dyDescent="0.25">
      <c r="A2656" t="str">
        <f>"1295992360"</f>
        <v>1295992360</v>
      </c>
      <c r="B2656" t="str">
        <f>"03241554"</f>
        <v>03241554</v>
      </c>
      <c r="C2656" t="s">
        <v>11275</v>
      </c>
      <c r="D2656" t="s">
        <v>11276</v>
      </c>
      <c r="E2656" t="s">
        <v>11277</v>
      </c>
      <c r="L2656" t="s">
        <v>80</v>
      </c>
      <c r="M2656" t="s">
        <v>73</v>
      </c>
      <c r="R2656" t="s">
        <v>11278</v>
      </c>
      <c r="W2656" t="s">
        <v>11277</v>
      </c>
      <c r="X2656" t="s">
        <v>167</v>
      </c>
      <c r="Y2656" t="s">
        <v>91</v>
      </c>
      <c r="Z2656" t="s">
        <v>74</v>
      </c>
      <c r="AA2656" t="str">
        <f t="shared" si="4"/>
        <v>10032-3720</v>
      </c>
      <c r="AB2656" t="s">
        <v>75</v>
      </c>
      <c r="AC2656" t="s">
        <v>76</v>
      </c>
      <c r="AD2656" t="s">
        <v>73</v>
      </c>
      <c r="AE2656" t="s">
        <v>77</v>
      </c>
      <c r="AF2656" t="s">
        <v>2228</v>
      </c>
      <c r="AG2656" t="s">
        <v>78</v>
      </c>
    </row>
    <row r="2657" spans="1:33" hidden="1" x14ac:dyDescent="0.25">
      <c r="A2657" t="str">
        <f>"1881749612"</f>
        <v>1881749612</v>
      </c>
      <c r="B2657" t="str">
        <f>"01011485"</f>
        <v>01011485</v>
      </c>
      <c r="C2657" t="s">
        <v>11279</v>
      </c>
      <c r="D2657" t="s">
        <v>11280</v>
      </c>
      <c r="E2657" t="s">
        <v>11281</v>
      </c>
      <c r="L2657" t="s">
        <v>72</v>
      </c>
      <c r="M2657" t="s">
        <v>73</v>
      </c>
      <c r="R2657" t="s">
        <v>11282</v>
      </c>
      <c r="W2657" t="s">
        <v>11281</v>
      </c>
      <c r="X2657" t="s">
        <v>1584</v>
      </c>
      <c r="Y2657" t="s">
        <v>91</v>
      </c>
      <c r="Z2657" t="s">
        <v>74</v>
      </c>
      <c r="AA2657" t="str">
        <f t="shared" si="4"/>
        <v>10032-3720</v>
      </c>
      <c r="AB2657" t="s">
        <v>75</v>
      </c>
      <c r="AC2657" t="s">
        <v>76</v>
      </c>
      <c r="AD2657" t="s">
        <v>73</v>
      </c>
      <c r="AE2657" t="s">
        <v>77</v>
      </c>
      <c r="AF2657" t="s">
        <v>2228</v>
      </c>
      <c r="AG2657" t="s">
        <v>78</v>
      </c>
    </row>
    <row r="2658" spans="1:33" hidden="1" x14ac:dyDescent="0.25">
      <c r="A2658" t="str">
        <f>"1154350023"</f>
        <v>1154350023</v>
      </c>
      <c r="B2658" t="str">
        <f>"03490571"</f>
        <v>03490571</v>
      </c>
      <c r="C2658" t="s">
        <v>11283</v>
      </c>
      <c r="D2658" t="s">
        <v>11284</v>
      </c>
      <c r="E2658" t="s">
        <v>11285</v>
      </c>
      <c r="L2658" t="s">
        <v>80</v>
      </c>
      <c r="M2658" t="s">
        <v>73</v>
      </c>
      <c r="R2658" t="s">
        <v>11286</v>
      </c>
      <c r="W2658" t="s">
        <v>11285</v>
      </c>
      <c r="X2658" t="s">
        <v>11287</v>
      </c>
      <c r="Y2658" t="s">
        <v>91</v>
      </c>
      <c r="Z2658" t="s">
        <v>74</v>
      </c>
      <c r="AA2658" t="str">
        <f t="shared" si="4"/>
        <v>10032-3720</v>
      </c>
      <c r="AB2658" t="s">
        <v>75</v>
      </c>
      <c r="AC2658" t="s">
        <v>76</v>
      </c>
      <c r="AD2658" t="s">
        <v>73</v>
      </c>
      <c r="AE2658" t="s">
        <v>77</v>
      </c>
      <c r="AF2658" t="s">
        <v>2228</v>
      </c>
      <c r="AG2658" t="s">
        <v>78</v>
      </c>
    </row>
    <row r="2659" spans="1:33" hidden="1" x14ac:dyDescent="0.25">
      <c r="A2659" t="str">
        <f>"1104979442"</f>
        <v>1104979442</v>
      </c>
      <c r="B2659" t="str">
        <f>"00777239"</f>
        <v>00777239</v>
      </c>
      <c r="C2659" t="s">
        <v>11288</v>
      </c>
      <c r="D2659" t="s">
        <v>11289</v>
      </c>
      <c r="E2659" t="s">
        <v>11290</v>
      </c>
      <c r="L2659" t="s">
        <v>72</v>
      </c>
      <c r="M2659" t="s">
        <v>73</v>
      </c>
      <c r="R2659" t="s">
        <v>11291</v>
      </c>
      <c r="W2659" t="s">
        <v>11290</v>
      </c>
      <c r="X2659" t="s">
        <v>11292</v>
      </c>
      <c r="Y2659" t="s">
        <v>91</v>
      </c>
      <c r="Z2659" t="s">
        <v>74</v>
      </c>
      <c r="AA2659" t="str">
        <f t="shared" si="4"/>
        <v>10032-3720</v>
      </c>
      <c r="AB2659" t="s">
        <v>75</v>
      </c>
      <c r="AC2659" t="s">
        <v>76</v>
      </c>
      <c r="AD2659" t="s">
        <v>73</v>
      </c>
      <c r="AE2659" t="s">
        <v>77</v>
      </c>
      <c r="AF2659" t="s">
        <v>2228</v>
      </c>
      <c r="AG2659" t="s">
        <v>78</v>
      </c>
    </row>
    <row r="2660" spans="1:33" hidden="1" x14ac:dyDescent="0.25">
      <c r="A2660" t="str">
        <f>"1063565489"</f>
        <v>1063565489</v>
      </c>
      <c r="B2660" t="str">
        <f>"02385037"</f>
        <v>02385037</v>
      </c>
      <c r="C2660" t="s">
        <v>11293</v>
      </c>
      <c r="D2660" t="s">
        <v>11294</v>
      </c>
      <c r="E2660" t="s">
        <v>11295</v>
      </c>
      <c r="L2660" t="s">
        <v>80</v>
      </c>
      <c r="M2660" t="s">
        <v>73</v>
      </c>
      <c r="R2660" t="s">
        <v>11296</v>
      </c>
      <c r="W2660" t="s">
        <v>11296</v>
      </c>
      <c r="X2660" t="s">
        <v>167</v>
      </c>
      <c r="Y2660" t="s">
        <v>91</v>
      </c>
      <c r="Z2660" t="s">
        <v>74</v>
      </c>
      <c r="AA2660" t="str">
        <f t="shared" si="4"/>
        <v>10032-3720</v>
      </c>
      <c r="AB2660" t="s">
        <v>75</v>
      </c>
      <c r="AC2660" t="s">
        <v>76</v>
      </c>
      <c r="AD2660" t="s">
        <v>73</v>
      </c>
      <c r="AE2660" t="s">
        <v>77</v>
      </c>
      <c r="AF2660" t="s">
        <v>2228</v>
      </c>
      <c r="AG2660" t="s">
        <v>78</v>
      </c>
    </row>
    <row r="2661" spans="1:33" hidden="1" x14ac:dyDescent="0.25">
      <c r="A2661" t="str">
        <f>"1588718118"</f>
        <v>1588718118</v>
      </c>
      <c r="B2661" t="str">
        <f>"01912812"</f>
        <v>01912812</v>
      </c>
      <c r="C2661" t="s">
        <v>11297</v>
      </c>
      <c r="D2661" t="s">
        <v>11298</v>
      </c>
      <c r="E2661" t="s">
        <v>11299</v>
      </c>
      <c r="L2661" t="s">
        <v>100</v>
      </c>
      <c r="M2661" t="s">
        <v>73</v>
      </c>
      <c r="R2661" t="s">
        <v>11300</v>
      </c>
      <c r="W2661" t="s">
        <v>11301</v>
      </c>
      <c r="X2661" t="s">
        <v>167</v>
      </c>
      <c r="Y2661" t="s">
        <v>91</v>
      </c>
      <c r="Z2661" t="s">
        <v>74</v>
      </c>
      <c r="AA2661" t="str">
        <f t="shared" si="4"/>
        <v>10032-3720</v>
      </c>
      <c r="AB2661" t="s">
        <v>113</v>
      </c>
      <c r="AC2661" t="s">
        <v>76</v>
      </c>
      <c r="AD2661" t="s">
        <v>73</v>
      </c>
      <c r="AE2661" t="s">
        <v>77</v>
      </c>
      <c r="AF2661" t="s">
        <v>2228</v>
      </c>
      <c r="AG2661" t="s">
        <v>78</v>
      </c>
    </row>
    <row r="2662" spans="1:33" hidden="1" x14ac:dyDescent="0.25">
      <c r="A2662" t="str">
        <f>"1831243138"</f>
        <v>1831243138</v>
      </c>
      <c r="B2662" t="str">
        <f>"01919933"</f>
        <v>01919933</v>
      </c>
      <c r="C2662" t="s">
        <v>11302</v>
      </c>
      <c r="D2662" t="s">
        <v>11303</v>
      </c>
      <c r="E2662" t="s">
        <v>11304</v>
      </c>
      <c r="L2662" t="s">
        <v>72</v>
      </c>
      <c r="M2662" t="s">
        <v>73</v>
      </c>
      <c r="R2662" t="s">
        <v>11305</v>
      </c>
      <c r="W2662" t="s">
        <v>11304</v>
      </c>
      <c r="X2662" t="s">
        <v>11306</v>
      </c>
      <c r="Y2662" t="s">
        <v>91</v>
      </c>
      <c r="Z2662" t="s">
        <v>74</v>
      </c>
      <c r="AA2662" t="str">
        <f t="shared" si="4"/>
        <v>10032-3720</v>
      </c>
      <c r="AB2662" t="s">
        <v>75</v>
      </c>
      <c r="AC2662" t="s">
        <v>76</v>
      </c>
      <c r="AD2662" t="s">
        <v>73</v>
      </c>
      <c r="AE2662" t="s">
        <v>77</v>
      </c>
      <c r="AF2662" t="s">
        <v>2228</v>
      </c>
      <c r="AG2662" t="s">
        <v>78</v>
      </c>
    </row>
    <row r="2663" spans="1:33" hidden="1" x14ac:dyDescent="0.25">
      <c r="A2663" t="str">
        <f>"1780645416"</f>
        <v>1780645416</v>
      </c>
      <c r="B2663" t="str">
        <f>"00232908"</f>
        <v>00232908</v>
      </c>
      <c r="C2663" t="s">
        <v>11307</v>
      </c>
      <c r="D2663" t="s">
        <v>11308</v>
      </c>
      <c r="E2663" t="s">
        <v>11309</v>
      </c>
      <c r="G2663" t="s">
        <v>2224</v>
      </c>
      <c r="H2663" t="s">
        <v>2225</v>
      </c>
      <c r="J2663" t="s">
        <v>2226</v>
      </c>
      <c r="L2663" t="s">
        <v>72</v>
      </c>
      <c r="M2663" t="s">
        <v>73</v>
      </c>
      <c r="R2663" t="s">
        <v>11310</v>
      </c>
      <c r="W2663" t="s">
        <v>11309</v>
      </c>
      <c r="X2663" t="s">
        <v>11311</v>
      </c>
      <c r="Y2663" t="s">
        <v>91</v>
      </c>
      <c r="Z2663" t="s">
        <v>74</v>
      </c>
      <c r="AA2663" t="str">
        <f t="shared" si="4"/>
        <v>10032-3720</v>
      </c>
      <c r="AB2663" t="s">
        <v>75</v>
      </c>
      <c r="AC2663" t="s">
        <v>76</v>
      </c>
      <c r="AD2663" t="s">
        <v>73</v>
      </c>
      <c r="AE2663" t="s">
        <v>77</v>
      </c>
      <c r="AF2663" t="s">
        <v>2254</v>
      </c>
      <c r="AG2663" t="s">
        <v>78</v>
      </c>
    </row>
    <row r="2664" spans="1:33" hidden="1" x14ac:dyDescent="0.25">
      <c r="A2664" t="str">
        <f>"1629238670"</f>
        <v>1629238670</v>
      </c>
      <c r="B2664" t="str">
        <f>"03102178"</f>
        <v>03102178</v>
      </c>
      <c r="C2664" t="s">
        <v>11312</v>
      </c>
      <c r="D2664" t="s">
        <v>11313</v>
      </c>
      <c r="E2664" t="s">
        <v>11314</v>
      </c>
      <c r="G2664" t="s">
        <v>2224</v>
      </c>
      <c r="H2664" t="s">
        <v>2225</v>
      </c>
      <c r="J2664" t="s">
        <v>2226</v>
      </c>
      <c r="L2664" t="s">
        <v>72</v>
      </c>
      <c r="M2664" t="s">
        <v>73</v>
      </c>
      <c r="R2664" t="s">
        <v>11315</v>
      </c>
      <c r="W2664" t="s">
        <v>11314</v>
      </c>
      <c r="X2664" t="s">
        <v>167</v>
      </c>
      <c r="Y2664" t="s">
        <v>91</v>
      </c>
      <c r="Z2664" t="s">
        <v>74</v>
      </c>
      <c r="AA2664" t="str">
        <f t="shared" si="4"/>
        <v>10032-3720</v>
      </c>
      <c r="AB2664" t="s">
        <v>75</v>
      </c>
      <c r="AC2664" t="s">
        <v>76</v>
      </c>
      <c r="AD2664" t="s">
        <v>73</v>
      </c>
      <c r="AE2664" t="s">
        <v>77</v>
      </c>
      <c r="AF2664" t="s">
        <v>2254</v>
      </c>
      <c r="AG2664" t="s">
        <v>78</v>
      </c>
    </row>
    <row r="2665" spans="1:33" hidden="1" x14ac:dyDescent="0.25">
      <c r="A2665" t="str">
        <f>"1659697464"</f>
        <v>1659697464</v>
      </c>
      <c r="B2665" t="str">
        <f>"03603101"</f>
        <v>03603101</v>
      </c>
      <c r="C2665" t="s">
        <v>11316</v>
      </c>
      <c r="D2665" t="s">
        <v>11317</v>
      </c>
      <c r="E2665" t="s">
        <v>11318</v>
      </c>
      <c r="G2665" t="s">
        <v>2224</v>
      </c>
      <c r="H2665" t="s">
        <v>2225</v>
      </c>
      <c r="J2665" t="s">
        <v>2226</v>
      </c>
      <c r="L2665" t="s">
        <v>72</v>
      </c>
      <c r="M2665" t="s">
        <v>73</v>
      </c>
      <c r="R2665" t="s">
        <v>11318</v>
      </c>
      <c r="W2665" t="s">
        <v>11318</v>
      </c>
      <c r="X2665" t="s">
        <v>167</v>
      </c>
      <c r="Y2665" t="s">
        <v>91</v>
      </c>
      <c r="Z2665" t="s">
        <v>74</v>
      </c>
      <c r="AA2665" t="str">
        <f t="shared" si="4"/>
        <v>10032-3720</v>
      </c>
      <c r="AB2665" t="s">
        <v>75</v>
      </c>
      <c r="AC2665" t="s">
        <v>76</v>
      </c>
      <c r="AD2665" t="s">
        <v>73</v>
      </c>
      <c r="AE2665" t="s">
        <v>77</v>
      </c>
      <c r="AF2665" t="s">
        <v>2228</v>
      </c>
      <c r="AG2665" t="s">
        <v>78</v>
      </c>
    </row>
    <row r="2666" spans="1:33" hidden="1" x14ac:dyDescent="0.25">
      <c r="A2666" t="str">
        <f>"1003941287"</f>
        <v>1003941287</v>
      </c>
      <c r="B2666" t="str">
        <f>"02706343"</f>
        <v>02706343</v>
      </c>
      <c r="C2666" t="s">
        <v>11319</v>
      </c>
      <c r="D2666" t="s">
        <v>11320</v>
      </c>
      <c r="E2666" t="s">
        <v>11321</v>
      </c>
      <c r="G2666" t="s">
        <v>2224</v>
      </c>
      <c r="H2666" t="s">
        <v>2225</v>
      </c>
      <c r="J2666" t="s">
        <v>2226</v>
      </c>
      <c r="L2666" t="s">
        <v>72</v>
      </c>
      <c r="M2666" t="s">
        <v>73</v>
      </c>
      <c r="R2666" t="s">
        <v>11322</v>
      </c>
      <c r="W2666" t="s">
        <v>11321</v>
      </c>
      <c r="X2666" t="s">
        <v>170</v>
      </c>
      <c r="Y2666" t="s">
        <v>91</v>
      </c>
      <c r="Z2666" t="s">
        <v>74</v>
      </c>
      <c r="AA2666" t="str">
        <f>"10065-4870"</f>
        <v>10065-4870</v>
      </c>
      <c r="AB2666" t="s">
        <v>75</v>
      </c>
      <c r="AC2666" t="s">
        <v>76</v>
      </c>
      <c r="AD2666" t="s">
        <v>73</v>
      </c>
      <c r="AE2666" t="s">
        <v>77</v>
      </c>
      <c r="AF2666" t="s">
        <v>2398</v>
      </c>
      <c r="AG2666" t="s">
        <v>78</v>
      </c>
    </row>
    <row r="2667" spans="1:33" hidden="1" x14ac:dyDescent="0.25">
      <c r="A2667" t="str">
        <f>"1699829937"</f>
        <v>1699829937</v>
      </c>
      <c r="B2667" t="str">
        <f>"01632948"</f>
        <v>01632948</v>
      </c>
      <c r="C2667" t="s">
        <v>11323</v>
      </c>
      <c r="D2667" t="s">
        <v>11324</v>
      </c>
      <c r="E2667" t="s">
        <v>11325</v>
      </c>
      <c r="L2667" t="s">
        <v>80</v>
      </c>
      <c r="M2667" t="s">
        <v>73</v>
      </c>
      <c r="R2667" t="s">
        <v>11326</v>
      </c>
      <c r="W2667" t="s">
        <v>11325</v>
      </c>
      <c r="X2667" t="s">
        <v>11327</v>
      </c>
      <c r="Y2667" t="s">
        <v>91</v>
      </c>
      <c r="Z2667" t="s">
        <v>74</v>
      </c>
      <c r="AA2667" t="str">
        <f>"10032-3720"</f>
        <v>10032-3720</v>
      </c>
      <c r="AB2667" t="s">
        <v>75</v>
      </c>
      <c r="AC2667" t="s">
        <v>76</v>
      </c>
      <c r="AD2667" t="s">
        <v>73</v>
      </c>
      <c r="AE2667" t="s">
        <v>77</v>
      </c>
      <c r="AF2667" t="s">
        <v>2228</v>
      </c>
      <c r="AG2667" t="s">
        <v>78</v>
      </c>
    </row>
    <row r="2668" spans="1:33" hidden="1" x14ac:dyDescent="0.25">
      <c r="A2668" t="str">
        <f>"1386798551"</f>
        <v>1386798551</v>
      </c>
      <c r="B2668" t="str">
        <f>"02213270"</f>
        <v>02213270</v>
      </c>
      <c r="C2668" t="s">
        <v>11328</v>
      </c>
      <c r="D2668" t="s">
        <v>11329</v>
      </c>
      <c r="E2668" t="s">
        <v>11330</v>
      </c>
      <c r="L2668" t="s">
        <v>80</v>
      </c>
      <c r="M2668" t="s">
        <v>73</v>
      </c>
      <c r="R2668" t="s">
        <v>11331</v>
      </c>
      <c r="W2668" t="s">
        <v>11330</v>
      </c>
      <c r="X2668" t="s">
        <v>167</v>
      </c>
      <c r="Y2668" t="s">
        <v>91</v>
      </c>
      <c r="Z2668" t="s">
        <v>74</v>
      </c>
      <c r="AA2668" t="str">
        <f>"10032-3720"</f>
        <v>10032-3720</v>
      </c>
      <c r="AB2668" t="s">
        <v>75</v>
      </c>
      <c r="AC2668" t="s">
        <v>76</v>
      </c>
      <c r="AD2668" t="s">
        <v>73</v>
      </c>
      <c r="AE2668" t="s">
        <v>77</v>
      </c>
      <c r="AF2668" t="s">
        <v>2228</v>
      </c>
      <c r="AG2668" t="s">
        <v>78</v>
      </c>
    </row>
    <row r="2669" spans="1:33" hidden="1" x14ac:dyDescent="0.25">
      <c r="A2669" t="str">
        <f>"1134351893"</f>
        <v>1134351893</v>
      </c>
      <c r="B2669" t="str">
        <f>"03887212"</f>
        <v>03887212</v>
      </c>
      <c r="C2669" t="s">
        <v>11332</v>
      </c>
      <c r="D2669" t="s">
        <v>11333</v>
      </c>
      <c r="E2669" t="s">
        <v>11334</v>
      </c>
      <c r="L2669" t="s">
        <v>80</v>
      </c>
      <c r="M2669" t="s">
        <v>73</v>
      </c>
      <c r="R2669" t="s">
        <v>11335</v>
      </c>
      <c r="W2669" t="s">
        <v>11334</v>
      </c>
      <c r="X2669" t="s">
        <v>167</v>
      </c>
      <c r="Y2669" t="s">
        <v>91</v>
      </c>
      <c r="Z2669" t="s">
        <v>74</v>
      </c>
      <c r="AA2669" t="str">
        <f>"10032-3720"</f>
        <v>10032-3720</v>
      </c>
      <c r="AB2669" t="s">
        <v>75</v>
      </c>
      <c r="AC2669" t="s">
        <v>76</v>
      </c>
      <c r="AD2669" t="s">
        <v>73</v>
      </c>
      <c r="AE2669" t="s">
        <v>77</v>
      </c>
      <c r="AF2669" t="s">
        <v>2228</v>
      </c>
      <c r="AG2669" t="s">
        <v>78</v>
      </c>
    </row>
    <row r="2670" spans="1:33" hidden="1" x14ac:dyDescent="0.25">
      <c r="A2670" t="str">
        <f>"1437388899"</f>
        <v>1437388899</v>
      </c>
      <c r="B2670" t="str">
        <f>"03142569"</f>
        <v>03142569</v>
      </c>
      <c r="C2670" t="s">
        <v>11336</v>
      </c>
      <c r="D2670" t="s">
        <v>11337</v>
      </c>
      <c r="E2670" t="s">
        <v>11338</v>
      </c>
      <c r="L2670" t="s">
        <v>80</v>
      </c>
      <c r="M2670" t="s">
        <v>73</v>
      </c>
      <c r="R2670" t="s">
        <v>11339</v>
      </c>
      <c r="W2670" t="s">
        <v>11338</v>
      </c>
      <c r="X2670" t="s">
        <v>167</v>
      </c>
      <c r="Y2670" t="s">
        <v>91</v>
      </c>
      <c r="Z2670" t="s">
        <v>74</v>
      </c>
      <c r="AA2670" t="str">
        <f>"10032-3720"</f>
        <v>10032-3720</v>
      </c>
      <c r="AB2670" t="s">
        <v>75</v>
      </c>
      <c r="AC2670" t="s">
        <v>76</v>
      </c>
      <c r="AD2670" t="s">
        <v>73</v>
      </c>
      <c r="AE2670" t="s">
        <v>77</v>
      </c>
      <c r="AF2670" t="s">
        <v>2228</v>
      </c>
      <c r="AG2670" t="s">
        <v>78</v>
      </c>
    </row>
    <row r="2671" spans="1:33" hidden="1" x14ac:dyDescent="0.25">
      <c r="A2671" t="str">
        <f>"1316099625"</f>
        <v>1316099625</v>
      </c>
      <c r="B2671" t="str">
        <f>"01008960"</f>
        <v>01008960</v>
      </c>
      <c r="C2671" t="s">
        <v>11340</v>
      </c>
      <c r="D2671" t="s">
        <v>11341</v>
      </c>
      <c r="E2671" t="s">
        <v>11342</v>
      </c>
      <c r="L2671" t="s">
        <v>80</v>
      </c>
      <c r="M2671" t="s">
        <v>73</v>
      </c>
      <c r="R2671" t="s">
        <v>11343</v>
      </c>
      <c r="W2671" t="s">
        <v>11342</v>
      </c>
      <c r="X2671" t="s">
        <v>11344</v>
      </c>
      <c r="Y2671" t="s">
        <v>91</v>
      </c>
      <c r="Z2671" t="s">
        <v>74</v>
      </c>
      <c r="AA2671" t="str">
        <f>"10032-3720"</f>
        <v>10032-3720</v>
      </c>
      <c r="AB2671" t="s">
        <v>75</v>
      </c>
      <c r="AC2671" t="s">
        <v>76</v>
      </c>
      <c r="AD2671" t="s">
        <v>73</v>
      </c>
      <c r="AE2671" t="s">
        <v>77</v>
      </c>
      <c r="AF2671" t="s">
        <v>2228</v>
      </c>
      <c r="AG2671" t="s">
        <v>78</v>
      </c>
    </row>
    <row r="2672" spans="1:33" hidden="1" x14ac:dyDescent="0.25">
      <c r="A2672" t="str">
        <f>"1932362126"</f>
        <v>1932362126</v>
      </c>
      <c r="B2672" t="str">
        <f>"03582267"</f>
        <v>03582267</v>
      </c>
      <c r="C2672" t="s">
        <v>11345</v>
      </c>
      <c r="D2672" t="s">
        <v>11346</v>
      </c>
      <c r="E2672" t="s">
        <v>11347</v>
      </c>
      <c r="L2672" t="s">
        <v>80</v>
      </c>
      <c r="M2672" t="s">
        <v>73</v>
      </c>
      <c r="R2672" t="s">
        <v>11348</v>
      </c>
      <c r="W2672" t="s">
        <v>11347</v>
      </c>
      <c r="X2672" t="s">
        <v>11349</v>
      </c>
      <c r="Y2672" t="s">
        <v>91</v>
      </c>
      <c r="Z2672" t="s">
        <v>74</v>
      </c>
      <c r="AA2672" t="str">
        <f>"10019-6113"</f>
        <v>10019-6113</v>
      </c>
      <c r="AB2672" t="s">
        <v>75</v>
      </c>
      <c r="AC2672" t="s">
        <v>76</v>
      </c>
      <c r="AD2672" t="s">
        <v>73</v>
      </c>
      <c r="AE2672" t="s">
        <v>77</v>
      </c>
      <c r="AG2672" t="s">
        <v>78</v>
      </c>
    </row>
    <row r="2673" spans="1:33" hidden="1" x14ac:dyDescent="0.25">
      <c r="A2673" t="str">
        <f>"1285864280"</f>
        <v>1285864280</v>
      </c>
      <c r="B2673" t="str">
        <f>"03981528"</f>
        <v>03981528</v>
      </c>
      <c r="C2673" t="s">
        <v>533</v>
      </c>
      <c r="D2673" t="s">
        <v>692</v>
      </c>
      <c r="E2673" t="s">
        <v>534</v>
      </c>
      <c r="G2673" t="s">
        <v>2224</v>
      </c>
      <c r="H2673" t="s">
        <v>2312</v>
      </c>
      <c r="J2673" t="s">
        <v>2226</v>
      </c>
      <c r="L2673" t="s">
        <v>81</v>
      </c>
      <c r="M2673" t="s">
        <v>73</v>
      </c>
      <c r="R2673" t="s">
        <v>534</v>
      </c>
      <c r="W2673" t="s">
        <v>534</v>
      </c>
      <c r="X2673" t="s">
        <v>683</v>
      </c>
      <c r="Y2673" t="s">
        <v>118</v>
      </c>
      <c r="Z2673" t="s">
        <v>74</v>
      </c>
      <c r="AA2673" t="str">
        <f>"10459-3204"</f>
        <v>10459-3204</v>
      </c>
      <c r="AB2673" t="s">
        <v>75</v>
      </c>
      <c r="AC2673" t="s">
        <v>76</v>
      </c>
      <c r="AD2673" t="s">
        <v>73</v>
      </c>
      <c r="AE2673" t="s">
        <v>77</v>
      </c>
      <c r="AF2673" t="s">
        <v>2234</v>
      </c>
      <c r="AG2673" t="s">
        <v>78</v>
      </c>
    </row>
    <row r="2674" spans="1:33" hidden="1" x14ac:dyDescent="0.25">
      <c r="A2674" t="str">
        <f>"1881959716"</f>
        <v>1881959716</v>
      </c>
      <c r="C2674" t="s">
        <v>11350</v>
      </c>
      <c r="G2674" t="s">
        <v>2224</v>
      </c>
      <c r="H2674" t="s">
        <v>2312</v>
      </c>
      <c r="J2674" t="s">
        <v>2226</v>
      </c>
      <c r="K2674" t="s">
        <v>171</v>
      </c>
      <c r="L2674" t="s">
        <v>72</v>
      </c>
      <c r="M2674" t="s">
        <v>73</v>
      </c>
      <c r="R2674" t="s">
        <v>781</v>
      </c>
      <c r="S2674" t="s">
        <v>620</v>
      </c>
      <c r="T2674" t="s">
        <v>91</v>
      </c>
      <c r="U2674" t="s">
        <v>74</v>
      </c>
      <c r="V2674" t="str">
        <f>"100022301"</f>
        <v>100022301</v>
      </c>
      <c r="AC2674" t="s">
        <v>76</v>
      </c>
      <c r="AD2674" t="s">
        <v>73</v>
      </c>
      <c r="AE2674" t="s">
        <v>97</v>
      </c>
      <c r="AF2674" t="s">
        <v>2234</v>
      </c>
      <c r="AG2674" t="s">
        <v>78</v>
      </c>
    </row>
    <row r="2675" spans="1:33" hidden="1" x14ac:dyDescent="0.25">
      <c r="A2675" t="str">
        <f>"1720345960"</f>
        <v>1720345960</v>
      </c>
      <c r="C2675" t="s">
        <v>11351</v>
      </c>
      <c r="G2675" t="s">
        <v>2224</v>
      </c>
      <c r="H2675" t="s">
        <v>2312</v>
      </c>
      <c r="J2675" t="s">
        <v>2226</v>
      </c>
      <c r="K2675" t="s">
        <v>171</v>
      </c>
      <c r="L2675" t="s">
        <v>96</v>
      </c>
      <c r="M2675" t="s">
        <v>73</v>
      </c>
      <c r="R2675" t="s">
        <v>11352</v>
      </c>
      <c r="S2675" t="s">
        <v>11353</v>
      </c>
      <c r="T2675" t="s">
        <v>11354</v>
      </c>
      <c r="U2675" t="s">
        <v>578</v>
      </c>
      <c r="V2675" t="str">
        <f>"944041354"</f>
        <v>944041354</v>
      </c>
      <c r="AC2675" t="s">
        <v>76</v>
      </c>
      <c r="AD2675" t="s">
        <v>73</v>
      </c>
      <c r="AE2675" t="s">
        <v>97</v>
      </c>
      <c r="AF2675" t="s">
        <v>2228</v>
      </c>
      <c r="AG2675" t="s">
        <v>78</v>
      </c>
    </row>
    <row r="2676" spans="1:33" hidden="1" x14ac:dyDescent="0.25">
      <c r="A2676" t="str">
        <f>"1487961082"</f>
        <v>1487961082</v>
      </c>
      <c r="C2676" t="s">
        <v>11355</v>
      </c>
      <c r="G2676" t="s">
        <v>2224</v>
      </c>
      <c r="H2676" t="s">
        <v>4165</v>
      </c>
      <c r="J2676" t="s">
        <v>2226</v>
      </c>
      <c r="K2676" t="s">
        <v>171</v>
      </c>
      <c r="L2676" t="s">
        <v>96</v>
      </c>
      <c r="M2676" t="s">
        <v>73</v>
      </c>
      <c r="R2676" t="s">
        <v>11356</v>
      </c>
      <c r="S2676" t="s">
        <v>167</v>
      </c>
      <c r="T2676" t="s">
        <v>91</v>
      </c>
      <c r="U2676" t="s">
        <v>74</v>
      </c>
      <c r="V2676" t="str">
        <f>"100323720"</f>
        <v>100323720</v>
      </c>
      <c r="AC2676" t="s">
        <v>76</v>
      </c>
      <c r="AD2676" t="s">
        <v>73</v>
      </c>
      <c r="AE2676" t="s">
        <v>97</v>
      </c>
      <c r="AF2676" t="s">
        <v>2228</v>
      </c>
      <c r="AG2676" t="s">
        <v>78</v>
      </c>
    </row>
    <row r="2677" spans="1:33" hidden="1" x14ac:dyDescent="0.25">
      <c r="A2677" t="str">
        <f>"1093977399"</f>
        <v>1093977399</v>
      </c>
      <c r="C2677" t="s">
        <v>11357</v>
      </c>
      <c r="G2677" t="s">
        <v>2224</v>
      </c>
      <c r="H2677" t="s">
        <v>4170</v>
      </c>
      <c r="J2677" t="s">
        <v>2226</v>
      </c>
      <c r="K2677" t="s">
        <v>171</v>
      </c>
      <c r="L2677" t="s">
        <v>72</v>
      </c>
      <c r="M2677" t="s">
        <v>73</v>
      </c>
      <c r="R2677" t="s">
        <v>11358</v>
      </c>
      <c r="S2677" t="s">
        <v>11359</v>
      </c>
      <c r="T2677" t="s">
        <v>74</v>
      </c>
      <c r="U2677" t="s">
        <v>74</v>
      </c>
      <c r="V2677" t="str">
        <f>"10032"</f>
        <v>10032</v>
      </c>
      <c r="AC2677" t="s">
        <v>76</v>
      </c>
      <c r="AD2677" t="s">
        <v>73</v>
      </c>
      <c r="AE2677" t="s">
        <v>97</v>
      </c>
      <c r="AF2677" t="s">
        <v>2228</v>
      </c>
      <c r="AG2677" t="s">
        <v>78</v>
      </c>
    </row>
    <row r="2678" spans="1:33" hidden="1" x14ac:dyDescent="0.25">
      <c r="A2678" t="str">
        <f>"1043289085"</f>
        <v>1043289085</v>
      </c>
      <c r="B2678" t="str">
        <f>"03638731"</f>
        <v>03638731</v>
      </c>
      <c r="C2678" t="s">
        <v>11360</v>
      </c>
      <c r="D2678" t="s">
        <v>1544</v>
      </c>
      <c r="E2678" t="s">
        <v>1545</v>
      </c>
      <c r="G2678" t="s">
        <v>2224</v>
      </c>
      <c r="H2678" t="s">
        <v>2225</v>
      </c>
      <c r="J2678" t="s">
        <v>2226</v>
      </c>
      <c r="L2678" t="s">
        <v>80</v>
      </c>
      <c r="M2678" t="s">
        <v>73</v>
      </c>
      <c r="R2678" t="s">
        <v>1546</v>
      </c>
      <c r="W2678" t="s">
        <v>1545</v>
      </c>
      <c r="X2678" t="s">
        <v>486</v>
      </c>
      <c r="Y2678" t="s">
        <v>91</v>
      </c>
      <c r="Z2678" t="s">
        <v>74</v>
      </c>
      <c r="AA2678" t="str">
        <f>"10036-8005"</f>
        <v>10036-8005</v>
      </c>
      <c r="AB2678" t="s">
        <v>75</v>
      </c>
      <c r="AC2678" t="s">
        <v>76</v>
      </c>
      <c r="AD2678" t="s">
        <v>73</v>
      </c>
      <c r="AE2678" t="s">
        <v>77</v>
      </c>
      <c r="AF2678" t="s">
        <v>2254</v>
      </c>
      <c r="AG2678" t="s">
        <v>78</v>
      </c>
    </row>
    <row r="2679" spans="1:33" hidden="1" x14ac:dyDescent="0.25">
      <c r="A2679" t="str">
        <f>"1245327337"</f>
        <v>1245327337</v>
      </c>
      <c r="B2679" t="str">
        <f>"01673596"</f>
        <v>01673596</v>
      </c>
      <c r="C2679" t="s">
        <v>11361</v>
      </c>
      <c r="D2679" t="s">
        <v>11362</v>
      </c>
      <c r="E2679" t="s">
        <v>11363</v>
      </c>
      <c r="G2679" t="s">
        <v>2224</v>
      </c>
      <c r="H2679" t="s">
        <v>2225</v>
      </c>
      <c r="J2679" t="s">
        <v>2226</v>
      </c>
      <c r="L2679" t="s">
        <v>72</v>
      </c>
      <c r="M2679" t="s">
        <v>73</v>
      </c>
      <c r="R2679" t="s">
        <v>11364</v>
      </c>
      <c r="W2679" t="s">
        <v>11363</v>
      </c>
      <c r="X2679" t="s">
        <v>496</v>
      </c>
      <c r="Y2679" t="s">
        <v>91</v>
      </c>
      <c r="Z2679" t="s">
        <v>74</v>
      </c>
      <c r="AA2679" t="str">
        <f>"10032-3726"</f>
        <v>10032-3726</v>
      </c>
      <c r="AB2679" t="s">
        <v>75</v>
      </c>
      <c r="AC2679" t="s">
        <v>76</v>
      </c>
      <c r="AD2679" t="s">
        <v>73</v>
      </c>
      <c r="AE2679" t="s">
        <v>77</v>
      </c>
      <c r="AF2679" t="s">
        <v>2254</v>
      </c>
      <c r="AG2679" t="s">
        <v>78</v>
      </c>
    </row>
    <row r="2680" spans="1:33" hidden="1" x14ac:dyDescent="0.25">
      <c r="A2680" t="str">
        <f>"1356540199"</f>
        <v>1356540199</v>
      </c>
      <c r="B2680" t="str">
        <f>"03917860"</f>
        <v>03917860</v>
      </c>
      <c r="C2680" t="s">
        <v>11365</v>
      </c>
      <c r="D2680" t="s">
        <v>11366</v>
      </c>
      <c r="E2680" t="s">
        <v>11367</v>
      </c>
      <c r="G2680" t="s">
        <v>2224</v>
      </c>
      <c r="H2680" t="s">
        <v>2225</v>
      </c>
      <c r="J2680" t="s">
        <v>2226</v>
      </c>
      <c r="L2680" t="s">
        <v>72</v>
      </c>
      <c r="M2680" t="s">
        <v>73</v>
      </c>
      <c r="R2680" t="s">
        <v>11368</v>
      </c>
      <c r="W2680" t="s">
        <v>11369</v>
      </c>
      <c r="X2680" t="s">
        <v>410</v>
      </c>
      <c r="Y2680" t="s">
        <v>91</v>
      </c>
      <c r="Z2680" t="s">
        <v>74</v>
      </c>
      <c r="AA2680" t="str">
        <f>"10032-1559"</f>
        <v>10032-1559</v>
      </c>
      <c r="AB2680" t="s">
        <v>75</v>
      </c>
      <c r="AC2680" t="s">
        <v>76</v>
      </c>
      <c r="AD2680" t="s">
        <v>73</v>
      </c>
      <c r="AE2680" t="s">
        <v>77</v>
      </c>
      <c r="AF2680" t="s">
        <v>2228</v>
      </c>
      <c r="AG2680" t="s">
        <v>78</v>
      </c>
    </row>
    <row r="2681" spans="1:33" hidden="1" x14ac:dyDescent="0.25">
      <c r="A2681" t="str">
        <f>"1407801160"</f>
        <v>1407801160</v>
      </c>
      <c r="B2681" t="str">
        <f>"02011750"</f>
        <v>02011750</v>
      </c>
      <c r="C2681" t="s">
        <v>11370</v>
      </c>
      <c r="D2681" t="s">
        <v>11371</v>
      </c>
      <c r="E2681" t="s">
        <v>11372</v>
      </c>
      <c r="G2681" t="s">
        <v>2224</v>
      </c>
      <c r="H2681" t="s">
        <v>2225</v>
      </c>
      <c r="J2681" t="s">
        <v>2226</v>
      </c>
      <c r="L2681" t="s">
        <v>80</v>
      </c>
      <c r="M2681" t="s">
        <v>82</v>
      </c>
      <c r="R2681" t="s">
        <v>11373</v>
      </c>
      <c r="W2681" t="s">
        <v>11372</v>
      </c>
      <c r="X2681" t="s">
        <v>11374</v>
      </c>
      <c r="Y2681" t="s">
        <v>91</v>
      </c>
      <c r="Z2681" t="s">
        <v>74</v>
      </c>
      <c r="AA2681" t="str">
        <f>"10065-4870"</f>
        <v>10065-4870</v>
      </c>
      <c r="AB2681" t="s">
        <v>75</v>
      </c>
      <c r="AC2681" t="s">
        <v>76</v>
      </c>
      <c r="AD2681" t="s">
        <v>73</v>
      </c>
      <c r="AE2681" t="s">
        <v>77</v>
      </c>
      <c r="AF2681" t="s">
        <v>2242</v>
      </c>
      <c r="AG2681" t="s">
        <v>78</v>
      </c>
    </row>
    <row r="2682" spans="1:33" hidden="1" x14ac:dyDescent="0.25">
      <c r="A2682" t="str">
        <f>"1851618797"</f>
        <v>1851618797</v>
      </c>
      <c r="B2682" t="str">
        <f>"03923071"</f>
        <v>03923071</v>
      </c>
      <c r="C2682" t="s">
        <v>11375</v>
      </c>
      <c r="D2682" t="s">
        <v>11376</v>
      </c>
      <c r="E2682" t="s">
        <v>11377</v>
      </c>
      <c r="G2682" t="s">
        <v>2224</v>
      </c>
      <c r="H2682" t="s">
        <v>2225</v>
      </c>
      <c r="J2682" t="s">
        <v>2226</v>
      </c>
      <c r="L2682" t="s">
        <v>72</v>
      </c>
      <c r="M2682" t="s">
        <v>73</v>
      </c>
      <c r="R2682" t="s">
        <v>11378</v>
      </c>
      <c r="W2682" t="s">
        <v>11377</v>
      </c>
      <c r="X2682" t="s">
        <v>1239</v>
      </c>
      <c r="Y2682" t="s">
        <v>91</v>
      </c>
      <c r="Z2682" t="s">
        <v>74</v>
      </c>
      <c r="AA2682" t="str">
        <f>"10032-3722"</f>
        <v>10032-3722</v>
      </c>
      <c r="AB2682" t="s">
        <v>75</v>
      </c>
      <c r="AC2682" t="s">
        <v>76</v>
      </c>
      <c r="AD2682" t="s">
        <v>73</v>
      </c>
      <c r="AE2682" t="s">
        <v>77</v>
      </c>
      <c r="AF2682" t="s">
        <v>2228</v>
      </c>
      <c r="AG2682" t="s">
        <v>78</v>
      </c>
    </row>
    <row r="2683" spans="1:33" hidden="1" x14ac:dyDescent="0.25">
      <c r="A2683" t="str">
        <f>"1558536763"</f>
        <v>1558536763</v>
      </c>
      <c r="B2683" t="str">
        <f>"03776703"</f>
        <v>03776703</v>
      </c>
      <c r="C2683" t="s">
        <v>11379</v>
      </c>
      <c r="D2683" t="s">
        <v>11380</v>
      </c>
      <c r="E2683" t="s">
        <v>11381</v>
      </c>
      <c r="G2683" t="s">
        <v>2224</v>
      </c>
      <c r="H2683" t="s">
        <v>2225</v>
      </c>
      <c r="J2683" t="s">
        <v>2226</v>
      </c>
      <c r="L2683" t="s">
        <v>80</v>
      </c>
      <c r="M2683" t="s">
        <v>73</v>
      </c>
      <c r="R2683" t="s">
        <v>11382</v>
      </c>
      <c r="W2683" t="s">
        <v>11381</v>
      </c>
      <c r="X2683" t="s">
        <v>167</v>
      </c>
      <c r="Y2683" t="s">
        <v>91</v>
      </c>
      <c r="Z2683" t="s">
        <v>74</v>
      </c>
      <c r="AA2683" t="str">
        <f>"10032-3720"</f>
        <v>10032-3720</v>
      </c>
      <c r="AB2683" t="s">
        <v>75</v>
      </c>
      <c r="AC2683" t="s">
        <v>76</v>
      </c>
      <c r="AD2683" t="s">
        <v>73</v>
      </c>
      <c r="AE2683" t="s">
        <v>77</v>
      </c>
      <c r="AF2683" t="s">
        <v>2234</v>
      </c>
      <c r="AG2683" t="s">
        <v>78</v>
      </c>
    </row>
    <row r="2684" spans="1:33" hidden="1" x14ac:dyDescent="0.25">
      <c r="A2684" t="str">
        <f>"1598852667"</f>
        <v>1598852667</v>
      </c>
      <c r="B2684" t="str">
        <f>"00742347"</f>
        <v>00742347</v>
      </c>
      <c r="C2684" t="s">
        <v>11383</v>
      </c>
      <c r="D2684" t="s">
        <v>11384</v>
      </c>
      <c r="E2684" t="s">
        <v>11385</v>
      </c>
      <c r="G2684" t="s">
        <v>2224</v>
      </c>
      <c r="H2684" t="s">
        <v>2225</v>
      </c>
      <c r="J2684" t="s">
        <v>2226</v>
      </c>
      <c r="L2684" t="s">
        <v>80</v>
      </c>
      <c r="M2684" t="s">
        <v>73</v>
      </c>
      <c r="R2684" t="s">
        <v>11386</v>
      </c>
      <c r="W2684" t="s">
        <v>11385</v>
      </c>
      <c r="X2684" t="s">
        <v>11387</v>
      </c>
      <c r="Y2684" t="s">
        <v>91</v>
      </c>
      <c r="Z2684" t="s">
        <v>74</v>
      </c>
      <c r="AA2684" t="str">
        <f>"10065-4870"</f>
        <v>10065-4870</v>
      </c>
      <c r="AB2684" t="s">
        <v>75</v>
      </c>
      <c r="AC2684" t="s">
        <v>76</v>
      </c>
      <c r="AD2684" t="s">
        <v>73</v>
      </c>
      <c r="AE2684" t="s">
        <v>77</v>
      </c>
      <c r="AF2684" t="s">
        <v>2242</v>
      </c>
      <c r="AG2684" t="s">
        <v>78</v>
      </c>
    </row>
    <row r="2685" spans="1:33" hidden="1" x14ac:dyDescent="0.25">
      <c r="A2685" t="str">
        <f>"1144257239"</f>
        <v>1144257239</v>
      </c>
      <c r="B2685" t="str">
        <f>"02554658"</f>
        <v>02554658</v>
      </c>
      <c r="C2685" t="s">
        <v>11388</v>
      </c>
      <c r="D2685" t="s">
        <v>11389</v>
      </c>
      <c r="E2685" t="s">
        <v>11390</v>
      </c>
      <c r="G2685" t="s">
        <v>2224</v>
      </c>
      <c r="H2685" t="s">
        <v>2225</v>
      </c>
      <c r="J2685" t="s">
        <v>2226</v>
      </c>
      <c r="L2685" t="s">
        <v>80</v>
      </c>
      <c r="M2685" t="s">
        <v>73</v>
      </c>
      <c r="R2685" t="s">
        <v>11391</v>
      </c>
      <c r="W2685" t="s">
        <v>11390</v>
      </c>
      <c r="X2685" t="s">
        <v>372</v>
      </c>
      <c r="Y2685" t="s">
        <v>118</v>
      </c>
      <c r="Z2685" t="s">
        <v>74</v>
      </c>
      <c r="AA2685" t="str">
        <f>"10451-5589"</f>
        <v>10451-5589</v>
      </c>
      <c r="AB2685" t="s">
        <v>75</v>
      </c>
      <c r="AC2685" t="s">
        <v>76</v>
      </c>
      <c r="AD2685" t="s">
        <v>73</v>
      </c>
      <c r="AE2685" t="s">
        <v>77</v>
      </c>
      <c r="AF2685" t="s">
        <v>2228</v>
      </c>
      <c r="AG2685" t="s">
        <v>78</v>
      </c>
    </row>
    <row r="2686" spans="1:33" hidden="1" x14ac:dyDescent="0.25">
      <c r="A2686" t="str">
        <f>"1598702623"</f>
        <v>1598702623</v>
      </c>
      <c r="B2686" t="str">
        <f>"03556829"</f>
        <v>03556829</v>
      </c>
      <c r="C2686" t="s">
        <v>11392</v>
      </c>
      <c r="D2686" t="s">
        <v>11393</v>
      </c>
      <c r="E2686" t="s">
        <v>11394</v>
      </c>
      <c r="G2686" t="s">
        <v>2224</v>
      </c>
      <c r="H2686" t="s">
        <v>2225</v>
      </c>
      <c r="J2686" t="s">
        <v>2226</v>
      </c>
      <c r="L2686" t="s">
        <v>80</v>
      </c>
      <c r="M2686" t="s">
        <v>73</v>
      </c>
      <c r="R2686" t="s">
        <v>11394</v>
      </c>
      <c r="W2686" t="s">
        <v>11395</v>
      </c>
      <c r="X2686" t="s">
        <v>11396</v>
      </c>
      <c r="Y2686" t="s">
        <v>1249</v>
      </c>
      <c r="Z2686" t="s">
        <v>74</v>
      </c>
      <c r="AA2686" t="str">
        <f>"10994-2212"</f>
        <v>10994-2212</v>
      </c>
      <c r="AB2686" t="s">
        <v>75</v>
      </c>
      <c r="AC2686" t="s">
        <v>76</v>
      </c>
      <c r="AD2686" t="s">
        <v>73</v>
      </c>
      <c r="AE2686" t="s">
        <v>77</v>
      </c>
      <c r="AF2686" t="s">
        <v>2228</v>
      </c>
      <c r="AG2686" t="s">
        <v>78</v>
      </c>
    </row>
    <row r="2687" spans="1:33" hidden="1" x14ac:dyDescent="0.25">
      <c r="A2687" t="str">
        <f>"1972743938"</f>
        <v>1972743938</v>
      </c>
      <c r="B2687" t="str">
        <f>"03108830"</f>
        <v>03108830</v>
      </c>
      <c r="C2687" t="s">
        <v>11397</v>
      </c>
      <c r="D2687" t="s">
        <v>11398</v>
      </c>
      <c r="E2687" t="s">
        <v>11399</v>
      </c>
      <c r="G2687" t="s">
        <v>2224</v>
      </c>
      <c r="H2687" t="s">
        <v>2225</v>
      </c>
      <c r="J2687" t="s">
        <v>2226</v>
      </c>
      <c r="L2687" t="s">
        <v>72</v>
      </c>
      <c r="M2687" t="s">
        <v>73</v>
      </c>
      <c r="R2687" t="s">
        <v>11400</v>
      </c>
      <c r="W2687" t="s">
        <v>11399</v>
      </c>
      <c r="X2687" t="s">
        <v>236</v>
      </c>
      <c r="Y2687" t="s">
        <v>91</v>
      </c>
      <c r="Z2687" t="s">
        <v>74</v>
      </c>
      <c r="AA2687" t="str">
        <f>"10034-1159"</f>
        <v>10034-1159</v>
      </c>
      <c r="AB2687" t="s">
        <v>75</v>
      </c>
      <c r="AC2687" t="s">
        <v>76</v>
      </c>
      <c r="AD2687" t="s">
        <v>73</v>
      </c>
      <c r="AE2687" t="s">
        <v>77</v>
      </c>
      <c r="AF2687" t="s">
        <v>2228</v>
      </c>
      <c r="AG2687" t="s">
        <v>78</v>
      </c>
    </row>
    <row r="2688" spans="1:33" hidden="1" x14ac:dyDescent="0.25">
      <c r="A2688" t="str">
        <f>"1790846699"</f>
        <v>1790846699</v>
      </c>
      <c r="B2688" t="str">
        <f>"01577866"</f>
        <v>01577866</v>
      </c>
      <c r="C2688" t="s">
        <v>11401</v>
      </c>
      <c r="D2688" t="s">
        <v>11402</v>
      </c>
      <c r="E2688" t="s">
        <v>11403</v>
      </c>
      <c r="G2688" t="s">
        <v>2224</v>
      </c>
      <c r="H2688" t="s">
        <v>2225</v>
      </c>
      <c r="J2688" t="s">
        <v>2226</v>
      </c>
      <c r="L2688" t="s">
        <v>80</v>
      </c>
      <c r="M2688" t="s">
        <v>73</v>
      </c>
      <c r="R2688" t="s">
        <v>11404</v>
      </c>
      <c r="W2688" t="s">
        <v>11403</v>
      </c>
      <c r="X2688" t="s">
        <v>1932</v>
      </c>
      <c r="Y2688" t="s">
        <v>91</v>
      </c>
      <c r="Z2688" t="s">
        <v>74</v>
      </c>
      <c r="AA2688" t="str">
        <f>"10032-3725"</f>
        <v>10032-3725</v>
      </c>
      <c r="AB2688" t="s">
        <v>75</v>
      </c>
      <c r="AC2688" t="s">
        <v>76</v>
      </c>
      <c r="AD2688" t="s">
        <v>73</v>
      </c>
      <c r="AE2688" t="s">
        <v>77</v>
      </c>
      <c r="AF2688" t="s">
        <v>2228</v>
      </c>
      <c r="AG2688" t="s">
        <v>78</v>
      </c>
    </row>
    <row r="2689" spans="1:33" hidden="1" x14ac:dyDescent="0.25">
      <c r="A2689" t="str">
        <f>"1629220926"</f>
        <v>1629220926</v>
      </c>
      <c r="C2689" t="s">
        <v>11405</v>
      </c>
      <c r="G2689" t="s">
        <v>2224</v>
      </c>
      <c r="H2689" t="s">
        <v>2225</v>
      </c>
      <c r="J2689" t="s">
        <v>2226</v>
      </c>
      <c r="K2689" t="s">
        <v>93</v>
      </c>
      <c r="L2689" t="s">
        <v>72</v>
      </c>
      <c r="M2689" t="s">
        <v>73</v>
      </c>
      <c r="R2689" t="s">
        <v>11406</v>
      </c>
      <c r="S2689" t="s">
        <v>11407</v>
      </c>
      <c r="T2689" t="s">
        <v>185</v>
      </c>
      <c r="U2689" t="s">
        <v>74</v>
      </c>
      <c r="V2689" t="str">
        <f>"111031522"</f>
        <v>111031522</v>
      </c>
      <c r="AC2689" t="s">
        <v>76</v>
      </c>
      <c r="AD2689" t="s">
        <v>73</v>
      </c>
      <c r="AE2689" t="s">
        <v>97</v>
      </c>
      <c r="AF2689" t="s">
        <v>2254</v>
      </c>
      <c r="AG2689" t="s">
        <v>78</v>
      </c>
    </row>
    <row r="2690" spans="1:33" hidden="1" x14ac:dyDescent="0.25">
      <c r="A2690" t="str">
        <f>"1063657492"</f>
        <v>1063657492</v>
      </c>
      <c r="B2690" t="str">
        <f>"03100089"</f>
        <v>03100089</v>
      </c>
      <c r="C2690" t="s">
        <v>11408</v>
      </c>
      <c r="D2690" t="s">
        <v>11409</v>
      </c>
      <c r="E2690" t="s">
        <v>11410</v>
      </c>
      <c r="G2690" t="s">
        <v>2224</v>
      </c>
      <c r="H2690" t="s">
        <v>2225</v>
      </c>
      <c r="J2690" t="s">
        <v>2226</v>
      </c>
      <c r="L2690" t="s">
        <v>72</v>
      </c>
      <c r="M2690" t="s">
        <v>73</v>
      </c>
      <c r="R2690" t="s">
        <v>11411</v>
      </c>
      <c r="W2690" t="s">
        <v>11410</v>
      </c>
      <c r="X2690" t="s">
        <v>3433</v>
      </c>
      <c r="Y2690" t="s">
        <v>91</v>
      </c>
      <c r="Z2690" t="s">
        <v>74</v>
      </c>
      <c r="AA2690" t="str">
        <f>"10032-4220"</f>
        <v>10032-4220</v>
      </c>
      <c r="AB2690" t="s">
        <v>106</v>
      </c>
      <c r="AC2690" t="s">
        <v>76</v>
      </c>
      <c r="AD2690" t="s">
        <v>73</v>
      </c>
      <c r="AE2690" t="s">
        <v>77</v>
      </c>
      <c r="AF2690" t="s">
        <v>2254</v>
      </c>
      <c r="AG2690" t="s">
        <v>78</v>
      </c>
    </row>
    <row r="2691" spans="1:33" hidden="1" x14ac:dyDescent="0.25">
      <c r="A2691" t="str">
        <f>"1881918886"</f>
        <v>1881918886</v>
      </c>
      <c r="B2691" t="str">
        <f>"03853803"</f>
        <v>03853803</v>
      </c>
      <c r="C2691" t="s">
        <v>11412</v>
      </c>
      <c r="D2691" t="s">
        <v>11413</v>
      </c>
      <c r="E2691" t="s">
        <v>11414</v>
      </c>
      <c r="G2691" t="s">
        <v>2224</v>
      </c>
      <c r="H2691" t="s">
        <v>2225</v>
      </c>
      <c r="J2691" t="s">
        <v>2226</v>
      </c>
      <c r="L2691" t="s">
        <v>72</v>
      </c>
      <c r="M2691" t="s">
        <v>73</v>
      </c>
      <c r="R2691" t="s">
        <v>11415</v>
      </c>
      <c r="W2691" t="s">
        <v>11414</v>
      </c>
      <c r="X2691" t="s">
        <v>2131</v>
      </c>
      <c r="Y2691" t="s">
        <v>91</v>
      </c>
      <c r="Z2691" t="s">
        <v>74</v>
      </c>
      <c r="AA2691" t="str">
        <f>"10010-4237"</f>
        <v>10010-4237</v>
      </c>
      <c r="AB2691" t="s">
        <v>106</v>
      </c>
      <c r="AC2691" t="s">
        <v>76</v>
      </c>
      <c r="AD2691" t="s">
        <v>73</v>
      </c>
      <c r="AE2691" t="s">
        <v>77</v>
      </c>
      <c r="AF2691" t="s">
        <v>2398</v>
      </c>
      <c r="AG2691" t="s">
        <v>78</v>
      </c>
    </row>
    <row r="2692" spans="1:33" hidden="1" x14ac:dyDescent="0.25">
      <c r="A2692" t="str">
        <f>"1134332901"</f>
        <v>1134332901</v>
      </c>
      <c r="B2692" t="str">
        <f>"03090315"</f>
        <v>03090315</v>
      </c>
      <c r="C2692" t="s">
        <v>11416</v>
      </c>
      <c r="D2692" t="s">
        <v>11417</v>
      </c>
      <c r="E2692" t="s">
        <v>1154</v>
      </c>
      <c r="G2692" t="s">
        <v>2224</v>
      </c>
      <c r="H2692" t="s">
        <v>2225</v>
      </c>
      <c r="J2692" t="s">
        <v>2226</v>
      </c>
      <c r="L2692" t="s">
        <v>96</v>
      </c>
      <c r="M2692" t="s">
        <v>73</v>
      </c>
      <c r="R2692" t="s">
        <v>11418</v>
      </c>
      <c r="W2692" t="s">
        <v>1154</v>
      </c>
      <c r="X2692" t="s">
        <v>11419</v>
      </c>
      <c r="Y2692" t="s">
        <v>91</v>
      </c>
      <c r="Z2692" t="s">
        <v>74</v>
      </c>
      <c r="AA2692" t="str">
        <f>"10021"</f>
        <v>10021</v>
      </c>
      <c r="AB2692" t="s">
        <v>106</v>
      </c>
      <c r="AC2692" t="s">
        <v>76</v>
      </c>
      <c r="AD2692" t="s">
        <v>73</v>
      </c>
      <c r="AE2692" t="s">
        <v>77</v>
      </c>
      <c r="AF2692" t="s">
        <v>2234</v>
      </c>
      <c r="AG2692" t="s">
        <v>78</v>
      </c>
    </row>
    <row r="2693" spans="1:33" hidden="1" x14ac:dyDescent="0.25">
      <c r="A2693" t="str">
        <f>"1194038091"</f>
        <v>1194038091</v>
      </c>
      <c r="B2693" t="str">
        <f>"03285403"</f>
        <v>03285403</v>
      </c>
      <c r="C2693" t="s">
        <v>11420</v>
      </c>
      <c r="D2693" t="s">
        <v>11421</v>
      </c>
      <c r="E2693" t="s">
        <v>11422</v>
      </c>
      <c r="G2693" t="s">
        <v>2224</v>
      </c>
      <c r="H2693" t="s">
        <v>2225</v>
      </c>
      <c r="J2693" t="s">
        <v>2226</v>
      </c>
      <c r="L2693" t="s">
        <v>96</v>
      </c>
      <c r="M2693" t="s">
        <v>73</v>
      </c>
      <c r="R2693" t="s">
        <v>11423</v>
      </c>
      <c r="W2693" t="s">
        <v>11422</v>
      </c>
      <c r="X2693" t="s">
        <v>5877</v>
      </c>
      <c r="Y2693" t="s">
        <v>91</v>
      </c>
      <c r="Z2693" t="s">
        <v>74</v>
      </c>
      <c r="AA2693" t="str">
        <f>"10011-1913"</f>
        <v>10011-1913</v>
      </c>
      <c r="AB2693" t="s">
        <v>106</v>
      </c>
      <c r="AC2693" t="s">
        <v>76</v>
      </c>
      <c r="AD2693" t="s">
        <v>73</v>
      </c>
      <c r="AE2693" t="s">
        <v>77</v>
      </c>
      <c r="AF2693" t="s">
        <v>2398</v>
      </c>
      <c r="AG2693" t="s">
        <v>78</v>
      </c>
    </row>
    <row r="2694" spans="1:33" hidden="1" x14ac:dyDescent="0.25">
      <c r="A2694" t="str">
        <f>"1538593066"</f>
        <v>1538593066</v>
      </c>
      <c r="B2694" t="str">
        <f>"03853936"</f>
        <v>03853936</v>
      </c>
      <c r="C2694" t="s">
        <v>11424</v>
      </c>
      <c r="D2694" t="s">
        <v>11425</v>
      </c>
      <c r="E2694" t="s">
        <v>11426</v>
      </c>
      <c r="G2694" t="s">
        <v>2224</v>
      </c>
      <c r="H2694" t="s">
        <v>2225</v>
      </c>
      <c r="J2694" t="s">
        <v>2226</v>
      </c>
      <c r="L2694" t="s">
        <v>72</v>
      </c>
      <c r="M2694" t="s">
        <v>73</v>
      </c>
      <c r="R2694" t="s">
        <v>11427</v>
      </c>
      <c r="W2694" t="s">
        <v>11426</v>
      </c>
      <c r="X2694" t="s">
        <v>1798</v>
      </c>
      <c r="Y2694" t="s">
        <v>91</v>
      </c>
      <c r="Z2694" t="s">
        <v>74</v>
      </c>
      <c r="AA2694" t="str">
        <f>"10032"</f>
        <v>10032</v>
      </c>
      <c r="AB2694" t="s">
        <v>106</v>
      </c>
      <c r="AC2694" t="s">
        <v>76</v>
      </c>
      <c r="AD2694" t="s">
        <v>73</v>
      </c>
      <c r="AE2694" t="s">
        <v>77</v>
      </c>
      <c r="AF2694" t="s">
        <v>2254</v>
      </c>
      <c r="AG2694" t="s">
        <v>78</v>
      </c>
    </row>
    <row r="2695" spans="1:33" hidden="1" x14ac:dyDescent="0.25">
      <c r="A2695" t="str">
        <f>"1538568670"</f>
        <v>1538568670</v>
      </c>
      <c r="B2695" t="str">
        <f>"03913393"</f>
        <v>03913393</v>
      </c>
      <c r="C2695" t="s">
        <v>11428</v>
      </c>
      <c r="D2695" t="s">
        <v>11429</v>
      </c>
      <c r="E2695" t="s">
        <v>11430</v>
      </c>
      <c r="G2695" t="s">
        <v>2224</v>
      </c>
      <c r="H2695" t="s">
        <v>2225</v>
      </c>
      <c r="J2695" t="s">
        <v>2226</v>
      </c>
      <c r="L2695" t="s">
        <v>72</v>
      </c>
      <c r="M2695" t="s">
        <v>73</v>
      </c>
      <c r="R2695" t="s">
        <v>11431</v>
      </c>
      <c r="W2695" t="s">
        <v>11430</v>
      </c>
      <c r="X2695" t="s">
        <v>4384</v>
      </c>
      <c r="Y2695" t="s">
        <v>118</v>
      </c>
      <c r="Z2695" t="s">
        <v>74</v>
      </c>
      <c r="AA2695" t="str">
        <f>"10463-5079"</f>
        <v>10463-5079</v>
      </c>
      <c r="AB2695" t="s">
        <v>113</v>
      </c>
      <c r="AC2695" t="s">
        <v>76</v>
      </c>
      <c r="AD2695" t="s">
        <v>73</v>
      </c>
      <c r="AE2695" t="s">
        <v>77</v>
      </c>
      <c r="AF2695" t="s">
        <v>2254</v>
      </c>
      <c r="AG2695" t="s">
        <v>78</v>
      </c>
    </row>
    <row r="2696" spans="1:33" hidden="1" x14ac:dyDescent="0.25">
      <c r="A2696" t="str">
        <f>"1033452792"</f>
        <v>1033452792</v>
      </c>
      <c r="B2696" t="str">
        <f>"03687294"</f>
        <v>03687294</v>
      </c>
      <c r="C2696" t="s">
        <v>11432</v>
      </c>
      <c r="D2696" t="s">
        <v>11433</v>
      </c>
      <c r="E2696" t="s">
        <v>11434</v>
      </c>
      <c r="G2696" t="s">
        <v>2224</v>
      </c>
      <c r="H2696" t="s">
        <v>2225</v>
      </c>
      <c r="J2696" t="s">
        <v>2226</v>
      </c>
      <c r="L2696" t="s">
        <v>72</v>
      </c>
      <c r="M2696" t="s">
        <v>73</v>
      </c>
      <c r="R2696" t="s">
        <v>11435</v>
      </c>
      <c r="W2696" t="s">
        <v>11434</v>
      </c>
      <c r="X2696" t="s">
        <v>628</v>
      </c>
      <c r="Y2696" t="s">
        <v>91</v>
      </c>
      <c r="Z2696" t="s">
        <v>74</v>
      </c>
      <c r="AA2696" t="str">
        <f>"10021-4872"</f>
        <v>10021-4872</v>
      </c>
      <c r="AB2696" t="s">
        <v>106</v>
      </c>
      <c r="AC2696" t="s">
        <v>76</v>
      </c>
      <c r="AD2696" t="s">
        <v>73</v>
      </c>
      <c r="AE2696" t="s">
        <v>77</v>
      </c>
      <c r="AF2696" t="s">
        <v>2398</v>
      </c>
      <c r="AG2696" t="s">
        <v>78</v>
      </c>
    </row>
    <row r="2697" spans="1:33" hidden="1" x14ac:dyDescent="0.25">
      <c r="A2697" t="str">
        <f>"1417008129"</f>
        <v>1417008129</v>
      </c>
      <c r="B2697" t="str">
        <f>"03285467"</f>
        <v>03285467</v>
      </c>
      <c r="C2697" t="s">
        <v>11436</v>
      </c>
      <c r="D2697" t="s">
        <v>11437</v>
      </c>
      <c r="E2697" t="s">
        <v>11438</v>
      </c>
      <c r="G2697" t="s">
        <v>2224</v>
      </c>
      <c r="H2697" t="s">
        <v>2225</v>
      </c>
      <c r="J2697" t="s">
        <v>2226</v>
      </c>
      <c r="L2697" t="s">
        <v>96</v>
      </c>
      <c r="M2697" t="s">
        <v>73</v>
      </c>
      <c r="R2697" t="s">
        <v>11439</v>
      </c>
      <c r="W2697" t="s">
        <v>11438</v>
      </c>
      <c r="X2697" t="s">
        <v>5877</v>
      </c>
      <c r="Y2697" t="s">
        <v>91</v>
      </c>
      <c r="Z2697" t="s">
        <v>74</v>
      </c>
      <c r="AA2697" t="str">
        <f>"10011-1913"</f>
        <v>10011-1913</v>
      </c>
      <c r="AB2697" t="s">
        <v>106</v>
      </c>
      <c r="AC2697" t="s">
        <v>76</v>
      </c>
      <c r="AD2697" t="s">
        <v>73</v>
      </c>
      <c r="AE2697" t="s">
        <v>77</v>
      </c>
      <c r="AF2697" t="s">
        <v>2398</v>
      </c>
      <c r="AG2697" t="s">
        <v>78</v>
      </c>
    </row>
    <row r="2698" spans="1:33" hidden="1" x14ac:dyDescent="0.25">
      <c r="A2698" t="str">
        <f>"1235370701"</f>
        <v>1235370701</v>
      </c>
      <c r="B2698" t="str">
        <f>"03100149"</f>
        <v>03100149</v>
      </c>
      <c r="C2698" t="s">
        <v>11440</v>
      </c>
      <c r="D2698" t="s">
        <v>11441</v>
      </c>
      <c r="E2698" t="s">
        <v>11442</v>
      </c>
      <c r="G2698" t="s">
        <v>2224</v>
      </c>
      <c r="H2698" t="s">
        <v>2225</v>
      </c>
      <c r="J2698" t="s">
        <v>2226</v>
      </c>
      <c r="L2698" t="s">
        <v>72</v>
      </c>
      <c r="M2698" t="s">
        <v>73</v>
      </c>
      <c r="R2698" t="s">
        <v>11443</v>
      </c>
      <c r="W2698" t="s">
        <v>11442</v>
      </c>
      <c r="X2698" t="s">
        <v>3407</v>
      </c>
      <c r="Y2698" t="s">
        <v>91</v>
      </c>
      <c r="Z2698" t="s">
        <v>74</v>
      </c>
      <c r="AA2698" t="str">
        <f>"10032-3720"</f>
        <v>10032-3720</v>
      </c>
      <c r="AB2698" t="s">
        <v>106</v>
      </c>
      <c r="AC2698" t="s">
        <v>76</v>
      </c>
      <c r="AD2698" t="s">
        <v>73</v>
      </c>
      <c r="AE2698" t="s">
        <v>77</v>
      </c>
      <c r="AF2698" t="s">
        <v>2254</v>
      </c>
      <c r="AG2698" t="s">
        <v>78</v>
      </c>
    </row>
    <row r="2699" spans="1:33" hidden="1" x14ac:dyDescent="0.25">
      <c r="A2699" t="str">
        <f>"1578895603"</f>
        <v>1578895603</v>
      </c>
      <c r="B2699" t="str">
        <f>"04010591"</f>
        <v>04010591</v>
      </c>
      <c r="C2699" t="s">
        <v>11444</v>
      </c>
      <c r="D2699" t="s">
        <v>11445</v>
      </c>
      <c r="E2699" t="s">
        <v>11446</v>
      </c>
      <c r="G2699" t="s">
        <v>2224</v>
      </c>
      <c r="H2699" t="s">
        <v>2225</v>
      </c>
      <c r="J2699" t="s">
        <v>2226</v>
      </c>
      <c r="L2699" t="s">
        <v>72</v>
      </c>
      <c r="M2699" t="s">
        <v>73</v>
      </c>
      <c r="R2699" t="s">
        <v>11447</v>
      </c>
      <c r="W2699" t="s">
        <v>11446</v>
      </c>
      <c r="X2699" t="s">
        <v>4384</v>
      </c>
      <c r="Y2699" t="s">
        <v>118</v>
      </c>
      <c r="Z2699" t="s">
        <v>74</v>
      </c>
      <c r="AA2699" t="str">
        <f>"10463-5079"</f>
        <v>10463-5079</v>
      </c>
      <c r="AB2699" t="s">
        <v>113</v>
      </c>
      <c r="AC2699" t="s">
        <v>76</v>
      </c>
      <c r="AD2699" t="s">
        <v>73</v>
      </c>
      <c r="AE2699" t="s">
        <v>77</v>
      </c>
      <c r="AF2699" t="s">
        <v>2254</v>
      </c>
      <c r="AG2699" t="s">
        <v>78</v>
      </c>
    </row>
    <row r="2700" spans="1:33" hidden="1" x14ac:dyDescent="0.25">
      <c r="A2700" t="str">
        <f>"1306025168"</f>
        <v>1306025168</v>
      </c>
      <c r="B2700" t="str">
        <f>"03284755"</f>
        <v>03284755</v>
      </c>
      <c r="C2700" t="s">
        <v>11448</v>
      </c>
      <c r="D2700" t="s">
        <v>11449</v>
      </c>
      <c r="E2700" t="s">
        <v>11450</v>
      </c>
      <c r="G2700" t="s">
        <v>2224</v>
      </c>
      <c r="H2700" t="s">
        <v>2225</v>
      </c>
      <c r="J2700" t="s">
        <v>2226</v>
      </c>
      <c r="L2700" t="s">
        <v>80</v>
      </c>
      <c r="M2700" t="s">
        <v>73</v>
      </c>
      <c r="R2700" t="s">
        <v>11451</v>
      </c>
      <c r="W2700" t="s">
        <v>11450</v>
      </c>
      <c r="X2700" t="s">
        <v>265</v>
      </c>
      <c r="Y2700" t="s">
        <v>91</v>
      </c>
      <c r="Z2700" t="s">
        <v>74</v>
      </c>
      <c r="AA2700" t="str">
        <f>"10128-4077"</f>
        <v>10128-4077</v>
      </c>
      <c r="AB2700" t="s">
        <v>75</v>
      </c>
      <c r="AC2700" t="s">
        <v>76</v>
      </c>
      <c r="AD2700" t="s">
        <v>73</v>
      </c>
      <c r="AE2700" t="s">
        <v>77</v>
      </c>
      <c r="AF2700" t="s">
        <v>2254</v>
      </c>
      <c r="AG2700" t="s">
        <v>78</v>
      </c>
    </row>
    <row r="2701" spans="1:33" hidden="1" x14ac:dyDescent="0.25">
      <c r="A2701" t="str">
        <f>"1184877037"</f>
        <v>1184877037</v>
      </c>
      <c r="B2701" t="str">
        <f>"03191022"</f>
        <v>03191022</v>
      </c>
      <c r="C2701" t="s">
        <v>11452</v>
      </c>
      <c r="D2701" t="s">
        <v>11453</v>
      </c>
      <c r="E2701" t="s">
        <v>11454</v>
      </c>
      <c r="G2701" t="s">
        <v>2224</v>
      </c>
      <c r="H2701" t="s">
        <v>2225</v>
      </c>
      <c r="J2701" t="s">
        <v>2226</v>
      </c>
      <c r="L2701" t="s">
        <v>72</v>
      </c>
      <c r="M2701" t="s">
        <v>73</v>
      </c>
      <c r="R2701" t="s">
        <v>11454</v>
      </c>
      <c r="W2701" t="s">
        <v>11454</v>
      </c>
      <c r="X2701" t="s">
        <v>628</v>
      </c>
      <c r="Y2701" t="s">
        <v>91</v>
      </c>
      <c r="Z2701" t="s">
        <v>74</v>
      </c>
      <c r="AA2701" t="str">
        <f>"10021-4872"</f>
        <v>10021-4872</v>
      </c>
      <c r="AB2701" t="s">
        <v>75</v>
      </c>
      <c r="AC2701" t="s">
        <v>76</v>
      </c>
      <c r="AD2701" t="s">
        <v>73</v>
      </c>
      <c r="AE2701" t="s">
        <v>77</v>
      </c>
      <c r="AF2701" t="s">
        <v>2398</v>
      </c>
      <c r="AG2701" t="s">
        <v>78</v>
      </c>
    </row>
    <row r="2702" spans="1:33" hidden="1" x14ac:dyDescent="0.25">
      <c r="A2702" t="str">
        <f>"1427062991"</f>
        <v>1427062991</v>
      </c>
      <c r="B2702" t="str">
        <f>"02910709"</f>
        <v>02910709</v>
      </c>
      <c r="C2702" t="s">
        <v>11455</v>
      </c>
      <c r="D2702" t="s">
        <v>11456</v>
      </c>
      <c r="E2702" t="s">
        <v>11457</v>
      </c>
      <c r="G2702" t="s">
        <v>2224</v>
      </c>
      <c r="H2702" t="s">
        <v>2225</v>
      </c>
      <c r="J2702" t="s">
        <v>2226</v>
      </c>
      <c r="L2702" t="s">
        <v>81</v>
      </c>
      <c r="M2702" t="s">
        <v>73</v>
      </c>
      <c r="R2702" t="s">
        <v>11458</v>
      </c>
      <c r="W2702" t="s">
        <v>11457</v>
      </c>
      <c r="X2702" t="s">
        <v>11459</v>
      </c>
      <c r="Y2702" t="s">
        <v>539</v>
      </c>
      <c r="Z2702" t="s">
        <v>74</v>
      </c>
      <c r="AA2702" t="str">
        <f>"11901-3393"</f>
        <v>11901-3393</v>
      </c>
      <c r="AB2702" t="s">
        <v>87</v>
      </c>
      <c r="AC2702" t="s">
        <v>76</v>
      </c>
      <c r="AD2702" t="s">
        <v>73</v>
      </c>
      <c r="AE2702" t="s">
        <v>77</v>
      </c>
      <c r="AF2702" t="s">
        <v>2234</v>
      </c>
      <c r="AG2702" t="s">
        <v>78</v>
      </c>
    </row>
    <row r="2703" spans="1:33" hidden="1" x14ac:dyDescent="0.25">
      <c r="A2703" t="str">
        <f>"1356474837"</f>
        <v>1356474837</v>
      </c>
      <c r="B2703" t="str">
        <f>"04010606"</f>
        <v>04010606</v>
      </c>
      <c r="C2703" t="s">
        <v>11460</v>
      </c>
      <c r="D2703" t="s">
        <v>11461</v>
      </c>
      <c r="E2703" t="s">
        <v>11462</v>
      </c>
      <c r="G2703" t="s">
        <v>2224</v>
      </c>
      <c r="H2703" t="s">
        <v>2225</v>
      </c>
      <c r="J2703" t="s">
        <v>2226</v>
      </c>
      <c r="L2703" t="s">
        <v>72</v>
      </c>
      <c r="M2703" t="s">
        <v>73</v>
      </c>
      <c r="R2703" t="s">
        <v>11463</v>
      </c>
      <c r="W2703" t="s">
        <v>11462</v>
      </c>
      <c r="X2703" t="s">
        <v>7672</v>
      </c>
      <c r="Y2703" t="s">
        <v>91</v>
      </c>
      <c r="Z2703" t="s">
        <v>74</v>
      </c>
      <c r="AA2703" t="str">
        <f>"10033-5107"</f>
        <v>10033-5107</v>
      </c>
      <c r="AB2703" t="s">
        <v>113</v>
      </c>
      <c r="AC2703" t="s">
        <v>76</v>
      </c>
      <c r="AD2703" t="s">
        <v>73</v>
      </c>
      <c r="AE2703" t="s">
        <v>77</v>
      </c>
      <c r="AF2703" t="s">
        <v>2234</v>
      </c>
      <c r="AG2703" t="s">
        <v>78</v>
      </c>
    </row>
    <row r="2704" spans="1:33" hidden="1" x14ac:dyDescent="0.25">
      <c r="A2704" t="str">
        <f>"1902200207"</f>
        <v>1902200207</v>
      </c>
      <c r="B2704" t="str">
        <f>"03948923"</f>
        <v>03948923</v>
      </c>
      <c r="C2704" t="s">
        <v>11464</v>
      </c>
      <c r="D2704" t="s">
        <v>11465</v>
      </c>
      <c r="E2704" t="s">
        <v>11466</v>
      </c>
      <c r="G2704" t="s">
        <v>2224</v>
      </c>
      <c r="H2704" t="s">
        <v>2225</v>
      </c>
      <c r="J2704" t="s">
        <v>2226</v>
      </c>
      <c r="L2704" t="s">
        <v>72</v>
      </c>
      <c r="M2704" t="s">
        <v>73</v>
      </c>
      <c r="R2704" t="s">
        <v>11466</v>
      </c>
      <c r="W2704" t="s">
        <v>11466</v>
      </c>
      <c r="X2704" t="s">
        <v>1695</v>
      </c>
      <c r="Y2704" t="s">
        <v>91</v>
      </c>
      <c r="Z2704" t="s">
        <v>74</v>
      </c>
      <c r="AA2704" t="str">
        <f>"10032"</f>
        <v>10032</v>
      </c>
      <c r="AB2704" t="s">
        <v>106</v>
      </c>
      <c r="AC2704" t="s">
        <v>76</v>
      </c>
      <c r="AD2704" t="s">
        <v>73</v>
      </c>
      <c r="AE2704" t="s">
        <v>77</v>
      </c>
      <c r="AF2704" t="s">
        <v>2254</v>
      </c>
      <c r="AG2704" t="s">
        <v>78</v>
      </c>
    </row>
    <row r="2705" spans="1:33" hidden="1" x14ac:dyDescent="0.25">
      <c r="A2705" t="str">
        <f>"1437297520"</f>
        <v>1437297520</v>
      </c>
      <c r="B2705" t="str">
        <f>"01779822"</f>
        <v>01779822</v>
      </c>
      <c r="C2705" t="s">
        <v>11467</v>
      </c>
      <c r="D2705" t="s">
        <v>11468</v>
      </c>
      <c r="E2705" t="s">
        <v>11469</v>
      </c>
      <c r="G2705" t="s">
        <v>2224</v>
      </c>
      <c r="H2705" t="s">
        <v>2225</v>
      </c>
      <c r="J2705" t="s">
        <v>2226</v>
      </c>
      <c r="L2705" t="s">
        <v>81</v>
      </c>
      <c r="M2705" t="s">
        <v>82</v>
      </c>
      <c r="R2705" t="s">
        <v>11470</v>
      </c>
      <c r="W2705" t="s">
        <v>11469</v>
      </c>
      <c r="Y2705" t="s">
        <v>118</v>
      </c>
      <c r="Z2705" t="s">
        <v>74</v>
      </c>
      <c r="AA2705" t="str">
        <f>"10451-5589"</f>
        <v>10451-5589</v>
      </c>
      <c r="AB2705" t="s">
        <v>107</v>
      </c>
      <c r="AC2705" t="s">
        <v>76</v>
      </c>
      <c r="AD2705" t="s">
        <v>73</v>
      </c>
      <c r="AE2705" t="s">
        <v>77</v>
      </c>
      <c r="AF2705" t="s">
        <v>2254</v>
      </c>
      <c r="AG2705" t="s">
        <v>78</v>
      </c>
    </row>
    <row r="2706" spans="1:33" hidden="1" x14ac:dyDescent="0.25">
      <c r="A2706" t="str">
        <f>"1457698011"</f>
        <v>1457698011</v>
      </c>
      <c r="C2706" t="s">
        <v>11471</v>
      </c>
      <c r="G2706" t="s">
        <v>2224</v>
      </c>
      <c r="H2706" t="s">
        <v>2225</v>
      </c>
      <c r="J2706" t="s">
        <v>2226</v>
      </c>
      <c r="K2706" t="s">
        <v>93</v>
      </c>
      <c r="L2706" t="s">
        <v>72</v>
      </c>
      <c r="M2706" t="s">
        <v>73</v>
      </c>
      <c r="R2706" t="s">
        <v>11472</v>
      </c>
      <c r="S2706" t="s">
        <v>11473</v>
      </c>
      <c r="T2706" t="s">
        <v>91</v>
      </c>
      <c r="U2706" t="s">
        <v>74</v>
      </c>
      <c r="V2706" t="str">
        <f>"100323733"</f>
        <v>100323733</v>
      </c>
      <c r="AC2706" t="s">
        <v>76</v>
      </c>
      <c r="AD2706" t="s">
        <v>73</v>
      </c>
      <c r="AE2706" t="s">
        <v>97</v>
      </c>
      <c r="AF2706" t="s">
        <v>2254</v>
      </c>
      <c r="AG2706" t="s">
        <v>78</v>
      </c>
    </row>
    <row r="2707" spans="1:33" hidden="1" x14ac:dyDescent="0.25">
      <c r="A2707" t="str">
        <f>"1417269952"</f>
        <v>1417269952</v>
      </c>
      <c r="B2707" t="str">
        <f>"03285509"</f>
        <v>03285509</v>
      </c>
      <c r="C2707" t="s">
        <v>11474</v>
      </c>
      <c r="D2707" t="s">
        <v>11475</v>
      </c>
      <c r="E2707" t="s">
        <v>11476</v>
      </c>
      <c r="G2707" t="s">
        <v>2224</v>
      </c>
      <c r="H2707" t="s">
        <v>2225</v>
      </c>
      <c r="J2707" t="s">
        <v>2226</v>
      </c>
      <c r="L2707" t="s">
        <v>72</v>
      </c>
      <c r="M2707" t="s">
        <v>73</v>
      </c>
      <c r="R2707" t="s">
        <v>11476</v>
      </c>
      <c r="W2707" t="s">
        <v>11476</v>
      </c>
      <c r="X2707" t="s">
        <v>7790</v>
      </c>
      <c r="Y2707" t="s">
        <v>91</v>
      </c>
      <c r="Z2707" t="s">
        <v>74</v>
      </c>
      <c r="AA2707" t="str">
        <f>"10021-0000"</f>
        <v>10021-0000</v>
      </c>
      <c r="AB2707" t="s">
        <v>106</v>
      </c>
      <c r="AC2707" t="s">
        <v>76</v>
      </c>
      <c r="AD2707" t="s">
        <v>73</v>
      </c>
      <c r="AE2707" t="s">
        <v>77</v>
      </c>
      <c r="AF2707" t="s">
        <v>2398</v>
      </c>
      <c r="AG2707" t="s">
        <v>78</v>
      </c>
    </row>
    <row r="2708" spans="1:33" hidden="1" x14ac:dyDescent="0.25">
      <c r="A2708" t="str">
        <f>"1497995559"</f>
        <v>1497995559</v>
      </c>
      <c r="B2708" t="str">
        <f>"03099896"</f>
        <v>03099896</v>
      </c>
      <c r="C2708" t="s">
        <v>11477</v>
      </c>
      <c r="D2708" t="s">
        <v>11478</v>
      </c>
      <c r="E2708" t="s">
        <v>11479</v>
      </c>
      <c r="G2708" t="s">
        <v>2224</v>
      </c>
      <c r="H2708" t="s">
        <v>2225</v>
      </c>
      <c r="J2708" t="s">
        <v>2226</v>
      </c>
      <c r="L2708" t="s">
        <v>72</v>
      </c>
      <c r="M2708" t="s">
        <v>73</v>
      </c>
      <c r="R2708" t="s">
        <v>11480</v>
      </c>
      <c r="W2708" t="s">
        <v>11481</v>
      </c>
      <c r="X2708" t="s">
        <v>2115</v>
      </c>
      <c r="Y2708" t="s">
        <v>91</v>
      </c>
      <c r="Z2708" t="s">
        <v>74</v>
      </c>
      <c r="AA2708" t="str">
        <f>"10032-7104"</f>
        <v>10032-7104</v>
      </c>
      <c r="AB2708" t="s">
        <v>106</v>
      </c>
      <c r="AC2708" t="s">
        <v>76</v>
      </c>
      <c r="AD2708" t="s">
        <v>73</v>
      </c>
      <c r="AE2708" t="s">
        <v>77</v>
      </c>
      <c r="AF2708" t="s">
        <v>2254</v>
      </c>
      <c r="AG2708" t="s">
        <v>78</v>
      </c>
    </row>
    <row r="2709" spans="1:33" hidden="1" x14ac:dyDescent="0.25">
      <c r="A2709" t="str">
        <f>"1871821249"</f>
        <v>1871821249</v>
      </c>
      <c r="B2709" t="str">
        <f>"03181528"</f>
        <v>03181528</v>
      </c>
      <c r="C2709" t="s">
        <v>11482</v>
      </c>
      <c r="D2709" t="s">
        <v>11483</v>
      </c>
      <c r="E2709" t="s">
        <v>11484</v>
      </c>
      <c r="G2709" t="s">
        <v>2224</v>
      </c>
      <c r="H2709" t="s">
        <v>2225</v>
      </c>
      <c r="J2709" t="s">
        <v>2226</v>
      </c>
      <c r="L2709" t="s">
        <v>72</v>
      </c>
      <c r="M2709" t="s">
        <v>73</v>
      </c>
      <c r="R2709" t="s">
        <v>11344</v>
      </c>
      <c r="W2709" t="s">
        <v>11484</v>
      </c>
      <c r="X2709" t="s">
        <v>1958</v>
      </c>
      <c r="Y2709" t="s">
        <v>91</v>
      </c>
      <c r="Z2709" t="s">
        <v>74</v>
      </c>
      <c r="AA2709" t="str">
        <f>"10032-3735"</f>
        <v>10032-3735</v>
      </c>
      <c r="AB2709" t="s">
        <v>106</v>
      </c>
      <c r="AC2709" t="s">
        <v>76</v>
      </c>
      <c r="AD2709" t="s">
        <v>73</v>
      </c>
      <c r="AE2709" t="s">
        <v>77</v>
      </c>
      <c r="AF2709" t="s">
        <v>2254</v>
      </c>
      <c r="AG2709" t="s">
        <v>78</v>
      </c>
    </row>
    <row r="2710" spans="1:33" hidden="1" x14ac:dyDescent="0.25">
      <c r="A2710" t="str">
        <f>"1598188674"</f>
        <v>1598188674</v>
      </c>
      <c r="C2710" t="s">
        <v>11485</v>
      </c>
      <c r="G2710" t="s">
        <v>2224</v>
      </c>
      <c r="H2710" t="s">
        <v>2225</v>
      </c>
      <c r="J2710" t="s">
        <v>2226</v>
      </c>
      <c r="K2710" t="s">
        <v>93</v>
      </c>
      <c r="L2710" t="s">
        <v>96</v>
      </c>
      <c r="M2710" t="s">
        <v>73</v>
      </c>
      <c r="R2710" t="s">
        <v>11486</v>
      </c>
      <c r="S2710" t="s">
        <v>11487</v>
      </c>
      <c r="T2710" t="s">
        <v>91</v>
      </c>
      <c r="U2710" t="s">
        <v>74</v>
      </c>
      <c r="V2710" t="str">
        <f>"100104204"</f>
        <v>100104204</v>
      </c>
      <c r="AC2710" t="s">
        <v>76</v>
      </c>
      <c r="AD2710" t="s">
        <v>73</v>
      </c>
      <c r="AE2710" t="s">
        <v>97</v>
      </c>
      <c r="AF2710" t="s">
        <v>2234</v>
      </c>
      <c r="AG2710" t="s">
        <v>78</v>
      </c>
    </row>
    <row r="2711" spans="1:33" hidden="1" x14ac:dyDescent="0.25">
      <c r="A2711" t="str">
        <f>"1265852420"</f>
        <v>1265852420</v>
      </c>
      <c r="B2711" t="str">
        <f>"03872777"</f>
        <v>03872777</v>
      </c>
      <c r="C2711" t="s">
        <v>11488</v>
      </c>
      <c r="D2711" t="s">
        <v>11489</v>
      </c>
      <c r="E2711" t="s">
        <v>11490</v>
      </c>
      <c r="G2711" t="s">
        <v>2224</v>
      </c>
      <c r="H2711" t="s">
        <v>2225</v>
      </c>
      <c r="J2711" t="s">
        <v>2226</v>
      </c>
      <c r="L2711" t="s">
        <v>72</v>
      </c>
      <c r="M2711" t="s">
        <v>73</v>
      </c>
      <c r="R2711" t="s">
        <v>11490</v>
      </c>
      <c r="W2711" t="s">
        <v>11490</v>
      </c>
      <c r="X2711" t="s">
        <v>170</v>
      </c>
      <c r="Y2711" t="s">
        <v>91</v>
      </c>
      <c r="Z2711" t="s">
        <v>74</v>
      </c>
      <c r="AA2711" t="str">
        <f>"10065-4870"</f>
        <v>10065-4870</v>
      </c>
      <c r="AB2711" t="s">
        <v>106</v>
      </c>
      <c r="AC2711" t="s">
        <v>76</v>
      </c>
      <c r="AD2711" t="s">
        <v>73</v>
      </c>
      <c r="AE2711" t="s">
        <v>77</v>
      </c>
      <c r="AF2711" t="s">
        <v>2398</v>
      </c>
      <c r="AG2711" t="s">
        <v>78</v>
      </c>
    </row>
    <row r="2712" spans="1:33" hidden="1" x14ac:dyDescent="0.25">
      <c r="A2712" t="str">
        <f>"1225396278"</f>
        <v>1225396278</v>
      </c>
      <c r="C2712" t="s">
        <v>11491</v>
      </c>
      <c r="G2712" t="s">
        <v>2224</v>
      </c>
      <c r="H2712" t="s">
        <v>2225</v>
      </c>
      <c r="J2712" t="s">
        <v>2226</v>
      </c>
      <c r="K2712" t="s">
        <v>93</v>
      </c>
      <c r="L2712" t="s">
        <v>72</v>
      </c>
      <c r="M2712" t="s">
        <v>73</v>
      </c>
      <c r="R2712" t="s">
        <v>11492</v>
      </c>
      <c r="S2712" t="s">
        <v>167</v>
      </c>
      <c r="T2712" t="s">
        <v>91</v>
      </c>
      <c r="U2712" t="s">
        <v>74</v>
      </c>
      <c r="V2712" t="str">
        <f>"100323720"</f>
        <v>100323720</v>
      </c>
      <c r="AC2712" t="s">
        <v>76</v>
      </c>
      <c r="AD2712" t="s">
        <v>73</v>
      </c>
      <c r="AE2712" t="s">
        <v>97</v>
      </c>
      <c r="AF2712" t="s">
        <v>2254</v>
      </c>
      <c r="AG2712" t="s">
        <v>78</v>
      </c>
    </row>
    <row r="2713" spans="1:33" hidden="1" x14ac:dyDescent="0.25">
      <c r="A2713" t="str">
        <f>"1518187848"</f>
        <v>1518187848</v>
      </c>
      <c r="B2713" t="str">
        <f>"01855476"</f>
        <v>01855476</v>
      </c>
      <c r="C2713" t="s">
        <v>11493</v>
      </c>
      <c r="D2713" t="s">
        <v>11494</v>
      </c>
      <c r="E2713" t="s">
        <v>11495</v>
      </c>
      <c r="G2713" t="s">
        <v>2224</v>
      </c>
      <c r="H2713" t="s">
        <v>2225</v>
      </c>
      <c r="J2713" t="s">
        <v>2226</v>
      </c>
      <c r="L2713" t="s">
        <v>80</v>
      </c>
      <c r="M2713" t="s">
        <v>82</v>
      </c>
      <c r="R2713" t="s">
        <v>11496</v>
      </c>
      <c r="W2713" t="s">
        <v>11495</v>
      </c>
      <c r="X2713" t="s">
        <v>246</v>
      </c>
      <c r="Y2713" t="s">
        <v>91</v>
      </c>
      <c r="Z2713" t="s">
        <v>74</v>
      </c>
      <c r="AA2713" t="str">
        <f>"10034-1199"</f>
        <v>10034-1199</v>
      </c>
      <c r="AB2713" t="s">
        <v>107</v>
      </c>
      <c r="AC2713" t="s">
        <v>76</v>
      </c>
      <c r="AD2713" t="s">
        <v>73</v>
      </c>
      <c r="AE2713" t="s">
        <v>77</v>
      </c>
      <c r="AF2713" t="s">
        <v>2254</v>
      </c>
      <c r="AG2713" t="s">
        <v>78</v>
      </c>
    </row>
    <row r="2714" spans="1:33" hidden="1" x14ac:dyDescent="0.25">
      <c r="A2714" t="str">
        <f>"1093803371"</f>
        <v>1093803371</v>
      </c>
      <c r="C2714" t="s">
        <v>11497</v>
      </c>
      <c r="G2714" t="s">
        <v>2224</v>
      </c>
      <c r="H2714" t="s">
        <v>2225</v>
      </c>
      <c r="J2714" t="s">
        <v>2226</v>
      </c>
      <c r="K2714" t="s">
        <v>93</v>
      </c>
      <c r="L2714" t="s">
        <v>96</v>
      </c>
      <c r="M2714" t="s">
        <v>73</v>
      </c>
      <c r="R2714" t="s">
        <v>11498</v>
      </c>
      <c r="S2714" t="s">
        <v>11499</v>
      </c>
      <c r="T2714" t="s">
        <v>91</v>
      </c>
      <c r="U2714" t="s">
        <v>74</v>
      </c>
      <c r="V2714" t="str">
        <f>"100658722"</f>
        <v>100658722</v>
      </c>
      <c r="AC2714" t="s">
        <v>76</v>
      </c>
      <c r="AD2714" t="s">
        <v>73</v>
      </c>
      <c r="AE2714" t="s">
        <v>97</v>
      </c>
      <c r="AF2714" t="s">
        <v>2242</v>
      </c>
      <c r="AG2714" t="s">
        <v>78</v>
      </c>
    </row>
    <row r="2715" spans="1:33" hidden="1" x14ac:dyDescent="0.25">
      <c r="C2715" t="s">
        <v>11500</v>
      </c>
      <c r="G2715" t="s">
        <v>2224</v>
      </c>
      <c r="H2715" t="s">
        <v>2225</v>
      </c>
      <c r="J2715" t="s">
        <v>2226</v>
      </c>
      <c r="K2715" t="s">
        <v>93</v>
      </c>
      <c r="L2715" t="s">
        <v>94</v>
      </c>
      <c r="M2715" t="s">
        <v>73</v>
      </c>
      <c r="N2715" t="s">
        <v>7187</v>
      </c>
      <c r="O2715" t="s">
        <v>475</v>
      </c>
      <c r="P2715" t="s">
        <v>74</v>
      </c>
      <c r="Q2715" t="str">
        <f>"10021"</f>
        <v>10021</v>
      </c>
      <c r="AC2715" t="s">
        <v>76</v>
      </c>
      <c r="AD2715" t="s">
        <v>73</v>
      </c>
      <c r="AE2715" t="s">
        <v>95</v>
      </c>
      <c r="AF2715" t="s">
        <v>2234</v>
      </c>
      <c r="AG2715" t="s">
        <v>78</v>
      </c>
    </row>
    <row r="2716" spans="1:33" hidden="1" x14ac:dyDescent="0.25">
      <c r="A2716" t="str">
        <f>"1083032130"</f>
        <v>1083032130</v>
      </c>
      <c r="B2716" t="str">
        <f>"03854024"</f>
        <v>03854024</v>
      </c>
      <c r="C2716" t="s">
        <v>11501</v>
      </c>
      <c r="D2716" t="s">
        <v>11502</v>
      </c>
      <c r="E2716" t="s">
        <v>11503</v>
      </c>
      <c r="G2716" t="s">
        <v>2224</v>
      </c>
      <c r="H2716" t="s">
        <v>2225</v>
      </c>
      <c r="J2716" t="s">
        <v>2226</v>
      </c>
      <c r="L2716" t="s">
        <v>96</v>
      </c>
      <c r="M2716" t="s">
        <v>73</v>
      </c>
      <c r="R2716" t="s">
        <v>11503</v>
      </c>
      <c r="W2716" t="s">
        <v>11503</v>
      </c>
      <c r="X2716" t="s">
        <v>8198</v>
      </c>
      <c r="Y2716" t="s">
        <v>91</v>
      </c>
      <c r="Z2716" t="s">
        <v>74</v>
      </c>
      <c r="AA2716" t="str">
        <f>"10033"</f>
        <v>10033</v>
      </c>
      <c r="AB2716" t="s">
        <v>106</v>
      </c>
      <c r="AC2716" t="s">
        <v>76</v>
      </c>
      <c r="AD2716" t="s">
        <v>73</v>
      </c>
      <c r="AE2716" t="s">
        <v>77</v>
      </c>
      <c r="AF2716" t="s">
        <v>2254</v>
      </c>
      <c r="AG2716" t="s">
        <v>78</v>
      </c>
    </row>
    <row r="2717" spans="1:33" hidden="1" x14ac:dyDescent="0.25">
      <c r="A2717" t="str">
        <f>"1114067212"</f>
        <v>1114067212</v>
      </c>
      <c r="C2717" t="s">
        <v>11504</v>
      </c>
      <c r="G2717" t="s">
        <v>2224</v>
      </c>
      <c r="H2717" t="s">
        <v>2225</v>
      </c>
      <c r="J2717" t="s">
        <v>2226</v>
      </c>
      <c r="K2717" t="s">
        <v>93</v>
      </c>
      <c r="L2717" t="s">
        <v>72</v>
      </c>
      <c r="M2717" t="s">
        <v>73</v>
      </c>
      <c r="R2717" t="s">
        <v>11505</v>
      </c>
      <c r="S2717" t="s">
        <v>11506</v>
      </c>
      <c r="T2717" t="s">
        <v>91</v>
      </c>
      <c r="U2717" t="s">
        <v>74</v>
      </c>
      <c r="V2717" t="str">
        <f>"100323733"</f>
        <v>100323733</v>
      </c>
      <c r="AC2717" t="s">
        <v>76</v>
      </c>
      <c r="AD2717" t="s">
        <v>73</v>
      </c>
      <c r="AE2717" t="s">
        <v>97</v>
      </c>
      <c r="AF2717" t="s">
        <v>2254</v>
      </c>
      <c r="AG2717" t="s">
        <v>78</v>
      </c>
    </row>
    <row r="2718" spans="1:33" hidden="1" x14ac:dyDescent="0.25">
      <c r="A2718" t="str">
        <f>"1053553032"</f>
        <v>1053553032</v>
      </c>
      <c r="B2718" t="str">
        <f>"03823250"</f>
        <v>03823250</v>
      </c>
      <c r="C2718" t="s">
        <v>11507</v>
      </c>
      <c r="D2718" t="s">
        <v>741</v>
      </c>
      <c r="E2718" t="s">
        <v>742</v>
      </c>
      <c r="G2718" t="s">
        <v>2224</v>
      </c>
      <c r="H2718" t="s">
        <v>2225</v>
      </c>
      <c r="J2718" t="s">
        <v>2226</v>
      </c>
      <c r="L2718" t="s">
        <v>72</v>
      </c>
      <c r="M2718" t="s">
        <v>73</v>
      </c>
      <c r="R2718" t="s">
        <v>743</v>
      </c>
      <c r="W2718" t="s">
        <v>744</v>
      </c>
      <c r="X2718" t="s">
        <v>167</v>
      </c>
      <c r="Y2718" t="s">
        <v>91</v>
      </c>
      <c r="Z2718" t="s">
        <v>74</v>
      </c>
      <c r="AA2718" t="str">
        <f>"10032-3720"</f>
        <v>10032-3720</v>
      </c>
      <c r="AB2718" t="s">
        <v>75</v>
      </c>
      <c r="AC2718" t="s">
        <v>76</v>
      </c>
      <c r="AD2718" t="s">
        <v>73</v>
      </c>
      <c r="AE2718" t="s">
        <v>77</v>
      </c>
      <c r="AF2718" t="s">
        <v>2254</v>
      </c>
      <c r="AG2718" t="s">
        <v>78</v>
      </c>
    </row>
    <row r="2719" spans="1:33" hidden="1" x14ac:dyDescent="0.25">
      <c r="C2719" t="s">
        <v>11508</v>
      </c>
      <c r="K2719" t="s">
        <v>93</v>
      </c>
      <c r="L2719" t="s">
        <v>94</v>
      </c>
      <c r="M2719" t="s">
        <v>73</v>
      </c>
      <c r="AC2719" t="s">
        <v>76</v>
      </c>
      <c r="AD2719" t="s">
        <v>73</v>
      </c>
      <c r="AE2719" t="s">
        <v>95</v>
      </c>
      <c r="AG2719" t="s">
        <v>78</v>
      </c>
    </row>
    <row r="2720" spans="1:33" hidden="1" x14ac:dyDescent="0.25">
      <c r="A2720" t="str">
        <f>"1982922076"</f>
        <v>1982922076</v>
      </c>
      <c r="B2720" t="str">
        <f>"03285476"</f>
        <v>03285476</v>
      </c>
      <c r="C2720" t="s">
        <v>11509</v>
      </c>
      <c r="D2720" t="s">
        <v>11510</v>
      </c>
      <c r="E2720" t="s">
        <v>11511</v>
      </c>
      <c r="G2720" t="s">
        <v>2224</v>
      </c>
      <c r="H2720" t="s">
        <v>2225</v>
      </c>
      <c r="J2720" t="s">
        <v>2226</v>
      </c>
      <c r="L2720" t="s">
        <v>96</v>
      </c>
      <c r="M2720" t="s">
        <v>73</v>
      </c>
      <c r="R2720" t="s">
        <v>11511</v>
      </c>
      <c r="W2720" t="s">
        <v>11512</v>
      </c>
      <c r="X2720" t="s">
        <v>2131</v>
      </c>
      <c r="Y2720" t="s">
        <v>91</v>
      </c>
      <c r="Z2720" t="s">
        <v>74</v>
      </c>
      <c r="AA2720" t="str">
        <f>"10010-4237"</f>
        <v>10010-4237</v>
      </c>
      <c r="AB2720" t="s">
        <v>106</v>
      </c>
      <c r="AC2720" t="s">
        <v>76</v>
      </c>
      <c r="AD2720" t="s">
        <v>73</v>
      </c>
      <c r="AE2720" t="s">
        <v>77</v>
      </c>
      <c r="AF2720" t="s">
        <v>2398</v>
      </c>
      <c r="AG2720" t="s">
        <v>78</v>
      </c>
    </row>
    <row r="2721" spans="1:33" hidden="1" x14ac:dyDescent="0.25">
      <c r="A2721" t="str">
        <f>"1356691711"</f>
        <v>1356691711</v>
      </c>
      <c r="C2721" t="s">
        <v>11513</v>
      </c>
      <c r="G2721" t="s">
        <v>2224</v>
      </c>
      <c r="H2721" t="s">
        <v>2225</v>
      </c>
      <c r="J2721" t="s">
        <v>2226</v>
      </c>
      <c r="K2721" t="s">
        <v>93</v>
      </c>
      <c r="L2721" t="s">
        <v>96</v>
      </c>
      <c r="M2721" t="s">
        <v>73</v>
      </c>
      <c r="R2721" t="s">
        <v>11514</v>
      </c>
      <c r="S2721" t="s">
        <v>167</v>
      </c>
      <c r="T2721" t="s">
        <v>91</v>
      </c>
      <c r="U2721" t="s">
        <v>74</v>
      </c>
      <c r="V2721" t="str">
        <f>"100323720"</f>
        <v>100323720</v>
      </c>
      <c r="AC2721" t="s">
        <v>76</v>
      </c>
      <c r="AD2721" t="s">
        <v>73</v>
      </c>
      <c r="AE2721" t="s">
        <v>97</v>
      </c>
      <c r="AF2721" t="s">
        <v>2254</v>
      </c>
      <c r="AG2721" t="s">
        <v>78</v>
      </c>
    </row>
    <row r="2722" spans="1:33" hidden="1" x14ac:dyDescent="0.25">
      <c r="A2722" t="str">
        <f>"1841437290"</f>
        <v>1841437290</v>
      </c>
      <c r="B2722" t="str">
        <f>"03090237"</f>
        <v>03090237</v>
      </c>
      <c r="C2722" t="s">
        <v>11515</v>
      </c>
      <c r="D2722" t="s">
        <v>11516</v>
      </c>
      <c r="E2722" t="s">
        <v>11517</v>
      </c>
      <c r="G2722" t="s">
        <v>2224</v>
      </c>
      <c r="H2722" t="s">
        <v>2225</v>
      </c>
      <c r="J2722" t="s">
        <v>2226</v>
      </c>
      <c r="L2722" t="s">
        <v>72</v>
      </c>
      <c r="M2722" t="s">
        <v>73</v>
      </c>
      <c r="R2722" t="s">
        <v>11518</v>
      </c>
      <c r="W2722" t="s">
        <v>11517</v>
      </c>
      <c r="X2722" t="s">
        <v>11519</v>
      </c>
      <c r="Y2722" t="s">
        <v>91</v>
      </c>
      <c r="Z2722" t="s">
        <v>74</v>
      </c>
      <c r="AA2722" t="str">
        <f>"10021-4872"</f>
        <v>10021-4872</v>
      </c>
      <c r="AB2722" t="s">
        <v>104</v>
      </c>
      <c r="AC2722" t="s">
        <v>76</v>
      </c>
      <c r="AD2722" t="s">
        <v>73</v>
      </c>
      <c r="AE2722" t="s">
        <v>77</v>
      </c>
      <c r="AF2722" t="s">
        <v>2398</v>
      </c>
      <c r="AG2722" t="s">
        <v>78</v>
      </c>
    </row>
    <row r="2723" spans="1:33" hidden="1" x14ac:dyDescent="0.25">
      <c r="A2723" t="str">
        <f>"1609188051"</f>
        <v>1609188051</v>
      </c>
      <c r="B2723" t="str">
        <f>"03285687"</f>
        <v>03285687</v>
      </c>
      <c r="C2723" t="s">
        <v>11520</v>
      </c>
      <c r="D2723" t="s">
        <v>11521</v>
      </c>
      <c r="E2723" t="s">
        <v>11522</v>
      </c>
      <c r="G2723" t="s">
        <v>2224</v>
      </c>
      <c r="H2723" t="s">
        <v>2225</v>
      </c>
      <c r="J2723" t="s">
        <v>2226</v>
      </c>
      <c r="L2723" t="s">
        <v>72</v>
      </c>
      <c r="M2723" t="s">
        <v>73</v>
      </c>
      <c r="R2723" t="s">
        <v>11522</v>
      </c>
      <c r="W2723" t="s">
        <v>11522</v>
      </c>
      <c r="X2723" t="s">
        <v>7790</v>
      </c>
      <c r="Y2723" t="s">
        <v>91</v>
      </c>
      <c r="Z2723" t="s">
        <v>74</v>
      </c>
      <c r="AA2723" t="str">
        <f>"10021-0000"</f>
        <v>10021-0000</v>
      </c>
      <c r="AB2723" t="s">
        <v>106</v>
      </c>
      <c r="AC2723" t="s">
        <v>76</v>
      </c>
      <c r="AD2723" t="s">
        <v>73</v>
      </c>
      <c r="AE2723" t="s">
        <v>77</v>
      </c>
      <c r="AF2723" t="s">
        <v>2398</v>
      </c>
      <c r="AG2723" t="s">
        <v>78</v>
      </c>
    </row>
    <row r="2724" spans="1:33" hidden="1" x14ac:dyDescent="0.25">
      <c r="C2724" t="s">
        <v>11523</v>
      </c>
      <c r="G2724" t="s">
        <v>2224</v>
      </c>
      <c r="H2724" t="s">
        <v>2225</v>
      </c>
      <c r="J2724" t="s">
        <v>2226</v>
      </c>
      <c r="K2724" t="s">
        <v>93</v>
      </c>
      <c r="L2724" t="s">
        <v>94</v>
      </c>
      <c r="M2724" t="s">
        <v>73</v>
      </c>
      <c r="N2724" t="s">
        <v>7187</v>
      </c>
      <c r="O2724" t="s">
        <v>475</v>
      </c>
      <c r="P2724" t="s">
        <v>74</v>
      </c>
      <c r="Q2724" t="str">
        <f>"10021"</f>
        <v>10021</v>
      </c>
      <c r="AC2724" t="s">
        <v>76</v>
      </c>
      <c r="AD2724" t="s">
        <v>73</v>
      </c>
      <c r="AE2724" t="s">
        <v>95</v>
      </c>
      <c r="AF2724" t="s">
        <v>2234</v>
      </c>
      <c r="AG2724" t="s">
        <v>78</v>
      </c>
    </row>
    <row r="2725" spans="1:33" hidden="1" x14ac:dyDescent="0.25">
      <c r="A2725" t="str">
        <f>"1730508136"</f>
        <v>1730508136</v>
      </c>
      <c r="C2725" t="s">
        <v>11524</v>
      </c>
      <c r="G2725" t="s">
        <v>2224</v>
      </c>
      <c r="H2725" t="s">
        <v>2312</v>
      </c>
      <c r="J2725" t="s">
        <v>2226</v>
      </c>
      <c r="K2725" t="s">
        <v>171</v>
      </c>
      <c r="L2725" t="s">
        <v>96</v>
      </c>
      <c r="M2725" t="s">
        <v>73</v>
      </c>
      <c r="R2725" t="s">
        <v>11525</v>
      </c>
      <c r="S2725" t="s">
        <v>11526</v>
      </c>
      <c r="T2725" t="s">
        <v>91</v>
      </c>
      <c r="U2725" t="s">
        <v>74</v>
      </c>
      <c r="V2725" t="str">
        <f>"100654870"</f>
        <v>100654870</v>
      </c>
      <c r="AC2725" t="s">
        <v>76</v>
      </c>
      <c r="AD2725" t="s">
        <v>73</v>
      </c>
      <c r="AE2725" t="s">
        <v>97</v>
      </c>
      <c r="AF2725" t="s">
        <v>2242</v>
      </c>
      <c r="AG2725" t="s">
        <v>78</v>
      </c>
    </row>
    <row r="2726" spans="1:33" hidden="1" x14ac:dyDescent="0.25">
      <c r="A2726" t="str">
        <f>"1609072602"</f>
        <v>1609072602</v>
      </c>
      <c r="B2726" t="str">
        <f>"01439358"</f>
        <v>01439358</v>
      </c>
      <c r="C2726" t="s">
        <v>3500</v>
      </c>
      <c r="D2726" t="s">
        <v>11527</v>
      </c>
      <c r="E2726" t="s">
        <v>3500</v>
      </c>
      <c r="L2726" t="s">
        <v>109</v>
      </c>
      <c r="M2726" t="s">
        <v>82</v>
      </c>
      <c r="R2726" t="s">
        <v>3500</v>
      </c>
      <c r="W2726" t="s">
        <v>3500</v>
      </c>
      <c r="X2726" t="s">
        <v>11528</v>
      </c>
      <c r="Y2726" t="s">
        <v>91</v>
      </c>
      <c r="Z2726" t="s">
        <v>74</v>
      </c>
      <c r="AA2726" t="str">
        <f>"10036-4206"</f>
        <v>10036-4206</v>
      </c>
      <c r="AB2726" t="s">
        <v>110</v>
      </c>
      <c r="AC2726" t="s">
        <v>76</v>
      </c>
      <c r="AD2726" t="s">
        <v>73</v>
      </c>
      <c r="AE2726" t="s">
        <v>77</v>
      </c>
      <c r="AG2726" t="s">
        <v>78</v>
      </c>
    </row>
    <row r="2727" spans="1:33" hidden="1" x14ac:dyDescent="0.25">
      <c r="A2727" t="str">
        <f>"1124170212"</f>
        <v>1124170212</v>
      </c>
      <c r="C2727" t="s">
        <v>3498</v>
      </c>
      <c r="K2727" t="s">
        <v>36</v>
      </c>
      <c r="L2727" t="s">
        <v>96</v>
      </c>
      <c r="M2727" t="s">
        <v>73</v>
      </c>
      <c r="R2727" t="s">
        <v>3498</v>
      </c>
      <c r="S2727" t="s">
        <v>11529</v>
      </c>
      <c r="T2727" t="s">
        <v>91</v>
      </c>
      <c r="U2727" t="s">
        <v>74</v>
      </c>
      <c r="V2727" t="str">
        <f>"100214805"</f>
        <v>100214805</v>
      </c>
      <c r="AC2727" t="s">
        <v>76</v>
      </c>
      <c r="AD2727" t="s">
        <v>73</v>
      </c>
      <c r="AE2727" t="s">
        <v>97</v>
      </c>
      <c r="AG2727" t="s">
        <v>78</v>
      </c>
    </row>
    <row r="2728" spans="1:33" hidden="1" x14ac:dyDescent="0.25">
      <c r="A2728" t="str">
        <f>"1174582159"</f>
        <v>1174582159</v>
      </c>
      <c r="B2728" t="str">
        <f>"00844899"</f>
        <v>00844899</v>
      </c>
      <c r="C2728" t="s">
        <v>269</v>
      </c>
      <c r="D2728" t="s">
        <v>267</v>
      </c>
      <c r="E2728" t="s">
        <v>268</v>
      </c>
      <c r="L2728" t="s">
        <v>81</v>
      </c>
      <c r="M2728" t="s">
        <v>82</v>
      </c>
      <c r="R2728" t="s">
        <v>269</v>
      </c>
      <c r="W2728" t="s">
        <v>268</v>
      </c>
      <c r="X2728" t="s">
        <v>270</v>
      </c>
      <c r="Y2728" t="s">
        <v>91</v>
      </c>
      <c r="Z2728" t="s">
        <v>74</v>
      </c>
      <c r="AA2728" t="str">
        <f>"10032-4788"</f>
        <v>10032-4788</v>
      </c>
      <c r="AB2728" t="s">
        <v>75</v>
      </c>
      <c r="AC2728" t="s">
        <v>76</v>
      </c>
      <c r="AD2728" t="s">
        <v>73</v>
      </c>
      <c r="AE2728" t="s">
        <v>77</v>
      </c>
      <c r="AF2728" t="s">
        <v>3147</v>
      </c>
      <c r="AG2728" t="s">
        <v>78</v>
      </c>
    </row>
    <row r="2729" spans="1:33" hidden="1" x14ac:dyDescent="0.25">
      <c r="A2729" t="str">
        <f>"1477819498"</f>
        <v>1477819498</v>
      </c>
      <c r="C2729" t="s">
        <v>11530</v>
      </c>
      <c r="G2729" t="s">
        <v>2224</v>
      </c>
      <c r="H2729" t="s">
        <v>2312</v>
      </c>
      <c r="J2729" t="s">
        <v>2226</v>
      </c>
      <c r="K2729" t="s">
        <v>171</v>
      </c>
      <c r="L2729" t="s">
        <v>96</v>
      </c>
      <c r="M2729" t="s">
        <v>73</v>
      </c>
      <c r="R2729" t="s">
        <v>11531</v>
      </c>
      <c r="S2729" t="s">
        <v>167</v>
      </c>
      <c r="T2729" t="s">
        <v>91</v>
      </c>
      <c r="U2729" t="s">
        <v>74</v>
      </c>
      <c r="V2729" t="str">
        <f>"100323720"</f>
        <v>100323720</v>
      </c>
      <c r="AC2729" t="s">
        <v>76</v>
      </c>
      <c r="AD2729" t="s">
        <v>73</v>
      </c>
      <c r="AE2729" t="s">
        <v>97</v>
      </c>
      <c r="AF2729" t="s">
        <v>2242</v>
      </c>
      <c r="AG2729" t="s">
        <v>78</v>
      </c>
    </row>
    <row r="2730" spans="1:33" hidden="1" x14ac:dyDescent="0.25">
      <c r="A2730" t="str">
        <f>"1558603712"</f>
        <v>1558603712</v>
      </c>
      <c r="C2730" t="s">
        <v>11532</v>
      </c>
      <c r="G2730" t="s">
        <v>2224</v>
      </c>
      <c r="H2730" t="s">
        <v>2312</v>
      </c>
      <c r="J2730" t="s">
        <v>2226</v>
      </c>
      <c r="K2730" t="s">
        <v>171</v>
      </c>
      <c r="L2730" t="s">
        <v>96</v>
      </c>
      <c r="M2730" t="s">
        <v>73</v>
      </c>
      <c r="R2730" t="s">
        <v>11533</v>
      </c>
      <c r="S2730" t="s">
        <v>9542</v>
      </c>
      <c r="T2730" t="s">
        <v>91</v>
      </c>
      <c r="U2730" t="s">
        <v>74</v>
      </c>
      <c r="V2730" t="str">
        <f>"100654870"</f>
        <v>100654870</v>
      </c>
      <c r="AC2730" t="s">
        <v>76</v>
      </c>
      <c r="AD2730" t="s">
        <v>73</v>
      </c>
      <c r="AE2730" t="s">
        <v>97</v>
      </c>
      <c r="AF2730" t="s">
        <v>2242</v>
      </c>
      <c r="AG2730" t="s">
        <v>78</v>
      </c>
    </row>
    <row r="2731" spans="1:33" hidden="1" x14ac:dyDescent="0.25">
      <c r="A2731" t="str">
        <f>"1730216821"</f>
        <v>1730216821</v>
      </c>
      <c r="B2731" t="str">
        <f>"01811325"</f>
        <v>01811325</v>
      </c>
      <c r="C2731" t="s">
        <v>11534</v>
      </c>
      <c r="D2731" t="s">
        <v>11535</v>
      </c>
      <c r="E2731" t="s">
        <v>11536</v>
      </c>
      <c r="L2731" t="s">
        <v>80</v>
      </c>
      <c r="M2731" t="s">
        <v>73</v>
      </c>
      <c r="R2731" t="s">
        <v>11536</v>
      </c>
      <c r="W2731" t="s">
        <v>11536</v>
      </c>
      <c r="X2731" t="s">
        <v>11536</v>
      </c>
      <c r="Y2731" t="s">
        <v>91</v>
      </c>
      <c r="Z2731" t="s">
        <v>74</v>
      </c>
      <c r="AA2731" t="str">
        <f>"10032-3720"</f>
        <v>10032-3720</v>
      </c>
      <c r="AB2731" t="s">
        <v>75</v>
      </c>
      <c r="AC2731" t="s">
        <v>76</v>
      </c>
      <c r="AD2731" t="s">
        <v>73</v>
      </c>
      <c r="AE2731" t="s">
        <v>77</v>
      </c>
      <c r="AF2731" t="s">
        <v>2228</v>
      </c>
      <c r="AG2731" t="s">
        <v>78</v>
      </c>
    </row>
    <row r="2732" spans="1:33" hidden="1" x14ac:dyDescent="0.25">
      <c r="A2732" t="str">
        <f>"1760581607"</f>
        <v>1760581607</v>
      </c>
      <c r="B2732" t="str">
        <f>"00837325"</f>
        <v>00837325</v>
      </c>
      <c r="C2732" t="s">
        <v>11537</v>
      </c>
      <c r="D2732" t="s">
        <v>11538</v>
      </c>
      <c r="E2732" t="s">
        <v>11539</v>
      </c>
      <c r="G2732" t="s">
        <v>2224</v>
      </c>
      <c r="H2732" t="s">
        <v>2225</v>
      </c>
      <c r="J2732" t="s">
        <v>2226</v>
      </c>
      <c r="L2732" t="s">
        <v>81</v>
      </c>
      <c r="M2732" t="s">
        <v>82</v>
      </c>
      <c r="R2732" t="s">
        <v>11540</v>
      </c>
      <c r="W2732" t="s">
        <v>11541</v>
      </c>
      <c r="Y2732" t="s">
        <v>91</v>
      </c>
      <c r="Z2732" t="s">
        <v>74</v>
      </c>
      <c r="AA2732" t="str">
        <f>"10032-3720"</f>
        <v>10032-3720</v>
      </c>
      <c r="AB2732" t="s">
        <v>75</v>
      </c>
      <c r="AC2732" t="s">
        <v>76</v>
      </c>
      <c r="AD2732" t="s">
        <v>73</v>
      </c>
      <c r="AE2732" t="s">
        <v>77</v>
      </c>
      <c r="AF2732" t="s">
        <v>2228</v>
      </c>
      <c r="AG2732" t="s">
        <v>78</v>
      </c>
    </row>
    <row r="2733" spans="1:33" hidden="1" x14ac:dyDescent="0.25">
      <c r="A2733" t="str">
        <f>"1760641195"</f>
        <v>1760641195</v>
      </c>
      <c r="B2733" t="str">
        <f>"03105933"</f>
        <v>03105933</v>
      </c>
      <c r="C2733" t="s">
        <v>11542</v>
      </c>
      <c r="D2733" t="s">
        <v>11543</v>
      </c>
      <c r="E2733" t="s">
        <v>11544</v>
      </c>
      <c r="G2733" t="s">
        <v>2224</v>
      </c>
      <c r="H2733" t="s">
        <v>2225</v>
      </c>
      <c r="J2733" t="s">
        <v>2226</v>
      </c>
      <c r="L2733" t="s">
        <v>81</v>
      </c>
      <c r="M2733" t="s">
        <v>73</v>
      </c>
      <c r="R2733" t="s">
        <v>11545</v>
      </c>
      <c r="W2733" t="s">
        <v>11546</v>
      </c>
      <c r="X2733" t="s">
        <v>11547</v>
      </c>
      <c r="Y2733" t="s">
        <v>91</v>
      </c>
      <c r="Z2733" t="s">
        <v>74</v>
      </c>
      <c r="AA2733" t="str">
        <f>"10065-4870"</f>
        <v>10065-4870</v>
      </c>
      <c r="AB2733" t="s">
        <v>75</v>
      </c>
      <c r="AC2733" t="s">
        <v>76</v>
      </c>
      <c r="AD2733" t="s">
        <v>73</v>
      </c>
      <c r="AE2733" t="s">
        <v>77</v>
      </c>
      <c r="AF2733" t="s">
        <v>2242</v>
      </c>
      <c r="AG2733" t="s">
        <v>78</v>
      </c>
    </row>
    <row r="2734" spans="1:33" hidden="1" x14ac:dyDescent="0.25">
      <c r="A2734" t="str">
        <f>"1528231560"</f>
        <v>1528231560</v>
      </c>
      <c r="B2734" t="str">
        <f>"03109359"</f>
        <v>03109359</v>
      </c>
      <c r="C2734" t="s">
        <v>11548</v>
      </c>
      <c r="D2734" t="s">
        <v>11549</v>
      </c>
      <c r="E2734" t="s">
        <v>11550</v>
      </c>
      <c r="G2734" t="s">
        <v>2224</v>
      </c>
      <c r="H2734" t="s">
        <v>2225</v>
      </c>
      <c r="J2734" t="s">
        <v>2226</v>
      </c>
      <c r="L2734" t="s">
        <v>80</v>
      </c>
      <c r="M2734" t="s">
        <v>73</v>
      </c>
      <c r="R2734" t="s">
        <v>11551</v>
      </c>
      <c r="W2734" t="s">
        <v>11550</v>
      </c>
      <c r="X2734" t="s">
        <v>167</v>
      </c>
      <c r="Y2734" t="s">
        <v>91</v>
      </c>
      <c r="Z2734" t="s">
        <v>74</v>
      </c>
      <c r="AA2734" t="str">
        <f>"10032-3720"</f>
        <v>10032-3720</v>
      </c>
      <c r="AB2734" t="s">
        <v>75</v>
      </c>
      <c r="AC2734" t="s">
        <v>76</v>
      </c>
      <c r="AD2734" t="s">
        <v>73</v>
      </c>
      <c r="AE2734" t="s">
        <v>77</v>
      </c>
      <c r="AF2734" t="s">
        <v>2228</v>
      </c>
      <c r="AG2734" t="s">
        <v>78</v>
      </c>
    </row>
    <row r="2735" spans="1:33" hidden="1" x14ac:dyDescent="0.25">
      <c r="A2735" t="str">
        <f>"1538131719"</f>
        <v>1538131719</v>
      </c>
      <c r="B2735" t="str">
        <f>"01340927"</f>
        <v>01340927</v>
      </c>
      <c r="C2735" t="s">
        <v>11552</v>
      </c>
      <c r="D2735" t="s">
        <v>11553</v>
      </c>
      <c r="E2735" t="s">
        <v>11554</v>
      </c>
      <c r="G2735" t="s">
        <v>2224</v>
      </c>
      <c r="H2735" t="s">
        <v>2225</v>
      </c>
      <c r="J2735" t="s">
        <v>2226</v>
      </c>
      <c r="L2735" t="s">
        <v>72</v>
      </c>
      <c r="M2735" t="s">
        <v>73</v>
      </c>
      <c r="R2735" t="s">
        <v>1191</v>
      </c>
      <c r="W2735" t="s">
        <v>11554</v>
      </c>
      <c r="X2735" t="s">
        <v>11555</v>
      </c>
      <c r="Y2735" t="s">
        <v>1216</v>
      </c>
      <c r="Z2735" t="s">
        <v>74</v>
      </c>
      <c r="AA2735" t="str">
        <f>"10926"</f>
        <v>10926</v>
      </c>
      <c r="AB2735" t="s">
        <v>75</v>
      </c>
      <c r="AC2735" t="s">
        <v>76</v>
      </c>
      <c r="AD2735" t="s">
        <v>73</v>
      </c>
      <c r="AE2735" t="s">
        <v>77</v>
      </c>
      <c r="AF2735" t="s">
        <v>2254</v>
      </c>
      <c r="AG2735" t="s">
        <v>78</v>
      </c>
    </row>
    <row r="2736" spans="1:33" hidden="1" x14ac:dyDescent="0.25">
      <c r="A2736" t="str">
        <f>"1538137450"</f>
        <v>1538137450</v>
      </c>
      <c r="B2736" t="str">
        <f>"00783440"</f>
        <v>00783440</v>
      </c>
      <c r="C2736" t="s">
        <v>11556</v>
      </c>
      <c r="D2736" t="s">
        <v>11557</v>
      </c>
      <c r="E2736" t="s">
        <v>11558</v>
      </c>
      <c r="G2736" t="s">
        <v>2224</v>
      </c>
      <c r="H2736" t="s">
        <v>2225</v>
      </c>
      <c r="J2736" t="s">
        <v>2226</v>
      </c>
      <c r="L2736" t="s">
        <v>72</v>
      </c>
      <c r="M2736" t="s">
        <v>73</v>
      </c>
      <c r="R2736" t="s">
        <v>11559</v>
      </c>
      <c r="W2736" t="s">
        <v>11558</v>
      </c>
      <c r="X2736" t="s">
        <v>387</v>
      </c>
      <c r="Y2736" t="s">
        <v>91</v>
      </c>
      <c r="Z2736" t="s">
        <v>74</v>
      </c>
      <c r="AA2736" t="str">
        <f>"10025-1737"</f>
        <v>10025-1737</v>
      </c>
      <c r="AB2736" t="s">
        <v>75</v>
      </c>
      <c r="AC2736" t="s">
        <v>76</v>
      </c>
      <c r="AD2736" t="s">
        <v>73</v>
      </c>
      <c r="AE2736" t="s">
        <v>77</v>
      </c>
      <c r="AF2736" t="s">
        <v>2254</v>
      </c>
      <c r="AG2736" t="s">
        <v>78</v>
      </c>
    </row>
    <row r="2737" spans="1:33" hidden="1" x14ac:dyDescent="0.25">
      <c r="B2737" t="str">
        <f>"02317499"</f>
        <v>02317499</v>
      </c>
      <c r="C2737" t="s">
        <v>11560</v>
      </c>
      <c r="D2737" t="s">
        <v>327</v>
      </c>
      <c r="E2737" t="s">
        <v>328</v>
      </c>
      <c r="G2737" t="s">
        <v>2260</v>
      </c>
      <c r="H2737" t="s">
        <v>1511</v>
      </c>
      <c r="J2737" t="s">
        <v>8355</v>
      </c>
      <c r="L2737" t="s">
        <v>36</v>
      </c>
      <c r="M2737" t="s">
        <v>82</v>
      </c>
      <c r="W2737" t="s">
        <v>328</v>
      </c>
      <c r="X2737" t="s">
        <v>1869</v>
      </c>
      <c r="Y2737" t="s">
        <v>91</v>
      </c>
      <c r="Z2737" t="s">
        <v>74</v>
      </c>
      <c r="AA2737" t="str">
        <f>"10003-2332"</f>
        <v>10003-2332</v>
      </c>
      <c r="AB2737" t="s">
        <v>92</v>
      </c>
      <c r="AC2737" t="s">
        <v>76</v>
      </c>
      <c r="AD2737" t="s">
        <v>73</v>
      </c>
      <c r="AE2737" t="s">
        <v>77</v>
      </c>
      <c r="AG2737" t="s">
        <v>78</v>
      </c>
    </row>
    <row r="2738" spans="1:33" hidden="1" x14ac:dyDescent="0.25">
      <c r="A2738" t="str">
        <f>"1053390534"</f>
        <v>1053390534</v>
      </c>
      <c r="B2738" t="str">
        <f>"02993819"</f>
        <v>02993819</v>
      </c>
      <c r="C2738" t="s">
        <v>11561</v>
      </c>
      <c r="D2738" t="s">
        <v>776</v>
      </c>
      <c r="E2738" t="s">
        <v>777</v>
      </c>
      <c r="G2738" t="s">
        <v>2260</v>
      </c>
      <c r="H2738" t="s">
        <v>1511</v>
      </c>
      <c r="J2738" t="s">
        <v>8355</v>
      </c>
      <c r="L2738" t="s">
        <v>101</v>
      </c>
      <c r="M2738" t="s">
        <v>82</v>
      </c>
      <c r="R2738" t="s">
        <v>778</v>
      </c>
      <c r="W2738" t="s">
        <v>778</v>
      </c>
      <c r="X2738" t="s">
        <v>610</v>
      </c>
      <c r="Y2738" t="s">
        <v>118</v>
      </c>
      <c r="Z2738" t="s">
        <v>74</v>
      </c>
      <c r="AA2738" t="str">
        <f>"10459-4240"</f>
        <v>10459-4240</v>
      </c>
      <c r="AB2738" t="s">
        <v>102</v>
      </c>
      <c r="AC2738" t="s">
        <v>76</v>
      </c>
      <c r="AD2738" t="s">
        <v>73</v>
      </c>
      <c r="AE2738" t="s">
        <v>77</v>
      </c>
      <c r="AG2738" t="s">
        <v>78</v>
      </c>
    </row>
    <row r="2739" spans="1:33" hidden="1" x14ac:dyDescent="0.25">
      <c r="A2739" t="str">
        <f>"1912016676"</f>
        <v>1912016676</v>
      </c>
      <c r="B2739" t="str">
        <f>"00428111"</f>
        <v>00428111</v>
      </c>
      <c r="C2739" t="s">
        <v>11562</v>
      </c>
      <c r="D2739" t="s">
        <v>11563</v>
      </c>
      <c r="E2739" t="s">
        <v>11564</v>
      </c>
      <c r="G2739" t="s">
        <v>2224</v>
      </c>
      <c r="H2739" t="s">
        <v>2225</v>
      </c>
      <c r="J2739" t="s">
        <v>2226</v>
      </c>
      <c r="L2739" t="s">
        <v>72</v>
      </c>
      <c r="M2739" t="s">
        <v>73</v>
      </c>
      <c r="R2739" t="s">
        <v>11565</v>
      </c>
      <c r="W2739" t="s">
        <v>11564</v>
      </c>
      <c r="X2739" t="s">
        <v>531</v>
      </c>
      <c r="Y2739" t="s">
        <v>523</v>
      </c>
      <c r="Z2739" t="s">
        <v>74</v>
      </c>
      <c r="AA2739" t="str">
        <f>"10573"</f>
        <v>10573</v>
      </c>
      <c r="AB2739" t="s">
        <v>75</v>
      </c>
      <c r="AC2739" t="s">
        <v>76</v>
      </c>
      <c r="AD2739" t="s">
        <v>73</v>
      </c>
      <c r="AE2739" t="s">
        <v>77</v>
      </c>
      <c r="AF2739" t="s">
        <v>2228</v>
      </c>
      <c r="AG2739" t="s">
        <v>78</v>
      </c>
    </row>
    <row r="2740" spans="1:33" hidden="1" x14ac:dyDescent="0.25">
      <c r="A2740" t="str">
        <f>"1710003876"</f>
        <v>1710003876</v>
      </c>
      <c r="B2740" t="str">
        <f>"01855545"</f>
        <v>01855545</v>
      </c>
      <c r="C2740" t="s">
        <v>11566</v>
      </c>
      <c r="D2740" t="s">
        <v>11567</v>
      </c>
      <c r="E2740" t="s">
        <v>11568</v>
      </c>
      <c r="G2740" t="s">
        <v>2224</v>
      </c>
      <c r="H2740" t="s">
        <v>2225</v>
      </c>
      <c r="J2740" t="s">
        <v>2226</v>
      </c>
      <c r="L2740" t="s">
        <v>80</v>
      </c>
      <c r="M2740" t="s">
        <v>82</v>
      </c>
      <c r="R2740" t="s">
        <v>11569</v>
      </c>
      <c r="W2740" t="s">
        <v>11568</v>
      </c>
      <c r="X2740" t="s">
        <v>246</v>
      </c>
      <c r="Y2740" t="s">
        <v>91</v>
      </c>
      <c r="Z2740" t="s">
        <v>74</v>
      </c>
      <c r="AA2740" t="str">
        <f>"10034-1199"</f>
        <v>10034-1199</v>
      </c>
      <c r="AB2740" t="s">
        <v>107</v>
      </c>
      <c r="AC2740" t="s">
        <v>76</v>
      </c>
      <c r="AD2740" t="s">
        <v>73</v>
      </c>
      <c r="AE2740" t="s">
        <v>77</v>
      </c>
      <c r="AF2740" t="s">
        <v>2254</v>
      </c>
      <c r="AG2740" t="s">
        <v>78</v>
      </c>
    </row>
    <row r="2741" spans="1:33" hidden="1" x14ac:dyDescent="0.25">
      <c r="A2741" t="str">
        <f>"1912152067"</f>
        <v>1912152067</v>
      </c>
      <c r="B2741" t="str">
        <f>"03090122"</f>
        <v>03090122</v>
      </c>
      <c r="C2741" t="s">
        <v>11570</v>
      </c>
      <c r="D2741" t="s">
        <v>11571</v>
      </c>
      <c r="E2741" t="s">
        <v>11572</v>
      </c>
      <c r="G2741" t="s">
        <v>2224</v>
      </c>
      <c r="H2741" t="s">
        <v>2225</v>
      </c>
      <c r="J2741" t="s">
        <v>2226</v>
      </c>
      <c r="L2741" t="s">
        <v>72</v>
      </c>
      <c r="M2741" t="s">
        <v>73</v>
      </c>
      <c r="R2741" t="s">
        <v>11572</v>
      </c>
      <c r="W2741" t="s">
        <v>11573</v>
      </c>
      <c r="X2741" t="s">
        <v>3433</v>
      </c>
      <c r="Y2741" t="s">
        <v>91</v>
      </c>
      <c r="Z2741" t="s">
        <v>74</v>
      </c>
      <c r="AA2741" t="str">
        <f>"10032-4220"</f>
        <v>10032-4220</v>
      </c>
      <c r="AB2741" t="s">
        <v>106</v>
      </c>
      <c r="AC2741" t="s">
        <v>76</v>
      </c>
      <c r="AD2741" t="s">
        <v>73</v>
      </c>
      <c r="AE2741" t="s">
        <v>77</v>
      </c>
      <c r="AF2741" t="s">
        <v>2254</v>
      </c>
      <c r="AG2741" t="s">
        <v>78</v>
      </c>
    </row>
    <row r="2742" spans="1:33" hidden="1" x14ac:dyDescent="0.25">
      <c r="A2742" t="str">
        <f>"1922001999"</f>
        <v>1922001999</v>
      </c>
      <c r="B2742" t="str">
        <f>"02147560"</f>
        <v>02147560</v>
      </c>
      <c r="C2742" t="s">
        <v>11574</v>
      </c>
      <c r="D2742" t="s">
        <v>11575</v>
      </c>
      <c r="E2742" t="s">
        <v>11576</v>
      </c>
      <c r="G2742" t="s">
        <v>2224</v>
      </c>
      <c r="H2742" t="s">
        <v>2225</v>
      </c>
      <c r="J2742" t="s">
        <v>2226</v>
      </c>
      <c r="L2742" t="s">
        <v>80</v>
      </c>
      <c r="M2742" t="s">
        <v>73</v>
      </c>
      <c r="R2742" t="s">
        <v>11577</v>
      </c>
      <c r="W2742" t="s">
        <v>11576</v>
      </c>
      <c r="X2742" t="s">
        <v>376</v>
      </c>
      <c r="Y2742" t="s">
        <v>181</v>
      </c>
      <c r="Z2742" t="s">
        <v>74</v>
      </c>
      <c r="AA2742" t="str">
        <f>"10601-2214"</f>
        <v>10601-2214</v>
      </c>
      <c r="AB2742" t="s">
        <v>75</v>
      </c>
      <c r="AC2742" t="s">
        <v>76</v>
      </c>
      <c r="AD2742" t="s">
        <v>73</v>
      </c>
      <c r="AE2742" t="s">
        <v>77</v>
      </c>
      <c r="AF2742" t="s">
        <v>2228</v>
      </c>
      <c r="AG2742" t="s">
        <v>78</v>
      </c>
    </row>
    <row r="2743" spans="1:33" hidden="1" x14ac:dyDescent="0.25">
      <c r="A2743" t="str">
        <f>"1285705061"</f>
        <v>1285705061</v>
      </c>
      <c r="B2743" t="str">
        <f>"02055576"</f>
        <v>02055576</v>
      </c>
      <c r="C2743" t="s">
        <v>11578</v>
      </c>
      <c r="D2743" t="s">
        <v>11579</v>
      </c>
      <c r="E2743" t="s">
        <v>11580</v>
      </c>
      <c r="G2743" t="s">
        <v>2224</v>
      </c>
      <c r="H2743" t="s">
        <v>2225</v>
      </c>
      <c r="J2743" t="s">
        <v>2226</v>
      </c>
      <c r="L2743" t="s">
        <v>72</v>
      </c>
      <c r="M2743" t="s">
        <v>73</v>
      </c>
      <c r="R2743" t="s">
        <v>11581</v>
      </c>
      <c r="W2743" t="s">
        <v>11580</v>
      </c>
      <c r="X2743" t="s">
        <v>11582</v>
      </c>
      <c r="Y2743" t="s">
        <v>138</v>
      </c>
      <c r="Z2743" t="s">
        <v>74</v>
      </c>
      <c r="AA2743" t="str">
        <f>"10301-3917"</f>
        <v>10301-3917</v>
      </c>
      <c r="AB2743" t="s">
        <v>75</v>
      </c>
      <c r="AC2743" t="s">
        <v>76</v>
      </c>
      <c r="AD2743" t="s">
        <v>73</v>
      </c>
      <c r="AE2743" t="s">
        <v>77</v>
      </c>
      <c r="AF2743" t="s">
        <v>2228</v>
      </c>
      <c r="AG2743" t="s">
        <v>78</v>
      </c>
    </row>
    <row r="2744" spans="1:33" hidden="1" x14ac:dyDescent="0.25">
      <c r="A2744" t="str">
        <f>"1285787499"</f>
        <v>1285787499</v>
      </c>
      <c r="B2744" t="str">
        <f>"00709504"</f>
        <v>00709504</v>
      </c>
      <c r="C2744" t="s">
        <v>11583</v>
      </c>
      <c r="D2744" t="s">
        <v>11584</v>
      </c>
      <c r="E2744" t="s">
        <v>11585</v>
      </c>
      <c r="G2744" t="s">
        <v>2224</v>
      </c>
      <c r="H2744" t="s">
        <v>2225</v>
      </c>
      <c r="J2744" t="s">
        <v>2226</v>
      </c>
      <c r="L2744" t="s">
        <v>72</v>
      </c>
      <c r="M2744" t="s">
        <v>73</v>
      </c>
      <c r="R2744" t="s">
        <v>11586</v>
      </c>
      <c r="W2744" t="s">
        <v>11585</v>
      </c>
      <c r="X2744" t="s">
        <v>1756</v>
      </c>
      <c r="Y2744" t="s">
        <v>91</v>
      </c>
      <c r="Z2744" t="s">
        <v>74</v>
      </c>
      <c r="AA2744" t="str">
        <f>"10032-3726"</f>
        <v>10032-3726</v>
      </c>
      <c r="AB2744" t="s">
        <v>75</v>
      </c>
      <c r="AC2744" t="s">
        <v>76</v>
      </c>
      <c r="AD2744" t="s">
        <v>73</v>
      </c>
      <c r="AE2744" t="s">
        <v>77</v>
      </c>
      <c r="AF2744" t="s">
        <v>2254</v>
      </c>
      <c r="AG2744" t="s">
        <v>78</v>
      </c>
    </row>
    <row r="2745" spans="1:33" hidden="1" x14ac:dyDescent="0.25">
      <c r="A2745" t="str">
        <f>"1992712640"</f>
        <v>1992712640</v>
      </c>
      <c r="B2745" t="str">
        <f>"02230239"</f>
        <v>02230239</v>
      </c>
      <c r="C2745" t="s">
        <v>11587</v>
      </c>
      <c r="D2745" t="s">
        <v>11588</v>
      </c>
      <c r="E2745" t="s">
        <v>11589</v>
      </c>
      <c r="G2745" t="s">
        <v>2224</v>
      </c>
      <c r="H2745" t="s">
        <v>2225</v>
      </c>
      <c r="J2745" t="s">
        <v>2226</v>
      </c>
      <c r="L2745" t="s">
        <v>72</v>
      </c>
      <c r="M2745" t="s">
        <v>73</v>
      </c>
      <c r="R2745" t="s">
        <v>11590</v>
      </c>
      <c r="W2745" t="s">
        <v>11589</v>
      </c>
      <c r="X2745" t="s">
        <v>11589</v>
      </c>
      <c r="Y2745" t="s">
        <v>91</v>
      </c>
      <c r="Z2745" t="s">
        <v>74</v>
      </c>
      <c r="AA2745" t="str">
        <f>"10010-5615"</f>
        <v>10010-5615</v>
      </c>
      <c r="AB2745" t="s">
        <v>75</v>
      </c>
      <c r="AC2745" t="s">
        <v>76</v>
      </c>
      <c r="AD2745" t="s">
        <v>73</v>
      </c>
      <c r="AE2745" t="s">
        <v>77</v>
      </c>
      <c r="AF2745" t="s">
        <v>2254</v>
      </c>
      <c r="AG2745" t="s">
        <v>78</v>
      </c>
    </row>
    <row r="2746" spans="1:33" hidden="1" x14ac:dyDescent="0.25">
      <c r="A2746" t="str">
        <f>"1659639698"</f>
        <v>1659639698</v>
      </c>
      <c r="C2746" t="s">
        <v>11591</v>
      </c>
      <c r="G2746" t="s">
        <v>2224</v>
      </c>
      <c r="H2746" t="s">
        <v>2225</v>
      </c>
      <c r="J2746" t="s">
        <v>2226</v>
      </c>
      <c r="K2746" t="s">
        <v>93</v>
      </c>
      <c r="L2746" t="s">
        <v>96</v>
      </c>
      <c r="M2746" t="s">
        <v>73</v>
      </c>
      <c r="R2746" t="s">
        <v>11592</v>
      </c>
      <c r="S2746" t="s">
        <v>167</v>
      </c>
      <c r="T2746" t="s">
        <v>91</v>
      </c>
      <c r="U2746" t="s">
        <v>74</v>
      </c>
      <c r="V2746" t="str">
        <f>"100323720"</f>
        <v>100323720</v>
      </c>
      <c r="AC2746" t="s">
        <v>76</v>
      </c>
      <c r="AD2746" t="s">
        <v>73</v>
      </c>
      <c r="AE2746" t="s">
        <v>97</v>
      </c>
      <c r="AF2746" t="s">
        <v>2228</v>
      </c>
      <c r="AG2746" t="s">
        <v>78</v>
      </c>
    </row>
    <row r="2747" spans="1:33" hidden="1" x14ac:dyDescent="0.25">
      <c r="A2747" t="str">
        <f>"1760774004"</f>
        <v>1760774004</v>
      </c>
      <c r="C2747" t="s">
        <v>11593</v>
      </c>
      <c r="G2747" t="s">
        <v>2224</v>
      </c>
      <c r="H2747" t="s">
        <v>2225</v>
      </c>
      <c r="J2747" t="s">
        <v>2226</v>
      </c>
      <c r="K2747" t="s">
        <v>93</v>
      </c>
      <c r="L2747" t="s">
        <v>96</v>
      </c>
      <c r="M2747" t="s">
        <v>73</v>
      </c>
      <c r="R2747" t="s">
        <v>11594</v>
      </c>
      <c r="S2747" t="s">
        <v>167</v>
      </c>
      <c r="T2747" t="s">
        <v>91</v>
      </c>
      <c r="U2747" t="s">
        <v>74</v>
      </c>
      <c r="V2747" t="str">
        <f>"100323720"</f>
        <v>100323720</v>
      </c>
      <c r="AC2747" t="s">
        <v>76</v>
      </c>
      <c r="AD2747" t="s">
        <v>73</v>
      </c>
      <c r="AE2747" t="s">
        <v>97</v>
      </c>
      <c r="AF2747" t="s">
        <v>2234</v>
      </c>
      <c r="AG2747" t="s">
        <v>78</v>
      </c>
    </row>
    <row r="2748" spans="1:33" hidden="1" x14ac:dyDescent="0.25">
      <c r="A2748" t="str">
        <f>"1285990861"</f>
        <v>1285990861</v>
      </c>
      <c r="C2748" t="s">
        <v>11595</v>
      </c>
      <c r="G2748" t="s">
        <v>2224</v>
      </c>
      <c r="H2748" t="s">
        <v>2225</v>
      </c>
      <c r="J2748" t="s">
        <v>2226</v>
      </c>
      <c r="K2748" t="s">
        <v>93</v>
      </c>
      <c r="L2748" t="s">
        <v>96</v>
      </c>
      <c r="M2748" t="s">
        <v>73</v>
      </c>
      <c r="R2748" t="s">
        <v>11596</v>
      </c>
      <c r="S2748" t="s">
        <v>10378</v>
      </c>
      <c r="T2748" t="s">
        <v>91</v>
      </c>
      <c r="U2748" t="s">
        <v>74</v>
      </c>
      <c r="V2748" t="str">
        <f>"100323720"</f>
        <v>100323720</v>
      </c>
      <c r="AC2748" t="s">
        <v>76</v>
      </c>
      <c r="AD2748" t="s">
        <v>73</v>
      </c>
      <c r="AE2748" t="s">
        <v>97</v>
      </c>
      <c r="AF2748" t="s">
        <v>2228</v>
      </c>
      <c r="AG2748" t="s">
        <v>78</v>
      </c>
    </row>
    <row r="2749" spans="1:33" hidden="1" x14ac:dyDescent="0.25">
      <c r="A2749" t="str">
        <f>"1972899789"</f>
        <v>1972899789</v>
      </c>
      <c r="B2749" t="str">
        <f>"04181375"</f>
        <v>04181375</v>
      </c>
      <c r="C2749" t="s">
        <v>11597</v>
      </c>
      <c r="D2749" t="s">
        <v>1478</v>
      </c>
      <c r="E2749" t="s">
        <v>1479</v>
      </c>
      <c r="G2749" t="s">
        <v>2224</v>
      </c>
      <c r="H2749" t="s">
        <v>2225</v>
      </c>
      <c r="J2749" t="s">
        <v>2226</v>
      </c>
      <c r="L2749" t="s">
        <v>80</v>
      </c>
      <c r="M2749" t="s">
        <v>73</v>
      </c>
      <c r="R2749" t="s">
        <v>1479</v>
      </c>
      <c r="W2749" t="s">
        <v>1480</v>
      </c>
      <c r="X2749" t="s">
        <v>1219</v>
      </c>
      <c r="Y2749" t="s">
        <v>118</v>
      </c>
      <c r="Z2749" t="s">
        <v>74</v>
      </c>
      <c r="AA2749" t="str">
        <f>"10467-2401"</f>
        <v>10467-2401</v>
      </c>
      <c r="AB2749" t="s">
        <v>75</v>
      </c>
      <c r="AC2749" t="s">
        <v>76</v>
      </c>
      <c r="AD2749" t="s">
        <v>73</v>
      </c>
      <c r="AE2749" t="s">
        <v>77</v>
      </c>
      <c r="AF2749" t="s">
        <v>2234</v>
      </c>
      <c r="AG2749" t="s">
        <v>78</v>
      </c>
    </row>
    <row r="2750" spans="1:33" hidden="1" x14ac:dyDescent="0.25">
      <c r="A2750" t="str">
        <f>"1558627869"</f>
        <v>1558627869</v>
      </c>
      <c r="C2750" t="s">
        <v>11598</v>
      </c>
      <c r="G2750" t="s">
        <v>2224</v>
      </c>
      <c r="H2750" t="s">
        <v>2225</v>
      </c>
      <c r="J2750" t="s">
        <v>2226</v>
      </c>
      <c r="K2750" t="s">
        <v>93</v>
      </c>
      <c r="L2750" t="s">
        <v>96</v>
      </c>
      <c r="M2750" t="s">
        <v>73</v>
      </c>
      <c r="R2750" t="s">
        <v>11599</v>
      </c>
      <c r="S2750" t="s">
        <v>167</v>
      </c>
      <c r="T2750" t="s">
        <v>91</v>
      </c>
      <c r="U2750" t="s">
        <v>74</v>
      </c>
      <c r="V2750" t="str">
        <f>"100323720"</f>
        <v>100323720</v>
      </c>
      <c r="AC2750" t="s">
        <v>76</v>
      </c>
      <c r="AD2750" t="s">
        <v>73</v>
      </c>
      <c r="AE2750" t="s">
        <v>97</v>
      </c>
      <c r="AF2750" t="s">
        <v>2228</v>
      </c>
      <c r="AG2750" t="s">
        <v>78</v>
      </c>
    </row>
    <row r="2751" spans="1:33" hidden="1" x14ac:dyDescent="0.25">
      <c r="A2751" t="str">
        <f>"1720354905"</f>
        <v>1720354905</v>
      </c>
      <c r="C2751" t="s">
        <v>11600</v>
      </c>
      <c r="G2751" t="s">
        <v>2224</v>
      </c>
      <c r="H2751" t="s">
        <v>2225</v>
      </c>
      <c r="J2751" t="s">
        <v>2226</v>
      </c>
      <c r="K2751" t="s">
        <v>93</v>
      </c>
      <c r="L2751" t="s">
        <v>96</v>
      </c>
      <c r="M2751" t="s">
        <v>73</v>
      </c>
      <c r="R2751" t="s">
        <v>11601</v>
      </c>
      <c r="S2751" t="s">
        <v>11602</v>
      </c>
      <c r="T2751" t="s">
        <v>91</v>
      </c>
      <c r="U2751" t="s">
        <v>74</v>
      </c>
      <c r="V2751" t="str">
        <f>"100214742"</f>
        <v>100214742</v>
      </c>
      <c r="AC2751" t="s">
        <v>76</v>
      </c>
      <c r="AD2751" t="s">
        <v>73</v>
      </c>
      <c r="AE2751" t="s">
        <v>97</v>
      </c>
      <c r="AF2751" t="s">
        <v>2242</v>
      </c>
      <c r="AG2751" t="s">
        <v>78</v>
      </c>
    </row>
    <row r="2752" spans="1:33" hidden="1" x14ac:dyDescent="0.25">
      <c r="A2752" t="str">
        <f>"1184990384"</f>
        <v>1184990384</v>
      </c>
      <c r="C2752" t="s">
        <v>11603</v>
      </c>
      <c r="G2752" t="s">
        <v>2224</v>
      </c>
      <c r="H2752" t="s">
        <v>2225</v>
      </c>
      <c r="J2752" t="s">
        <v>2226</v>
      </c>
      <c r="K2752" t="s">
        <v>93</v>
      </c>
      <c r="L2752" t="s">
        <v>96</v>
      </c>
      <c r="M2752" t="s">
        <v>73</v>
      </c>
      <c r="R2752" t="s">
        <v>11604</v>
      </c>
      <c r="S2752" t="s">
        <v>11605</v>
      </c>
      <c r="T2752" t="s">
        <v>629</v>
      </c>
      <c r="U2752" t="s">
        <v>74</v>
      </c>
      <c r="V2752" t="str">
        <f>"109565350"</f>
        <v>109565350</v>
      </c>
      <c r="AC2752" t="s">
        <v>76</v>
      </c>
      <c r="AD2752" t="s">
        <v>73</v>
      </c>
      <c r="AE2752" t="s">
        <v>97</v>
      </c>
      <c r="AF2752" t="s">
        <v>2242</v>
      </c>
      <c r="AG2752" t="s">
        <v>78</v>
      </c>
    </row>
    <row r="2753" spans="1:33" hidden="1" x14ac:dyDescent="0.25">
      <c r="A2753" t="str">
        <f>"1831465806"</f>
        <v>1831465806</v>
      </c>
      <c r="C2753" t="s">
        <v>11606</v>
      </c>
      <c r="G2753" t="s">
        <v>2224</v>
      </c>
      <c r="H2753" t="s">
        <v>2225</v>
      </c>
      <c r="J2753" t="s">
        <v>2226</v>
      </c>
      <c r="K2753" t="s">
        <v>93</v>
      </c>
      <c r="L2753" t="s">
        <v>96</v>
      </c>
      <c r="M2753" t="s">
        <v>73</v>
      </c>
      <c r="R2753" t="s">
        <v>11607</v>
      </c>
      <c r="S2753" t="s">
        <v>11608</v>
      </c>
      <c r="T2753" t="s">
        <v>91</v>
      </c>
      <c r="U2753" t="s">
        <v>74</v>
      </c>
      <c r="V2753" t="str">
        <f>"100654870"</f>
        <v>100654870</v>
      </c>
      <c r="AC2753" t="s">
        <v>76</v>
      </c>
      <c r="AD2753" t="s">
        <v>73</v>
      </c>
      <c r="AE2753" t="s">
        <v>97</v>
      </c>
      <c r="AF2753" t="s">
        <v>2242</v>
      </c>
      <c r="AG2753" t="s">
        <v>78</v>
      </c>
    </row>
    <row r="2754" spans="1:33" hidden="1" x14ac:dyDescent="0.25">
      <c r="A2754" t="str">
        <f>"1215227749"</f>
        <v>1215227749</v>
      </c>
      <c r="C2754" t="s">
        <v>11609</v>
      </c>
      <c r="G2754" t="s">
        <v>2224</v>
      </c>
      <c r="H2754" t="s">
        <v>2225</v>
      </c>
      <c r="J2754" t="s">
        <v>2226</v>
      </c>
      <c r="K2754" t="s">
        <v>93</v>
      </c>
      <c r="L2754" t="s">
        <v>96</v>
      </c>
      <c r="M2754" t="s">
        <v>73</v>
      </c>
      <c r="R2754" t="s">
        <v>11610</v>
      </c>
      <c r="S2754" t="s">
        <v>11611</v>
      </c>
      <c r="T2754" t="s">
        <v>11612</v>
      </c>
      <c r="U2754" t="s">
        <v>1162</v>
      </c>
      <c r="V2754" t="str">
        <f>"852534082"</f>
        <v>852534082</v>
      </c>
      <c r="AC2754" t="s">
        <v>76</v>
      </c>
      <c r="AD2754" t="s">
        <v>73</v>
      </c>
      <c r="AE2754" t="s">
        <v>97</v>
      </c>
      <c r="AF2754" t="s">
        <v>2242</v>
      </c>
      <c r="AG2754" t="s">
        <v>78</v>
      </c>
    </row>
    <row r="2755" spans="1:33" hidden="1" x14ac:dyDescent="0.25">
      <c r="A2755" t="str">
        <f>"1609168707"</f>
        <v>1609168707</v>
      </c>
      <c r="C2755" t="s">
        <v>11613</v>
      </c>
      <c r="G2755" t="s">
        <v>2224</v>
      </c>
      <c r="H2755" t="s">
        <v>2225</v>
      </c>
      <c r="J2755" t="s">
        <v>2226</v>
      </c>
      <c r="K2755" t="s">
        <v>93</v>
      </c>
      <c r="L2755" t="s">
        <v>96</v>
      </c>
      <c r="M2755" t="s">
        <v>73</v>
      </c>
      <c r="R2755" t="s">
        <v>11614</v>
      </c>
      <c r="S2755" t="s">
        <v>11615</v>
      </c>
      <c r="T2755" t="s">
        <v>1165</v>
      </c>
      <c r="U2755" t="s">
        <v>311</v>
      </c>
      <c r="V2755" t="str">
        <f>"452293026"</f>
        <v>452293026</v>
      </c>
      <c r="AC2755" t="s">
        <v>76</v>
      </c>
      <c r="AD2755" t="s">
        <v>73</v>
      </c>
      <c r="AE2755" t="s">
        <v>97</v>
      </c>
      <c r="AF2755" t="s">
        <v>2234</v>
      </c>
      <c r="AG2755" t="s">
        <v>78</v>
      </c>
    </row>
    <row r="2756" spans="1:33" hidden="1" x14ac:dyDescent="0.25">
      <c r="A2756" t="str">
        <f>"1538451786"</f>
        <v>1538451786</v>
      </c>
      <c r="C2756" t="s">
        <v>11616</v>
      </c>
      <c r="G2756" t="s">
        <v>2224</v>
      </c>
      <c r="H2756" t="s">
        <v>2225</v>
      </c>
      <c r="J2756" t="s">
        <v>2226</v>
      </c>
      <c r="K2756" t="s">
        <v>93</v>
      </c>
      <c r="L2756" t="s">
        <v>96</v>
      </c>
      <c r="M2756" t="s">
        <v>73</v>
      </c>
      <c r="R2756" t="s">
        <v>11617</v>
      </c>
      <c r="S2756" t="s">
        <v>11608</v>
      </c>
      <c r="T2756" t="s">
        <v>91</v>
      </c>
      <c r="U2756" t="s">
        <v>74</v>
      </c>
      <c r="V2756" t="str">
        <f>"100654870"</f>
        <v>100654870</v>
      </c>
      <c r="AC2756" t="s">
        <v>76</v>
      </c>
      <c r="AD2756" t="s">
        <v>73</v>
      </c>
      <c r="AE2756" t="s">
        <v>97</v>
      </c>
      <c r="AF2756" t="s">
        <v>2234</v>
      </c>
      <c r="AG2756" t="s">
        <v>78</v>
      </c>
    </row>
    <row r="2757" spans="1:33" hidden="1" x14ac:dyDescent="0.25">
      <c r="A2757" t="str">
        <f>"1841589595"</f>
        <v>1841589595</v>
      </c>
      <c r="C2757" t="s">
        <v>11618</v>
      </c>
      <c r="G2757" t="s">
        <v>2224</v>
      </c>
      <c r="H2757" t="s">
        <v>2225</v>
      </c>
      <c r="J2757" t="s">
        <v>2226</v>
      </c>
      <c r="K2757" t="s">
        <v>93</v>
      </c>
      <c r="L2757" t="s">
        <v>96</v>
      </c>
      <c r="M2757" t="s">
        <v>73</v>
      </c>
      <c r="R2757" t="s">
        <v>11619</v>
      </c>
      <c r="S2757" t="s">
        <v>11620</v>
      </c>
      <c r="T2757" t="s">
        <v>567</v>
      </c>
      <c r="U2757" t="s">
        <v>111</v>
      </c>
      <c r="V2757" t="str">
        <f>"022155400"</f>
        <v>022155400</v>
      </c>
      <c r="AC2757" t="s">
        <v>76</v>
      </c>
      <c r="AD2757" t="s">
        <v>73</v>
      </c>
      <c r="AE2757" t="s">
        <v>97</v>
      </c>
      <c r="AF2757" t="s">
        <v>2234</v>
      </c>
      <c r="AG2757" t="s">
        <v>78</v>
      </c>
    </row>
    <row r="2758" spans="1:33" hidden="1" x14ac:dyDescent="0.25">
      <c r="A2758" t="str">
        <f>"1770841744"</f>
        <v>1770841744</v>
      </c>
      <c r="C2758" t="s">
        <v>11621</v>
      </c>
      <c r="G2758" t="s">
        <v>2224</v>
      </c>
      <c r="H2758" t="s">
        <v>2225</v>
      </c>
      <c r="J2758" t="s">
        <v>2226</v>
      </c>
      <c r="K2758" t="s">
        <v>93</v>
      </c>
      <c r="L2758" t="s">
        <v>96</v>
      </c>
      <c r="M2758" t="s">
        <v>73</v>
      </c>
      <c r="R2758" t="s">
        <v>11622</v>
      </c>
      <c r="S2758" t="s">
        <v>170</v>
      </c>
      <c r="T2758" t="s">
        <v>91</v>
      </c>
      <c r="U2758" t="s">
        <v>74</v>
      </c>
      <c r="V2758" t="str">
        <f t="shared" ref="V2758:V2764" si="5">"100654870"</f>
        <v>100654870</v>
      </c>
      <c r="AC2758" t="s">
        <v>76</v>
      </c>
      <c r="AD2758" t="s">
        <v>73</v>
      </c>
      <c r="AE2758" t="s">
        <v>97</v>
      </c>
      <c r="AF2758" t="s">
        <v>2242</v>
      </c>
      <c r="AG2758" t="s">
        <v>78</v>
      </c>
    </row>
    <row r="2759" spans="1:33" hidden="1" x14ac:dyDescent="0.25">
      <c r="A2759" t="str">
        <f>"1396188611"</f>
        <v>1396188611</v>
      </c>
      <c r="C2759" t="s">
        <v>11623</v>
      </c>
      <c r="G2759" t="s">
        <v>2224</v>
      </c>
      <c r="H2759" t="s">
        <v>2225</v>
      </c>
      <c r="J2759" t="s">
        <v>2226</v>
      </c>
      <c r="K2759" t="s">
        <v>93</v>
      </c>
      <c r="L2759" t="s">
        <v>96</v>
      </c>
      <c r="M2759" t="s">
        <v>73</v>
      </c>
      <c r="R2759" t="s">
        <v>11624</v>
      </c>
      <c r="S2759" t="s">
        <v>11608</v>
      </c>
      <c r="T2759" t="s">
        <v>91</v>
      </c>
      <c r="U2759" t="s">
        <v>74</v>
      </c>
      <c r="V2759" t="str">
        <f t="shared" si="5"/>
        <v>100654870</v>
      </c>
      <c r="AC2759" t="s">
        <v>76</v>
      </c>
      <c r="AD2759" t="s">
        <v>73</v>
      </c>
      <c r="AE2759" t="s">
        <v>97</v>
      </c>
      <c r="AF2759" t="s">
        <v>2234</v>
      </c>
      <c r="AG2759" t="s">
        <v>78</v>
      </c>
    </row>
    <row r="2760" spans="1:33" hidden="1" x14ac:dyDescent="0.25">
      <c r="A2760" t="str">
        <f>"1144596156"</f>
        <v>1144596156</v>
      </c>
      <c r="C2760" t="s">
        <v>11625</v>
      </c>
      <c r="G2760" t="s">
        <v>2224</v>
      </c>
      <c r="H2760" t="s">
        <v>2225</v>
      </c>
      <c r="J2760" t="s">
        <v>2226</v>
      </c>
      <c r="K2760" t="s">
        <v>93</v>
      </c>
      <c r="L2760" t="s">
        <v>96</v>
      </c>
      <c r="M2760" t="s">
        <v>73</v>
      </c>
      <c r="R2760" t="s">
        <v>11626</v>
      </c>
      <c r="S2760" t="s">
        <v>11608</v>
      </c>
      <c r="T2760" t="s">
        <v>91</v>
      </c>
      <c r="U2760" t="s">
        <v>74</v>
      </c>
      <c r="V2760" t="str">
        <f t="shared" si="5"/>
        <v>100654870</v>
      </c>
      <c r="AC2760" t="s">
        <v>76</v>
      </c>
      <c r="AD2760" t="s">
        <v>73</v>
      </c>
      <c r="AE2760" t="s">
        <v>97</v>
      </c>
      <c r="AF2760" t="s">
        <v>2242</v>
      </c>
      <c r="AG2760" t="s">
        <v>78</v>
      </c>
    </row>
    <row r="2761" spans="1:33" hidden="1" x14ac:dyDescent="0.25">
      <c r="A2761" t="str">
        <f>"1669739280"</f>
        <v>1669739280</v>
      </c>
      <c r="C2761" t="s">
        <v>11627</v>
      </c>
      <c r="G2761" t="s">
        <v>2224</v>
      </c>
      <c r="H2761" t="s">
        <v>2225</v>
      </c>
      <c r="J2761" t="s">
        <v>2226</v>
      </c>
      <c r="K2761" t="s">
        <v>93</v>
      </c>
      <c r="L2761" t="s">
        <v>96</v>
      </c>
      <c r="M2761" t="s">
        <v>73</v>
      </c>
      <c r="R2761" t="s">
        <v>11628</v>
      </c>
      <c r="S2761" t="s">
        <v>170</v>
      </c>
      <c r="T2761" t="s">
        <v>91</v>
      </c>
      <c r="U2761" t="s">
        <v>74</v>
      </c>
      <c r="V2761" t="str">
        <f t="shared" si="5"/>
        <v>100654870</v>
      </c>
      <c r="AC2761" t="s">
        <v>76</v>
      </c>
      <c r="AD2761" t="s">
        <v>73</v>
      </c>
      <c r="AE2761" t="s">
        <v>97</v>
      </c>
      <c r="AF2761" t="s">
        <v>2242</v>
      </c>
      <c r="AG2761" t="s">
        <v>78</v>
      </c>
    </row>
    <row r="2762" spans="1:33" hidden="1" x14ac:dyDescent="0.25">
      <c r="A2762" t="str">
        <f>"1326339177"</f>
        <v>1326339177</v>
      </c>
      <c r="C2762" t="s">
        <v>11629</v>
      </c>
      <c r="G2762" t="s">
        <v>2224</v>
      </c>
      <c r="H2762" t="s">
        <v>2225</v>
      </c>
      <c r="J2762" t="s">
        <v>2226</v>
      </c>
      <c r="K2762" t="s">
        <v>93</v>
      </c>
      <c r="L2762" t="s">
        <v>96</v>
      </c>
      <c r="M2762" t="s">
        <v>73</v>
      </c>
      <c r="R2762" t="s">
        <v>11630</v>
      </c>
      <c r="S2762" t="s">
        <v>170</v>
      </c>
      <c r="T2762" t="s">
        <v>91</v>
      </c>
      <c r="U2762" t="s">
        <v>74</v>
      </c>
      <c r="V2762" t="str">
        <f t="shared" si="5"/>
        <v>100654870</v>
      </c>
      <c r="AC2762" t="s">
        <v>76</v>
      </c>
      <c r="AD2762" t="s">
        <v>73</v>
      </c>
      <c r="AE2762" t="s">
        <v>97</v>
      </c>
      <c r="AF2762" t="s">
        <v>2234</v>
      </c>
      <c r="AG2762" t="s">
        <v>78</v>
      </c>
    </row>
    <row r="2763" spans="1:33" hidden="1" x14ac:dyDescent="0.25">
      <c r="A2763" t="str">
        <f>"1659647881"</f>
        <v>1659647881</v>
      </c>
      <c r="C2763" t="s">
        <v>11631</v>
      </c>
      <c r="G2763" t="s">
        <v>2224</v>
      </c>
      <c r="H2763" t="s">
        <v>2225</v>
      </c>
      <c r="J2763" t="s">
        <v>2226</v>
      </c>
      <c r="K2763" t="s">
        <v>93</v>
      </c>
      <c r="L2763" t="s">
        <v>96</v>
      </c>
      <c r="M2763" t="s">
        <v>73</v>
      </c>
      <c r="R2763" t="s">
        <v>11632</v>
      </c>
      <c r="S2763" t="s">
        <v>170</v>
      </c>
      <c r="T2763" t="s">
        <v>91</v>
      </c>
      <c r="U2763" t="s">
        <v>74</v>
      </c>
      <c r="V2763" t="str">
        <f t="shared" si="5"/>
        <v>100654870</v>
      </c>
      <c r="AC2763" t="s">
        <v>76</v>
      </c>
      <c r="AD2763" t="s">
        <v>73</v>
      </c>
      <c r="AE2763" t="s">
        <v>97</v>
      </c>
      <c r="AF2763" t="s">
        <v>2228</v>
      </c>
      <c r="AG2763" t="s">
        <v>78</v>
      </c>
    </row>
    <row r="2764" spans="1:33" hidden="1" x14ac:dyDescent="0.25">
      <c r="A2764" t="str">
        <f>"1073889093"</f>
        <v>1073889093</v>
      </c>
      <c r="C2764" t="s">
        <v>11633</v>
      </c>
      <c r="G2764" t="s">
        <v>2224</v>
      </c>
      <c r="H2764" t="s">
        <v>2225</v>
      </c>
      <c r="J2764" t="s">
        <v>2226</v>
      </c>
      <c r="K2764" t="s">
        <v>93</v>
      </c>
      <c r="L2764" t="s">
        <v>96</v>
      </c>
      <c r="M2764" t="s">
        <v>73</v>
      </c>
      <c r="R2764" t="s">
        <v>11634</v>
      </c>
      <c r="S2764" t="s">
        <v>170</v>
      </c>
      <c r="T2764" t="s">
        <v>91</v>
      </c>
      <c r="U2764" t="s">
        <v>74</v>
      </c>
      <c r="V2764" t="str">
        <f t="shared" si="5"/>
        <v>100654870</v>
      </c>
      <c r="AC2764" t="s">
        <v>76</v>
      </c>
      <c r="AD2764" t="s">
        <v>73</v>
      </c>
      <c r="AE2764" t="s">
        <v>97</v>
      </c>
      <c r="AF2764" t="s">
        <v>2242</v>
      </c>
      <c r="AG2764" t="s">
        <v>78</v>
      </c>
    </row>
    <row r="2765" spans="1:33" hidden="1" x14ac:dyDescent="0.25">
      <c r="A2765" t="str">
        <f>"1326381351"</f>
        <v>1326381351</v>
      </c>
      <c r="C2765" t="s">
        <v>11635</v>
      </c>
      <c r="G2765" t="s">
        <v>2224</v>
      </c>
      <c r="H2765" t="s">
        <v>2225</v>
      </c>
      <c r="J2765" t="s">
        <v>2226</v>
      </c>
      <c r="K2765" t="s">
        <v>93</v>
      </c>
      <c r="L2765" t="s">
        <v>96</v>
      </c>
      <c r="M2765" t="s">
        <v>73</v>
      </c>
      <c r="R2765" t="s">
        <v>11636</v>
      </c>
      <c r="S2765" t="s">
        <v>11637</v>
      </c>
      <c r="T2765" t="s">
        <v>1549</v>
      </c>
      <c r="U2765" t="s">
        <v>1550</v>
      </c>
      <c r="V2765" t="str">
        <f>"200011173"</f>
        <v>200011173</v>
      </c>
      <c r="AC2765" t="s">
        <v>76</v>
      </c>
      <c r="AD2765" t="s">
        <v>73</v>
      </c>
      <c r="AE2765" t="s">
        <v>97</v>
      </c>
      <c r="AF2765" t="s">
        <v>2242</v>
      </c>
      <c r="AG2765" t="s">
        <v>78</v>
      </c>
    </row>
    <row r="2766" spans="1:33" hidden="1" x14ac:dyDescent="0.25">
      <c r="A2766" t="str">
        <f>"1336584028"</f>
        <v>1336584028</v>
      </c>
      <c r="C2766" t="s">
        <v>11638</v>
      </c>
      <c r="G2766" t="s">
        <v>2224</v>
      </c>
      <c r="H2766" t="s">
        <v>2225</v>
      </c>
      <c r="J2766" t="s">
        <v>2226</v>
      </c>
      <c r="K2766" t="s">
        <v>93</v>
      </c>
      <c r="L2766" t="s">
        <v>96</v>
      </c>
      <c r="M2766" t="s">
        <v>73</v>
      </c>
      <c r="R2766" t="s">
        <v>11639</v>
      </c>
      <c r="S2766" t="s">
        <v>170</v>
      </c>
      <c r="T2766" t="s">
        <v>91</v>
      </c>
      <c r="U2766" t="s">
        <v>74</v>
      </c>
      <c r="V2766" t="str">
        <f>"100654870"</f>
        <v>100654870</v>
      </c>
      <c r="AC2766" t="s">
        <v>76</v>
      </c>
      <c r="AD2766" t="s">
        <v>73</v>
      </c>
      <c r="AE2766" t="s">
        <v>97</v>
      </c>
      <c r="AF2766" t="s">
        <v>2242</v>
      </c>
      <c r="AG2766" t="s">
        <v>78</v>
      </c>
    </row>
    <row r="2767" spans="1:33" hidden="1" x14ac:dyDescent="0.25">
      <c r="A2767" t="str">
        <f>"1467728493"</f>
        <v>1467728493</v>
      </c>
      <c r="C2767" t="s">
        <v>11640</v>
      </c>
      <c r="G2767" t="s">
        <v>2224</v>
      </c>
      <c r="H2767" t="s">
        <v>2225</v>
      </c>
      <c r="J2767" t="s">
        <v>2226</v>
      </c>
      <c r="K2767" t="s">
        <v>93</v>
      </c>
      <c r="L2767" t="s">
        <v>96</v>
      </c>
      <c r="M2767" t="s">
        <v>73</v>
      </c>
      <c r="R2767" t="s">
        <v>11641</v>
      </c>
      <c r="S2767" t="s">
        <v>170</v>
      </c>
      <c r="T2767" t="s">
        <v>91</v>
      </c>
      <c r="U2767" t="s">
        <v>74</v>
      </c>
      <c r="V2767" t="str">
        <f>"100654870"</f>
        <v>100654870</v>
      </c>
      <c r="AC2767" t="s">
        <v>76</v>
      </c>
      <c r="AD2767" t="s">
        <v>73</v>
      </c>
      <c r="AE2767" t="s">
        <v>97</v>
      </c>
      <c r="AF2767" t="s">
        <v>2234</v>
      </c>
      <c r="AG2767" t="s">
        <v>78</v>
      </c>
    </row>
    <row r="2768" spans="1:33" hidden="1" x14ac:dyDescent="0.25">
      <c r="A2768" t="str">
        <f>"1275875510"</f>
        <v>1275875510</v>
      </c>
      <c r="C2768" t="s">
        <v>11642</v>
      </c>
      <c r="G2768" t="s">
        <v>2224</v>
      </c>
      <c r="H2768" t="s">
        <v>2225</v>
      </c>
      <c r="J2768" t="s">
        <v>2226</v>
      </c>
      <c r="K2768" t="s">
        <v>93</v>
      </c>
      <c r="L2768" t="s">
        <v>96</v>
      </c>
      <c r="M2768" t="s">
        <v>73</v>
      </c>
      <c r="R2768" t="s">
        <v>11643</v>
      </c>
      <c r="S2768" t="s">
        <v>170</v>
      </c>
      <c r="T2768" t="s">
        <v>91</v>
      </c>
      <c r="U2768" t="s">
        <v>74</v>
      </c>
      <c r="V2768" t="str">
        <f>"100654870"</f>
        <v>100654870</v>
      </c>
      <c r="AC2768" t="s">
        <v>76</v>
      </c>
      <c r="AD2768" t="s">
        <v>73</v>
      </c>
      <c r="AE2768" t="s">
        <v>97</v>
      </c>
      <c r="AF2768" t="s">
        <v>2242</v>
      </c>
      <c r="AG2768" t="s">
        <v>78</v>
      </c>
    </row>
    <row r="2769" spans="1:33" hidden="1" x14ac:dyDescent="0.25">
      <c r="A2769" t="str">
        <f>"1114260767"</f>
        <v>1114260767</v>
      </c>
      <c r="C2769" t="s">
        <v>11644</v>
      </c>
      <c r="G2769" t="s">
        <v>2224</v>
      </c>
      <c r="H2769" t="s">
        <v>2225</v>
      </c>
      <c r="J2769" t="s">
        <v>2226</v>
      </c>
      <c r="K2769" t="s">
        <v>93</v>
      </c>
      <c r="L2769" t="s">
        <v>96</v>
      </c>
      <c r="M2769" t="s">
        <v>73</v>
      </c>
      <c r="R2769" t="s">
        <v>11645</v>
      </c>
      <c r="S2769" t="s">
        <v>11646</v>
      </c>
      <c r="T2769" t="s">
        <v>91</v>
      </c>
      <c r="U2769" t="s">
        <v>74</v>
      </c>
      <c r="V2769" t="str">
        <f>"100242800"</f>
        <v>100242800</v>
      </c>
      <c r="AC2769" t="s">
        <v>76</v>
      </c>
      <c r="AD2769" t="s">
        <v>73</v>
      </c>
      <c r="AE2769" t="s">
        <v>97</v>
      </c>
      <c r="AF2769" t="s">
        <v>2242</v>
      </c>
      <c r="AG2769" t="s">
        <v>78</v>
      </c>
    </row>
    <row r="2770" spans="1:33" hidden="1" x14ac:dyDescent="0.25">
      <c r="A2770" t="str">
        <f>"1861758062"</f>
        <v>1861758062</v>
      </c>
      <c r="B2770" t="str">
        <f>"04543844"</f>
        <v>04543844</v>
      </c>
      <c r="C2770" t="s">
        <v>11647</v>
      </c>
      <c r="D2770" t="s">
        <v>11648</v>
      </c>
      <c r="E2770" t="s">
        <v>11649</v>
      </c>
      <c r="G2770" t="s">
        <v>2224</v>
      </c>
      <c r="H2770" t="s">
        <v>2225</v>
      </c>
      <c r="J2770" t="s">
        <v>2226</v>
      </c>
      <c r="L2770" t="s">
        <v>96</v>
      </c>
      <c r="M2770" t="s">
        <v>73</v>
      </c>
      <c r="R2770" t="s">
        <v>11650</v>
      </c>
      <c r="W2770" t="s">
        <v>11649</v>
      </c>
      <c r="AB2770" t="s">
        <v>75</v>
      </c>
      <c r="AC2770" t="s">
        <v>76</v>
      </c>
      <c r="AD2770" t="s">
        <v>73</v>
      </c>
      <c r="AE2770" t="s">
        <v>77</v>
      </c>
      <c r="AF2770" t="s">
        <v>2234</v>
      </c>
      <c r="AG2770" t="s">
        <v>78</v>
      </c>
    </row>
    <row r="2771" spans="1:33" hidden="1" x14ac:dyDescent="0.25">
      <c r="A2771" t="str">
        <f>"1700221850"</f>
        <v>1700221850</v>
      </c>
      <c r="C2771" t="s">
        <v>11651</v>
      </c>
      <c r="G2771" t="s">
        <v>2224</v>
      </c>
      <c r="H2771" t="s">
        <v>2225</v>
      </c>
      <c r="J2771" t="s">
        <v>2226</v>
      </c>
      <c r="K2771" t="s">
        <v>93</v>
      </c>
      <c r="L2771" t="s">
        <v>96</v>
      </c>
      <c r="M2771" t="s">
        <v>73</v>
      </c>
      <c r="R2771" t="s">
        <v>11652</v>
      </c>
      <c r="S2771" t="s">
        <v>170</v>
      </c>
      <c r="T2771" t="s">
        <v>91</v>
      </c>
      <c r="U2771" t="s">
        <v>74</v>
      </c>
      <c r="V2771" t="str">
        <f>"100654870"</f>
        <v>100654870</v>
      </c>
      <c r="AC2771" t="s">
        <v>76</v>
      </c>
      <c r="AD2771" t="s">
        <v>73</v>
      </c>
      <c r="AE2771" t="s">
        <v>97</v>
      </c>
      <c r="AF2771" t="s">
        <v>2242</v>
      </c>
      <c r="AG2771" t="s">
        <v>78</v>
      </c>
    </row>
    <row r="2772" spans="1:33" hidden="1" x14ac:dyDescent="0.25">
      <c r="A2772" t="str">
        <f>"1932544954"</f>
        <v>1932544954</v>
      </c>
      <c r="C2772" t="s">
        <v>11653</v>
      </c>
      <c r="G2772" t="s">
        <v>2224</v>
      </c>
      <c r="H2772" t="s">
        <v>2225</v>
      </c>
      <c r="J2772" t="s">
        <v>2226</v>
      </c>
      <c r="K2772" t="s">
        <v>93</v>
      </c>
      <c r="L2772" t="s">
        <v>96</v>
      </c>
      <c r="M2772" t="s">
        <v>73</v>
      </c>
      <c r="R2772" t="s">
        <v>11654</v>
      </c>
      <c r="S2772" t="s">
        <v>11655</v>
      </c>
      <c r="T2772" t="s">
        <v>1549</v>
      </c>
      <c r="U2772" t="s">
        <v>1550</v>
      </c>
      <c r="V2772" t="str">
        <f>"200102916"</f>
        <v>200102916</v>
      </c>
      <c r="AC2772" t="s">
        <v>76</v>
      </c>
      <c r="AD2772" t="s">
        <v>73</v>
      </c>
      <c r="AE2772" t="s">
        <v>97</v>
      </c>
      <c r="AF2772" t="s">
        <v>2242</v>
      </c>
      <c r="AG2772" t="s">
        <v>78</v>
      </c>
    </row>
    <row r="2773" spans="1:33" hidden="1" x14ac:dyDescent="0.25">
      <c r="A2773" t="str">
        <f>"1740547785"</f>
        <v>1740547785</v>
      </c>
      <c r="C2773" t="s">
        <v>11656</v>
      </c>
      <c r="G2773" t="s">
        <v>2224</v>
      </c>
      <c r="H2773" t="s">
        <v>2225</v>
      </c>
      <c r="J2773" t="s">
        <v>2226</v>
      </c>
      <c r="K2773" t="s">
        <v>93</v>
      </c>
      <c r="L2773" t="s">
        <v>96</v>
      </c>
      <c r="M2773" t="s">
        <v>73</v>
      </c>
      <c r="R2773" t="s">
        <v>11657</v>
      </c>
      <c r="S2773" t="s">
        <v>170</v>
      </c>
      <c r="T2773" t="s">
        <v>91</v>
      </c>
      <c r="U2773" t="s">
        <v>74</v>
      </c>
      <c r="V2773" t="str">
        <f>"100654870"</f>
        <v>100654870</v>
      </c>
      <c r="AC2773" t="s">
        <v>76</v>
      </c>
      <c r="AD2773" t="s">
        <v>73</v>
      </c>
      <c r="AE2773" t="s">
        <v>97</v>
      </c>
      <c r="AF2773" t="s">
        <v>2234</v>
      </c>
      <c r="AG2773" t="s">
        <v>78</v>
      </c>
    </row>
    <row r="2774" spans="1:33" hidden="1" x14ac:dyDescent="0.25">
      <c r="A2774" t="str">
        <f>"1720353055"</f>
        <v>1720353055</v>
      </c>
      <c r="C2774" t="s">
        <v>11658</v>
      </c>
      <c r="G2774" t="s">
        <v>2224</v>
      </c>
      <c r="H2774" t="s">
        <v>2225</v>
      </c>
      <c r="J2774" t="s">
        <v>2226</v>
      </c>
      <c r="K2774" t="s">
        <v>93</v>
      </c>
      <c r="L2774" t="s">
        <v>96</v>
      </c>
      <c r="M2774" t="s">
        <v>73</v>
      </c>
      <c r="R2774" t="s">
        <v>11659</v>
      </c>
      <c r="S2774" t="s">
        <v>11660</v>
      </c>
      <c r="T2774" t="s">
        <v>91</v>
      </c>
      <c r="U2774" t="s">
        <v>74</v>
      </c>
      <c r="V2774" t="str">
        <f>"100654870"</f>
        <v>100654870</v>
      </c>
      <c r="AC2774" t="s">
        <v>76</v>
      </c>
      <c r="AD2774" t="s">
        <v>73</v>
      </c>
      <c r="AE2774" t="s">
        <v>97</v>
      </c>
      <c r="AF2774" t="s">
        <v>2242</v>
      </c>
      <c r="AG2774" t="s">
        <v>78</v>
      </c>
    </row>
    <row r="2775" spans="1:33" hidden="1" x14ac:dyDescent="0.25">
      <c r="A2775" t="str">
        <f>"1225370364"</f>
        <v>1225370364</v>
      </c>
      <c r="C2775" t="s">
        <v>11661</v>
      </c>
      <c r="G2775" t="s">
        <v>2224</v>
      </c>
      <c r="H2775" t="s">
        <v>2225</v>
      </c>
      <c r="J2775" t="s">
        <v>2226</v>
      </c>
      <c r="K2775" t="s">
        <v>93</v>
      </c>
      <c r="L2775" t="s">
        <v>96</v>
      </c>
      <c r="M2775" t="s">
        <v>73</v>
      </c>
      <c r="R2775" t="s">
        <v>11662</v>
      </c>
      <c r="S2775" t="s">
        <v>11663</v>
      </c>
      <c r="T2775" t="s">
        <v>91</v>
      </c>
      <c r="U2775" t="s">
        <v>74</v>
      </c>
      <c r="V2775" t="str">
        <f>"100654870"</f>
        <v>100654870</v>
      </c>
      <c r="AC2775" t="s">
        <v>76</v>
      </c>
      <c r="AD2775" t="s">
        <v>73</v>
      </c>
      <c r="AE2775" t="s">
        <v>97</v>
      </c>
      <c r="AF2775" t="s">
        <v>2242</v>
      </c>
      <c r="AG2775" t="s">
        <v>78</v>
      </c>
    </row>
    <row r="2776" spans="1:33" hidden="1" x14ac:dyDescent="0.25">
      <c r="A2776" t="str">
        <f>"1336465194"</f>
        <v>1336465194</v>
      </c>
      <c r="C2776" t="s">
        <v>11664</v>
      </c>
      <c r="G2776" t="s">
        <v>2224</v>
      </c>
      <c r="H2776" t="s">
        <v>2312</v>
      </c>
      <c r="J2776" t="s">
        <v>2226</v>
      </c>
      <c r="K2776" t="s">
        <v>171</v>
      </c>
      <c r="L2776" t="s">
        <v>96</v>
      </c>
      <c r="M2776" t="s">
        <v>73</v>
      </c>
      <c r="R2776" t="s">
        <v>11665</v>
      </c>
      <c r="S2776" t="s">
        <v>11666</v>
      </c>
      <c r="T2776" t="s">
        <v>91</v>
      </c>
      <c r="U2776" t="s">
        <v>74</v>
      </c>
      <c r="V2776" t="str">
        <f>"100323725"</f>
        <v>100323725</v>
      </c>
      <c r="AC2776" t="s">
        <v>76</v>
      </c>
      <c r="AD2776" t="s">
        <v>73</v>
      </c>
      <c r="AE2776" t="s">
        <v>97</v>
      </c>
      <c r="AF2776" t="s">
        <v>2228</v>
      </c>
      <c r="AG2776" t="s">
        <v>78</v>
      </c>
    </row>
    <row r="2777" spans="1:33" hidden="1" x14ac:dyDescent="0.25">
      <c r="A2777" t="str">
        <f>"1396046785"</f>
        <v>1396046785</v>
      </c>
      <c r="C2777" t="s">
        <v>11667</v>
      </c>
      <c r="G2777" t="s">
        <v>2224</v>
      </c>
      <c r="H2777" t="s">
        <v>2312</v>
      </c>
      <c r="J2777" t="s">
        <v>2226</v>
      </c>
      <c r="K2777" t="s">
        <v>171</v>
      </c>
      <c r="L2777" t="s">
        <v>72</v>
      </c>
      <c r="M2777" t="s">
        <v>73</v>
      </c>
      <c r="R2777" t="s">
        <v>11668</v>
      </c>
      <c r="S2777" t="s">
        <v>11669</v>
      </c>
      <c r="T2777" t="s">
        <v>91</v>
      </c>
      <c r="U2777" t="s">
        <v>74</v>
      </c>
      <c r="V2777" t="str">
        <f>"100323725"</f>
        <v>100323725</v>
      </c>
      <c r="AC2777" t="s">
        <v>76</v>
      </c>
      <c r="AD2777" t="s">
        <v>73</v>
      </c>
      <c r="AE2777" t="s">
        <v>97</v>
      </c>
      <c r="AF2777" t="s">
        <v>2228</v>
      </c>
      <c r="AG2777" t="s">
        <v>78</v>
      </c>
    </row>
    <row r="2778" spans="1:33" hidden="1" x14ac:dyDescent="0.25">
      <c r="A2778" t="str">
        <f>"1841288123"</f>
        <v>1841288123</v>
      </c>
      <c r="B2778" t="str">
        <f>"01591428"</f>
        <v>01591428</v>
      </c>
      <c r="C2778" t="s">
        <v>1915</v>
      </c>
      <c r="D2778" t="s">
        <v>1289</v>
      </c>
      <c r="E2778" t="s">
        <v>1290</v>
      </c>
      <c r="G2778" t="s">
        <v>2260</v>
      </c>
      <c r="H2778" t="s">
        <v>11670</v>
      </c>
      <c r="J2778" t="s">
        <v>1512</v>
      </c>
      <c r="L2778" t="s">
        <v>72</v>
      </c>
      <c r="M2778" t="s">
        <v>73</v>
      </c>
      <c r="R2778" t="s">
        <v>1291</v>
      </c>
      <c r="W2778" t="s">
        <v>1290</v>
      </c>
      <c r="X2778" t="s">
        <v>463</v>
      </c>
      <c r="Y2778" t="s">
        <v>118</v>
      </c>
      <c r="Z2778" t="s">
        <v>74</v>
      </c>
      <c r="AA2778" t="str">
        <f>"10456-3402"</f>
        <v>10456-3402</v>
      </c>
      <c r="AB2778" t="s">
        <v>75</v>
      </c>
      <c r="AC2778" t="s">
        <v>76</v>
      </c>
      <c r="AD2778" t="s">
        <v>73</v>
      </c>
      <c r="AE2778" t="s">
        <v>77</v>
      </c>
      <c r="AG2778" t="s">
        <v>78</v>
      </c>
    </row>
    <row r="2779" spans="1:33" hidden="1" x14ac:dyDescent="0.25">
      <c r="A2779" t="str">
        <f>"1063664530"</f>
        <v>1063664530</v>
      </c>
      <c r="B2779" t="str">
        <f>"03340269"</f>
        <v>03340269</v>
      </c>
      <c r="C2779" t="s">
        <v>11671</v>
      </c>
      <c r="D2779" t="s">
        <v>11672</v>
      </c>
      <c r="E2779" t="s">
        <v>11673</v>
      </c>
      <c r="L2779" t="s">
        <v>80</v>
      </c>
      <c r="M2779" t="s">
        <v>73</v>
      </c>
      <c r="R2779" t="s">
        <v>11674</v>
      </c>
      <c r="W2779" t="s">
        <v>11673</v>
      </c>
      <c r="X2779" t="s">
        <v>170</v>
      </c>
      <c r="Y2779" t="s">
        <v>91</v>
      </c>
      <c r="Z2779" t="s">
        <v>74</v>
      </c>
      <c r="AA2779" t="str">
        <f>"10065-4885"</f>
        <v>10065-4885</v>
      </c>
      <c r="AB2779" t="s">
        <v>75</v>
      </c>
      <c r="AC2779" t="s">
        <v>76</v>
      </c>
      <c r="AD2779" t="s">
        <v>73</v>
      </c>
      <c r="AE2779" t="s">
        <v>77</v>
      </c>
      <c r="AF2779" t="s">
        <v>2242</v>
      </c>
      <c r="AG2779" t="s">
        <v>78</v>
      </c>
    </row>
    <row r="2780" spans="1:33" hidden="1" x14ac:dyDescent="0.25">
      <c r="A2780" t="str">
        <f>"1831445931"</f>
        <v>1831445931</v>
      </c>
      <c r="B2780" t="str">
        <f>"03574352"</f>
        <v>03574352</v>
      </c>
      <c r="C2780" t="s">
        <v>11675</v>
      </c>
      <c r="D2780" t="s">
        <v>11676</v>
      </c>
      <c r="E2780" t="s">
        <v>11677</v>
      </c>
      <c r="L2780" t="s">
        <v>72</v>
      </c>
      <c r="M2780" t="s">
        <v>73</v>
      </c>
      <c r="R2780" t="s">
        <v>11678</v>
      </c>
      <c r="W2780" t="s">
        <v>11677</v>
      </c>
      <c r="X2780" t="s">
        <v>2693</v>
      </c>
      <c r="Y2780" t="s">
        <v>91</v>
      </c>
      <c r="Z2780" t="s">
        <v>74</v>
      </c>
      <c r="AA2780" t="str">
        <f>"10065-4870"</f>
        <v>10065-4870</v>
      </c>
      <c r="AB2780" t="s">
        <v>75</v>
      </c>
      <c r="AC2780" t="s">
        <v>76</v>
      </c>
      <c r="AD2780" t="s">
        <v>73</v>
      </c>
      <c r="AE2780" t="s">
        <v>77</v>
      </c>
      <c r="AF2780" t="s">
        <v>2242</v>
      </c>
      <c r="AG2780" t="s">
        <v>78</v>
      </c>
    </row>
    <row r="2781" spans="1:33" hidden="1" x14ac:dyDescent="0.25">
      <c r="A2781" t="str">
        <f>"1134400559"</f>
        <v>1134400559</v>
      </c>
      <c r="B2781" t="str">
        <f>"03649543"</f>
        <v>03649543</v>
      </c>
      <c r="C2781" t="s">
        <v>11679</v>
      </c>
      <c r="D2781" t="s">
        <v>11680</v>
      </c>
      <c r="E2781" t="s">
        <v>11681</v>
      </c>
      <c r="G2781" t="s">
        <v>282</v>
      </c>
      <c r="H2781" t="s">
        <v>248</v>
      </c>
      <c r="I2781">
        <v>2604</v>
      </c>
      <c r="J2781" t="s">
        <v>283</v>
      </c>
      <c r="L2781" t="s">
        <v>81</v>
      </c>
      <c r="M2781" t="s">
        <v>73</v>
      </c>
      <c r="R2781" t="s">
        <v>11682</v>
      </c>
      <c r="W2781" t="s">
        <v>11681</v>
      </c>
      <c r="X2781" t="s">
        <v>285</v>
      </c>
      <c r="Y2781" t="s">
        <v>91</v>
      </c>
      <c r="Z2781" t="s">
        <v>74</v>
      </c>
      <c r="AA2781" t="str">
        <f>"10013-4135"</f>
        <v>10013-4135</v>
      </c>
      <c r="AB2781" t="s">
        <v>75</v>
      </c>
      <c r="AC2781" t="s">
        <v>76</v>
      </c>
      <c r="AD2781" t="s">
        <v>73</v>
      </c>
      <c r="AE2781" t="s">
        <v>77</v>
      </c>
      <c r="AF2781" t="s">
        <v>2319</v>
      </c>
      <c r="AG2781" t="s">
        <v>78</v>
      </c>
    </row>
    <row r="2782" spans="1:33" hidden="1" x14ac:dyDescent="0.25">
      <c r="A2782" t="str">
        <f>"1740417617"</f>
        <v>1740417617</v>
      </c>
      <c r="B2782" t="str">
        <f>"03136803"</f>
        <v>03136803</v>
      </c>
      <c r="C2782" t="s">
        <v>11683</v>
      </c>
      <c r="D2782" t="s">
        <v>11684</v>
      </c>
      <c r="E2782" t="s">
        <v>11685</v>
      </c>
      <c r="G2782" t="s">
        <v>282</v>
      </c>
      <c r="H2782" t="s">
        <v>248</v>
      </c>
      <c r="I2782">
        <v>2604</v>
      </c>
      <c r="J2782" t="s">
        <v>283</v>
      </c>
      <c r="L2782" t="s">
        <v>81</v>
      </c>
      <c r="M2782" t="s">
        <v>82</v>
      </c>
      <c r="R2782" t="s">
        <v>11686</v>
      </c>
      <c r="W2782" t="s">
        <v>11685</v>
      </c>
      <c r="X2782" t="s">
        <v>285</v>
      </c>
      <c r="Y2782" t="s">
        <v>91</v>
      </c>
      <c r="Z2782" t="s">
        <v>74</v>
      </c>
      <c r="AA2782" t="str">
        <f>"10013-4135"</f>
        <v>10013-4135</v>
      </c>
      <c r="AB2782" t="s">
        <v>75</v>
      </c>
      <c r="AC2782" t="s">
        <v>76</v>
      </c>
      <c r="AD2782" t="s">
        <v>73</v>
      </c>
      <c r="AE2782" t="s">
        <v>77</v>
      </c>
      <c r="AF2782" t="s">
        <v>2319</v>
      </c>
      <c r="AG2782" t="s">
        <v>78</v>
      </c>
    </row>
    <row r="2783" spans="1:33" hidden="1" x14ac:dyDescent="0.25">
      <c r="A2783" t="str">
        <f>"1972700318"</f>
        <v>1972700318</v>
      </c>
      <c r="B2783" t="str">
        <f>"02947437"</f>
        <v>02947437</v>
      </c>
      <c r="C2783" t="s">
        <v>11687</v>
      </c>
      <c r="D2783" t="s">
        <v>11688</v>
      </c>
      <c r="E2783" t="s">
        <v>11689</v>
      </c>
      <c r="G2783" t="s">
        <v>282</v>
      </c>
      <c r="H2783" t="s">
        <v>248</v>
      </c>
      <c r="I2783">
        <v>2604</v>
      </c>
      <c r="J2783" t="s">
        <v>283</v>
      </c>
      <c r="L2783" t="s">
        <v>81</v>
      </c>
      <c r="M2783" t="s">
        <v>82</v>
      </c>
      <c r="R2783" t="s">
        <v>11689</v>
      </c>
      <c r="W2783" t="s">
        <v>11690</v>
      </c>
      <c r="X2783" t="s">
        <v>285</v>
      </c>
      <c r="Y2783" t="s">
        <v>91</v>
      </c>
      <c r="Z2783" t="s">
        <v>74</v>
      </c>
      <c r="AA2783" t="str">
        <f>"10013-4135"</f>
        <v>10013-4135</v>
      </c>
      <c r="AB2783" t="s">
        <v>75</v>
      </c>
      <c r="AC2783" t="s">
        <v>76</v>
      </c>
      <c r="AD2783" t="s">
        <v>73</v>
      </c>
      <c r="AE2783" t="s">
        <v>77</v>
      </c>
      <c r="AF2783" t="s">
        <v>2319</v>
      </c>
      <c r="AG2783" t="s">
        <v>78</v>
      </c>
    </row>
    <row r="2784" spans="1:33" hidden="1" x14ac:dyDescent="0.25">
      <c r="A2784" t="str">
        <f>"1811166788"</f>
        <v>1811166788</v>
      </c>
      <c r="B2784" t="str">
        <f>"03227676"</f>
        <v>03227676</v>
      </c>
      <c r="C2784" t="s">
        <v>11691</v>
      </c>
      <c r="D2784" t="s">
        <v>11692</v>
      </c>
      <c r="E2784" t="s">
        <v>11693</v>
      </c>
      <c r="L2784" t="s">
        <v>80</v>
      </c>
      <c r="M2784" t="s">
        <v>73</v>
      </c>
      <c r="R2784" t="s">
        <v>11694</v>
      </c>
      <c r="W2784" t="s">
        <v>11693</v>
      </c>
      <c r="X2784" t="s">
        <v>167</v>
      </c>
      <c r="Y2784" t="s">
        <v>91</v>
      </c>
      <c r="Z2784" t="s">
        <v>74</v>
      </c>
      <c r="AA2784" t="str">
        <f>"10032-3720"</f>
        <v>10032-3720</v>
      </c>
      <c r="AB2784" t="s">
        <v>75</v>
      </c>
      <c r="AC2784" t="s">
        <v>76</v>
      </c>
      <c r="AD2784" t="s">
        <v>73</v>
      </c>
      <c r="AE2784" t="s">
        <v>77</v>
      </c>
      <c r="AF2784" t="s">
        <v>2228</v>
      </c>
      <c r="AG2784" t="s">
        <v>78</v>
      </c>
    </row>
    <row r="2785" spans="1:33" hidden="1" x14ac:dyDescent="0.25">
      <c r="A2785" t="str">
        <f>"1174838627"</f>
        <v>1174838627</v>
      </c>
      <c r="C2785" t="s">
        <v>11695</v>
      </c>
      <c r="G2785" t="s">
        <v>2224</v>
      </c>
      <c r="H2785" t="s">
        <v>2312</v>
      </c>
      <c r="J2785" t="s">
        <v>2226</v>
      </c>
      <c r="K2785" t="s">
        <v>171</v>
      </c>
      <c r="L2785" t="s">
        <v>96</v>
      </c>
      <c r="M2785" t="s">
        <v>73</v>
      </c>
      <c r="R2785" t="s">
        <v>11696</v>
      </c>
      <c r="S2785" t="s">
        <v>11697</v>
      </c>
      <c r="T2785" t="s">
        <v>1581</v>
      </c>
      <c r="U2785" t="s">
        <v>578</v>
      </c>
      <c r="V2785" t="str">
        <f>"905022004"</f>
        <v>905022004</v>
      </c>
      <c r="AC2785" t="s">
        <v>76</v>
      </c>
      <c r="AD2785" t="s">
        <v>73</v>
      </c>
      <c r="AE2785" t="s">
        <v>97</v>
      </c>
      <c r="AF2785" t="s">
        <v>2234</v>
      </c>
      <c r="AG2785" t="s">
        <v>78</v>
      </c>
    </row>
    <row r="2786" spans="1:33" hidden="1" x14ac:dyDescent="0.25">
      <c r="A2786" t="str">
        <f>"1821300237"</f>
        <v>1821300237</v>
      </c>
      <c r="C2786" t="s">
        <v>11698</v>
      </c>
      <c r="G2786" t="s">
        <v>2224</v>
      </c>
      <c r="H2786" t="s">
        <v>2312</v>
      </c>
      <c r="J2786" t="s">
        <v>2226</v>
      </c>
      <c r="K2786" t="s">
        <v>171</v>
      </c>
      <c r="L2786" t="s">
        <v>96</v>
      </c>
      <c r="M2786" t="s">
        <v>73</v>
      </c>
      <c r="R2786" t="s">
        <v>11699</v>
      </c>
      <c r="S2786" t="s">
        <v>11700</v>
      </c>
      <c r="T2786" t="s">
        <v>11701</v>
      </c>
      <c r="U2786" t="s">
        <v>578</v>
      </c>
      <c r="V2786" t="str">
        <f>"926751561"</f>
        <v>926751561</v>
      </c>
      <c r="AC2786" t="s">
        <v>76</v>
      </c>
      <c r="AD2786" t="s">
        <v>73</v>
      </c>
      <c r="AE2786" t="s">
        <v>97</v>
      </c>
      <c r="AF2786" t="s">
        <v>2228</v>
      </c>
      <c r="AG2786" t="s">
        <v>78</v>
      </c>
    </row>
    <row r="2787" spans="1:33" hidden="1" x14ac:dyDescent="0.25">
      <c r="A2787" t="str">
        <f>"1003253238"</f>
        <v>1003253238</v>
      </c>
      <c r="C2787" t="s">
        <v>11702</v>
      </c>
      <c r="G2787" t="s">
        <v>2224</v>
      </c>
      <c r="H2787" t="s">
        <v>2312</v>
      </c>
      <c r="J2787" t="s">
        <v>2226</v>
      </c>
      <c r="K2787" t="s">
        <v>171</v>
      </c>
      <c r="L2787" t="s">
        <v>96</v>
      </c>
      <c r="M2787" t="s">
        <v>73</v>
      </c>
      <c r="R2787" t="s">
        <v>11703</v>
      </c>
      <c r="S2787" t="s">
        <v>11704</v>
      </c>
      <c r="T2787" t="s">
        <v>1785</v>
      </c>
      <c r="U2787" t="s">
        <v>409</v>
      </c>
      <c r="V2787" t="str">
        <f>"271570001"</f>
        <v>271570001</v>
      </c>
      <c r="AC2787" t="s">
        <v>76</v>
      </c>
      <c r="AD2787" t="s">
        <v>73</v>
      </c>
      <c r="AE2787" t="s">
        <v>97</v>
      </c>
      <c r="AF2787" t="s">
        <v>2228</v>
      </c>
      <c r="AG2787" t="s">
        <v>78</v>
      </c>
    </row>
    <row r="2788" spans="1:33" hidden="1" x14ac:dyDescent="0.25">
      <c r="A2788" t="str">
        <f>"1871728949"</f>
        <v>1871728949</v>
      </c>
      <c r="B2788" t="str">
        <f>"03920830"</f>
        <v>03920830</v>
      </c>
      <c r="C2788" t="s">
        <v>11705</v>
      </c>
      <c r="D2788" t="s">
        <v>11706</v>
      </c>
      <c r="E2788" t="s">
        <v>11707</v>
      </c>
      <c r="L2788" t="s">
        <v>80</v>
      </c>
      <c r="M2788" t="s">
        <v>73</v>
      </c>
      <c r="R2788" t="s">
        <v>11708</v>
      </c>
      <c r="W2788" t="s">
        <v>11707</v>
      </c>
      <c r="X2788" t="s">
        <v>355</v>
      </c>
      <c r="Y2788" t="s">
        <v>91</v>
      </c>
      <c r="Z2788" t="s">
        <v>74</v>
      </c>
      <c r="AA2788" t="str">
        <f>"10021-5663"</f>
        <v>10021-5663</v>
      </c>
      <c r="AB2788" t="s">
        <v>75</v>
      </c>
      <c r="AC2788" t="s">
        <v>76</v>
      </c>
      <c r="AD2788" t="s">
        <v>73</v>
      </c>
      <c r="AE2788" t="s">
        <v>77</v>
      </c>
      <c r="AG2788" t="s">
        <v>78</v>
      </c>
    </row>
    <row r="2789" spans="1:33" hidden="1" x14ac:dyDescent="0.25">
      <c r="A2789" t="str">
        <f>"1376520502"</f>
        <v>1376520502</v>
      </c>
      <c r="B2789" t="str">
        <f>"03328787"</f>
        <v>03328787</v>
      </c>
      <c r="C2789" t="s">
        <v>11709</v>
      </c>
      <c r="D2789" t="s">
        <v>11710</v>
      </c>
      <c r="E2789" t="s">
        <v>11711</v>
      </c>
      <c r="L2789" t="s">
        <v>80</v>
      </c>
      <c r="M2789" t="s">
        <v>73</v>
      </c>
      <c r="R2789" t="s">
        <v>11712</v>
      </c>
      <c r="W2789" t="s">
        <v>11713</v>
      </c>
      <c r="X2789" t="s">
        <v>167</v>
      </c>
      <c r="Y2789" t="s">
        <v>91</v>
      </c>
      <c r="Z2789" t="s">
        <v>74</v>
      </c>
      <c r="AA2789" t="str">
        <f>"10032-3720"</f>
        <v>10032-3720</v>
      </c>
      <c r="AB2789" t="s">
        <v>75</v>
      </c>
      <c r="AC2789" t="s">
        <v>76</v>
      </c>
      <c r="AD2789" t="s">
        <v>73</v>
      </c>
      <c r="AE2789" t="s">
        <v>77</v>
      </c>
      <c r="AF2789" t="s">
        <v>2228</v>
      </c>
      <c r="AG2789" t="s">
        <v>78</v>
      </c>
    </row>
    <row r="2790" spans="1:33" hidden="1" x14ac:dyDescent="0.25">
      <c r="A2790" t="str">
        <f>"1821193376"</f>
        <v>1821193376</v>
      </c>
      <c r="C2790" t="s">
        <v>11714</v>
      </c>
      <c r="G2790" t="s">
        <v>2224</v>
      </c>
      <c r="H2790" t="s">
        <v>2312</v>
      </c>
      <c r="J2790" t="s">
        <v>2226</v>
      </c>
      <c r="K2790" t="s">
        <v>171</v>
      </c>
      <c r="L2790" t="s">
        <v>72</v>
      </c>
      <c r="M2790" t="s">
        <v>73</v>
      </c>
      <c r="R2790" t="s">
        <v>11715</v>
      </c>
      <c r="S2790" t="s">
        <v>164</v>
      </c>
      <c r="T2790" t="s">
        <v>137</v>
      </c>
      <c r="U2790" t="s">
        <v>74</v>
      </c>
      <c r="V2790" t="str">
        <f>"126013947"</f>
        <v>126013947</v>
      </c>
      <c r="AC2790" t="s">
        <v>76</v>
      </c>
      <c r="AD2790" t="s">
        <v>73</v>
      </c>
      <c r="AE2790" t="s">
        <v>97</v>
      </c>
      <c r="AF2790" t="s">
        <v>2234</v>
      </c>
      <c r="AG2790" t="s">
        <v>78</v>
      </c>
    </row>
    <row r="2791" spans="1:33" hidden="1" x14ac:dyDescent="0.25">
      <c r="A2791" t="str">
        <f>"1760813000"</f>
        <v>1760813000</v>
      </c>
      <c r="B2791" t="str">
        <f>"03996169"</f>
        <v>03996169</v>
      </c>
      <c r="C2791" t="s">
        <v>11716</v>
      </c>
      <c r="D2791" t="s">
        <v>426</v>
      </c>
      <c r="E2791" t="s">
        <v>427</v>
      </c>
      <c r="G2791" t="s">
        <v>2224</v>
      </c>
      <c r="H2791" t="s">
        <v>2312</v>
      </c>
      <c r="J2791" t="s">
        <v>2226</v>
      </c>
      <c r="L2791" t="s">
        <v>72</v>
      </c>
      <c r="M2791" t="s">
        <v>73</v>
      </c>
      <c r="R2791" t="s">
        <v>425</v>
      </c>
      <c r="W2791" t="s">
        <v>427</v>
      </c>
      <c r="X2791" t="s">
        <v>278</v>
      </c>
      <c r="Y2791" t="s">
        <v>86</v>
      </c>
      <c r="Z2791" t="s">
        <v>74</v>
      </c>
      <c r="AA2791" t="str">
        <f>"11373-1329"</f>
        <v>11373-1329</v>
      </c>
      <c r="AB2791" t="s">
        <v>107</v>
      </c>
      <c r="AC2791" t="s">
        <v>76</v>
      </c>
      <c r="AD2791" t="s">
        <v>73</v>
      </c>
      <c r="AE2791" t="s">
        <v>77</v>
      </c>
      <c r="AF2791" t="s">
        <v>2234</v>
      </c>
      <c r="AG2791" t="s">
        <v>78</v>
      </c>
    </row>
    <row r="2792" spans="1:33" hidden="1" x14ac:dyDescent="0.25">
      <c r="A2792" t="str">
        <f>"1114925765"</f>
        <v>1114925765</v>
      </c>
      <c r="B2792" t="str">
        <f>"01991079"</f>
        <v>01991079</v>
      </c>
      <c r="C2792" t="s">
        <v>11717</v>
      </c>
      <c r="D2792" t="s">
        <v>11718</v>
      </c>
      <c r="E2792" t="s">
        <v>11719</v>
      </c>
      <c r="L2792" t="s">
        <v>80</v>
      </c>
      <c r="M2792" t="s">
        <v>73</v>
      </c>
      <c r="R2792" t="s">
        <v>11720</v>
      </c>
      <c r="W2792" t="s">
        <v>11720</v>
      </c>
      <c r="X2792" t="s">
        <v>11721</v>
      </c>
      <c r="Y2792" t="s">
        <v>89</v>
      </c>
      <c r="Z2792" t="s">
        <v>74</v>
      </c>
      <c r="AA2792" t="str">
        <f>"12208-3412"</f>
        <v>12208-3412</v>
      </c>
      <c r="AB2792" t="s">
        <v>75</v>
      </c>
      <c r="AC2792" t="s">
        <v>76</v>
      </c>
      <c r="AD2792" t="s">
        <v>73</v>
      </c>
      <c r="AE2792" t="s">
        <v>77</v>
      </c>
      <c r="AG2792" t="s">
        <v>78</v>
      </c>
    </row>
    <row r="2793" spans="1:33" hidden="1" x14ac:dyDescent="0.25">
      <c r="A2793" t="str">
        <f>"1609964972"</f>
        <v>1609964972</v>
      </c>
      <c r="B2793" t="str">
        <f>"02601816"</f>
        <v>02601816</v>
      </c>
      <c r="C2793" t="s">
        <v>11722</v>
      </c>
      <c r="D2793" t="s">
        <v>11723</v>
      </c>
      <c r="E2793" t="s">
        <v>11724</v>
      </c>
      <c r="G2793" t="s">
        <v>2224</v>
      </c>
      <c r="H2793" t="s">
        <v>2225</v>
      </c>
      <c r="J2793" t="s">
        <v>2226</v>
      </c>
      <c r="L2793" t="s">
        <v>80</v>
      </c>
      <c r="M2793" t="s">
        <v>73</v>
      </c>
      <c r="R2793" t="s">
        <v>11725</v>
      </c>
      <c r="W2793" t="s">
        <v>11724</v>
      </c>
      <c r="X2793" t="s">
        <v>11726</v>
      </c>
      <c r="Y2793" t="s">
        <v>91</v>
      </c>
      <c r="Z2793" t="s">
        <v>74</v>
      </c>
      <c r="AA2793" t="str">
        <f>"10021-9800"</f>
        <v>10021-9800</v>
      </c>
      <c r="AB2793" t="s">
        <v>75</v>
      </c>
      <c r="AC2793" t="s">
        <v>76</v>
      </c>
      <c r="AD2793" t="s">
        <v>73</v>
      </c>
      <c r="AE2793" t="s">
        <v>77</v>
      </c>
      <c r="AF2793" t="s">
        <v>2242</v>
      </c>
      <c r="AG2793" t="s">
        <v>78</v>
      </c>
    </row>
    <row r="2794" spans="1:33" hidden="1" x14ac:dyDescent="0.25">
      <c r="A2794" t="str">
        <f>"1538214671"</f>
        <v>1538214671</v>
      </c>
      <c r="B2794" t="str">
        <f>"01370070"</f>
        <v>01370070</v>
      </c>
      <c r="C2794" t="s">
        <v>11727</v>
      </c>
      <c r="D2794" t="s">
        <v>11728</v>
      </c>
      <c r="E2794" t="s">
        <v>11729</v>
      </c>
      <c r="L2794" t="s">
        <v>72</v>
      </c>
      <c r="M2794" t="s">
        <v>73</v>
      </c>
      <c r="R2794" t="s">
        <v>11730</v>
      </c>
      <c r="W2794" t="s">
        <v>11729</v>
      </c>
      <c r="X2794" t="s">
        <v>11731</v>
      </c>
      <c r="Y2794" t="s">
        <v>91</v>
      </c>
      <c r="Z2794" t="s">
        <v>74</v>
      </c>
      <c r="AA2794" t="str">
        <f>"10032-3720"</f>
        <v>10032-3720</v>
      </c>
      <c r="AB2794" t="s">
        <v>75</v>
      </c>
      <c r="AC2794" t="s">
        <v>76</v>
      </c>
      <c r="AD2794" t="s">
        <v>73</v>
      </c>
      <c r="AE2794" t="s">
        <v>77</v>
      </c>
      <c r="AF2794" t="s">
        <v>2228</v>
      </c>
      <c r="AG2794" t="s">
        <v>78</v>
      </c>
    </row>
    <row r="2795" spans="1:33" hidden="1" x14ac:dyDescent="0.25">
      <c r="A2795" t="str">
        <f>"1427191048"</f>
        <v>1427191048</v>
      </c>
      <c r="C2795" t="s">
        <v>11732</v>
      </c>
      <c r="G2795" t="s">
        <v>2224</v>
      </c>
      <c r="H2795" t="s">
        <v>2312</v>
      </c>
      <c r="J2795" t="s">
        <v>2226</v>
      </c>
      <c r="K2795" t="s">
        <v>171</v>
      </c>
      <c r="L2795" t="s">
        <v>96</v>
      </c>
      <c r="M2795" t="s">
        <v>73</v>
      </c>
      <c r="R2795" t="s">
        <v>11733</v>
      </c>
      <c r="S2795" t="s">
        <v>167</v>
      </c>
      <c r="T2795" t="s">
        <v>91</v>
      </c>
      <c r="U2795" t="s">
        <v>74</v>
      </c>
      <c r="V2795" t="str">
        <f>"100323720"</f>
        <v>100323720</v>
      </c>
      <c r="AC2795" t="s">
        <v>76</v>
      </c>
      <c r="AD2795" t="s">
        <v>73</v>
      </c>
      <c r="AE2795" t="s">
        <v>97</v>
      </c>
      <c r="AF2795" t="s">
        <v>2228</v>
      </c>
      <c r="AG2795" t="s">
        <v>78</v>
      </c>
    </row>
    <row r="2796" spans="1:33" hidden="1" x14ac:dyDescent="0.25">
      <c r="A2796" t="str">
        <f>"1952744864"</f>
        <v>1952744864</v>
      </c>
      <c r="B2796" t="str">
        <f>"04425765"</f>
        <v>04425765</v>
      </c>
      <c r="C2796" t="s">
        <v>11734</v>
      </c>
      <c r="D2796" t="s">
        <v>11735</v>
      </c>
      <c r="E2796" t="s">
        <v>11736</v>
      </c>
      <c r="G2796" t="s">
        <v>2224</v>
      </c>
      <c r="H2796" t="s">
        <v>2225</v>
      </c>
      <c r="J2796" t="s">
        <v>2226</v>
      </c>
      <c r="L2796" t="s">
        <v>72</v>
      </c>
      <c r="M2796" t="s">
        <v>73</v>
      </c>
      <c r="R2796" t="s">
        <v>11737</v>
      </c>
      <c r="W2796" t="s">
        <v>11736</v>
      </c>
      <c r="X2796" t="s">
        <v>8920</v>
      </c>
      <c r="Y2796" t="s">
        <v>91</v>
      </c>
      <c r="Z2796" t="s">
        <v>74</v>
      </c>
      <c r="AA2796" t="str">
        <f>"10032"</f>
        <v>10032</v>
      </c>
      <c r="AB2796" t="s">
        <v>75</v>
      </c>
      <c r="AC2796" t="s">
        <v>76</v>
      </c>
      <c r="AD2796" t="s">
        <v>73</v>
      </c>
      <c r="AE2796" t="s">
        <v>77</v>
      </c>
      <c r="AF2796" t="s">
        <v>2228</v>
      </c>
      <c r="AG2796" t="s">
        <v>78</v>
      </c>
    </row>
    <row r="2797" spans="1:33" hidden="1" x14ac:dyDescent="0.25">
      <c r="A2797" t="str">
        <f>"1932466026"</f>
        <v>1932466026</v>
      </c>
      <c r="C2797" t="s">
        <v>11738</v>
      </c>
      <c r="G2797" t="s">
        <v>2224</v>
      </c>
      <c r="H2797" t="s">
        <v>2225</v>
      </c>
      <c r="J2797" t="s">
        <v>2226</v>
      </c>
      <c r="K2797" t="s">
        <v>93</v>
      </c>
      <c r="L2797" t="s">
        <v>96</v>
      </c>
      <c r="M2797" t="s">
        <v>73</v>
      </c>
      <c r="R2797" t="s">
        <v>11739</v>
      </c>
      <c r="S2797" t="s">
        <v>11740</v>
      </c>
      <c r="T2797" t="s">
        <v>91</v>
      </c>
      <c r="U2797" t="s">
        <v>74</v>
      </c>
      <c r="V2797" t="str">
        <f>"100169196"</f>
        <v>100169196</v>
      </c>
      <c r="AC2797" t="s">
        <v>76</v>
      </c>
      <c r="AD2797" t="s">
        <v>73</v>
      </c>
      <c r="AE2797" t="s">
        <v>97</v>
      </c>
      <c r="AF2797" t="s">
        <v>2234</v>
      </c>
      <c r="AG2797" t="s">
        <v>78</v>
      </c>
    </row>
    <row r="2798" spans="1:33" hidden="1" x14ac:dyDescent="0.25">
      <c r="A2798" t="str">
        <f>"1568805588"</f>
        <v>1568805588</v>
      </c>
      <c r="B2798" t="str">
        <f>"04425036"</f>
        <v>04425036</v>
      </c>
      <c r="C2798" t="s">
        <v>11741</v>
      </c>
      <c r="D2798" t="s">
        <v>11742</v>
      </c>
      <c r="E2798" t="s">
        <v>11743</v>
      </c>
      <c r="G2798" t="s">
        <v>2224</v>
      </c>
      <c r="H2798" t="s">
        <v>2225</v>
      </c>
      <c r="J2798" t="s">
        <v>2226</v>
      </c>
      <c r="L2798" t="s">
        <v>96</v>
      </c>
      <c r="M2798" t="s">
        <v>73</v>
      </c>
      <c r="R2798" t="s">
        <v>11743</v>
      </c>
      <c r="W2798" t="s">
        <v>11744</v>
      </c>
      <c r="X2798" t="s">
        <v>236</v>
      </c>
      <c r="Y2798" t="s">
        <v>91</v>
      </c>
      <c r="Z2798" t="s">
        <v>74</v>
      </c>
      <c r="AA2798" t="str">
        <f>"10034-1159"</f>
        <v>10034-1159</v>
      </c>
      <c r="AB2798" t="s">
        <v>75</v>
      </c>
      <c r="AC2798" t="s">
        <v>76</v>
      </c>
      <c r="AD2798" t="s">
        <v>73</v>
      </c>
      <c r="AE2798" t="s">
        <v>77</v>
      </c>
      <c r="AF2798" t="s">
        <v>2228</v>
      </c>
      <c r="AG2798" t="s">
        <v>78</v>
      </c>
    </row>
    <row r="2799" spans="1:33" hidden="1" x14ac:dyDescent="0.25">
      <c r="A2799" t="str">
        <f>"1174899074"</f>
        <v>1174899074</v>
      </c>
      <c r="C2799" t="s">
        <v>11745</v>
      </c>
      <c r="G2799" t="s">
        <v>2224</v>
      </c>
      <c r="H2799" t="s">
        <v>2225</v>
      </c>
      <c r="J2799" t="s">
        <v>2226</v>
      </c>
      <c r="K2799" t="s">
        <v>93</v>
      </c>
      <c r="L2799" t="s">
        <v>96</v>
      </c>
      <c r="M2799" t="s">
        <v>73</v>
      </c>
      <c r="R2799" t="s">
        <v>11746</v>
      </c>
      <c r="S2799" t="s">
        <v>7456</v>
      </c>
      <c r="T2799" t="s">
        <v>91</v>
      </c>
      <c r="U2799" t="s">
        <v>74</v>
      </c>
      <c r="V2799" t="str">
        <f>"100323725"</f>
        <v>100323725</v>
      </c>
      <c r="AC2799" t="s">
        <v>76</v>
      </c>
      <c r="AD2799" t="s">
        <v>73</v>
      </c>
      <c r="AE2799" t="s">
        <v>97</v>
      </c>
      <c r="AF2799" t="s">
        <v>2234</v>
      </c>
      <c r="AG2799" t="s">
        <v>78</v>
      </c>
    </row>
    <row r="2800" spans="1:33" hidden="1" x14ac:dyDescent="0.25">
      <c r="A2800" t="str">
        <f>"1841533775"</f>
        <v>1841533775</v>
      </c>
      <c r="B2800" t="str">
        <f>"04598298"</f>
        <v>04598298</v>
      </c>
      <c r="C2800" t="s">
        <v>11747</v>
      </c>
      <c r="D2800" t="s">
        <v>11748</v>
      </c>
      <c r="E2800" t="s">
        <v>11749</v>
      </c>
      <c r="G2800" t="s">
        <v>2224</v>
      </c>
      <c r="H2800" t="s">
        <v>2225</v>
      </c>
      <c r="J2800" t="s">
        <v>2226</v>
      </c>
      <c r="L2800" t="s">
        <v>96</v>
      </c>
      <c r="M2800" t="s">
        <v>73</v>
      </c>
      <c r="R2800" t="s">
        <v>11750</v>
      </c>
      <c r="W2800" t="s">
        <v>11749</v>
      </c>
      <c r="AB2800" t="s">
        <v>75</v>
      </c>
      <c r="AC2800" t="s">
        <v>76</v>
      </c>
      <c r="AD2800" t="s">
        <v>73</v>
      </c>
      <c r="AE2800" t="s">
        <v>77</v>
      </c>
      <c r="AF2800" t="s">
        <v>2228</v>
      </c>
      <c r="AG2800" t="s">
        <v>78</v>
      </c>
    </row>
    <row r="2801" spans="1:33" hidden="1" x14ac:dyDescent="0.25">
      <c r="A2801" t="str">
        <f>"1881037448"</f>
        <v>1881037448</v>
      </c>
      <c r="C2801" t="s">
        <v>11751</v>
      </c>
      <c r="G2801" t="s">
        <v>2224</v>
      </c>
      <c r="H2801" t="s">
        <v>2225</v>
      </c>
      <c r="J2801" t="s">
        <v>2226</v>
      </c>
      <c r="K2801" t="s">
        <v>93</v>
      </c>
      <c r="L2801" t="s">
        <v>96</v>
      </c>
      <c r="M2801" t="s">
        <v>73</v>
      </c>
      <c r="R2801" t="s">
        <v>11752</v>
      </c>
      <c r="S2801" t="s">
        <v>11753</v>
      </c>
      <c r="T2801" t="s">
        <v>91</v>
      </c>
      <c r="U2801" t="s">
        <v>74</v>
      </c>
      <c r="V2801" t="str">
        <f>"100070029"</f>
        <v>100070029</v>
      </c>
      <c r="AC2801" t="s">
        <v>76</v>
      </c>
      <c r="AD2801" t="s">
        <v>73</v>
      </c>
      <c r="AE2801" t="s">
        <v>97</v>
      </c>
      <c r="AF2801" t="s">
        <v>2228</v>
      </c>
      <c r="AG2801" t="s">
        <v>78</v>
      </c>
    </row>
    <row r="2802" spans="1:33" hidden="1" x14ac:dyDescent="0.25">
      <c r="A2802" t="str">
        <f>"1538435649"</f>
        <v>1538435649</v>
      </c>
      <c r="B2802" t="str">
        <f>"04314265"</f>
        <v>04314265</v>
      </c>
      <c r="C2802" t="s">
        <v>11754</v>
      </c>
      <c r="D2802" t="s">
        <v>11755</v>
      </c>
      <c r="E2802" t="s">
        <v>11756</v>
      </c>
      <c r="G2802" t="s">
        <v>2224</v>
      </c>
      <c r="H2802" t="s">
        <v>2225</v>
      </c>
      <c r="J2802" t="s">
        <v>2226</v>
      </c>
      <c r="L2802" t="s">
        <v>72</v>
      </c>
      <c r="M2802" t="s">
        <v>73</v>
      </c>
      <c r="R2802" t="s">
        <v>11756</v>
      </c>
      <c r="W2802" t="s">
        <v>11756</v>
      </c>
      <c r="X2802" t="s">
        <v>410</v>
      </c>
      <c r="Y2802" t="s">
        <v>91</v>
      </c>
      <c r="Z2802" t="s">
        <v>74</v>
      </c>
      <c r="AA2802" t="str">
        <f>"10032-1559"</f>
        <v>10032-1559</v>
      </c>
      <c r="AB2802" t="s">
        <v>75</v>
      </c>
      <c r="AC2802" t="s">
        <v>76</v>
      </c>
      <c r="AD2802" t="s">
        <v>73</v>
      </c>
      <c r="AE2802" t="s">
        <v>77</v>
      </c>
      <c r="AF2802" t="s">
        <v>2228</v>
      </c>
      <c r="AG2802" t="s">
        <v>78</v>
      </c>
    </row>
    <row r="2803" spans="1:33" hidden="1" x14ac:dyDescent="0.25">
      <c r="A2803" t="str">
        <f>"1881937183"</f>
        <v>1881937183</v>
      </c>
      <c r="C2803" t="s">
        <v>11757</v>
      </c>
      <c r="G2803" t="s">
        <v>2224</v>
      </c>
      <c r="H2803" t="s">
        <v>2225</v>
      </c>
      <c r="J2803" t="s">
        <v>2226</v>
      </c>
      <c r="K2803" t="s">
        <v>93</v>
      </c>
      <c r="L2803" t="s">
        <v>96</v>
      </c>
      <c r="M2803" t="s">
        <v>73</v>
      </c>
      <c r="R2803" t="s">
        <v>2199</v>
      </c>
      <c r="S2803" t="s">
        <v>410</v>
      </c>
      <c r="T2803" t="s">
        <v>91</v>
      </c>
      <c r="U2803" t="s">
        <v>74</v>
      </c>
      <c r="V2803" t="str">
        <f>"100321559"</f>
        <v>100321559</v>
      </c>
      <c r="AC2803" t="s">
        <v>76</v>
      </c>
      <c r="AD2803" t="s">
        <v>73</v>
      </c>
      <c r="AE2803" t="s">
        <v>97</v>
      </c>
      <c r="AF2803" t="s">
        <v>2228</v>
      </c>
      <c r="AG2803" t="s">
        <v>78</v>
      </c>
    </row>
    <row r="2804" spans="1:33" hidden="1" x14ac:dyDescent="0.25">
      <c r="A2804" t="str">
        <f>"1285077008"</f>
        <v>1285077008</v>
      </c>
      <c r="B2804" t="str">
        <f>"04566161"</f>
        <v>04566161</v>
      </c>
      <c r="C2804" t="s">
        <v>11758</v>
      </c>
      <c r="D2804" t="s">
        <v>11759</v>
      </c>
      <c r="E2804" t="s">
        <v>11760</v>
      </c>
      <c r="G2804" t="s">
        <v>2224</v>
      </c>
      <c r="H2804" t="s">
        <v>2225</v>
      </c>
      <c r="J2804" t="s">
        <v>2226</v>
      </c>
      <c r="L2804" t="s">
        <v>96</v>
      </c>
      <c r="M2804" t="s">
        <v>73</v>
      </c>
      <c r="R2804" t="s">
        <v>11761</v>
      </c>
      <c r="W2804" t="s">
        <v>11760</v>
      </c>
      <c r="AB2804" t="s">
        <v>75</v>
      </c>
      <c r="AC2804" t="s">
        <v>76</v>
      </c>
      <c r="AD2804" t="s">
        <v>73</v>
      </c>
      <c r="AE2804" t="s">
        <v>77</v>
      </c>
      <c r="AF2804" t="s">
        <v>2228</v>
      </c>
      <c r="AG2804" t="s">
        <v>78</v>
      </c>
    </row>
    <row r="2805" spans="1:33" hidden="1" x14ac:dyDescent="0.25">
      <c r="A2805" t="str">
        <f>"1053754598"</f>
        <v>1053754598</v>
      </c>
      <c r="B2805" t="str">
        <f>"04547857"</f>
        <v>04547857</v>
      </c>
      <c r="C2805" t="s">
        <v>11762</v>
      </c>
      <c r="D2805" t="s">
        <v>11763</v>
      </c>
      <c r="E2805" t="s">
        <v>11764</v>
      </c>
      <c r="G2805" t="s">
        <v>2224</v>
      </c>
      <c r="H2805" t="s">
        <v>2225</v>
      </c>
      <c r="J2805" t="s">
        <v>2226</v>
      </c>
      <c r="L2805" t="s">
        <v>96</v>
      </c>
      <c r="M2805" t="s">
        <v>73</v>
      </c>
      <c r="R2805" t="s">
        <v>11764</v>
      </c>
      <c r="W2805" t="s">
        <v>11764</v>
      </c>
      <c r="AB2805" t="s">
        <v>75</v>
      </c>
      <c r="AC2805" t="s">
        <v>76</v>
      </c>
      <c r="AD2805" t="s">
        <v>73</v>
      </c>
      <c r="AE2805" t="s">
        <v>77</v>
      </c>
      <c r="AF2805" t="s">
        <v>2228</v>
      </c>
      <c r="AG2805" t="s">
        <v>78</v>
      </c>
    </row>
    <row r="2806" spans="1:33" hidden="1" x14ac:dyDescent="0.25">
      <c r="A2806" t="str">
        <f>"1073879300"</f>
        <v>1073879300</v>
      </c>
      <c r="C2806" t="s">
        <v>11765</v>
      </c>
      <c r="G2806" t="s">
        <v>2224</v>
      </c>
      <c r="H2806" t="s">
        <v>2225</v>
      </c>
      <c r="J2806" t="s">
        <v>2226</v>
      </c>
      <c r="K2806" t="s">
        <v>93</v>
      </c>
      <c r="L2806" t="s">
        <v>96</v>
      </c>
      <c r="M2806" t="s">
        <v>73</v>
      </c>
      <c r="R2806" t="s">
        <v>11766</v>
      </c>
      <c r="S2806" t="s">
        <v>410</v>
      </c>
      <c r="T2806" t="s">
        <v>91</v>
      </c>
      <c r="U2806" t="s">
        <v>74</v>
      </c>
      <c r="V2806" t="str">
        <f>"10032"</f>
        <v>10032</v>
      </c>
      <c r="AC2806" t="s">
        <v>76</v>
      </c>
      <c r="AD2806" t="s">
        <v>73</v>
      </c>
      <c r="AE2806" t="s">
        <v>97</v>
      </c>
      <c r="AF2806" t="s">
        <v>2234</v>
      </c>
      <c r="AG2806" t="s">
        <v>78</v>
      </c>
    </row>
    <row r="2807" spans="1:33" hidden="1" x14ac:dyDescent="0.25">
      <c r="A2807" t="str">
        <f>"1053653147"</f>
        <v>1053653147</v>
      </c>
      <c r="C2807" t="s">
        <v>11767</v>
      </c>
      <c r="G2807" t="s">
        <v>2224</v>
      </c>
      <c r="H2807" t="s">
        <v>2225</v>
      </c>
      <c r="J2807" t="s">
        <v>2226</v>
      </c>
      <c r="K2807" t="s">
        <v>93</v>
      </c>
      <c r="L2807" t="s">
        <v>96</v>
      </c>
      <c r="M2807" t="s">
        <v>73</v>
      </c>
      <c r="R2807" t="s">
        <v>11768</v>
      </c>
      <c r="S2807" t="s">
        <v>410</v>
      </c>
      <c r="T2807" t="s">
        <v>91</v>
      </c>
      <c r="U2807" t="s">
        <v>74</v>
      </c>
      <c r="V2807" t="str">
        <f>"100321559"</f>
        <v>100321559</v>
      </c>
      <c r="AC2807" t="s">
        <v>76</v>
      </c>
      <c r="AD2807" t="s">
        <v>73</v>
      </c>
      <c r="AE2807" t="s">
        <v>97</v>
      </c>
      <c r="AF2807" t="s">
        <v>2228</v>
      </c>
      <c r="AG2807" t="s">
        <v>78</v>
      </c>
    </row>
    <row r="2808" spans="1:33" hidden="1" x14ac:dyDescent="0.25">
      <c r="A2808" t="str">
        <f>"1841556024"</f>
        <v>1841556024</v>
      </c>
      <c r="C2808" t="s">
        <v>11769</v>
      </c>
      <c r="G2808" t="s">
        <v>2224</v>
      </c>
      <c r="H2808" t="s">
        <v>2225</v>
      </c>
      <c r="J2808" t="s">
        <v>2226</v>
      </c>
      <c r="K2808" t="s">
        <v>93</v>
      </c>
      <c r="L2808" t="s">
        <v>96</v>
      </c>
      <c r="M2808" t="s">
        <v>73</v>
      </c>
      <c r="R2808" t="s">
        <v>11770</v>
      </c>
      <c r="S2808" t="s">
        <v>410</v>
      </c>
      <c r="T2808" t="s">
        <v>91</v>
      </c>
      <c r="U2808" t="s">
        <v>74</v>
      </c>
      <c r="V2808" t="str">
        <f>"100321559"</f>
        <v>100321559</v>
      </c>
      <c r="AC2808" t="s">
        <v>76</v>
      </c>
      <c r="AD2808" t="s">
        <v>73</v>
      </c>
      <c r="AE2808" t="s">
        <v>97</v>
      </c>
      <c r="AF2808" t="s">
        <v>2228</v>
      </c>
      <c r="AG2808" t="s">
        <v>78</v>
      </c>
    </row>
    <row r="2809" spans="1:33" hidden="1" x14ac:dyDescent="0.25">
      <c r="A2809" t="str">
        <f>"1093081184"</f>
        <v>1093081184</v>
      </c>
      <c r="C2809" t="s">
        <v>11771</v>
      </c>
      <c r="G2809" t="s">
        <v>2224</v>
      </c>
      <c r="H2809" t="s">
        <v>2225</v>
      </c>
      <c r="J2809" t="s">
        <v>2226</v>
      </c>
      <c r="K2809" t="s">
        <v>93</v>
      </c>
      <c r="L2809" t="s">
        <v>96</v>
      </c>
      <c r="M2809" t="s">
        <v>73</v>
      </c>
      <c r="R2809" t="s">
        <v>11772</v>
      </c>
      <c r="S2809" t="s">
        <v>410</v>
      </c>
      <c r="T2809" t="s">
        <v>91</v>
      </c>
      <c r="U2809" t="s">
        <v>74</v>
      </c>
      <c r="V2809" t="str">
        <f>"100321559"</f>
        <v>100321559</v>
      </c>
      <c r="AC2809" t="s">
        <v>76</v>
      </c>
      <c r="AD2809" t="s">
        <v>73</v>
      </c>
      <c r="AE2809" t="s">
        <v>97</v>
      </c>
      <c r="AF2809" t="s">
        <v>2228</v>
      </c>
      <c r="AG2809" t="s">
        <v>78</v>
      </c>
    </row>
    <row r="2810" spans="1:33" hidden="1" x14ac:dyDescent="0.25">
      <c r="A2810" t="str">
        <f>"1548502776"</f>
        <v>1548502776</v>
      </c>
      <c r="C2810" t="s">
        <v>11773</v>
      </c>
      <c r="G2810" t="s">
        <v>2224</v>
      </c>
      <c r="H2810" t="s">
        <v>2225</v>
      </c>
      <c r="J2810" t="s">
        <v>2226</v>
      </c>
      <c r="K2810" t="s">
        <v>93</v>
      </c>
      <c r="L2810" t="s">
        <v>96</v>
      </c>
      <c r="M2810" t="s">
        <v>73</v>
      </c>
      <c r="R2810" t="s">
        <v>11774</v>
      </c>
      <c r="S2810" t="s">
        <v>410</v>
      </c>
      <c r="T2810" t="s">
        <v>91</v>
      </c>
      <c r="U2810" t="s">
        <v>74</v>
      </c>
      <c r="V2810" t="str">
        <f>"100321559"</f>
        <v>100321559</v>
      </c>
      <c r="AC2810" t="s">
        <v>76</v>
      </c>
      <c r="AD2810" t="s">
        <v>73</v>
      </c>
      <c r="AE2810" t="s">
        <v>97</v>
      </c>
      <c r="AF2810" t="s">
        <v>2228</v>
      </c>
      <c r="AG2810" t="s">
        <v>78</v>
      </c>
    </row>
    <row r="2811" spans="1:33" hidden="1" x14ac:dyDescent="0.25">
      <c r="A2811" t="str">
        <f>"1629334867"</f>
        <v>1629334867</v>
      </c>
      <c r="C2811" t="s">
        <v>11775</v>
      </c>
      <c r="G2811" t="s">
        <v>2224</v>
      </c>
      <c r="H2811" t="s">
        <v>2225</v>
      </c>
      <c r="J2811" t="s">
        <v>2226</v>
      </c>
      <c r="K2811" t="s">
        <v>93</v>
      </c>
      <c r="L2811" t="s">
        <v>96</v>
      </c>
      <c r="M2811" t="s">
        <v>73</v>
      </c>
      <c r="R2811" t="s">
        <v>11776</v>
      </c>
      <c r="S2811" t="s">
        <v>11777</v>
      </c>
      <c r="T2811" t="s">
        <v>1179</v>
      </c>
      <c r="U2811" t="s">
        <v>599</v>
      </c>
      <c r="V2811" t="str">
        <f>"207083143"</f>
        <v>207083143</v>
      </c>
      <c r="AC2811" t="s">
        <v>76</v>
      </c>
      <c r="AD2811" t="s">
        <v>73</v>
      </c>
      <c r="AE2811" t="s">
        <v>97</v>
      </c>
      <c r="AF2811" t="s">
        <v>2234</v>
      </c>
      <c r="AG2811" t="s">
        <v>78</v>
      </c>
    </row>
    <row r="2812" spans="1:33" hidden="1" x14ac:dyDescent="0.25">
      <c r="A2812" t="str">
        <f>"1033476122"</f>
        <v>1033476122</v>
      </c>
      <c r="C2812" t="s">
        <v>11778</v>
      </c>
      <c r="G2812" t="s">
        <v>2224</v>
      </c>
      <c r="H2812" t="s">
        <v>2225</v>
      </c>
      <c r="J2812" t="s">
        <v>2226</v>
      </c>
      <c r="K2812" t="s">
        <v>93</v>
      </c>
      <c r="L2812" t="s">
        <v>96</v>
      </c>
      <c r="M2812" t="s">
        <v>73</v>
      </c>
      <c r="R2812" t="s">
        <v>11779</v>
      </c>
      <c r="S2812" t="s">
        <v>11780</v>
      </c>
      <c r="T2812" t="s">
        <v>1549</v>
      </c>
      <c r="U2812" t="s">
        <v>1550</v>
      </c>
      <c r="V2812" t="str">
        <f>"200102916"</f>
        <v>200102916</v>
      </c>
      <c r="AC2812" t="s">
        <v>76</v>
      </c>
      <c r="AD2812" t="s">
        <v>73</v>
      </c>
      <c r="AE2812" t="s">
        <v>97</v>
      </c>
      <c r="AF2812" t="s">
        <v>2234</v>
      </c>
      <c r="AG2812" t="s">
        <v>78</v>
      </c>
    </row>
    <row r="2813" spans="1:33" hidden="1" x14ac:dyDescent="0.25">
      <c r="A2813" t="str">
        <f>"1881660512"</f>
        <v>1881660512</v>
      </c>
      <c r="B2813" t="str">
        <f>"02156292"</f>
        <v>02156292</v>
      </c>
      <c r="C2813" t="s">
        <v>11781</v>
      </c>
      <c r="D2813" t="s">
        <v>2150</v>
      </c>
      <c r="E2813" t="s">
        <v>2151</v>
      </c>
      <c r="G2813" t="s">
        <v>2224</v>
      </c>
      <c r="H2813" t="s">
        <v>2225</v>
      </c>
      <c r="J2813" t="s">
        <v>2226</v>
      </c>
      <c r="L2813" t="s">
        <v>81</v>
      </c>
      <c r="M2813" t="s">
        <v>82</v>
      </c>
      <c r="R2813" t="s">
        <v>2149</v>
      </c>
      <c r="W2813" t="s">
        <v>2151</v>
      </c>
      <c r="X2813" t="s">
        <v>2152</v>
      </c>
      <c r="Y2813" t="s">
        <v>91</v>
      </c>
      <c r="Z2813" t="s">
        <v>74</v>
      </c>
      <c r="AA2813" t="str">
        <f>"10032-3720"</f>
        <v>10032-3720</v>
      </c>
      <c r="AB2813" t="s">
        <v>75</v>
      </c>
      <c r="AC2813" t="s">
        <v>76</v>
      </c>
      <c r="AD2813" t="s">
        <v>73</v>
      </c>
      <c r="AE2813" t="s">
        <v>77</v>
      </c>
      <c r="AF2813" t="s">
        <v>2254</v>
      </c>
      <c r="AG2813" t="s">
        <v>78</v>
      </c>
    </row>
    <row r="2814" spans="1:33" hidden="1" x14ac:dyDescent="0.25">
      <c r="A2814" t="str">
        <f>"1699091561"</f>
        <v>1699091561</v>
      </c>
      <c r="C2814" t="s">
        <v>11782</v>
      </c>
      <c r="G2814" t="s">
        <v>2224</v>
      </c>
      <c r="H2814" t="s">
        <v>2225</v>
      </c>
      <c r="J2814" t="s">
        <v>2226</v>
      </c>
      <c r="K2814" t="s">
        <v>93</v>
      </c>
      <c r="L2814" t="s">
        <v>96</v>
      </c>
      <c r="M2814" t="s">
        <v>73</v>
      </c>
      <c r="R2814" t="s">
        <v>11783</v>
      </c>
      <c r="S2814" t="s">
        <v>11784</v>
      </c>
      <c r="T2814" t="s">
        <v>91</v>
      </c>
      <c r="U2814" t="s">
        <v>74</v>
      </c>
      <c r="V2814" t="str">
        <f>"10014"</f>
        <v>10014</v>
      </c>
      <c r="AC2814" t="s">
        <v>76</v>
      </c>
      <c r="AD2814" t="s">
        <v>73</v>
      </c>
      <c r="AE2814" t="s">
        <v>97</v>
      </c>
      <c r="AF2814" t="s">
        <v>2228</v>
      </c>
      <c r="AG2814" t="s">
        <v>78</v>
      </c>
    </row>
    <row r="2815" spans="1:33" hidden="1" x14ac:dyDescent="0.25">
      <c r="C2815" t="s">
        <v>11785</v>
      </c>
      <c r="G2815" t="s">
        <v>2224</v>
      </c>
      <c r="H2815" t="s">
        <v>2225</v>
      </c>
      <c r="J2815" t="s">
        <v>2226</v>
      </c>
      <c r="K2815" t="s">
        <v>93</v>
      </c>
      <c r="L2815" t="s">
        <v>94</v>
      </c>
      <c r="M2815" t="s">
        <v>73</v>
      </c>
      <c r="N2815" t="s">
        <v>7187</v>
      </c>
      <c r="O2815" t="s">
        <v>475</v>
      </c>
      <c r="P2815" t="s">
        <v>74</v>
      </c>
      <c r="Q2815" t="str">
        <f>"10021"</f>
        <v>10021</v>
      </c>
      <c r="AC2815" t="s">
        <v>76</v>
      </c>
      <c r="AD2815" t="s">
        <v>73</v>
      </c>
      <c r="AE2815" t="s">
        <v>95</v>
      </c>
      <c r="AF2815" t="s">
        <v>2234</v>
      </c>
      <c r="AG2815" t="s">
        <v>78</v>
      </c>
    </row>
    <row r="2816" spans="1:33" hidden="1" x14ac:dyDescent="0.25">
      <c r="A2816" t="str">
        <f>"1750541561"</f>
        <v>1750541561</v>
      </c>
      <c r="B2816" t="str">
        <f>"03381615"</f>
        <v>03381615</v>
      </c>
      <c r="C2816" t="s">
        <v>11786</v>
      </c>
      <c r="D2816" t="s">
        <v>11787</v>
      </c>
      <c r="E2816" t="s">
        <v>11788</v>
      </c>
      <c r="G2816" t="s">
        <v>2224</v>
      </c>
      <c r="H2816" t="s">
        <v>2225</v>
      </c>
      <c r="J2816" t="s">
        <v>2226</v>
      </c>
      <c r="L2816" t="s">
        <v>72</v>
      </c>
      <c r="M2816" t="s">
        <v>73</v>
      </c>
      <c r="R2816" t="s">
        <v>11789</v>
      </c>
      <c r="W2816" t="s">
        <v>11788</v>
      </c>
      <c r="X2816" t="s">
        <v>236</v>
      </c>
      <c r="Y2816" t="s">
        <v>91</v>
      </c>
      <c r="Z2816" t="s">
        <v>74</v>
      </c>
      <c r="AA2816" t="str">
        <f>"10034-1159"</f>
        <v>10034-1159</v>
      </c>
      <c r="AB2816" t="s">
        <v>75</v>
      </c>
      <c r="AC2816" t="s">
        <v>76</v>
      </c>
      <c r="AD2816" t="s">
        <v>73</v>
      </c>
      <c r="AE2816" t="s">
        <v>77</v>
      </c>
      <c r="AF2816" t="s">
        <v>2254</v>
      </c>
      <c r="AG2816" t="s">
        <v>78</v>
      </c>
    </row>
    <row r="2817" spans="1:33" hidden="1" x14ac:dyDescent="0.25">
      <c r="A2817" t="str">
        <f>"1306162565"</f>
        <v>1306162565</v>
      </c>
      <c r="B2817" t="str">
        <f>"04315362"</f>
        <v>04315362</v>
      </c>
      <c r="C2817" t="s">
        <v>11790</v>
      </c>
      <c r="D2817" t="s">
        <v>11791</v>
      </c>
      <c r="E2817" t="s">
        <v>11792</v>
      </c>
      <c r="G2817" t="s">
        <v>2224</v>
      </c>
      <c r="H2817" t="s">
        <v>2225</v>
      </c>
      <c r="J2817" t="s">
        <v>2226</v>
      </c>
      <c r="L2817" t="s">
        <v>72</v>
      </c>
      <c r="M2817" t="s">
        <v>73</v>
      </c>
      <c r="R2817" t="s">
        <v>11793</v>
      </c>
      <c r="W2817" t="s">
        <v>11792</v>
      </c>
      <c r="X2817" t="s">
        <v>167</v>
      </c>
      <c r="Y2817" t="s">
        <v>91</v>
      </c>
      <c r="Z2817" t="s">
        <v>74</v>
      </c>
      <c r="AA2817" t="str">
        <f>"10032-3720"</f>
        <v>10032-3720</v>
      </c>
      <c r="AB2817" t="s">
        <v>75</v>
      </c>
      <c r="AC2817" t="s">
        <v>76</v>
      </c>
      <c r="AD2817" t="s">
        <v>73</v>
      </c>
      <c r="AE2817" t="s">
        <v>77</v>
      </c>
      <c r="AF2817" t="s">
        <v>2254</v>
      </c>
      <c r="AG2817" t="s">
        <v>78</v>
      </c>
    </row>
    <row r="2818" spans="1:33" hidden="1" x14ac:dyDescent="0.25">
      <c r="A2818" t="str">
        <f>"1336207166"</f>
        <v>1336207166</v>
      </c>
      <c r="B2818" t="str">
        <f>"01886837"</f>
        <v>01886837</v>
      </c>
      <c r="C2818" t="s">
        <v>11794</v>
      </c>
      <c r="D2818" t="s">
        <v>11795</v>
      </c>
      <c r="E2818" t="s">
        <v>11796</v>
      </c>
      <c r="G2818" t="s">
        <v>2224</v>
      </c>
      <c r="H2818" t="s">
        <v>2225</v>
      </c>
      <c r="J2818" t="s">
        <v>2226</v>
      </c>
      <c r="L2818" t="s">
        <v>80</v>
      </c>
      <c r="M2818" t="s">
        <v>73</v>
      </c>
      <c r="R2818" t="s">
        <v>1937</v>
      </c>
      <c r="W2818" t="s">
        <v>11796</v>
      </c>
      <c r="X2818" t="s">
        <v>1958</v>
      </c>
      <c r="Y2818" t="s">
        <v>91</v>
      </c>
      <c r="Z2818" t="s">
        <v>74</v>
      </c>
      <c r="AA2818" t="str">
        <f>"10032-3722"</f>
        <v>10032-3722</v>
      </c>
      <c r="AB2818" t="s">
        <v>75</v>
      </c>
      <c r="AC2818" t="s">
        <v>76</v>
      </c>
      <c r="AD2818" t="s">
        <v>73</v>
      </c>
      <c r="AE2818" t="s">
        <v>77</v>
      </c>
      <c r="AF2818" t="s">
        <v>2254</v>
      </c>
      <c r="AG2818" t="s">
        <v>78</v>
      </c>
    </row>
    <row r="2819" spans="1:33" hidden="1" x14ac:dyDescent="0.25">
      <c r="C2819" t="s">
        <v>11797</v>
      </c>
      <c r="G2819" t="s">
        <v>2224</v>
      </c>
      <c r="H2819" t="s">
        <v>2225</v>
      </c>
      <c r="J2819" t="s">
        <v>2226</v>
      </c>
      <c r="K2819" t="s">
        <v>93</v>
      </c>
      <c r="L2819" t="s">
        <v>94</v>
      </c>
      <c r="M2819" t="s">
        <v>73</v>
      </c>
      <c r="N2819" t="s">
        <v>7187</v>
      </c>
      <c r="O2819" t="s">
        <v>475</v>
      </c>
      <c r="P2819" t="s">
        <v>74</v>
      </c>
      <c r="Q2819" t="str">
        <f>"10021"</f>
        <v>10021</v>
      </c>
      <c r="AC2819" t="s">
        <v>76</v>
      </c>
      <c r="AD2819" t="s">
        <v>73</v>
      </c>
      <c r="AE2819" t="s">
        <v>95</v>
      </c>
      <c r="AF2819" t="s">
        <v>2234</v>
      </c>
      <c r="AG2819" t="s">
        <v>78</v>
      </c>
    </row>
    <row r="2820" spans="1:33" hidden="1" x14ac:dyDescent="0.25">
      <c r="A2820" t="str">
        <f>"1174784318"</f>
        <v>1174784318</v>
      </c>
      <c r="B2820" t="str">
        <f>"03505915"</f>
        <v>03505915</v>
      </c>
      <c r="C2820" t="s">
        <v>11798</v>
      </c>
      <c r="D2820" t="s">
        <v>11799</v>
      </c>
      <c r="E2820" t="s">
        <v>11800</v>
      </c>
      <c r="G2820" t="s">
        <v>2224</v>
      </c>
      <c r="H2820" t="s">
        <v>2225</v>
      </c>
      <c r="J2820" t="s">
        <v>2226</v>
      </c>
      <c r="L2820" t="s">
        <v>80</v>
      </c>
      <c r="M2820" t="s">
        <v>73</v>
      </c>
      <c r="R2820" t="s">
        <v>11801</v>
      </c>
      <c r="W2820" t="s">
        <v>11800</v>
      </c>
      <c r="X2820" t="s">
        <v>167</v>
      </c>
      <c r="Y2820" t="s">
        <v>91</v>
      </c>
      <c r="Z2820" t="s">
        <v>74</v>
      </c>
      <c r="AA2820" t="str">
        <f>"10032-3720"</f>
        <v>10032-3720</v>
      </c>
      <c r="AB2820" t="s">
        <v>75</v>
      </c>
      <c r="AC2820" t="s">
        <v>76</v>
      </c>
      <c r="AD2820" t="s">
        <v>73</v>
      </c>
      <c r="AE2820" t="s">
        <v>77</v>
      </c>
      <c r="AF2820" t="s">
        <v>2228</v>
      </c>
      <c r="AG2820" t="s">
        <v>78</v>
      </c>
    </row>
    <row r="2821" spans="1:33" hidden="1" x14ac:dyDescent="0.25">
      <c r="A2821" t="str">
        <f>"1689966939"</f>
        <v>1689966939</v>
      </c>
      <c r="B2821" t="str">
        <f>"04317873"</f>
        <v>04317873</v>
      </c>
      <c r="C2821" t="s">
        <v>11802</v>
      </c>
      <c r="D2821" t="s">
        <v>11803</v>
      </c>
      <c r="E2821" t="s">
        <v>11804</v>
      </c>
      <c r="G2821" t="s">
        <v>2224</v>
      </c>
      <c r="H2821" t="s">
        <v>2312</v>
      </c>
      <c r="J2821" t="s">
        <v>2226</v>
      </c>
      <c r="L2821" t="s">
        <v>96</v>
      </c>
      <c r="M2821" t="s">
        <v>73</v>
      </c>
      <c r="R2821" t="s">
        <v>11805</v>
      </c>
      <c r="W2821" t="s">
        <v>11804</v>
      </c>
      <c r="X2821" t="s">
        <v>238</v>
      </c>
      <c r="Y2821" t="s">
        <v>91</v>
      </c>
      <c r="Z2821" t="s">
        <v>74</v>
      </c>
      <c r="AA2821" t="str">
        <f>"10065-6007"</f>
        <v>10065-6007</v>
      </c>
      <c r="AB2821" t="s">
        <v>75</v>
      </c>
      <c r="AC2821" t="s">
        <v>76</v>
      </c>
      <c r="AD2821" t="s">
        <v>73</v>
      </c>
      <c r="AE2821" t="s">
        <v>77</v>
      </c>
      <c r="AF2821" t="s">
        <v>2234</v>
      </c>
      <c r="AG2821" t="s">
        <v>78</v>
      </c>
    </row>
    <row r="2822" spans="1:33" hidden="1" x14ac:dyDescent="0.25">
      <c r="A2822" t="str">
        <f>"1427390921"</f>
        <v>1427390921</v>
      </c>
      <c r="C2822" t="s">
        <v>11806</v>
      </c>
      <c r="G2822" t="s">
        <v>2224</v>
      </c>
      <c r="H2822" t="s">
        <v>2312</v>
      </c>
      <c r="J2822" t="s">
        <v>2226</v>
      </c>
      <c r="K2822" t="s">
        <v>171</v>
      </c>
      <c r="L2822" t="s">
        <v>96</v>
      </c>
      <c r="M2822" t="s">
        <v>73</v>
      </c>
      <c r="R2822" t="s">
        <v>11807</v>
      </c>
      <c r="S2822" t="s">
        <v>170</v>
      </c>
      <c r="T2822" t="s">
        <v>91</v>
      </c>
      <c r="U2822" t="s">
        <v>74</v>
      </c>
      <c r="V2822" t="str">
        <f>"100654870"</f>
        <v>100654870</v>
      </c>
      <c r="AC2822" t="s">
        <v>76</v>
      </c>
      <c r="AD2822" t="s">
        <v>73</v>
      </c>
      <c r="AE2822" t="s">
        <v>97</v>
      </c>
      <c r="AF2822" t="s">
        <v>2242</v>
      </c>
      <c r="AG2822" t="s">
        <v>78</v>
      </c>
    </row>
    <row r="2823" spans="1:33" hidden="1" x14ac:dyDescent="0.25">
      <c r="A2823" t="str">
        <f>"1235496084"</f>
        <v>1235496084</v>
      </c>
      <c r="C2823" t="s">
        <v>11808</v>
      </c>
      <c r="G2823" t="s">
        <v>2224</v>
      </c>
      <c r="H2823" t="s">
        <v>2312</v>
      </c>
      <c r="J2823" t="s">
        <v>2226</v>
      </c>
      <c r="K2823" t="s">
        <v>171</v>
      </c>
      <c r="L2823" t="s">
        <v>96</v>
      </c>
      <c r="M2823" t="s">
        <v>73</v>
      </c>
      <c r="R2823" t="s">
        <v>11809</v>
      </c>
      <c r="S2823" t="s">
        <v>11810</v>
      </c>
      <c r="T2823" t="s">
        <v>520</v>
      </c>
      <c r="U2823" t="s">
        <v>209</v>
      </c>
      <c r="V2823" t="str">
        <f>"606113302"</f>
        <v>606113302</v>
      </c>
      <c r="AC2823" t="s">
        <v>76</v>
      </c>
      <c r="AD2823" t="s">
        <v>73</v>
      </c>
      <c r="AE2823" t="s">
        <v>97</v>
      </c>
      <c r="AF2823" t="s">
        <v>2242</v>
      </c>
      <c r="AG2823" t="s">
        <v>78</v>
      </c>
    </row>
    <row r="2824" spans="1:33" hidden="1" x14ac:dyDescent="0.25">
      <c r="A2824" t="str">
        <f>"1073923165"</f>
        <v>1073923165</v>
      </c>
      <c r="C2824" t="s">
        <v>11811</v>
      </c>
      <c r="G2824" t="s">
        <v>2224</v>
      </c>
      <c r="H2824" t="s">
        <v>2312</v>
      </c>
      <c r="J2824" t="s">
        <v>2226</v>
      </c>
      <c r="K2824" t="s">
        <v>171</v>
      </c>
      <c r="L2824" t="s">
        <v>96</v>
      </c>
      <c r="M2824" t="s">
        <v>73</v>
      </c>
      <c r="R2824" t="s">
        <v>11812</v>
      </c>
      <c r="S2824" t="s">
        <v>11813</v>
      </c>
      <c r="T2824" t="s">
        <v>138</v>
      </c>
      <c r="U2824" t="s">
        <v>74</v>
      </c>
      <c r="V2824" t="str">
        <f>"103146135"</f>
        <v>103146135</v>
      </c>
      <c r="AC2824" t="s">
        <v>76</v>
      </c>
      <c r="AD2824" t="s">
        <v>73</v>
      </c>
      <c r="AE2824" t="s">
        <v>97</v>
      </c>
      <c r="AF2824" t="s">
        <v>2242</v>
      </c>
      <c r="AG2824" t="s">
        <v>78</v>
      </c>
    </row>
    <row r="2825" spans="1:33" hidden="1" x14ac:dyDescent="0.25">
      <c r="A2825" t="str">
        <f>"1023375292"</f>
        <v>1023375292</v>
      </c>
      <c r="C2825" t="s">
        <v>11814</v>
      </c>
      <c r="G2825" t="s">
        <v>2224</v>
      </c>
      <c r="H2825" t="s">
        <v>2312</v>
      </c>
      <c r="J2825" t="s">
        <v>2226</v>
      </c>
      <c r="K2825" t="s">
        <v>171</v>
      </c>
      <c r="L2825" t="s">
        <v>96</v>
      </c>
      <c r="M2825" t="s">
        <v>73</v>
      </c>
      <c r="R2825" t="s">
        <v>11815</v>
      </c>
      <c r="S2825" t="s">
        <v>11816</v>
      </c>
      <c r="T2825" t="s">
        <v>91</v>
      </c>
      <c r="U2825" t="s">
        <v>74</v>
      </c>
      <c r="V2825" t="str">
        <f>"100323733"</f>
        <v>100323733</v>
      </c>
      <c r="AC2825" t="s">
        <v>76</v>
      </c>
      <c r="AD2825" t="s">
        <v>73</v>
      </c>
      <c r="AE2825" t="s">
        <v>97</v>
      </c>
      <c r="AF2825" t="s">
        <v>2242</v>
      </c>
      <c r="AG2825" t="s">
        <v>78</v>
      </c>
    </row>
    <row r="2826" spans="1:33" hidden="1" x14ac:dyDescent="0.25">
      <c r="A2826" t="str">
        <f>"1609142108"</f>
        <v>1609142108</v>
      </c>
      <c r="C2826" t="s">
        <v>11817</v>
      </c>
      <c r="G2826" t="s">
        <v>2224</v>
      </c>
      <c r="H2826" t="s">
        <v>2312</v>
      </c>
      <c r="J2826" t="s">
        <v>2226</v>
      </c>
      <c r="K2826" t="s">
        <v>171</v>
      </c>
      <c r="L2826" t="s">
        <v>96</v>
      </c>
      <c r="M2826" t="s">
        <v>73</v>
      </c>
      <c r="R2826" t="s">
        <v>11818</v>
      </c>
      <c r="S2826" t="s">
        <v>354</v>
      </c>
      <c r="T2826" t="s">
        <v>91</v>
      </c>
      <c r="U2826" t="s">
        <v>74</v>
      </c>
      <c r="V2826" t="str">
        <f>"100323725"</f>
        <v>100323725</v>
      </c>
      <c r="AC2826" t="s">
        <v>76</v>
      </c>
      <c r="AD2826" t="s">
        <v>73</v>
      </c>
      <c r="AE2826" t="s">
        <v>97</v>
      </c>
      <c r="AF2826" t="s">
        <v>2228</v>
      </c>
      <c r="AG2826" t="s">
        <v>78</v>
      </c>
    </row>
    <row r="2827" spans="1:33" hidden="1" x14ac:dyDescent="0.25">
      <c r="A2827" t="str">
        <f>"1548526981"</f>
        <v>1548526981</v>
      </c>
      <c r="C2827" t="s">
        <v>11819</v>
      </c>
      <c r="G2827" t="s">
        <v>2224</v>
      </c>
      <c r="H2827" t="s">
        <v>2312</v>
      </c>
      <c r="J2827" t="s">
        <v>2226</v>
      </c>
      <c r="K2827" t="s">
        <v>171</v>
      </c>
      <c r="L2827" t="s">
        <v>96</v>
      </c>
      <c r="M2827" t="s">
        <v>73</v>
      </c>
      <c r="R2827" t="s">
        <v>11820</v>
      </c>
      <c r="S2827" t="s">
        <v>167</v>
      </c>
      <c r="T2827" t="s">
        <v>91</v>
      </c>
      <c r="U2827" t="s">
        <v>74</v>
      </c>
      <c r="V2827" t="str">
        <f>"100323720"</f>
        <v>100323720</v>
      </c>
      <c r="AC2827" t="s">
        <v>76</v>
      </c>
      <c r="AD2827" t="s">
        <v>73</v>
      </c>
      <c r="AE2827" t="s">
        <v>97</v>
      </c>
      <c r="AF2827" t="s">
        <v>2228</v>
      </c>
      <c r="AG2827" t="s">
        <v>78</v>
      </c>
    </row>
    <row r="2828" spans="1:33" hidden="1" x14ac:dyDescent="0.25">
      <c r="A2828" t="str">
        <f>"1548551161"</f>
        <v>1548551161</v>
      </c>
      <c r="B2828" t="str">
        <f>"04543899"</f>
        <v>04543899</v>
      </c>
      <c r="C2828" t="s">
        <v>11821</v>
      </c>
      <c r="D2828" t="s">
        <v>11822</v>
      </c>
      <c r="E2828" t="s">
        <v>11823</v>
      </c>
      <c r="G2828" t="s">
        <v>2224</v>
      </c>
      <c r="H2828" t="s">
        <v>2312</v>
      </c>
      <c r="J2828" t="s">
        <v>2226</v>
      </c>
      <c r="L2828" t="s">
        <v>96</v>
      </c>
      <c r="M2828" t="s">
        <v>73</v>
      </c>
      <c r="R2828" t="s">
        <v>11824</v>
      </c>
      <c r="W2828" t="s">
        <v>11823</v>
      </c>
      <c r="AB2828" t="s">
        <v>75</v>
      </c>
      <c r="AC2828" t="s">
        <v>76</v>
      </c>
      <c r="AD2828" t="s">
        <v>73</v>
      </c>
      <c r="AE2828" t="s">
        <v>77</v>
      </c>
      <c r="AF2828" t="s">
        <v>2228</v>
      </c>
      <c r="AG2828" t="s">
        <v>78</v>
      </c>
    </row>
    <row r="2829" spans="1:33" hidden="1" x14ac:dyDescent="0.25">
      <c r="A2829" t="str">
        <f>"1669748281"</f>
        <v>1669748281</v>
      </c>
      <c r="B2829" t="str">
        <f>"04452466"</f>
        <v>04452466</v>
      </c>
      <c r="C2829" t="s">
        <v>11825</v>
      </c>
      <c r="D2829" t="s">
        <v>2200</v>
      </c>
      <c r="E2829" t="s">
        <v>2201</v>
      </c>
      <c r="G2829" t="s">
        <v>2224</v>
      </c>
      <c r="H2829" t="s">
        <v>2312</v>
      </c>
      <c r="J2829" t="s">
        <v>2226</v>
      </c>
      <c r="L2829" t="s">
        <v>96</v>
      </c>
      <c r="M2829" t="s">
        <v>73</v>
      </c>
      <c r="R2829" t="s">
        <v>2202</v>
      </c>
      <c r="W2829" t="s">
        <v>2201</v>
      </c>
      <c r="AB2829" t="s">
        <v>75</v>
      </c>
      <c r="AC2829" t="s">
        <v>76</v>
      </c>
      <c r="AD2829" t="s">
        <v>73</v>
      </c>
      <c r="AE2829" t="s">
        <v>77</v>
      </c>
      <c r="AF2829" t="s">
        <v>2228</v>
      </c>
      <c r="AG2829" t="s">
        <v>78</v>
      </c>
    </row>
    <row r="2830" spans="1:33" hidden="1" x14ac:dyDescent="0.25">
      <c r="A2830" t="str">
        <f>"1164577680"</f>
        <v>1164577680</v>
      </c>
      <c r="B2830" t="str">
        <f>"02094879"</f>
        <v>02094879</v>
      </c>
      <c r="C2830" t="s">
        <v>11826</v>
      </c>
      <c r="D2830" t="s">
        <v>11827</v>
      </c>
      <c r="E2830" t="s">
        <v>11828</v>
      </c>
      <c r="L2830" t="s">
        <v>72</v>
      </c>
      <c r="M2830" t="s">
        <v>73</v>
      </c>
      <c r="R2830" t="s">
        <v>11829</v>
      </c>
      <c r="W2830" t="s">
        <v>11828</v>
      </c>
      <c r="X2830" t="s">
        <v>11830</v>
      </c>
      <c r="Y2830" t="s">
        <v>91</v>
      </c>
      <c r="Z2830" t="s">
        <v>74</v>
      </c>
      <c r="AA2830" t="str">
        <f>"10087-9096"</f>
        <v>10087-9096</v>
      </c>
      <c r="AB2830" t="s">
        <v>75</v>
      </c>
      <c r="AC2830" t="s">
        <v>76</v>
      </c>
      <c r="AD2830" t="s">
        <v>73</v>
      </c>
      <c r="AE2830" t="s">
        <v>77</v>
      </c>
      <c r="AF2830" t="s">
        <v>2228</v>
      </c>
      <c r="AG2830" t="s">
        <v>78</v>
      </c>
    </row>
    <row r="2831" spans="1:33" hidden="1" x14ac:dyDescent="0.25">
      <c r="A2831" t="str">
        <f>"1619101508"</f>
        <v>1619101508</v>
      </c>
      <c r="B2831" t="str">
        <f>"03591417"</f>
        <v>03591417</v>
      </c>
      <c r="C2831" t="s">
        <v>11831</v>
      </c>
      <c r="D2831" t="s">
        <v>11832</v>
      </c>
      <c r="E2831" t="s">
        <v>11833</v>
      </c>
      <c r="L2831" t="s">
        <v>80</v>
      </c>
      <c r="M2831" t="s">
        <v>73</v>
      </c>
      <c r="R2831" t="s">
        <v>11833</v>
      </c>
      <c r="W2831" t="s">
        <v>11833</v>
      </c>
      <c r="X2831" t="s">
        <v>167</v>
      </c>
      <c r="Y2831" t="s">
        <v>91</v>
      </c>
      <c r="Z2831" t="s">
        <v>74</v>
      </c>
      <c r="AA2831" t="str">
        <f>"10032-3720"</f>
        <v>10032-3720</v>
      </c>
      <c r="AB2831" t="s">
        <v>75</v>
      </c>
      <c r="AC2831" t="s">
        <v>76</v>
      </c>
      <c r="AD2831" t="s">
        <v>73</v>
      </c>
      <c r="AE2831" t="s">
        <v>77</v>
      </c>
      <c r="AF2831" t="s">
        <v>2228</v>
      </c>
      <c r="AG2831" t="s">
        <v>78</v>
      </c>
    </row>
    <row r="2832" spans="1:33" hidden="1" x14ac:dyDescent="0.25">
      <c r="A2832" t="str">
        <f>"1972663482"</f>
        <v>1972663482</v>
      </c>
      <c r="B2832" t="str">
        <f>"02633856"</f>
        <v>02633856</v>
      </c>
      <c r="C2832" t="s">
        <v>11834</v>
      </c>
      <c r="D2832" t="s">
        <v>11835</v>
      </c>
      <c r="E2832" t="s">
        <v>11836</v>
      </c>
      <c r="L2832" t="s">
        <v>72</v>
      </c>
      <c r="M2832" t="s">
        <v>73</v>
      </c>
      <c r="R2832" t="s">
        <v>11837</v>
      </c>
      <c r="W2832" t="s">
        <v>11836</v>
      </c>
      <c r="X2832" t="s">
        <v>167</v>
      </c>
      <c r="Y2832" t="s">
        <v>91</v>
      </c>
      <c r="Z2832" t="s">
        <v>74</v>
      </c>
      <c r="AA2832" t="str">
        <f>"10032-3720"</f>
        <v>10032-3720</v>
      </c>
      <c r="AB2832" t="s">
        <v>75</v>
      </c>
      <c r="AC2832" t="s">
        <v>76</v>
      </c>
      <c r="AD2832" t="s">
        <v>73</v>
      </c>
      <c r="AE2832" t="s">
        <v>77</v>
      </c>
      <c r="AF2832" t="s">
        <v>2228</v>
      </c>
      <c r="AG2832" t="s">
        <v>78</v>
      </c>
    </row>
    <row r="2833" spans="1:33" hidden="1" x14ac:dyDescent="0.25">
      <c r="A2833" t="str">
        <f>"1447388921"</f>
        <v>1447388921</v>
      </c>
      <c r="C2833" t="s">
        <v>11838</v>
      </c>
      <c r="G2833" t="s">
        <v>2224</v>
      </c>
      <c r="H2833" t="s">
        <v>2312</v>
      </c>
      <c r="J2833" t="s">
        <v>2226</v>
      </c>
      <c r="K2833" t="s">
        <v>171</v>
      </c>
      <c r="L2833" t="s">
        <v>96</v>
      </c>
      <c r="M2833" t="s">
        <v>73</v>
      </c>
      <c r="R2833" t="s">
        <v>11839</v>
      </c>
      <c r="S2833" t="s">
        <v>11840</v>
      </c>
      <c r="T2833" t="s">
        <v>91</v>
      </c>
      <c r="U2833" t="s">
        <v>74</v>
      </c>
      <c r="V2833" t="str">
        <f>"100323720"</f>
        <v>100323720</v>
      </c>
      <c r="AC2833" t="s">
        <v>76</v>
      </c>
      <c r="AD2833" t="s">
        <v>73</v>
      </c>
      <c r="AE2833" t="s">
        <v>97</v>
      </c>
      <c r="AF2833" t="s">
        <v>2228</v>
      </c>
      <c r="AG2833" t="s">
        <v>78</v>
      </c>
    </row>
    <row r="2834" spans="1:33" hidden="1" x14ac:dyDescent="0.25">
      <c r="A2834" t="str">
        <f>"1215110267"</f>
        <v>1215110267</v>
      </c>
      <c r="B2834" t="str">
        <f>"03083369"</f>
        <v>03083369</v>
      </c>
      <c r="C2834" t="s">
        <v>11841</v>
      </c>
      <c r="D2834" t="s">
        <v>11842</v>
      </c>
      <c r="E2834" t="s">
        <v>11843</v>
      </c>
      <c r="L2834" t="s">
        <v>72</v>
      </c>
      <c r="M2834" t="s">
        <v>73</v>
      </c>
      <c r="R2834" t="s">
        <v>11844</v>
      </c>
      <c r="W2834" t="s">
        <v>11845</v>
      </c>
      <c r="X2834" t="s">
        <v>167</v>
      </c>
      <c r="Y2834" t="s">
        <v>91</v>
      </c>
      <c r="Z2834" t="s">
        <v>74</v>
      </c>
      <c r="AA2834" t="str">
        <f>"10032-3720"</f>
        <v>10032-3720</v>
      </c>
      <c r="AB2834" t="s">
        <v>75</v>
      </c>
      <c r="AC2834" t="s">
        <v>76</v>
      </c>
      <c r="AD2834" t="s">
        <v>73</v>
      </c>
      <c r="AE2834" t="s">
        <v>77</v>
      </c>
      <c r="AF2834" t="s">
        <v>2228</v>
      </c>
      <c r="AG2834" t="s">
        <v>78</v>
      </c>
    </row>
    <row r="2835" spans="1:33" hidden="1" x14ac:dyDescent="0.25">
      <c r="A2835" t="str">
        <f>"1104120575"</f>
        <v>1104120575</v>
      </c>
      <c r="B2835" t="str">
        <f>"04297325"</f>
        <v>04297325</v>
      </c>
      <c r="C2835" t="s">
        <v>11846</v>
      </c>
      <c r="D2835" t="s">
        <v>1735</v>
      </c>
      <c r="E2835" t="s">
        <v>1736</v>
      </c>
      <c r="G2835" t="s">
        <v>2224</v>
      </c>
      <c r="H2835" t="s">
        <v>2312</v>
      </c>
      <c r="J2835" t="s">
        <v>2226</v>
      </c>
      <c r="L2835" t="s">
        <v>72</v>
      </c>
      <c r="M2835" t="s">
        <v>73</v>
      </c>
      <c r="R2835" t="s">
        <v>1737</v>
      </c>
      <c r="W2835" t="s">
        <v>1736</v>
      </c>
      <c r="X2835" t="s">
        <v>1166</v>
      </c>
      <c r="Y2835" t="s">
        <v>500</v>
      </c>
      <c r="Z2835" t="s">
        <v>74</v>
      </c>
      <c r="AA2835" t="str">
        <f>"14905-1627"</f>
        <v>14905-1627</v>
      </c>
      <c r="AB2835" t="s">
        <v>75</v>
      </c>
      <c r="AC2835" t="s">
        <v>76</v>
      </c>
      <c r="AD2835" t="s">
        <v>73</v>
      </c>
      <c r="AE2835" t="s">
        <v>77</v>
      </c>
      <c r="AF2835" t="s">
        <v>2234</v>
      </c>
      <c r="AG2835" t="s">
        <v>78</v>
      </c>
    </row>
    <row r="2836" spans="1:33" hidden="1" x14ac:dyDescent="0.25">
      <c r="A2836" t="str">
        <f>"1053335620"</f>
        <v>1053335620</v>
      </c>
      <c r="B2836" t="str">
        <f>"02993800"</f>
        <v>02993800</v>
      </c>
      <c r="C2836" t="s">
        <v>11847</v>
      </c>
      <c r="D2836" t="s">
        <v>1761</v>
      </c>
      <c r="E2836" t="s">
        <v>1762</v>
      </c>
      <c r="G2836" t="s">
        <v>5327</v>
      </c>
      <c r="H2836" t="s">
        <v>5328</v>
      </c>
      <c r="I2836">
        <v>426</v>
      </c>
      <c r="J2836" t="s">
        <v>5329</v>
      </c>
      <c r="L2836" t="s">
        <v>174</v>
      </c>
      <c r="M2836" t="s">
        <v>82</v>
      </c>
      <c r="R2836" t="s">
        <v>1778</v>
      </c>
      <c r="W2836" t="s">
        <v>1763</v>
      </c>
      <c r="X2836" t="s">
        <v>1779</v>
      </c>
      <c r="Y2836" t="s">
        <v>91</v>
      </c>
      <c r="Z2836" t="s">
        <v>74</v>
      </c>
      <c r="AA2836" t="str">
        <f>"10031-4611"</f>
        <v>10031-4611</v>
      </c>
      <c r="AB2836" t="s">
        <v>87</v>
      </c>
      <c r="AC2836" t="s">
        <v>76</v>
      </c>
      <c r="AD2836" t="s">
        <v>73</v>
      </c>
      <c r="AE2836" t="s">
        <v>77</v>
      </c>
      <c r="AF2836" t="s">
        <v>5330</v>
      </c>
      <c r="AG2836" t="s">
        <v>78</v>
      </c>
    </row>
    <row r="2837" spans="1:33" hidden="1" x14ac:dyDescent="0.25">
      <c r="A2837" t="str">
        <f>"1336174937"</f>
        <v>1336174937</v>
      </c>
      <c r="B2837" t="str">
        <f>"02227865"</f>
        <v>02227865</v>
      </c>
      <c r="C2837" t="s">
        <v>11848</v>
      </c>
      <c r="D2837" t="s">
        <v>11849</v>
      </c>
      <c r="E2837" t="s">
        <v>11850</v>
      </c>
      <c r="G2837" t="s">
        <v>2224</v>
      </c>
      <c r="H2837" t="s">
        <v>2225</v>
      </c>
      <c r="J2837" t="s">
        <v>2226</v>
      </c>
      <c r="L2837" t="s">
        <v>80</v>
      </c>
      <c r="M2837" t="s">
        <v>73</v>
      </c>
      <c r="R2837" t="s">
        <v>11851</v>
      </c>
      <c r="W2837" t="s">
        <v>11850</v>
      </c>
      <c r="X2837" t="s">
        <v>11852</v>
      </c>
      <c r="Y2837" t="s">
        <v>91</v>
      </c>
      <c r="Z2837" t="s">
        <v>74</v>
      </c>
      <c r="AA2837" t="str">
        <f>"10032-3724"</f>
        <v>10032-3724</v>
      </c>
      <c r="AB2837" t="s">
        <v>75</v>
      </c>
      <c r="AC2837" t="s">
        <v>76</v>
      </c>
      <c r="AD2837" t="s">
        <v>73</v>
      </c>
      <c r="AE2837" t="s">
        <v>77</v>
      </c>
      <c r="AF2837" t="s">
        <v>2254</v>
      </c>
      <c r="AG2837" t="s">
        <v>78</v>
      </c>
    </row>
    <row r="2838" spans="1:33" hidden="1" x14ac:dyDescent="0.25">
      <c r="A2838" t="str">
        <f>"1710261656"</f>
        <v>1710261656</v>
      </c>
      <c r="C2838" t="s">
        <v>11853</v>
      </c>
      <c r="K2838" t="s">
        <v>36</v>
      </c>
      <c r="L2838" t="s">
        <v>96</v>
      </c>
      <c r="M2838" t="s">
        <v>73</v>
      </c>
      <c r="R2838" t="s">
        <v>11854</v>
      </c>
      <c r="S2838" t="s">
        <v>11855</v>
      </c>
      <c r="T2838" t="s">
        <v>388</v>
      </c>
      <c r="U2838" t="s">
        <v>74</v>
      </c>
      <c r="V2838" t="str">
        <f>"105322140"</f>
        <v>105322140</v>
      </c>
      <c r="AC2838" t="s">
        <v>76</v>
      </c>
      <c r="AD2838" t="s">
        <v>73</v>
      </c>
      <c r="AE2838" t="s">
        <v>97</v>
      </c>
      <c r="AG2838" t="s">
        <v>78</v>
      </c>
    </row>
    <row r="2839" spans="1:33" hidden="1" x14ac:dyDescent="0.25">
      <c r="A2839" t="str">
        <f>"1619911526"</f>
        <v>1619911526</v>
      </c>
      <c r="B2839" t="str">
        <f>"02378169"</f>
        <v>02378169</v>
      </c>
      <c r="C2839" t="s">
        <v>11856</v>
      </c>
      <c r="D2839" t="s">
        <v>11857</v>
      </c>
      <c r="E2839" t="s">
        <v>3672</v>
      </c>
      <c r="L2839" t="s">
        <v>99</v>
      </c>
      <c r="M2839" t="s">
        <v>73</v>
      </c>
      <c r="R2839" t="s">
        <v>11856</v>
      </c>
      <c r="W2839" t="s">
        <v>3672</v>
      </c>
      <c r="X2839" t="s">
        <v>236</v>
      </c>
      <c r="Y2839" t="s">
        <v>91</v>
      </c>
      <c r="Z2839" t="s">
        <v>74</v>
      </c>
      <c r="AA2839" t="str">
        <f>"10034-1159"</f>
        <v>10034-1159</v>
      </c>
      <c r="AB2839" t="s">
        <v>114</v>
      </c>
      <c r="AC2839" t="s">
        <v>76</v>
      </c>
      <c r="AD2839" t="s">
        <v>73</v>
      </c>
      <c r="AE2839" t="s">
        <v>77</v>
      </c>
      <c r="AG2839" t="s">
        <v>78</v>
      </c>
    </row>
    <row r="2840" spans="1:33" hidden="1" x14ac:dyDescent="0.25">
      <c r="A2840" t="str">
        <f>"1528150729"</f>
        <v>1528150729</v>
      </c>
      <c r="B2840" t="str">
        <f>"03181500"</f>
        <v>03181500</v>
      </c>
      <c r="C2840" t="s">
        <v>11858</v>
      </c>
      <c r="D2840" t="s">
        <v>1971</v>
      </c>
      <c r="E2840" t="s">
        <v>1972</v>
      </c>
      <c r="G2840" t="s">
        <v>282</v>
      </c>
      <c r="H2840" t="s">
        <v>248</v>
      </c>
      <c r="I2840">
        <v>2604</v>
      </c>
      <c r="J2840" t="s">
        <v>283</v>
      </c>
      <c r="L2840" t="s">
        <v>81</v>
      </c>
      <c r="M2840" t="s">
        <v>82</v>
      </c>
      <c r="R2840" t="s">
        <v>1972</v>
      </c>
      <c r="W2840" t="s">
        <v>1972</v>
      </c>
      <c r="X2840" t="s">
        <v>285</v>
      </c>
      <c r="Y2840" t="s">
        <v>91</v>
      </c>
      <c r="Z2840" t="s">
        <v>74</v>
      </c>
      <c r="AA2840" t="str">
        <f>"10013-4135"</f>
        <v>10013-4135</v>
      </c>
      <c r="AB2840" t="s">
        <v>75</v>
      </c>
      <c r="AC2840" t="s">
        <v>76</v>
      </c>
      <c r="AD2840" t="s">
        <v>73</v>
      </c>
      <c r="AE2840" t="s">
        <v>77</v>
      </c>
      <c r="AF2840" t="s">
        <v>2319</v>
      </c>
      <c r="AG2840" t="s">
        <v>78</v>
      </c>
    </row>
    <row r="2841" spans="1:33" hidden="1" x14ac:dyDescent="0.25">
      <c r="A2841" t="str">
        <f>"1528264397"</f>
        <v>1528264397</v>
      </c>
      <c r="B2841" t="str">
        <f>"02962518"</f>
        <v>02962518</v>
      </c>
      <c r="C2841" t="s">
        <v>2024</v>
      </c>
      <c r="D2841" t="s">
        <v>2025</v>
      </c>
      <c r="E2841" t="s">
        <v>2026</v>
      </c>
      <c r="G2841" t="s">
        <v>282</v>
      </c>
      <c r="H2841" t="s">
        <v>248</v>
      </c>
      <c r="I2841">
        <v>2604</v>
      </c>
      <c r="J2841" t="s">
        <v>283</v>
      </c>
      <c r="L2841" t="s">
        <v>81</v>
      </c>
      <c r="M2841" t="s">
        <v>82</v>
      </c>
      <c r="R2841" t="s">
        <v>2026</v>
      </c>
      <c r="W2841" t="s">
        <v>2026</v>
      </c>
      <c r="X2841" t="s">
        <v>285</v>
      </c>
      <c r="Y2841" t="s">
        <v>91</v>
      </c>
      <c r="Z2841" t="s">
        <v>74</v>
      </c>
      <c r="AA2841" t="str">
        <f>"10013-4135"</f>
        <v>10013-4135</v>
      </c>
      <c r="AB2841" t="s">
        <v>75</v>
      </c>
      <c r="AC2841" t="s">
        <v>76</v>
      </c>
      <c r="AD2841" t="s">
        <v>73</v>
      </c>
      <c r="AE2841" t="s">
        <v>77</v>
      </c>
      <c r="AF2841" t="s">
        <v>2319</v>
      </c>
      <c r="AG2841" t="s">
        <v>78</v>
      </c>
    </row>
    <row r="2842" spans="1:33" hidden="1" x14ac:dyDescent="0.25">
      <c r="A2842" t="str">
        <f>"1275847212"</f>
        <v>1275847212</v>
      </c>
      <c r="B2842" t="str">
        <f>"03286160"</f>
        <v>03286160</v>
      </c>
      <c r="C2842" t="s">
        <v>11859</v>
      </c>
      <c r="D2842" t="s">
        <v>11860</v>
      </c>
      <c r="E2842" t="s">
        <v>11861</v>
      </c>
      <c r="G2842" t="s">
        <v>2224</v>
      </c>
      <c r="H2842" t="s">
        <v>2225</v>
      </c>
      <c r="J2842" t="s">
        <v>2226</v>
      </c>
      <c r="L2842" t="s">
        <v>72</v>
      </c>
      <c r="M2842" t="s">
        <v>73</v>
      </c>
      <c r="R2842" t="s">
        <v>11862</v>
      </c>
      <c r="W2842" t="s">
        <v>11863</v>
      </c>
      <c r="X2842" t="s">
        <v>5788</v>
      </c>
      <c r="Y2842" t="s">
        <v>91</v>
      </c>
      <c r="Z2842" t="s">
        <v>74</v>
      </c>
      <c r="AA2842" t="str">
        <f>"10032-0000"</f>
        <v>10032-0000</v>
      </c>
      <c r="AB2842" t="s">
        <v>113</v>
      </c>
      <c r="AC2842" t="s">
        <v>76</v>
      </c>
      <c r="AD2842" t="s">
        <v>73</v>
      </c>
      <c r="AE2842" t="s">
        <v>77</v>
      </c>
      <c r="AF2842" t="s">
        <v>2228</v>
      </c>
      <c r="AG2842" t="s">
        <v>78</v>
      </c>
    </row>
    <row r="2843" spans="1:33" hidden="1" x14ac:dyDescent="0.25">
      <c r="A2843" t="str">
        <f>"1598771172"</f>
        <v>1598771172</v>
      </c>
      <c r="B2843" t="str">
        <f>"02828013"</f>
        <v>02828013</v>
      </c>
      <c r="C2843" t="s">
        <v>11864</v>
      </c>
      <c r="D2843" t="s">
        <v>11865</v>
      </c>
      <c r="E2843" t="s">
        <v>11866</v>
      </c>
      <c r="G2843" t="s">
        <v>2224</v>
      </c>
      <c r="H2843" t="s">
        <v>2225</v>
      </c>
      <c r="J2843" t="s">
        <v>2226</v>
      </c>
      <c r="L2843" t="s">
        <v>96</v>
      </c>
      <c r="M2843" t="s">
        <v>73</v>
      </c>
      <c r="R2843" t="s">
        <v>11867</v>
      </c>
      <c r="W2843" t="s">
        <v>11866</v>
      </c>
      <c r="X2843" t="s">
        <v>183</v>
      </c>
      <c r="Y2843" t="s">
        <v>91</v>
      </c>
      <c r="Z2843" t="s">
        <v>74</v>
      </c>
      <c r="AA2843" t="str">
        <f>"10032-3729"</f>
        <v>10032-3729</v>
      </c>
      <c r="AB2843" t="s">
        <v>75</v>
      </c>
      <c r="AC2843" t="s">
        <v>76</v>
      </c>
      <c r="AD2843" t="s">
        <v>73</v>
      </c>
      <c r="AE2843" t="s">
        <v>77</v>
      </c>
      <c r="AF2843" t="s">
        <v>2234</v>
      </c>
      <c r="AG2843" t="s">
        <v>78</v>
      </c>
    </row>
    <row r="2844" spans="1:33" hidden="1" x14ac:dyDescent="0.25">
      <c r="A2844" t="str">
        <f>"1598771842"</f>
        <v>1598771842</v>
      </c>
      <c r="B2844" t="str">
        <f>"01621883"</f>
        <v>01621883</v>
      </c>
      <c r="C2844" t="s">
        <v>11868</v>
      </c>
      <c r="D2844" t="s">
        <v>11869</v>
      </c>
      <c r="E2844" t="s">
        <v>11870</v>
      </c>
      <c r="G2844" t="s">
        <v>2224</v>
      </c>
      <c r="H2844" t="s">
        <v>2225</v>
      </c>
      <c r="J2844" t="s">
        <v>2226</v>
      </c>
      <c r="L2844" t="s">
        <v>100</v>
      </c>
      <c r="M2844" t="s">
        <v>82</v>
      </c>
      <c r="R2844" t="s">
        <v>11871</v>
      </c>
      <c r="W2844" t="s">
        <v>11870</v>
      </c>
      <c r="X2844" t="s">
        <v>510</v>
      </c>
      <c r="Y2844" t="s">
        <v>132</v>
      </c>
      <c r="Z2844" t="s">
        <v>74</v>
      </c>
      <c r="AA2844" t="str">
        <f>"10595"</f>
        <v>10595</v>
      </c>
      <c r="AB2844" t="s">
        <v>75</v>
      </c>
      <c r="AC2844" t="s">
        <v>76</v>
      </c>
      <c r="AD2844" t="s">
        <v>73</v>
      </c>
      <c r="AE2844" t="s">
        <v>77</v>
      </c>
      <c r="AF2844" t="s">
        <v>2398</v>
      </c>
      <c r="AG2844" t="s">
        <v>78</v>
      </c>
    </row>
    <row r="2845" spans="1:33" hidden="1" x14ac:dyDescent="0.25">
      <c r="A2845" t="str">
        <f>"1679730428"</f>
        <v>1679730428</v>
      </c>
      <c r="B2845" t="str">
        <f>"03013389"</f>
        <v>03013389</v>
      </c>
      <c r="C2845" t="s">
        <v>11872</v>
      </c>
      <c r="D2845" t="s">
        <v>11873</v>
      </c>
      <c r="E2845" t="s">
        <v>11874</v>
      </c>
      <c r="G2845" t="s">
        <v>2224</v>
      </c>
      <c r="H2845" t="s">
        <v>2225</v>
      </c>
      <c r="J2845" t="s">
        <v>2226</v>
      </c>
      <c r="L2845" t="s">
        <v>72</v>
      </c>
      <c r="M2845" t="s">
        <v>73</v>
      </c>
      <c r="R2845" t="s">
        <v>11875</v>
      </c>
      <c r="W2845" t="s">
        <v>11876</v>
      </c>
      <c r="X2845" t="s">
        <v>167</v>
      </c>
      <c r="Y2845" t="s">
        <v>91</v>
      </c>
      <c r="Z2845" t="s">
        <v>74</v>
      </c>
      <c r="AA2845" t="str">
        <f>"10032-3720"</f>
        <v>10032-3720</v>
      </c>
      <c r="AB2845" t="s">
        <v>75</v>
      </c>
      <c r="AC2845" t="s">
        <v>76</v>
      </c>
      <c r="AD2845" t="s">
        <v>73</v>
      </c>
      <c r="AE2845" t="s">
        <v>77</v>
      </c>
      <c r="AF2845" t="s">
        <v>2228</v>
      </c>
      <c r="AG2845" t="s">
        <v>78</v>
      </c>
    </row>
    <row r="2846" spans="1:33" hidden="1" x14ac:dyDescent="0.25">
      <c r="A2846" t="str">
        <f>"1679511810"</f>
        <v>1679511810</v>
      </c>
      <c r="B2846" t="str">
        <f>"03322938"</f>
        <v>03322938</v>
      </c>
      <c r="C2846" t="s">
        <v>11877</v>
      </c>
      <c r="D2846" t="s">
        <v>11878</v>
      </c>
      <c r="E2846" t="s">
        <v>11879</v>
      </c>
      <c r="G2846" t="s">
        <v>2224</v>
      </c>
      <c r="H2846" t="s">
        <v>2225</v>
      </c>
      <c r="J2846" t="s">
        <v>2226</v>
      </c>
      <c r="L2846" t="s">
        <v>72</v>
      </c>
      <c r="M2846" t="s">
        <v>73</v>
      </c>
      <c r="R2846" t="s">
        <v>11879</v>
      </c>
      <c r="W2846" t="s">
        <v>11879</v>
      </c>
      <c r="X2846" t="s">
        <v>167</v>
      </c>
      <c r="Y2846" t="s">
        <v>91</v>
      </c>
      <c r="Z2846" t="s">
        <v>74</v>
      </c>
      <c r="AA2846" t="str">
        <f>"10032-3720"</f>
        <v>10032-3720</v>
      </c>
      <c r="AB2846" t="s">
        <v>75</v>
      </c>
      <c r="AC2846" t="s">
        <v>76</v>
      </c>
      <c r="AD2846" t="s">
        <v>73</v>
      </c>
      <c r="AE2846" t="s">
        <v>77</v>
      </c>
      <c r="AF2846" t="s">
        <v>2228</v>
      </c>
      <c r="AG2846" t="s">
        <v>78</v>
      </c>
    </row>
    <row r="2847" spans="1:33" hidden="1" x14ac:dyDescent="0.25">
      <c r="A2847" t="str">
        <f>"1154499218"</f>
        <v>1154499218</v>
      </c>
      <c r="B2847" t="str">
        <f>"02096808"</f>
        <v>02096808</v>
      </c>
      <c r="C2847" t="s">
        <v>11880</v>
      </c>
      <c r="D2847" t="s">
        <v>11881</v>
      </c>
      <c r="E2847" t="s">
        <v>11882</v>
      </c>
      <c r="G2847" t="s">
        <v>2224</v>
      </c>
      <c r="H2847" t="s">
        <v>2225</v>
      </c>
      <c r="J2847" t="s">
        <v>2226</v>
      </c>
      <c r="L2847" t="s">
        <v>72</v>
      </c>
      <c r="M2847" t="s">
        <v>82</v>
      </c>
      <c r="R2847" t="s">
        <v>11883</v>
      </c>
      <c r="W2847" t="s">
        <v>11882</v>
      </c>
      <c r="Y2847" t="s">
        <v>245</v>
      </c>
      <c r="Z2847" t="s">
        <v>111</v>
      </c>
      <c r="AA2847" t="str">
        <f>"01655-0001"</f>
        <v>01655-0001</v>
      </c>
      <c r="AB2847" t="s">
        <v>75</v>
      </c>
      <c r="AC2847" t="s">
        <v>76</v>
      </c>
      <c r="AD2847" t="s">
        <v>73</v>
      </c>
      <c r="AE2847" t="s">
        <v>77</v>
      </c>
      <c r="AF2847" t="s">
        <v>2228</v>
      </c>
      <c r="AG2847" t="s">
        <v>78</v>
      </c>
    </row>
    <row r="2848" spans="1:33" hidden="1" x14ac:dyDescent="0.25">
      <c r="A2848" t="str">
        <f>"1154540524"</f>
        <v>1154540524</v>
      </c>
      <c r="B2848" t="str">
        <f>"02892771"</f>
        <v>02892771</v>
      </c>
      <c r="C2848" t="s">
        <v>11884</v>
      </c>
      <c r="D2848" t="s">
        <v>11885</v>
      </c>
      <c r="E2848" t="s">
        <v>11886</v>
      </c>
      <c r="G2848" t="s">
        <v>2224</v>
      </c>
      <c r="H2848" t="s">
        <v>2225</v>
      </c>
      <c r="J2848" t="s">
        <v>2226</v>
      </c>
      <c r="L2848" t="s">
        <v>72</v>
      </c>
      <c r="M2848" t="s">
        <v>73</v>
      </c>
      <c r="R2848" t="s">
        <v>11887</v>
      </c>
      <c r="W2848" t="s">
        <v>11886</v>
      </c>
      <c r="X2848" t="s">
        <v>167</v>
      </c>
      <c r="Y2848" t="s">
        <v>91</v>
      </c>
      <c r="Z2848" t="s">
        <v>74</v>
      </c>
      <c r="AA2848" t="str">
        <f>"10032-3720"</f>
        <v>10032-3720</v>
      </c>
      <c r="AB2848" t="s">
        <v>75</v>
      </c>
      <c r="AC2848" t="s">
        <v>76</v>
      </c>
      <c r="AD2848" t="s">
        <v>73</v>
      </c>
      <c r="AE2848" t="s">
        <v>77</v>
      </c>
      <c r="AF2848" t="s">
        <v>2228</v>
      </c>
      <c r="AG2848" t="s">
        <v>78</v>
      </c>
    </row>
    <row r="2849" spans="1:33" hidden="1" x14ac:dyDescent="0.25">
      <c r="A2849" t="str">
        <f>"1154557973"</f>
        <v>1154557973</v>
      </c>
      <c r="B2849" t="str">
        <f>"03919468"</f>
        <v>03919468</v>
      </c>
      <c r="C2849" t="s">
        <v>11888</v>
      </c>
      <c r="D2849" t="s">
        <v>11889</v>
      </c>
      <c r="E2849" t="s">
        <v>11890</v>
      </c>
      <c r="G2849" t="s">
        <v>2224</v>
      </c>
      <c r="H2849" t="s">
        <v>2225</v>
      </c>
      <c r="J2849" t="s">
        <v>2226</v>
      </c>
      <c r="L2849" t="s">
        <v>80</v>
      </c>
      <c r="M2849" t="s">
        <v>73</v>
      </c>
      <c r="R2849" t="s">
        <v>11891</v>
      </c>
      <c r="W2849" t="s">
        <v>11890</v>
      </c>
      <c r="X2849" t="s">
        <v>11892</v>
      </c>
      <c r="Y2849" t="s">
        <v>91</v>
      </c>
      <c r="Z2849" t="s">
        <v>74</v>
      </c>
      <c r="AA2849" t="str">
        <f>"10065-4870"</f>
        <v>10065-4870</v>
      </c>
      <c r="AB2849" t="s">
        <v>75</v>
      </c>
      <c r="AC2849" t="s">
        <v>76</v>
      </c>
      <c r="AD2849" t="s">
        <v>73</v>
      </c>
      <c r="AE2849" t="s">
        <v>77</v>
      </c>
      <c r="AF2849" t="s">
        <v>2242</v>
      </c>
      <c r="AG2849" t="s">
        <v>78</v>
      </c>
    </row>
    <row r="2850" spans="1:33" hidden="1" x14ac:dyDescent="0.25">
      <c r="A2850" t="str">
        <f>"1154580785"</f>
        <v>1154580785</v>
      </c>
      <c r="B2850" t="str">
        <f>"03138805"</f>
        <v>03138805</v>
      </c>
      <c r="C2850" t="s">
        <v>11893</v>
      </c>
      <c r="D2850" t="s">
        <v>11894</v>
      </c>
      <c r="E2850" t="s">
        <v>11895</v>
      </c>
      <c r="G2850" t="s">
        <v>2224</v>
      </c>
      <c r="H2850" t="s">
        <v>2225</v>
      </c>
      <c r="J2850" t="s">
        <v>2226</v>
      </c>
      <c r="L2850" t="s">
        <v>81</v>
      </c>
      <c r="M2850" t="s">
        <v>73</v>
      </c>
      <c r="R2850" t="s">
        <v>11896</v>
      </c>
      <c r="W2850" t="s">
        <v>11897</v>
      </c>
      <c r="X2850" t="s">
        <v>11898</v>
      </c>
      <c r="Y2850" t="s">
        <v>91</v>
      </c>
      <c r="Z2850" t="s">
        <v>74</v>
      </c>
      <c r="AA2850" t="str">
        <f>"10021-4872"</f>
        <v>10021-4872</v>
      </c>
      <c r="AB2850" t="s">
        <v>75</v>
      </c>
      <c r="AC2850" t="s">
        <v>76</v>
      </c>
      <c r="AD2850" t="s">
        <v>73</v>
      </c>
      <c r="AE2850" t="s">
        <v>77</v>
      </c>
      <c r="AF2850" t="s">
        <v>2242</v>
      </c>
      <c r="AG2850" t="s">
        <v>78</v>
      </c>
    </row>
    <row r="2851" spans="1:33" hidden="1" x14ac:dyDescent="0.25">
      <c r="A2851" t="str">
        <f>"1154581874"</f>
        <v>1154581874</v>
      </c>
      <c r="B2851" t="str">
        <f>"03535673"</f>
        <v>03535673</v>
      </c>
      <c r="C2851" t="s">
        <v>11899</v>
      </c>
      <c r="D2851" t="s">
        <v>11900</v>
      </c>
      <c r="E2851" t="s">
        <v>11901</v>
      </c>
      <c r="G2851" t="s">
        <v>2224</v>
      </c>
      <c r="H2851" t="s">
        <v>2225</v>
      </c>
      <c r="J2851" t="s">
        <v>2226</v>
      </c>
      <c r="L2851" t="s">
        <v>80</v>
      </c>
      <c r="M2851" t="s">
        <v>73</v>
      </c>
      <c r="R2851" t="s">
        <v>11902</v>
      </c>
      <c r="W2851" t="s">
        <v>11901</v>
      </c>
      <c r="X2851" t="s">
        <v>1583</v>
      </c>
      <c r="Y2851" t="s">
        <v>91</v>
      </c>
      <c r="Z2851" t="s">
        <v>74</v>
      </c>
      <c r="AA2851" t="str">
        <f>"10021-9800"</f>
        <v>10021-9800</v>
      </c>
      <c r="AB2851" t="s">
        <v>75</v>
      </c>
      <c r="AC2851" t="s">
        <v>76</v>
      </c>
      <c r="AD2851" t="s">
        <v>73</v>
      </c>
      <c r="AE2851" t="s">
        <v>77</v>
      </c>
      <c r="AF2851" t="s">
        <v>2228</v>
      </c>
      <c r="AG2851" t="s">
        <v>78</v>
      </c>
    </row>
    <row r="2852" spans="1:33" hidden="1" x14ac:dyDescent="0.25">
      <c r="A2852" t="str">
        <f>"1053601971"</f>
        <v>1053601971</v>
      </c>
      <c r="C2852" t="s">
        <v>11903</v>
      </c>
      <c r="G2852" t="s">
        <v>2224</v>
      </c>
      <c r="H2852" t="s">
        <v>2225</v>
      </c>
      <c r="J2852" t="s">
        <v>2226</v>
      </c>
      <c r="K2852" t="s">
        <v>93</v>
      </c>
      <c r="L2852" t="s">
        <v>96</v>
      </c>
      <c r="M2852" t="s">
        <v>73</v>
      </c>
      <c r="R2852" t="s">
        <v>11904</v>
      </c>
      <c r="S2852" t="s">
        <v>167</v>
      </c>
      <c r="T2852" t="s">
        <v>91</v>
      </c>
      <c r="U2852" t="s">
        <v>74</v>
      </c>
      <c r="V2852" t="str">
        <f>"100323720"</f>
        <v>100323720</v>
      </c>
      <c r="AC2852" t="s">
        <v>76</v>
      </c>
      <c r="AD2852" t="s">
        <v>73</v>
      </c>
      <c r="AE2852" t="s">
        <v>97</v>
      </c>
      <c r="AF2852" t="s">
        <v>2234</v>
      </c>
      <c r="AG2852" t="s">
        <v>78</v>
      </c>
    </row>
    <row r="2853" spans="1:33" hidden="1" x14ac:dyDescent="0.25">
      <c r="A2853" t="str">
        <f>"1265728042"</f>
        <v>1265728042</v>
      </c>
      <c r="C2853" t="s">
        <v>11905</v>
      </c>
      <c r="G2853" t="s">
        <v>2224</v>
      </c>
      <c r="H2853" t="s">
        <v>2225</v>
      </c>
      <c r="J2853" t="s">
        <v>2226</v>
      </c>
      <c r="K2853" t="s">
        <v>93</v>
      </c>
      <c r="L2853" t="s">
        <v>96</v>
      </c>
      <c r="M2853" t="s">
        <v>73</v>
      </c>
      <c r="R2853" t="s">
        <v>11906</v>
      </c>
      <c r="S2853" t="s">
        <v>11907</v>
      </c>
      <c r="T2853" t="s">
        <v>91</v>
      </c>
      <c r="U2853" t="s">
        <v>74</v>
      </c>
      <c r="V2853" t="str">
        <f>"100323720"</f>
        <v>100323720</v>
      </c>
      <c r="AC2853" t="s">
        <v>76</v>
      </c>
      <c r="AD2853" t="s">
        <v>73</v>
      </c>
      <c r="AE2853" t="s">
        <v>97</v>
      </c>
      <c r="AF2853" t="s">
        <v>2228</v>
      </c>
      <c r="AG2853" t="s">
        <v>78</v>
      </c>
    </row>
    <row r="2854" spans="1:33" hidden="1" x14ac:dyDescent="0.25">
      <c r="A2854" t="str">
        <f>"1457794257"</f>
        <v>1457794257</v>
      </c>
      <c r="C2854" t="s">
        <v>11908</v>
      </c>
      <c r="G2854" t="s">
        <v>2224</v>
      </c>
      <c r="H2854" t="s">
        <v>2225</v>
      </c>
      <c r="J2854" t="s">
        <v>2226</v>
      </c>
      <c r="K2854" t="s">
        <v>93</v>
      </c>
      <c r="L2854" t="s">
        <v>96</v>
      </c>
      <c r="M2854" t="s">
        <v>73</v>
      </c>
      <c r="R2854" t="s">
        <v>11909</v>
      </c>
      <c r="S2854" t="s">
        <v>410</v>
      </c>
      <c r="T2854" t="s">
        <v>91</v>
      </c>
      <c r="U2854" t="s">
        <v>74</v>
      </c>
      <c r="V2854" t="str">
        <f>"100321559"</f>
        <v>100321559</v>
      </c>
      <c r="AC2854" t="s">
        <v>76</v>
      </c>
      <c r="AD2854" t="s">
        <v>73</v>
      </c>
      <c r="AE2854" t="s">
        <v>97</v>
      </c>
      <c r="AF2854" t="s">
        <v>2228</v>
      </c>
      <c r="AG2854" t="s">
        <v>78</v>
      </c>
    </row>
    <row r="2855" spans="1:33" hidden="1" x14ac:dyDescent="0.25">
      <c r="A2855" t="str">
        <f>"1619210945"</f>
        <v>1619210945</v>
      </c>
      <c r="B2855" t="str">
        <f>"04598463"</f>
        <v>04598463</v>
      </c>
      <c r="C2855" t="s">
        <v>11910</v>
      </c>
      <c r="D2855" t="s">
        <v>11911</v>
      </c>
      <c r="E2855" t="s">
        <v>11912</v>
      </c>
      <c r="G2855" t="s">
        <v>2224</v>
      </c>
      <c r="H2855" t="s">
        <v>2225</v>
      </c>
      <c r="J2855" t="s">
        <v>2226</v>
      </c>
      <c r="L2855" t="s">
        <v>72</v>
      </c>
      <c r="M2855" t="s">
        <v>73</v>
      </c>
      <c r="R2855" t="s">
        <v>11912</v>
      </c>
      <c r="W2855" t="s">
        <v>11913</v>
      </c>
      <c r="AB2855" t="s">
        <v>75</v>
      </c>
      <c r="AC2855" t="s">
        <v>76</v>
      </c>
      <c r="AD2855" t="s">
        <v>73</v>
      </c>
      <c r="AE2855" t="s">
        <v>77</v>
      </c>
      <c r="AF2855" t="s">
        <v>2228</v>
      </c>
      <c r="AG2855" t="s">
        <v>78</v>
      </c>
    </row>
    <row r="2856" spans="1:33" hidden="1" x14ac:dyDescent="0.25">
      <c r="A2856" t="str">
        <f>"1225370398"</f>
        <v>1225370398</v>
      </c>
      <c r="C2856" t="s">
        <v>11914</v>
      </c>
      <c r="G2856" t="s">
        <v>2224</v>
      </c>
      <c r="H2856" t="s">
        <v>2225</v>
      </c>
      <c r="J2856" t="s">
        <v>2226</v>
      </c>
      <c r="K2856" t="s">
        <v>93</v>
      </c>
      <c r="L2856" t="s">
        <v>96</v>
      </c>
      <c r="M2856" t="s">
        <v>73</v>
      </c>
      <c r="R2856" t="s">
        <v>11915</v>
      </c>
      <c r="S2856" t="s">
        <v>410</v>
      </c>
      <c r="T2856" t="s">
        <v>91</v>
      </c>
      <c r="U2856" t="s">
        <v>74</v>
      </c>
      <c r="V2856" t="str">
        <f>"100321559"</f>
        <v>100321559</v>
      </c>
      <c r="AC2856" t="s">
        <v>76</v>
      </c>
      <c r="AD2856" t="s">
        <v>73</v>
      </c>
      <c r="AE2856" t="s">
        <v>97</v>
      </c>
      <c r="AF2856" t="s">
        <v>2228</v>
      </c>
      <c r="AG2856" t="s">
        <v>78</v>
      </c>
    </row>
    <row r="2857" spans="1:33" hidden="1" x14ac:dyDescent="0.25">
      <c r="A2857" t="str">
        <f>"1528326980"</f>
        <v>1528326980</v>
      </c>
      <c r="C2857" t="s">
        <v>11916</v>
      </c>
      <c r="G2857" t="s">
        <v>2224</v>
      </c>
      <c r="H2857" t="s">
        <v>2225</v>
      </c>
      <c r="J2857" t="s">
        <v>2226</v>
      </c>
      <c r="K2857" t="s">
        <v>93</v>
      </c>
      <c r="L2857" t="s">
        <v>96</v>
      </c>
      <c r="M2857" t="s">
        <v>73</v>
      </c>
      <c r="R2857" t="s">
        <v>11917</v>
      </c>
      <c r="S2857" t="s">
        <v>410</v>
      </c>
      <c r="T2857" t="s">
        <v>91</v>
      </c>
      <c r="U2857" t="s">
        <v>74</v>
      </c>
      <c r="V2857" t="str">
        <f>"100321559"</f>
        <v>100321559</v>
      </c>
      <c r="AC2857" t="s">
        <v>76</v>
      </c>
      <c r="AD2857" t="s">
        <v>73</v>
      </c>
      <c r="AE2857" t="s">
        <v>97</v>
      </c>
      <c r="AF2857" t="s">
        <v>2228</v>
      </c>
      <c r="AG2857" t="s">
        <v>78</v>
      </c>
    </row>
    <row r="2858" spans="1:33" hidden="1" x14ac:dyDescent="0.25">
      <c r="A2858" t="str">
        <f>"1134485626"</f>
        <v>1134485626</v>
      </c>
      <c r="C2858" t="s">
        <v>11918</v>
      </c>
      <c r="G2858" t="s">
        <v>2224</v>
      </c>
      <c r="H2858" t="s">
        <v>2225</v>
      </c>
      <c r="J2858" t="s">
        <v>2226</v>
      </c>
      <c r="K2858" t="s">
        <v>93</v>
      </c>
      <c r="L2858" t="s">
        <v>96</v>
      </c>
      <c r="M2858" t="s">
        <v>73</v>
      </c>
      <c r="R2858" t="s">
        <v>11919</v>
      </c>
      <c r="S2858" t="s">
        <v>167</v>
      </c>
      <c r="T2858" t="s">
        <v>91</v>
      </c>
      <c r="U2858" t="s">
        <v>74</v>
      </c>
      <c r="V2858" t="str">
        <f>"100323720"</f>
        <v>100323720</v>
      </c>
      <c r="AC2858" t="s">
        <v>76</v>
      </c>
      <c r="AD2858" t="s">
        <v>73</v>
      </c>
      <c r="AE2858" t="s">
        <v>97</v>
      </c>
      <c r="AF2858" t="s">
        <v>2228</v>
      </c>
      <c r="AG2858" t="s">
        <v>78</v>
      </c>
    </row>
    <row r="2859" spans="1:33" hidden="1" x14ac:dyDescent="0.25">
      <c r="A2859" t="str">
        <f>"1417214107"</f>
        <v>1417214107</v>
      </c>
      <c r="C2859" t="s">
        <v>11920</v>
      </c>
      <c r="G2859" t="s">
        <v>2224</v>
      </c>
      <c r="H2859" t="s">
        <v>2225</v>
      </c>
      <c r="J2859" t="s">
        <v>2226</v>
      </c>
      <c r="K2859" t="s">
        <v>93</v>
      </c>
      <c r="L2859" t="s">
        <v>96</v>
      </c>
      <c r="M2859" t="s">
        <v>73</v>
      </c>
      <c r="R2859" t="s">
        <v>11921</v>
      </c>
      <c r="S2859" t="s">
        <v>193</v>
      </c>
      <c r="T2859" t="s">
        <v>118</v>
      </c>
      <c r="U2859" t="s">
        <v>74</v>
      </c>
      <c r="V2859" t="str">
        <f>"104672401"</f>
        <v>104672401</v>
      </c>
      <c r="AC2859" t="s">
        <v>76</v>
      </c>
      <c r="AD2859" t="s">
        <v>73</v>
      </c>
      <c r="AE2859" t="s">
        <v>97</v>
      </c>
      <c r="AF2859" t="s">
        <v>2234</v>
      </c>
      <c r="AG2859" t="s">
        <v>78</v>
      </c>
    </row>
    <row r="2860" spans="1:33" hidden="1" x14ac:dyDescent="0.25">
      <c r="A2860" t="str">
        <f>"1831431618"</f>
        <v>1831431618</v>
      </c>
      <c r="C2860" t="s">
        <v>11922</v>
      </c>
      <c r="G2860" t="s">
        <v>2224</v>
      </c>
      <c r="H2860" t="s">
        <v>2225</v>
      </c>
      <c r="J2860" t="s">
        <v>2226</v>
      </c>
      <c r="K2860" t="s">
        <v>93</v>
      </c>
      <c r="L2860" t="s">
        <v>96</v>
      </c>
      <c r="M2860" t="s">
        <v>73</v>
      </c>
      <c r="R2860" t="s">
        <v>11923</v>
      </c>
      <c r="S2860" t="s">
        <v>7456</v>
      </c>
      <c r="T2860" t="s">
        <v>91</v>
      </c>
      <c r="U2860" t="s">
        <v>74</v>
      </c>
      <c r="V2860" t="str">
        <f>"100323725"</f>
        <v>100323725</v>
      </c>
      <c r="AC2860" t="s">
        <v>76</v>
      </c>
      <c r="AD2860" t="s">
        <v>73</v>
      </c>
      <c r="AE2860" t="s">
        <v>97</v>
      </c>
      <c r="AF2860" t="s">
        <v>2228</v>
      </c>
      <c r="AG2860" t="s">
        <v>78</v>
      </c>
    </row>
    <row r="2861" spans="1:33" hidden="1" x14ac:dyDescent="0.25">
      <c r="A2861" t="str">
        <f>"1730455635"</f>
        <v>1730455635</v>
      </c>
      <c r="C2861" t="s">
        <v>11924</v>
      </c>
      <c r="G2861" t="s">
        <v>2224</v>
      </c>
      <c r="H2861" t="s">
        <v>2225</v>
      </c>
      <c r="J2861" t="s">
        <v>2226</v>
      </c>
      <c r="K2861" t="s">
        <v>93</v>
      </c>
      <c r="L2861" t="s">
        <v>96</v>
      </c>
      <c r="M2861" t="s">
        <v>73</v>
      </c>
      <c r="R2861" t="s">
        <v>11925</v>
      </c>
      <c r="S2861" t="s">
        <v>410</v>
      </c>
      <c r="T2861" t="s">
        <v>91</v>
      </c>
      <c r="U2861" t="s">
        <v>74</v>
      </c>
      <c r="V2861" t="str">
        <f>"100321559"</f>
        <v>100321559</v>
      </c>
      <c r="AC2861" t="s">
        <v>76</v>
      </c>
      <c r="AD2861" t="s">
        <v>73</v>
      </c>
      <c r="AE2861" t="s">
        <v>97</v>
      </c>
      <c r="AF2861" t="s">
        <v>2234</v>
      </c>
      <c r="AG2861" t="s">
        <v>78</v>
      </c>
    </row>
    <row r="2862" spans="1:33" hidden="1" x14ac:dyDescent="0.25">
      <c r="A2862" t="str">
        <f>"1770841108"</f>
        <v>1770841108</v>
      </c>
      <c r="B2862" t="str">
        <f>"04119788"</f>
        <v>04119788</v>
      </c>
      <c r="C2862" t="s">
        <v>11926</v>
      </c>
      <c r="D2862" t="s">
        <v>11927</v>
      </c>
      <c r="E2862" t="s">
        <v>11928</v>
      </c>
      <c r="G2862" t="s">
        <v>2224</v>
      </c>
      <c r="H2862" t="s">
        <v>2225</v>
      </c>
      <c r="J2862" t="s">
        <v>2226</v>
      </c>
      <c r="L2862" t="s">
        <v>72</v>
      </c>
      <c r="M2862" t="s">
        <v>73</v>
      </c>
      <c r="R2862" t="s">
        <v>11929</v>
      </c>
      <c r="W2862" t="s">
        <v>11928</v>
      </c>
      <c r="X2862" t="s">
        <v>410</v>
      </c>
      <c r="Y2862" t="s">
        <v>91</v>
      </c>
      <c r="Z2862" t="s">
        <v>74</v>
      </c>
      <c r="AA2862" t="str">
        <f>"10032-1559"</f>
        <v>10032-1559</v>
      </c>
      <c r="AB2862" t="s">
        <v>75</v>
      </c>
      <c r="AC2862" t="s">
        <v>76</v>
      </c>
      <c r="AD2862" t="s">
        <v>73</v>
      </c>
      <c r="AE2862" t="s">
        <v>77</v>
      </c>
      <c r="AF2862" t="s">
        <v>2228</v>
      </c>
      <c r="AG2862" t="s">
        <v>78</v>
      </c>
    </row>
    <row r="2863" spans="1:33" hidden="1" x14ac:dyDescent="0.25">
      <c r="A2863" t="str">
        <f>"1982049219"</f>
        <v>1982049219</v>
      </c>
      <c r="C2863" t="s">
        <v>11930</v>
      </c>
      <c r="G2863" t="s">
        <v>2224</v>
      </c>
      <c r="H2863" t="s">
        <v>2225</v>
      </c>
      <c r="J2863" t="s">
        <v>2226</v>
      </c>
      <c r="K2863" t="s">
        <v>93</v>
      </c>
      <c r="L2863" t="s">
        <v>96</v>
      </c>
      <c r="M2863" t="s">
        <v>73</v>
      </c>
      <c r="R2863" t="s">
        <v>11931</v>
      </c>
      <c r="S2863" t="s">
        <v>410</v>
      </c>
      <c r="T2863" t="s">
        <v>91</v>
      </c>
      <c r="U2863" t="s">
        <v>74</v>
      </c>
      <c r="V2863" t="str">
        <f>"100321559"</f>
        <v>100321559</v>
      </c>
      <c r="AC2863" t="s">
        <v>76</v>
      </c>
      <c r="AD2863" t="s">
        <v>73</v>
      </c>
      <c r="AE2863" t="s">
        <v>97</v>
      </c>
      <c r="AF2863" t="s">
        <v>2228</v>
      </c>
      <c r="AG2863" t="s">
        <v>78</v>
      </c>
    </row>
    <row r="2864" spans="1:33" hidden="1" x14ac:dyDescent="0.25">
      <c r="A2864" t="str">
        <f>"1841532249"</f>
        <v>1841532249</v>
      </c>
      <c r="C2864" t="s">
        <v>11932</v>
      </c>
      <c r="G2864" t="s">
        <v>2224</v>
      </c>
      <c r="H2864" t="s">
        <v>2225</v>
      </c>
      <c r="J2864" t="s">
        <v>2226</v>
      </c>
      <c r="K2864" t="s">
        <v>93</v>
      </c>
      <c r="L2864" t="s">
        <v>96</v>
      </c>
      <c r="M2864" t="s">
        <v>73</v>
      </c>
      <c r="R2864" t="s">
        <v>11933</v>
      </c>
      <c r="S2864" t="s">
        <v>410</v>
      </c>
      <c r="T2864" t="s">
        <v>91</v>
      </c>
      <c r="U2864" t="s">
        <v>74</v>
      </c>
      <c r="V2864" t="str">
        <f>"100321559"</f>
        <v>100321559</v>
      </c>
      <c r="AC2864" t="s">
        <v>76</v>
      </c>
      <c r="AD2864" t="s">
        <v>73</v>
      </c>
      <c r="AE2864" t="s">
        <v>97</v>
      </c>
      <c r="AF2864" t="s">
        <v>2228</v>
      </c>
      <c r="AG2864" t="s">
        <v>78</v>
      </c>
    </row>
    <row r="2865" spans="1:33" hidden="1" x14ac:dyDescent="0.25">
      <c r="A2865" t="str">
        <f>"1184980385"</f>
        <v>1184980385</v>
      </c>
      <c r="C2865" t="s">
        <v>11934</v>
      </c>
      <c r="G2865" t="s">
        <v>2224</v>
      </c>
      <c r="H2865" t="s">
        <v>2225</v>
      </c>
      <c r="J2865" t="s">
        <v>2226</v>
      </c>
      <c r="K2865" t="s">
        <v>93</v>
      </c>
      <c r="L2865" t="s">
        <v>88</v>
      </c>
      <c r="M2865" t="s">
        <v>73</v>
      </c>
      <c r="R2865" t="s">
        <v>11935</v>
      </c>
      <c r="S2865" t="s">
        <v>11936</v>
      </c>
      <c r="T2865" t="s">
        <v>1229</v>
      </c>
      <c r="U2865" t="s">
        <v>74</v>
      </c>
      <c r="V2865" t="str">
        <f>"107061039"</f>
        <v>107061039</v>
      </c>
      <c r="AC2865" t="s">
        <v>76</v>
      </c>
      <c r="AD2865" t="s">
        <v>73</v>
      </c>
      <c r="AE2865" t="s">
        <v>97</v>
      </c>
      <c r="AF2865" t="s">
        <v>2234</v>
      </c>
      <c r="AG2865" t="s">
        <v>78</v>
      </c>
    </row>
    <row r="2866" spans="1:33" hidden="1" x14ac:dyDescent="0.25">
      <c r="A2866" t="str">
        <f>"1013250125"</f>
        <v>1013250125</v>
      </c>
      <c r="B2866" t="str">
        <f>"04418842"</f>
        <v>04418842</v>
      </c>
      <c r="C2866" t="s">
        <v>11937</v>
      </c>
      <c r="D2866" t="s">
        <v>11938</v>
      </c>
      <c r="E2866" t="s">
        <v>11939</v>
      </c>
      <c r="G2866" t="s">
        <v>2224</v>
      </c>
      <c r="H2866" t="s">
        <v>2225</v>
      </c>
      <c r="J2866" t="s">
        <v>2226</v>
      </c>
      <c r="L2866" t="s">
        <v>96</v>
      </c>
      <c r="M2866" t="s">
        <v>73</v>
      </c>
      <c r="R2866" t="s">
        <v>11940</v>
      </c>
      <c r="W2866" t="s">
        <v>11939</v>
      </c>
      <c r="X2866" t="s">
        <v>410</v>
      </c>
      <c r="Y2866" t="s">
        <v>91</v>
      </c>
      <c r="Z2866" t="s">
        <v>74</v>
      </c>
      <c r="AA2866" t="str">
        <f>"10032-1559"</f>
        <v>10032-1559</v>
      </c>
      <c r="AB2866" t="s">
        <v>75</v>
      </c>
      <c r="AC2866" t="s">
        <v>76</v>
      </c>
      <c r="AD2866" t="s">
        <v>73</v>
      </c>
      <c r="AE2866" t="s">
        <v>77</v>
      </c>
      <c r="AF2866" t="s">
        <v>2228</v>
      </c>
      <c r="AG2866" t="s">
        <v>78</v>
      </c>
    </row>
    <row r="2867" spans="1:33" hidden="1" x14ac:dyDescent="0.25">
      <c r="A2867" t="str">
        <f>"1366700874"</f>
        <v>1366700874</v>
      </c>
      <c r="C2867" t="s">
        <v>11941</v>
      </c>
      <c r="G2867" t="s">
        <v>2224</v>
      </c>
      <c r="H2867" t="s">
        <v>2225</v>
      </c>
      <c r="J2867" t="s">
        <v>2226</v>
      </c>
      <c r="K2867" t="s">
        <v>93</v>
      </c>
      <c r="L2867" t="s">
        <v>96</v>
      </c>
      <c r="M2867" t="s">
        <v>73</v>
      </c>
      <c r="R2867" t="s">
        <v>11942</v>
      </c>
      <c r="S2867" t="s">
        <v>11943</v>
      </c>
      <c r="T2867" t="s">
        <v>91</v>
      </c>
      <c r="U2867" t="s">
        <v>74</v>
      </c>
      <c r="V2867" t="str">
        <f>"10032"</f>
        <v>10032</v>
      </c>
      <c r="AC2867" t="s">
        <v>76</v>
      </c>
      <c r="AD2867" t="s">
        <v>73</v>
      </c>
      <c r="AE2867" t="s">
        <v>97</v>
      </c>
      <c r="AF2867" t="s">
        <v>2228</v>
      </c>
      <c r="AG2867" t="s">
        <v>78</v>
      </c>
    </row>
    <row r="2868" spans="1:33" hidden="1" x14ac:dyDescent="0.25">
      <c r="A2868" t="str">
        <f>"1962745745"</f>
        <v>1962745745</v>
      </c>
      <c r="C2868" t="s">
        <v>11944</v>
      </c>
      <c r="G2868" t="s">
        <v>2224</v>
      </c>
      <c r="H2868" t="s">
        <v>2225</v>
      </c>
      <c r="J2868" t="s">
        <v>2226</v>
      </c>
      <c r="K2868" t="s">
        <v>93</v>
      </c>
      <c r="L2868" t="s">
        <v>96</v>
      </c>
      <c r="M2868" t="s">
        <v>73</v>
      </c>
      <c r="R2868" t="s">
        <v>11945</v>
      </c>
      <c r="S2868" t="s">
        <v>410</v>
      </c>
      <c r="T2868" t="s">
        <v>91</v>
      </c>
      <c r="U2868" t="s">
        <v>74</v>
      </c>
      <c r="V2868" t="str">
        <f>"100321559"</f>
        <v>100321559</v>
      </c>
      <c r="AC2868" t="s">
        <v>76</v>
      </c>
      <c r="AD2868" t="s">
        <v>73</v>
      </c>
      <c r="AE2868" t="s">
        <v>97</v>
      </c>
      <c r="AF2868" t="s">
        <v>2228</v>
      </c>
      <c r="AG2868" t="s">
        <v>78</v>
      </c>
    </row>
    <row r="2869" spans="1:33" hidden="1" x14ac:dyDescent="0.25">
      <c r="A2869" t="str">
        <f>"1992048730"</f>
        <v>1992048730</v>
      </c>
      <c r="B2869" t="str">
        <f>"04418851"</f>
        <v>04418851</v>
      </c>
      <c r="C2869" t="s">
        <v>11946</v>
      </c>
      <c r="D2869" t="s">
        <v>11947</v>
      </c>
      <c r="E2869" t="s">
        <v>11948</v>
      </c>
      <c r="G2869" t="s">
        <v>2224</v>
      </c>
      <c r="H2869" t="s">
        <v>2225</v>
      </c>
      <c r="J2869" t="s">
        <v>2226</v>
      </c>
      <c r="L2869" t="s">
        <v>96</v>
      </c>
      <c r="M2869" t="s">
        <v>73</v>
      </c>
      <c r="R2869" t="s">
        <v>11948</v>
      </c>
      <c r="W2869" t="s">
        <v>11948</v>
      </c>
      <c r="X2869" t="s">
        <v>410</v>
      </c>
      <c r="Y2869" t="s">
        <v>91</v>
      </c>
      <c r="Z2869" t="s">
        <v>74</v>
      </c>
      <c r="AA2869" t="str">
        <f>"10032-1559"</f>
        <v>10032-1559</v>
      </c>
      <c r="AB2869" t="s">
        <v>75</v>
      </c>
      <c r="AC2869" t="s">
        <v>76</v>
      </c>
      <c r="AD2869" t="s">
        <v>73</v>
      </c>
      <c r="AE2869" t="s">
        <v>77</v>
      </c>
      <c r="AF2869" t="s">
        <v>2228</v>
      </c>
      <c r="AG2869" t="s">
        <v>78</v>
      </c>
    </row>
    <row r="2870" spans="1:33" hidden="1" x14ac:dyDescent="0.25">
      <c r="A2870" t="str">
        <f>"1346508686"</f>
        <v>1346508686</v>
      </c>
      <c r="B2870" t="str">
        <f>"04350390"</f>
        <v>04350390</v>
      </c>
      <c r="C2870" t="s">
        <v>11949</v>
      </c>
      <c r="D2870" t="s">
        <v>11950</v>
      </c>
      <c r="E2870" t="s">
        <v>11951</v>
      </c>
      <c r="G2870" t="s">
        <v>2224</v>
      </c>
      <c r="H2870" t="s">
        <v>2225</v>
      </c>
      <c r="J2870" t="s">
        <v>2226</v>
      </c>
      <c r="L2870" t="s">
        <v>72</v>
      </c>
      <c r="M2870" t="s">
        <v>73</v>
      </c>
      <c r="R2870" t="s">
        <v>11952</v>
      </c>
      <c r="W2870" t="s">
        <v>11951</v>
      </c>
      <c r="X2870" t="s">
        <v>11753</v>
      </c>
      <c r="Y2870" t="s">
        <v>91</v>
      </c>
      <c r="Z2870" t="s">
        <v>74</v>
      </c>
      <c r="AA2870" t="str">
        <f>"10007-0029"</f>
        <v>10007-0029</v>
      </c>
      <c r="AB2870" t="s">
        <v>75</v>
      </c>
      <c r="AC2870" t="s">
        <v>76</v>
      </c>
      <c r="AD2870" t="s">
        <v>73</v>
      </c>
      <c r="AE2870" t="s">
        <v>77</v>
      </c>
      <c r="AF2870" t="s">
        <v>2234</v>
      </c>
      <c r="AG2870" t="s">
        <v>78</v>
      </c>
    </row>
    <row r="2871" spans="1:33" hidden="1" x14ac:dyDescent="0.25">
      <c r="A2871" t="str">
        <f>"1003173758"</f>
        <v>1003173758</v>
      </c>
      <c r="B2871" t="str">
        <f>"04314256"</f>
        <v>04314256</v>
      </c>
      <c r="C2871" t="s">
        <v>11953</v>
      </c>
      <c r="D2871" t="s">
        <v>11954</v>
      </c>
      <c r="E2871" t="s">
        <v>11955</v>
      </c>
      <c r="G2871" t="s">
        <v>2224</v>
      </c>
      <c r="H2871" t="s">
        <v>2225</v>
      </c>
      <c r="J2871" t="s">
        <v>2226</v>
      </c>
      <c r="L2871" t="s">
        <v>72</v>
      </c>
      <c r="M2871" t="s">
        <v>73</v>
      </c>
      <c r="R2871" t="s">
        <v>11956</v>
      </c>
      <c r="W2871" t="s">
        <v>11955</v>
      </c>
      <c r="X2871" t="s">
        <v>410</v>
      </c>
      <c r="Y2871" t="s">
        <v>91</v>
      </c>
      <c r="Z2871" t="s">
        <v>74</v>
      </c>
      <c r="AA2871" t="str">
        <f>"10032-1559"</f>
        <v>10032-1559</v>
      </c>
      <c r="AB2871" t="s">
        <v>75</v>
      </c>
      <c r="AC2871" t="s">
        <v>76</v>
      </c>
      <c r="AD2871" t="s">
        <v>73</v>
      </c>
      <c r="AE2871" t="s">
        <v>77</v>
      </c>
      <c r="AF2871" t="s">
        <v>2228</v>
      </c>
      <c r="AG2871" t="s">
        <v>78</v>
      </c>
    </row>
    <row r="2872" spans="1:33" hidden="1" x14ac:dyDescent="0.25">
      <c r="A2872" t="str">
        <f>"1780979054"</f>
        <v>1780979054</v>
      </c>
      <c r="C2872" t="s">
        <v>11957</v>
      </c>
      <c r="G2872" t="s">
        <v>2224</v>
      </c>
      <c r="H2872" t="s">
        <v>2225</v>
      </c>
      <c r="J2872" t="s">
        <v>2226</v>
      </c>
      <c r="K2872" t="s">
        <v>171</v>
      </c>
      <c r="L2872" t="s">
        <v>96</v>
      </c>
      <c r="M2872" t="s">
        <v>73</v>
      </c>
      <c r="R2872" t="s">
        <v>11958</v>
      </c>
      <c r="S2872" t="s">
        <v>11959</v>
      </c>
      <c r="T2872" t="s">
        <v>91</v>
      </c>
      <c r="U2872" t="s">
        <v>74</v>
      </c>
      <c r="V2872" t="str">
        <f>"100286001"</f>
        <v>100286001</v>
      </c>
      <c r="AC2872" t="s">
        <v>76</v>
      </c>
      <c r="AD2872" t="s">
        <v>73</v>
      </c>
      <c r="AE2872" t="s">
        <v>97</v>
      </c>
      <c r="AF2872" t="s">
        <v>2242</v>
      </c>
      <c r="AG2872" t="s">
        <v>78</v>
      </c>
    </row>
    <row r="2873" spans="1:33" hidden="1" x14ac:dyDescent="0.25">
      <c r="A2873" t="str">
        <f>"1790873073"</f>
        <v>1790873073</v>
      </c>
      <c r="B2873" t="str">
        <f>"00952763"</f>
        <v>00952763</v>
      </c>
      <c r="C2873" t="s">
        <v>11960</v>
      </c>
      <c r="D2873" t="s">
        <v>11961</v>
      </c>
      <c r="E2873" t="s">
        <v>11962</v>
      </c>
      <c r="G2873" t="s">
        <v>2224</v>
      </c>
      <c r="H2873" t="s">
        <v>2225</v>
      </c>
      <c r="J2873" t="s">
        <v>2226</v>
      </c>
      <c r="L2873" t="s">
        <v>81</v>
      </c>
      <c r="M2873" t="s">
        <v>73</v>
      </c>
      <c r="R2873" t="s">
        <v>11963</v>
      </c>
      <c r="W2873" t="s">
        <v>11962</v>
      </c>
      <c r="X2873" t="s">
        <v>628</v>
      </c>
      <c r="Y2873" t="s">
        <v>91</v>
      </c>
      <c r="Z2873" t="s">
        <v>74</v>
      </c>
      <c r="AA2873" t="str">
        <f>"10021-4872"</f>
        <v>10021-4872</v>
      </c>
      <c r="AB2873" t="s">
        <v>75</v>
      </c>
      <c r="AC2873" t="s">
        <v>76</v>
      </c>
      <c r="AD2873" t="s">
        <v>73</v>
      </c>
      <c r="AE2873" t="s">
        <v>77</v>
      </c>
      <c r="AF2873" t="s">
        <v>2242</v>
      </c>
      <c r="AG2873" t="s">
        <v>78</v>
      </c>
    </row>
    <row r="2874" spans="1:33" hidden="1" x14ac:dyDescent="0.25">
      <c r="A2874" t="str">
        <f>"1790888030"</f>
        <v>1790888030</v>
      </c>
      <c r="B2874" t="str">
        <f>"02785362"</f>
        <v>02785362</v>
      </c>
      <c r="C2874" t="s">
        <v>11964</v>
      </c>
      <c r="D2874" t="s">
        <v>11965</v>
      </c>
      <c r="E2874" t="s">
        <v>11966</v>
      </c>
      <c r="G2874" t="s">
        <v>2224</v>
      </c>
      <c r="H2874" t="s">
        <v>2225</v>
      </c>
      <c r="J2874" t="s">
        <v>2226</v>
      </c>
      <c r="L2874" t="s">
        <v>81</v>
      </c>
      <c r="M2874" t="s">
        <v>82</v>
      </c>
      <c r="R2874" t="s">
        <v>11967</v>
      </c>
      <c r="W2874" t="s">
        <v>11968</v>
      </c>
      <c r="X2874" t="s">
        <v>4819</v>
      </c>
      <c r="Y2874" t="s">
        <v>91</v>
      </c>
      <c r="Z2874" t="s">
        <v>74</v>
      </c>
      <c r="AA2874" t="str">
        <f>"10032-7104"</f>
        <v>10032-7104</v>
      </c>
      <c r="AB2874" t="s">
        <v>75</v>
      </c>
      <c r="AC2874" t="s">
        <v>76</v>
      </c>
      <c r="AD2874" t="s">
        <v>73</v>
      </c>
      <c r="AE2874" t="s">
        <v>77</v>
      </c>
      <c r="AF2874" t="s">
        <v>2228</v>
      </c>
      <c r="AG2874" t="s">
        <v>78</v>
      </c>
    </row>
    <row r="2875" spans="1:33" hidden="1" x14ac:dyDescent="0.25">
      <c r="A2875" t="str">
        <f>"1558670315"</f>
        <v>1558670315</v>
      </c>
      <c r="B2875" t="str">
        <f>"04304963"</f>
        <v>04304963</v>
      </c>
      <c r="C2875" t="s">
        <v>11969</v>
      </c>
      <c r="D2875" t="s">
        <v>2134</v>
      </c>
      <c r="E2875" t="s">
        <v>2135</v>
      </c>
      <c r="G2875" t="s">
        <v>2514</v>
      </c>
      <c r="H2875" t="s">
        <v>11970</v>
      </c>
      <c r="J2875" t="s">
        <v>2516</v>
      </c>
      <c r="L2875" t="s">
        <v>72</v>
      </c>
      <c r="M2875" t="s">
        <v>73</v>
      </c>
      <c r="R2875" t="s">
        <v>2135</v>
      </c>
      <c r="W2875" t="s">
        <v>2136</v>
      </c>
      <c r="X2875" t="s">
        <v>1538</v>
      </c>
      <c r="Y2875" t="s">
        <v>84</v>
      </c>
      <c r="Z2875" t="s">
        <v>74</v>
      </c>
      <c r="AA2875" t="str">
        <f>"11229-1209"</f>
        <v>11229-1209</v>
      </c>
      <c r="AB2875" t="s">
        <v>75</v>
      </c>
      <c r="AC2875" t="s">
        <v>76</v>
      </c>
      <c r="AD2875" t="s">
        <v>73</v>
      </c>
      <c r="AE2875" t="s">
        <v>77</v>
      </c>
      <c r="AF2875" t="s">
        <v>2518</v>
      </c>
      <c r="AG2875" t="s">
        <v>78</v>
      </c>
    </row>
    <row r="2876" spans="1:33" hidden="1" x14ac:dyDescent="0.25">
      <c r="A2876" t="str">
        <f>"1447225016"</f>
        <v>1447225016</v>
      </c>
      <c r="B2876" t="str">
        <f>"01813872"</f>
        <v>01813872</v>
      </c>
      <c r="C2876" t="s">
        <v>11971</v>
      </c>
      <c r="D2876" t="s">
        <v>11972</v>
      </c>
      <c r="E2876" t="s">
        <v>11973</v>
      </c>
      <c r="G2876" t="s">
        <v>2224</v>
      </c>
      <c r="H2876" t="s">
        <v>2225</v>
      </c>
      <c r="J2876" t="s">
        <v>2226</v>
      </c>
      <c r="L2876" t="s">
        <v>88</v>
      </c>
      <c r="M2876" t="s">
        <v>82</v>
      </c>
      <c r="R2876" t="s">
        <v>11974</v>
      </c>
      <c r="W2876" t="s">
        <v>11973</v>
      </c>
      <c r="X2876" t="s">
        <v>410</v>
      </c>
      <c r="Y2876" t="s">
        <v>91</v>
      </c>
      <c r="Z2876" t="s">
        <v>74</v>
      </c>
      <c r="AA2876" t="str">
        <f>"10032-1559"</f>
        <v>10032-1559</v>
      </c>
      <c r="AB2876" t="s">
        <v>75</v>
      </c>
      <c r="AC2876" t="s">
        <v>76</v>
      </c>
      <c r="AD2876" t="s">
        <v>73</v>
      </c>
      <c r="AE2876" t="s">
        <v>77</v>
      </c>
      <c r="AF2876" t="s">
        <v>2254</v>
      </c>
      <c r="AG2876" t="s">
        <v>78</v>
      </c>
    </row>
    <row r="2877" spans="1:33" hidden="1" x14ac:dyDescent="0.25">
      <c r="A2877" t="str">
        <f>"1073856605"</f>
        <v>1073856605</v>
      </c>
      <c r="C2877" t="s">
        <v>11975</v>
      </c>
      <c r="G2877" t="s">
        <v>2224</v>
      </c>
      <c r="H2877" t="s">
        <v>2312</v>
      </c>
      <c r="J2877" t="s">
        <v>2226</v>
      </c>
      <c r="K2877" t="s">
        <v>171</v>
      </c>
      <c r="L2877" t="s">
        <v>96</v>
      </c>
      <c r="M2877" t="s">
        <v>73</v>
      </c>
      <c r="R2877" t="s">
        <v>11976</v>
      </c>
      <c r="S2877" t="s">
        <v>354</v>
      </c>
      <c r="T2877" t="s">
        <v>91</v>
      </c>
      <c r="U2877" t="s">
        <v>74</v>
      </c>
      <c r="V2877" t="str">
        <f>"100323725"</f>
        <v>100323725</v>
      </c>
      <c r="AC2877" t="s">
        <v>76</v>
      </c>
      <c r="AD2877" t="s">
        <v>73</v>
      </c>
      <c r="AE2877" t="s">
        <v>97</v>
      </c>
      <c r="AF2877" t="s">
        <v>2228</v>
      </c>
      <c r="AG2877" t="s">
        <v>78</v>
      </c>
    </row>
    <row r="2878" spans="1:33" hidden="1" x14ac:dyDescent="0.25">
      <c r="A2878" t="str">
        <f>"1700128030"</f>
        <v>1700128030</v>
      </c>
      <c r="C2878" t="s">
        <v>11977</v>
      </c>
      <c r="G2878" t="s">
        <v>2224</v>
      </c>
      <c r="H2878" t="s">
        <v>2312</v>
      </c>
      <c r="J2878" t="s">
        <v>2226</v>
      </c>
      <c r="K2878" t="s">
        <v>171</v>
      </c>
      <c r="L2878" t="s">
        <v>96</v>
      </c>
      <c r="M2878" t="s">
        <v>73</v>
      </c>
      <c r="R2878" t="s">
        <v>11978</v>
      </c>
      <c r="S2878" t="s">
        <v>11979</v>
      </c>
      <c r="T2878" t="s">
        <v>11980</v>
      </c>
      <c r="U2878" t="s">
        <v>578</v>
      </c>
      <c r="V2878" t="str">
        <f>"950306335"</f>
        <v>950306335</v>
      </c>
      <c r="AC2878" t="s">
        <v>76</v>
      </c>
      <c r="AD2878" t="s">
        <v>73</v>
      </c>
      <c r="AE2878" t="s">
        <v>97</v>
      </c>
      <c r="AF2878" t="s">
        <v>2228</v>
      </c>
      <c r="AG2878" t="s">
        <v>78</v>
      </c>
    </row>
    <row r="2879" spans="1:33" hidden="1" x14ac:dyDescent="0.25">
      <c r="A2879" t="str">
        <f>"1558627679"</f>
        <v>1558627679</v>
      </c>
      <c r="C2879" t="s">
        <v>11981</v>
      </c>
      <c r="G2879" t="s">
        <v>2224</v>
      </c>
      <c r="H2879" t="s">
        <v>2312</v>
      </c>
      <c r="J2879" t="s">
        <v>2226</v>
      </c>
      <c r="K2879" t="s">
        <v>171</v>
      </c>
      <c r="L2879" t="s">
        <v>96</v>
      </c>
      <c r="M2879" t="s">
        <v>73</v>
      </c>
      <c r="R2879" t="s">
        <v>11982</v>
      </c>
      <c r="S2879" t="s">
        <v>3387</v>
      </c>
      <c r="T2879" t="s">
        <v>91</v>
      </c>
      <c r="U2879" t="s">
        <v>74</v>
      </c>
      <c r="V2879" t="str">
        <f>"100323720"</f>
        <v>100323720</v>
      </c>
      <c r="AC2879" t="s">
        <v>76</v>
      </c>
      <c r="AD2879" t="s">
        <v>73</v>
      </c>
      <c r="AE2879" t="s">
        <v>97</v>
      </c>
      <c r="AF2879" t="s">
        <v>2228</v>
      </c>
      <c r="AG2879" t="s">
        <v>78</v>
      </c>
    </row>
    <row r="2880" spans="1:33" hidden="1" x14ac:dyDescent="0.25">
      <c r="A2880" t="str">
        <f>"1992823546"</f>
        <v>1992823546</v>
      </c>
      <c r="B2880" t="str">
        <f>"00178230"</f>
        <v>00178230</v>
      </c>
      <c r="C2880" t="s">
        <v>11983</v>
      </c>
      <c r="D2880" t="s">
        <v>11984</v>
      </c>
      <c r="E2880" t="s">
        <v>11985</v>
      </c>
      <c r="G2880" t="s">
        <v>2224</v>
      </c>
      <c r="H2880" t="s">
        <v>2225</v>
      </c>
      <c r="J2880" t="s">
        <v>2226</v>
      </c>
      <c r="L2880" t="s">
        <v>72</v>
      </c>
      <c r="M2880" t="s">
        <v>73</v>
      </c>
      <c r="R2880" t="s">
        <v>11986</v>
      </c>
      <c r="W2880" t="s">
        <v>11985</v>
      </c>
      <c r="X2880" t="s">
        <v>11987</v>
      </c>
      <c r="Y2880" t="s">
        <v>91</v>
      </c>
      <c r="Z2880" t="s">
        <v>74</v>
      </c>
      <c r="AA2880" t="str">
        <f>"10032-1007"</f>
        <v>10032-1007</v>
      </c>
      <c r="AB2880" t="s">
        <v>75</v>
      </c>
      <c r="AC2880" t="s">
        <v>76</v>
      </c>
      <c r="AD2880" t="s">
        <v>73</v>
      </c>
      <c r="AE2880" t="s">
        <v>77</v>
      </c>
      <c r="AF2880" t="s">
        <v>2254</v>
      </c>
      <c r="AG2880" t="s">
        <v>78</v>
      </c>
    </row>
    <row r="2881" spans="1:33" hidden="1" x14ac:dyDescent="0.25">
      <c r="A2881" t="str">
        <f>"1558529982"</f>
        <v>1558529982</v>
      </c>
      <c r="B2881" t="str">
        <f>"03526529"</f>
        <v>03526529</v>
      </c>
      <c r="C2881" t="s">
        <v>11988</v>
      </c>
      <c r="D2881" t="s">
        <v>11989</v>
      </c>
      <c r="E2881" t="s">
        <v>11990</v>
      </c>
      <c r="L2881" t="s">
        <v>80</v>
      </c>
      <c r="M2881" t="s">
        <v>73</v>
      </c>
      <c r="R2881" t="s">
        <v>11991</v>
      </c>
      <c r="W2881" t="s">
        <v>11992</v>
      </c>
      <c r="X2881" t="s">
        <v>170</v>
      </c>
      <c r="Y2881" t="s">
        <v>91</v>
      </c>
      <c r="Z2881" t="s">
        <v>74</v>
      </c>
      <c r="AA2881" t="str">
        <f>"10065-4870"</f>
        <v>10065-4870</v>
      </c>
      <c r="AB2881" t="s">
        <v>75</v>
      </c>
      <c r="AC2881" t="s">
        <v>76</v>
      </c>
      <c r="AD2881" t="s">
        <v>73</v>
      </c>
      <c r="AE2881" t="s">
        <v>77</v>
      </c>
      <c r="AF2881" t="s">
        <v>2242</v>
      </c>
      <c r="AG2881" t="s">
        <v>78</v>
      </c>
    </row>
    <row r="2882" spans="1:33" hidden="1" x14ac:dyDescent="0.25">
      <c r="A2882" t="str">
        <f>"1124020953"</f>
        <v>1124020953</v>
      </c>
      <c r="B2882" t="str">
        <f>"02068468"</f>
        <v>02068468</v>
      </c>
      <c r="C2882" t="s">
        <v>11993</v>
      </c>
      <c r="D2882" t="s">
        <v>11994</v>
      </c>
      <c r="E2882" t="s">
        <v>11995</v>
      </c>
      <c r="L2882" t="s">
        <v>80</v>
      </c>
      <c r="M2882" t="s">
        <v>73</v>
      </c>
      <c r="R2882" t="s">
        <v>11996</v>
      </c>
      <c r="W2882" t="s">
        <v>11995</v>
      </c>
      <c r="X2882" t="s">
        <v>550</v>
      </c>
      <c r="Y2882" t="s">
        <v>91</v>
      </c>
      <c r="Z2882" t="s">
        <v>74</v>
      </c>
      <c r="AA2882" t="str">
        <f>"10029-6500"</f>
        <v>10029-6500</v>
      </c>
      <c r="AB2882" t="s">
        <v>75</v>
      </c>
      <c r="AC2882" t="s">
        <v>76</v>
      </c>
      <c r="AD2882" t="s">
        <v>73</v>
      </c>
      <c r="AE2882" t="s">
        <v>77</v>
      </c>
      <c r="AF2882" t="s">
        <v>2242</v>
      </c>
      <c r="AG2882" t="s">
        <v>78</v>
      </c>
    </row>
    <row r="2883" spans="1:33" hidden="1" x14ac:dyDescent="0.25">
      <c r="A2883" t="str">
        <f>"1629165709"</f>
        <v>1629165709</v>
      </c>
      <c r="B2883" t="str">
        <f>"01153153"</f>
        <v>01153153</v>
      </c>
      <c r="C2883" t="s">
        <v>11997</v>
      </c>
      <c r="D2883" t="s">
        <v>11998</v>
      </c>
      <c r="E2883" t="s">
        <v>11999</v>
      </c>
      <c r="L2883" t="s">
        <v>72</v>
      </c>
      <c r="M2883" t="s">
        <v>73</v>
      </c>
      <c r="R2883" t="s">
        <v>12000</v>
      </c>
      <c r="W2883" t="s">
        <v>11999</v>
      </c>
      <c r="X2883" t="s">
        <v>170</v>
      </c>
      <c r="Y2883" t="s">
        <v>91</v>
      </c>
      <c r="Z2883" t="s">
        <v>74</v>
      </c>
      <c r="AA2883" t="str">
        <f>"10065-4870"</f>
        <v>10065-4870</v>
      </c>
      <c r="AB2883" t="s">
        <v>75</v>
      </c>
      <c r="AC2883" t="s">
        <v>76</v>
      </c>
      <c r="AD2883" t="s">
        <v>73</v>
      </c>
      <c r="AE2883" t="s">
        <v>77</v>
      </c>
      <c r="AF2883" t="s">
        <v>2242</v>
      </c>
      <c r="AG2883" t="s">
        <v>78</v>
      </c>
    </row>
    <row r="2884" spans="1:33" hidden="1" x14ac:dyDescent="0.25">
      <c r="A2884" t="str">
        <f>"1396982641"</f>
        <v>1396982641</v>
      </c>
      <c r="C2884" t="s">
        <v>1918</v>
      </c>
      <c r="G2884" t="s">
        <v>2260</v>
      </c>
      <c r="H2884" t="s">
        <v>12001</v>
      </c>
      <c r="J2884" t="s">
        <v>1512</v>
      </c>
      <c r="K2884" t="s">
        <v>507</v>
      </c>
      <c r="L2884" t="s">
        <v>96</v>
      </c>
      <c r="M2884" t="s">
        <v>73</v>
      </c>
      <c r="R2884" t="s">
        <v>1276</v>
      </c>
      <c r="S2884" t="s">
        <v>1277</v>
      </c>
      <c r="T2884" t="s">
        <v>1278</v>
      </c>
      <c r="U2884" t="s">
        <v>1138</v>
      </c>
      <c r="V2884" t="str">
        <f>"873015748"</f>
        <v>873015748</v>
      </c>
      <c r="AC2884" t="s">
        <v>76</v>
      </c>
      <c r="AD2884" t="s">
        <v>73</v>
      </c>
      <c r="AE2884" t="s">
        <v>97</v>
      </c>
      <c r="AG2884" t="s">
        <v>78</v>
      </c>
    </row>
    <row r="2885" spans="1:33" hidden="1" x14ac:dyDescent="0.25">
      <c r="A2885" t="str">
        <f>"1457548257"</f>
        <v>1457548257</v>
      </c>
      <c r="B2885" t="str">
        <f>"02231047"</f>
        <v>02231047</v>
      </c>
      <c r="C2885" t="s">
        <v>1919</v>
      </c>
      <c r="D2885" t="s">
        <v>646</v>
      </c>
      <c r="E2885" t="s">
        <v>647</v>
      </c>
      <c r="G2885" t="s">
        <v>2260</v>
      </c>
      <c r="H2885" t="s">
        <v>12002</v>
      </c>
      <c r="J2885" t="s">
        <v>1512</v>
      </c>
      <c r="L2885" t="s">
        <v>100</v>
      </c>
      <c r="M2885" t="s">
        <v>73</v>
      </c>
      <c r="R2885" t="s">
        <v>648</v>
      </c>
      <c r="W2885" t="s">
        <v>647</v>
      </c>
      <c r="X2885" t="s">
        <v>631</v>
      </c>
      <c r="Y2885" t="s">
        <v>118</v>
      </c>
      <c r="Z2885" t="s">
        <v>74</v>
      </c>
      <c r="AA2885" t="str">
        <f>"10454-1199"</f>
        <v>10454-1199</v>
      </c>
      <c r="AB2885" t="s">
        <v>75</v>
      </c>
      <c r="AC2885" t="s">
        <v>76</v>
      </c>
      <c r="AD2885" t="s">
        <v>73</v>
      </c>
      <c r="AE2885" t="s">
        <v>77</v>
      </c>
      <c r="AG2885" t="s">
        <v>78</v>
      </c>
    </row>
    <row r="2886" spans="1:33" hidden="1" x14ac:dyDescent="0.25">
      <c r="A2886" t="str">
        <f>"1528123585"</f>
        <v>1528123585</v>
      </c>
      <c r="B2886" t="str">
        <f>"01110310"</f>
        <v>01110310</v>
      </c>
      <c r="C2886" t="s">
        <v>1920</v>
      </c>
      <c r="D2886" t="s">
        <v>1628</v>
      </c>
      <c r="E2886" t="s">
        <v>1629</v>
      </c>
      <c r="G2886" t="s">
        <v>2260</v>
      </c>
      <c r="H2886" t="s">
        <v>12003</v>
      </c>
      <c r="J2886" t="s">
        <v>1512</v>
      </c>
      <c r="L2886" t="s">
        <v>80</v>
      </c>
      <c r="M2886" t="s">
        <v>73</v>
      </c>
      <c r="R2886" t="s">
        <v>1630</v>
      </c>
      <c r="W2886" t="s">
        <v>1629</v>
      </c>
      <c r="X2886" t="s">
        <v>1631</v>
      </c>
      <c r="Y2886" t="s">
        <v>138</v>
      </c>
      <c r="Z2886" t="s">
        <v>74</v>
      </c>
      <c r="AA2886" t="str">
        <f>"10314-4528"</f>
        <v>10314-4528</v>
      </c>
      <c r="AB2886" t="s">
        <v>75</v>
      </c>
      <c r="AC2886" t="s">
        <v>76</v>
      </c>
      <c r="AD2886" t="s">
        <v>73</v>
      </c>
      <c r="AE2886" t="s">
        <v>77</v>
      </c>
      <c r="AG2886" t="s">
        <v>78</v>
      </c>
    </row>
    <row r="2887" spans="1:33" hidden="1" x14ac:dyDescent="0.25">
      <c r="A2887" t="str">
        <f>"1003972472"</f>
        <v>1003972472</v>
      </c>
      <c r="B2887" t="str">
        <f>"00866853"</f>
        <v>00866853</v>
      </c>
      <c r="C2887" t="s">
        <v>1909</v>
      </c>
      <c r="D2887" t="s">
        <v>1302</v>
      </c>
      <c r="E2887" t="s">
        <v>1303</v>
      </c>
      <c r="G2887" t="s">
        <v>2260</v>
      </c>
      <c r="H2887" t="s">
        <v>12004</v>
      </c>
      <c r="J2887" t="s">
        <v>1512</v>
      </c>
      <c r="L2887" t="s">
        <v>80</v>
      </c>
      <c r="M2887" t="s">
        <v>73</v>
      </c>
      <c r="R2887" t="s">
        <v>1304</v>
      </c>
      <c r="W2887" t="s">
        <v>1303</v>
      </c>
      <c r="X2887" t="s">
        <v>905</v>
      </c>
      <c r="Y2887" t="s">
        <v>91</v>
      </c>
      <c r="Z2887" t="s">
        <v>74</v>
      </c>
      <c r="AA2887" t="str">
        <f>"10003-3851"</f>
        <v>10003-3851</v>
      </c>
      <c r="AB2887" t="s">
        <v>75</v>
      </c>
      <c r="AC2887" t="s">
        <v>76</v>
      </c>
      <c r="AD2887" t="s">
        <v>73</v>
      </c>
      <c r="AE2887" t="s">
        <v>77</v>
      </c>
      <c r="AG2887" t="s">
        <v>78</v>
      </c>
    </row>
    <row r="2888" spans="1:33" hidden="1" x14ac:dyDescent="0.25">
      <c r="A2888" t="str">
        <f>"1275566382"</f>
        <v>1275566382</v>
      </c>
      <c r="B2888" t="str">
        <f>"00856244"</f>
        <v>00856244</v>
      </c>
      <c r="C2888" t="s">
        <v>12005</v>
      </c>
      <c r="D2888" t="s">
        <v>1240</v>
      </c>
      <c r="E2888" t="s">
        <v>1241</v>
      </c>
      <c r="G2888" t="s">
        <v>2260</v>
      </c>
      <c r="H2888" t="s">
        <v>12006</v>
      </c>
      <c r="J2888" t="s">
        <v>1512</v>
      </c>
      <c r="L2888" t="s">
        <v>88</v>
      </c>
      <c r="M2888" t="s">
        <v>73</v>
      </c>
      <c r="R2888" t="s">
        <v>1242</v>
      </c>
      <c r="W2888" t="s">
        <v>1241</v>
      </c>
      <c r="X2888" t="s">
        <v>1243</v>
      </c>
      <c r="Y2888" t="s">
        <v>91</v>
      </c>
      <c r="Z2888" t="s">
        <v>74</v>
      </c>
      <c r="AA2888" t="str">
        <f>"10065-4885"</f>
        <v>10065-4885</v>
      </c>
      <c r="AB2888" t="s">
        <v>75</v>
      </c>
      <c r="AC2888" t="s">
        <v>76</v>
      </c>
      <c r="AD2888" t="s">
        <v>73</v>
      </c>
      <c r="AE2888" t="s">
        <v>77</v>
      </c>
      <c r="AG2888" t="s">
        <v>78</v>
      </c>
    </row>
    <row r="2889" spans="1:33" hidden="1" x14ac:dyDescent="0.25">
      <c r="A2889" t="str">
        <f>"1386656080"</f>
        <v>1386656080</v>
      </c>
      <c r="B2889" t="str">
        <f>"01241203"</f>
        <v>01241203</v>
      </c>
      <c r="C2889" t="s">
        <v>12007</v>
      </c>
      <c r="D2889" t="s">
        <v>12008</v>
      </c>
      <c r="E2889" t="s">
        <v>12009</v>
      </c>
      <c r="L2889" t="s">
        <v>72</v>
      </c>
      <c r="M2889" t="s">
        <v>73</v>
      </c>
      <c r="R2889" t="s">
        <v>12010</v>
      </c>
      <c r="W2889" t="s">
        <v>12009</v>
      </c>
      <c r="X2889" t="s">
        <v>170</v>
      </c>
      <c r="Y2889" t="s">
        <v>91</v>
      </c>
      <c r="Z2889" t="s">
        <v>74</v>
      </c>
      <c r="AA2889" t="str">
        <f>"10065-4870"</f>
        <v>10065-4870</v>
      </c>
      <c r="AB2889" t="s">
        <v>75</v>
      </c>
      <c r="AC2889" t="s">
        <v>76</v>
      </c>
      <c r="AD2889" t="s">
        <v>73</v>
      </c>
      <c r="AE2889" t="s">
        <v>77</v>
      </c>
      <c r="AF2889" t="s">
        <v>2242</v>
      </c>
      <c r="AG2889" t="s">
        <v>78</v>
      </c>
    </row>
    <row r="2890" spans="1:33" hidden="1" x14ac:dyDescent="0.25">
      <c r="A2890" t="str">
        <f>"1609982016"</f>
        <v>1609982016</v>
      </c>
      <c r="B2890" t="str">
        <f>"01953608"</f>
        <v>01953608</v>
      </c>
      <c r="C2890" t="s">
        <v>12011</v>
      </c>
      <c r="D2890" t="s">
        <v>12012</v>
      </c>
      <c r="E2890" t="s">
        <v>12013</v>
      </c>
      <c r="L2890" t="s">
        <v>80</v>
      </c>
      <c r="M2890" t="s">
        <v>73</v>
      </c>
      <c r="R2890" t="s">
        <v>12014</v>
      </c>
      <c r="W2890" t="s">
        <v>12013</v>
      </c>
      <c r="X2890" t="s">
        <v>170</v>
      </c>
      <c r="Y2890" t="s">
        <v>91</v>
      </c>
      <c r="Z2890" t="s">
        <v>74</v>
      </c>
      <c r="AA2890" t="str">
        <f>"10065-4870"</f>
        <v>10065-4870</v>
      </c>
      <c r="AB2890" t="s">
        <v>75</v>
      </c>
      <c r="AC2890" t="s">
        <v>76</v>
      </c>
      <c r="AD2890" t="s">
        <v>73</v>
      </c>
      <c r="AE2890" t="s">
        <v>77</v>
      </c>
      <c r="AF2890" t="s">
        <v>2242</v>
      </c>
      <c r="AG2890" t="s">
        <v>78</v>
      </c>
    </row>
    <row r="2891" spans="1:33" hidden="1" x14ac:dyDescent="0.25">
      <c r="A2891" t="str">
        <f>"1497092530"</f>
        <v>1497092530</v>
      </c>
      <c r="C2891" t="s">
        <v>12015</v>
      </c>
      <c r="G2891" t="s">
        <v>2224</v>
      </c>
      <c r="H2891" t="s">
        <v>2312</v>
      </c>
      <c r="J2891" t="s">
        <v>2226</v>
      </c>
      <c r="K2891" t="s">
        <v>171</v>
      </c>
      <c r="L2891" t="s">
        <v>72</v>
      </c>
      <c r="M2891" t="s">
        <v>73</v>
      </c>
      <c r="R2891" t="s">
        <v>12016</v>
      </c>
      <c r="S2891" t="s">
        <v>12017</v>
      </c>
      <c r="T2891" t="s">
        <v>1176</v>
      </c>
      <c r="U2891" t="s">
        <v>1177</v>
      </c>
      <c r="V2891" t="str">
        <f>"681143629"</f>
        <v>681143629</v>
      </c>
      <c r="AC2891" t="s">
        <v>76</v>
      </c>
      <c r="AD2891" t="s">
        <v>73</v>
      </c>
      <c r="AE2891" t="s">
        <v>97</v>
      </c>
      <c r="AF2891" t="s">
        <v>2234</v>
      </c>
      <c r="AG2891" t="s">
        <v>78</v>
      </c>
    </row>
    <row r="2892" spans="1:33" hidden="1" x14ac:dyDescent="0.25">
      <c r="A2892" t="str">
        <f>"1285877159"</f>
        <v>1285877159</v>
      </c>
      <c r="B2892" t="str">
        <f>"03967517"</f>
        <v>03967517</v>
      </c>
      <c r="C2892" t="s">
        <v>12018</v>
      </c>
      <c r="D2892" t="s">
        <v>12019</v>
      </c>
      <c r="E2892" t="s">
        <v>12020</v>
      </c>
      <c r="G2892" t="s">
        <v>2224</v>
      </c>
      <c r="H2892" t="s">
        <v>2312</v>
      </c>
      <c r="J2892" t="s">
        <v>2226</v>
      </c>
      <c r="L2892" t="s">
        <v>80</v>
      </c>
      <c r="M2892" t="s">
        <v>73</v>
      </c>
      <c r="R2892" t="s">
        <v>12020</v>
      </c>
      <c r="W2892" t="s">
        <v>12021</v>
      </c>
      <c r="X2892" t="s">
        <v>170</v>
      </c>
      <c r="Y2892" t="s">
        <v>91</v>
      </c>
      <c r="Z2892" t="s">
        <v>74</v>
      </c>
      <c r="AA2892" t="str">
        <f>"10065-4870"</f>
        <v>10065-4870</v>
      </c>
      <c r="AB2892" t="s">
        <v>75</v>
      </c>
      <c r="AC2892" t="s">
        <v>76</v>
      </c>
      <c r="AD2892" t="s">
        <v>73</v>
      </c>
      <c r="AE2892" t="s">
        <v>77</v>
      </c>
      <c r="AF2892" t="s">
        <v>2242</v>
      </c>
      <c r="AG2892" t="s">
        <v>78</v>
      </c>
    </row>
    <row r="2893" spans="1:33" hidden="1" x14ac:dyDescent="0.25">
      <c r="A2893" t="str">
        <f>"1669641403"</f>
        <v>1669641403</v>
      </c>
      <c r="B2893" t="str">
        <f>"03490888"</f>
        <v>03490888</v>
      </c>
      <c r="C2893" t="s">
        <v>12022</v>
      </c>
      <c r="D2893" t="s">
        <v>12023</v>
      </c>
      <c r="E2893" t="s">
        <v>12024</v>
      </c>
      <c r="G2893" t="s">
        <v>2224</v>
      </c>
      <c r="H2893" t="s">
        <v>2225</v>
      </c>
      <c r="J2893" t="s">
        <v>2226</v>
      </c>
      <c r="L2893" t="s">
        <v>80</v>
      </c>
      <c r="M2893" t="s">
        <v>73</v>
      </c>
      <c r="R2893" t="s">
        <v>12025</v>
      </c>
      <c r="W2893" t="s">
        <v>12024</v>
      </c>
      <c r="X2893" t="s">
        <v>183</v>
      </c>
      <c r="Y2893" t="s">
        <v>91</v>
      </c>
      <c r="Z2893" t="s">
        <v>74</v>
      </c>
      <c r="AA2893" t="str">
        <f>"10032-3729"</f>
        <v>10032-3729</v>
      </c>
      <c r="AB2893" t="s">
        <v>75</v>
      </c>
      <c r="AC2893" t="s">
        <v>76</v>
      </c>
      <c r="AD2893" t="s">
        <v>73</v>
      </c>
      <c r="AE2893" t="s">
        <v>77</v>
      </c>
      <c r="AF2893" t="s">
        <v>2254</v>
      </c>
      <c r="AG2893" t="s">
        <v>78</v>
      </c>
    </row>
    <row r="2894" spans="1:33" hidden="1" x14ac:dyDescent="0.25">
      <c r="A2894" t="str">
        <f>"1356438444"</f>
        <v>1356438444</v>
      </c>
      <c r="B2894" t="str">
        <f>"00614773"</f>
        <v>00614773</v>
      </c>
      <c r="C2894" t="s">
        <v>12026</v>
      </c>
      <c r="D2894" t="s">
        <v>12027</v>
      </c>
      <c r="E2894" t="s">
        <v>12028</v>
      </c>
      <c r="G2894" t="s">
        <v>2224</v>
      </c>
      <c r="H2894" t="s">
        <v>2225</v>
      </c>
      <c r="J2894" t="s">
        <v>2226</v>
      </c>
      <c r="L2894" t="s">
        <v>88</v>
      </c>
      <c r="M2894" t="s">
        <v>73</v>
      </c>
      <c r="R2894" t="s">
        <v>12029</v>
      </c>
      <c r="W2894" t="s">
        <v>12030</v>
      </c>
      <c r="X2894" t="s">
        <v>4943</v>
      </c>
      <c r="Y2894" t="s">
        <v>91</v>
      </c>
      <c r="Z2894" t="s">
        <v>74</v>
      </c>
      <c r="AA2894" t="str">
        <f>"10075-2304"</f>
        <v>10075-2304</v>
      </c>
      <c r="AB2894" t="s">
        <v>75</v>
      </c>
      <c r="AC2894" t="s">
        <v>76</v>
      </c>
      <c r="AD2894" t="s">
        <v>73</v>
      </c>
      <c r="AE2894" t="s">
        <v>77</v>
      </c>
      <c r="AF2894" t="s">
        <v>2398</v>
      </c>
      <c r="AG2894" t="s">
        <v>78</v>
      </c>
    </row>
    <row r="2895" spans="1:33" hidden="1" x14ac:dyDescent="0.25">
      <c r="A2895" t="str">
        <f>"1376851576"</f>
        <v>1376851576</v>
      </c>
      <c r="B2895" t="str">
        <f>"03689190"</f>
        <v>03689190</v>
      </c>
      <c r="C2895" t="s">
        <v>12031</v>
      </c>
      <c r="D2895" t="s">
        <v>12032</v>
      </c>
      <c r="E2895" t="s">
        <v>12033</v>
      </c>
      <c r="G2895" t="s">
        <v>2514</v>
      </c>
      <c r="H2895" t="s">
        <v>12034</v>
      </c>
      <c r="J2895" t="s">
        <v>2516</v>
      </c>
      <c r="L2895" t="s">
        <v>96</v>
      </c>
      <c r="M2895" t="s">
        <v>73</v>
      </c>
      <c r="R2895" t="s">
        <v>12035</v>
      </c>
      <c r="W2895" t="s">
        <v>12033</v>
      </c>
      <c r="X2895" t="s">
        <v>1929</v>
      </c>
      <c r="Y2895" t="s">
        <v>91</v>
      </c>
      <c r="Z2895" t="s">
        <v>74</v>
      </c>
      <c r="AA2895" t="str">
        <f>"10032-4207"</f>
        <v>10032-4207</v>
      </c>
      <c r="AB2895" t="s">
        <v>113</v>
      </c>
      <c r="AC2895" t="s">
        <v>76</v>
      </c>
      <c r="AD2895" t="s">
        <v>73</v>
      </c>
      <c r="AE2895" t="s">
        <v>77</v>
      </c>
      <c r="AF2895" t="s">
        <v>2518</v>
      </c>
      <c r="AG2895" t="s">
        <v>78</v>
      </c>
    </row>
    <row r="2896" spans="1:33" hidden="1" x14ac:dyDescent="0.25">
      <c r="A2896" t="str">
        <f>"1922208362"</f>
        <v>1922208362</v>
      </c>
      <c r="B2896" t="str">
        <f>"03310056"</f>
        <v>03310056</v>
      </c>
      <c r="C2896" t="s">
        <v>12036</v>
      </c>
      <c r="D2896" t="s">
        <v>12037</v>
      </c>
      <c r="E2896" t="s">
        <v>12038</v>
      </c>
      <c r="G2896" t="s">
        <v>2514</v>
      </c>
      <c r="H2896" t="s">
        <v>12039</v>
      </c>
      <c r="J2896" t="s">
        <v>2516</v>
      </c>
      <c r="L2896" t="s">
        <v>72</v>
      </c>
      <c r="M2896" t="s">
        <v>73</v>
      </c>
      <c r="R2896" t="s">
        <v>12038</v>
      </c>
      <c r="W2896" t="s">
        <v>12038</v>
      </c>
      <c r="X2896" t="s">
        <v>12040</v>
      </c>
      <c r="Y2896" t="s">
        <v>91</v>
      </c>
      <c r="Z2896" t="s">
        <v>74</v>
      </c>
      <c r="AA2896" t="str">
        <f>"10032-4207"</f>
        <v>10032-4207</v>
      </c>
      <c r="AB2896" t="s">
        <v>75</v>
      </c>
      <c r="AC2896" t="s">
        <v>76</v>
      </c>
      <c r="AD2896" t="s">
        <v>73</v>
      </c>
      <c r="AE2896" t="s">
        <v>77</v>
      </c>
      <c r="AF2896" t="s">
        <v>2518</v>
      </c>
      <c r="AG2896" t="s">
        <v>78</v>
      </c>
    </row>
    <row r="2897" spans="1:33" hidden="1" x14ac:dyDescent="0.25">
      <c r="A2897" t="str">
        <f>"1386714491"</f>
        <v>1386714491</v>
      </c>
      <c r="B2897" t="str">
        <f>"02644791"</f>
        <v>02644791</v>
      </c>
      <c r="C2897" t="s">
        <v>12041</v>
      </c>
      <c r="D2897" t="s">
        <v>12042</v>
      </c>
      <c r="E2897" t="s">
        <v>12043</v>
      </c>
      <c r="G2897" t="s">
        <v>2224</v>
      </c>
      <c r="H2897" t="s">
        <v>2225</v>
      </c>
      <c r="J2897" t="s">
        <v>2226</v>
      </c>
      <c r="L2897" t="s">
        <v>72</v>
      </c>
      <c r="M2897" t="s">
        <v>73</v>
      </c>
      <c r="R2897" t="s">
        <v>12044</v>
      </c>
      <c r="W2897" t="s">
        <v>12043</v>
      </c>
      <c r="X2897" t="s">
        <v>236</v>
      </c>
      <c r="Y2897" t="s">
        <v>91</v>
      </c>
      <c r="Z2897" t="s">
        <v>74</v>
      </c>
      <c r="AA2897" t="str">
        <f>"10034-1159"</f>
        <v>10034-1159</v>
      </c>
      <c r="AB2897" t="s">
        <v>75</v>
      </c>
      <c r="AC2897" t="s">
        <v>76</v>
      </c>
      <c r="AD2897" t="s">
        <v>73</v>
      </c>
      <c r="AE2897" t="s">
        <v>77</v>
      </c>
      <c r="AF2897" t="s">
        <v>2228</v>
      </c>
      <c r="AG2897" t="s">
        <v>78</v>
      </c>
    </row>
    <row r="2898" spans="1:33" hidden="1" x14ac:dyDescent="0.25">
      <c r="A2898" t="str">
        <f>"1902997943"</f>
        <v>1902997943</v>
      </c>
      <c r="B2898" t="str">
        <f>"02803336"</f>
        <v>02803336</v>
      </c>
      <c r="C2898" t="s">
        <v>12045</v>
      </c>
      <c r="D2898" t="s">
        <v>793</v>
      </c>
      <c r="E2898" t="s">
        <v>794</v>
      </c>
      <c r="G2898" t="s">
        <v>2224</v>
      </c>
      <c r="H2898" t="s">
        <v>2225</v>
      </c>
      <c r="J2898" t="s">
        <v>2226</v>
      </c>
      <c r="L2898" t="s">
        <v>81</v>
      </c>
      <c r="M2898" t="s">
        <v>82</v>
      </c>
      <c r="R2898" t="s">
        <v>795</v>
      </c>
      <c r="W2898" t="s">
        <v>794</v>
      </c>
      <c r="X2898" t="s">
        <v>796</v>
      </c>
      <c r="Y2898" t="s">
        <v>137</v>
      </c>
      <c r="Z2898" t="s">
        <v>74</v>
      </c>
      <c r="AA2898" t="str">
        <f>"12603-2808"</f>
        <v>12603-2808</v>
      </c>
      <c r="AB2898" t="s">
        <v>75</v>
      </c>
      <c r="AC2898" t="s">
        <v>76</v>
      </c>
      <c r="AD2898" t="s">
        <v>73</v>
      </c>
      <c r="AE2898" t="s">
        <v>77</v>
      </c>
      <c r="AF2898" t="s">
        <v>2242</v>
      </c>
      <c r="AG2898" t="s">
        <v>78</v>
      </c>
    </row>
    <row r="2899" spans="1:33" hidden="1" x14ac:dyDescent="0.25">
      <c r="A2899" t="str">
        <f>"1710975404"</f>
        <v>1710975404</v>
      </c>
      <c r="B2899" t="str">
        <f>"02975271"</f>
        <v>02975271</v>
      </c>
      <c r="C2899" t="s">
        <v>12046</v>
      </c>
      <c r="D2899" t="s">
        <v>12047</v>
      </c>
      <c r="E2899" t="s">
        <v>12048</v>
      </c>
      <c r="G2899" t="s">
        <v>2224</v>
      </c>
      <c r="H2899" t="s">
        <v>2225</v>
      </c>
      <c r="J2899" t="s">
        <v>2226</v>
      </c>
      <c r="L2899" t="s">
        <v>80</v>
      </c>
      <c r="M2899" t="s">
        <v>73</v>
      </c>
      <c r="R2899" t="s">
        <v>12049</v>
      </c>
      <c r="W2899" t="s">
        <v>12050</v>
      </c>
      <c r="X2899" t="s">
        <v>1583</v>
      </c>
      <c r="Y2899" t="s">
        <v>91</v>
      </c>
      <c r="Z2899" t="s">
        <v>74</v>
      </c>
      <c r="AA2899" t="str">
        <f>"10021-9800"</f>
        <v>10021-9800</v>
      </c>
      <c r="AB2899" t="s">
        <v>75</v>
      </c>
      <c r="AC2899" t="s">
        <v>76</v>
      </c>
      <c r="AD2899" t="s">
        <v>73</v>
      </c>
      <c r="AE2899" t="s">
        <v>77</v>
      </c>
      <c r="AF2899" t="s">
        <v>2242</v>
      </c>
      <c r="AG2899" t="s">
        <v>78</v>
      </c>
    </row>
    <row r="2900" spans="1:33" hidden="1" x14ac:dyDescent="0.25">
      <c r="A2900" t="str">
        <f>"1740522283"</f>
        <v>1740522283</v>
      </c>
      <c r="C2900" t="s">
        <v>12051</v>
      </c>
      <c r="G2900" t="s">
        <v>2224</v>
      </c>
      <c r="H2900" t="s">
        <v>2312</v>
      </c>
      <c r="J2900" t="s">
        <v>2226</v>
      </c>
      <c r="K2900" t="s">
        <v>171</v>
      </c>
      <c r="L2900" t="s">
        <v>96</v>
      </c>
      <c r="M2900" t="s">
        <v>73</v>
      </c>
      <c r="R2900" t="s">
        <v>12052</v>
      </c>
      <c r="S2900" t="s">
        <v>3387</v>
      </c>
      <c r="T2900" t="s">
        <v>91</v>
      </c>
      <c r="U2900" t="s">
        <v>74</v>
      </c>
      <c r="V2900" t="str">
        <f>"100323720"</f>
        <v>100323720</v>
      </c>
      <c r="AC2900" t="s">
        <v>76</v>
      </c>
      <c r="AD2900" t="s">
        <v>73</v>
      </c>
      <c r="AE2900" t="s">
        <v>97</v>
      </c>
      <c r="AF2900" t="s">
        <v>2228</v>
      </c>
      <c r="AG2900" t="s">
        <v>78</v>
      </c>
    </row>
    <row r="2901" spans="1:33" hidden="1" x14ac:dyDescent="0.25">
      <c r="A2901" t="str">
        <f>"1700128170"</f>
        <v>1700128170</v>
      </c>
      <c r="C2901" t="s">
        <v>12053</v>
      </c>
      <c r="G2901" t="s">
        <v>2224</v>
      </c>
      <c r="H2901" t="s">
        <v>2312</v>
      </c>
      <c r="J2901" t="s">
        <v>2226</v>
      </c>
      <c r="K2901" t="s">
        <v>171</v>
      </c>
      <c r="L2901" t="s">
        <v>96</v>
      </c>
      <c r="M2901" t="s">
        <v>73</v>
      </c>
      <c r="R2901" t="s">
        <v>12054</v>
      </c>
      <c r="S2901" t="s">
        <v>167</v>
      </c>
      <c r="T2901" t="s">
        <v>91</v>
      </c>
      <c r="U2901" t="s">
        <v>74</v>
      </c>
      <c r="V2901" t="str">
        <f>"100323720"</f>
        <v>100323720</v>
      </c>
      <c r="AC2901" t="s">
        <v>76</v>
      </c>
      <c r="AD2901" t="s">
        <v>73</v>
      </c>
      <c r="AE2901" t="s">
        <v>97</v>
      </c>
      <c r="AF2901" t="s">
        <v>2228</v>
      </c>
      <c r="AG2901" t="s">
        <v>78</v>
      </c>
    </row>
    <row r="2902" spans="1:33" hidden="1" x14ac:dyDescent="0.25">
      <c r="A2902" t="str">
        <f>"1124386586"</f>
        <v>1124386586</v>
      </c>
      <c r="C2902" t="s">
        <v>12055</v>
      </c>
      <c r="G2902" t="s">
        <v>2224</v>
      </c>
      <c r="H2902" t="s">
        <v>2312</v>
      </c>
      <c r="J2902" t="s">
        <v>2226</v>
      </c>
      <c r="K2902" t="s">
        <v>171</v>
      </c>
      <c r="L2902" t="s">
        <v>96</v>
      </c>
      <c r="M2902" t="s">
        <v>73</v>
      </c>
      <c r="R2902" t="s">
        <v>12056</v>
      </c>
      <c r="S2902" t="s">
        <v>1444</v>
      </c>
      <c r="T2902" t="s">
        <v>91</v>
      </c>
      <c r="U2902" t="s">
        <v>74</v>
      </c>
      <c r="V2902" t="str">
        <f>"100323733"</f>
        <v>100323733</v>
      </c>
      <c r="AC2902" t="s">
        <v>76</v>
      </c>
      <c r="AD2902" t="s">
        <v>73</v>
      </c>
      <c r="AE2902" t="s">
        <v>97</v>
      </c>
      <c r="AF2902" t="s">
        <v>2228</v>
      </c>
      <c r="AG2902" t="s">
        <v>78</v>
      </c>
    </row>
    <row r="2903" spans="1:33" hidden="1" x14ac:dyDescent="0.25">
      <c r="A2903" t="str">
        <f>"1447448998"</f>
        <v>1447448998</v>
      </c>
      <c r="B2903" t="str">
        <f>"03416039"</f>
        <v>03416039</v>
      </c>
      <c r="C2903" t="s">
        <v>12057</v>
      </c>
      <c r="D2903" t="s">
        <v>12058</v>
      </c>
      <c r="E2903" t="s">
        <v>12059</v>
      </c>
      <c r="L2903" t="s">
        <v>80</v>
      </c>
      <c r="M2903" t="s">
        <v>73</v>
      </c>
      <c r="R2903" t="s">
        <v>12060</v>
      </c>
      <c r="W2903" t="s">
        <v>12061</v>
      </c>
      <c r="X2903" t="s">
        <v>272</v>
      </c>
      <c r="Y2903" t="s">
        <v>91</v>
      </c>
      <c r="Z2903" t="s">
        <v>74</v>
      </c>
      <c r="AA2903" t="str">
        <f>"10038-2612"</f>
        <v>10038-2612</v>
      </c>
      <c r="AB2903" t="s">
        <v>75</v>
      </c>
      <c r="AC2903" t="s">
        <v>76</v>
      </c>
      <c r="AD2903" t="s">
        <v>73</v>
      </c>
      <c r="AE2903" t="s">
        <v>77</v>
      </c>
      <c r="AG2903" t="s">
        <v>78</v>
      </c>
    </row>
    <row r="2904" spans="1:33" hidden="1" x14ac:dyDescent="0.25">
      <c r="A2904" t="str">
        <f>"1508887514"</f>
        <v>1508887514</v>
      </c>
      <c r="B2904" t="str">
        <f>"02783484"</f>
        <v>02783484</v>
      </c>
      <c r="C2904" t="s">
        <v>12062</v>
      </c>
      <c r="D2904" t="s">
        <v>12063</v>
      </c>
      <c r="E2904" t="s">
        <v>12064</v>
      </c>
      <c r="G2904" t="s">
        <v>2224</v>
      </c>
      <c r="H2904" t="s">
        <v>4189</v>
      </c>
      <c r="J2904" t="s">
        <v>2226</v>
      </c>
      <c r="L2904" t="s">
        <v>80</v>
      </c>
      <c r="M2904" t="s">
        <v>73</v>
      </c>
      <c r="R2904" t="s">
        <v>12065</v>
      </c>
      <c r="W2904" t="s">
        <v>12064</v>
      </c>
      <c r="AB2904" t="s">
        <v>75</v>
      </c>
      <c r="AC2904" t="s">
        <v>76</v>
      </c>
      <c r="AD2904" t="s">
        <v>73</v>
      </c>
      <c r="AE2904" t="s">
        <v>77</v>
      </c>
      <c r="AF2904" t="s">
        <v>2242</v>
      </c>
      <c r="AG2904" t="s">
        <v>78</v>
      </c>
    </row>
    <row r="2905" spans="1:33" hidden="1" x14ac:dyDescent="0.25">
      <c r="A2905" t="str">
        <f>"1487648580"</f>
        <v>1487648580</v>
      </c>
      <c r="B2905" t="str">
        <f>"02795600"</f>
        <v>02795600</v>
      </c>
      <c r="C2905" t="s">
        <v>12066</v>
      </c>
      <c r="D2905" t="s">
        <v>12067</v>
      </c>
      <c r="E2905" t="s">
        <v>12068</v>
      </c>
      <c r="G2905" t="s">
        <v>2224</v>
      </c>
      <c r="H2905" t="s">
        <v>4194</v>
      </c>
      <c r="J2905" t="s">
        <v>2226</v>
      </c>
      <c r="L2905" t="s">
        <v>80</v>
      </c>
      <c r="M2905" t="s">
        <v>73</v>
      </c>
      <c r="R2905" t="s">
        <v>12068</v>
      </c>
      <c r="W2905" t="s">
        <v>12068</v>
      </c>
      <c r="X2905" t="s">
        <v>12069</v>
      </c>
      <c r="Y2905" t="s">
        <v>91</v>
      </c>
      <c r="Z2905" t="s">
        <v>74</v>
      </c>
      <c r="AA2905" t="str">
        <f>"10065-8197"</f>
        <v>10065-8197</v>
      </c>
      <c r="AB2905" t="s">
        <v>75</v>
      </c>
      <c r="AC2905" t="s">
        <v>76</v>
      </c>
      <c r="AD2905" t="s">
        <v>73</v>
      </c>
      <c r="AE2905" t="s">
        <v>77</v>
      </c>
      <c r="AF2905" t="s">
        <v>2242</v>
      </c>
      <c r="AG2905" t="s">
        <v>78</v>
      </c>
    </row>
    <row r="2906" spans="1:33" hidden="1" x14ac:dyDescent="0.25">
      <c r="A2906" t="str">
        <f>"1801034194"</f>
        <v>1801034194</v>
      </c>
      <c r="B2906" t="str">
        <f>"03400231"</f>
        <v>03400231</v>
      </c>
      <c r="C2906" t="s">
        <v>12070</v>
      </c>
      <c r="D2906" t="s">
        <v>12071</v>
      </c>
      <c r="E2906" t="s">
        <v>12072</v>
      </c>
      <c r="L2906" t="s">
        <v>72</v>
      </c>
      <c r="M2906" t="s">
        <v>73</v>
      </c>
      <c r="R2906" t="s">
        <v>12073</v>
      </c>
      <c r="W2906" t="s">
        <v>12072</v>
      </c>
      <c r="X2906" t="s">
        <v>542</v>
      </c>
      <c r="Y2906" t="s">
        <v>112</v>
      </c>
      <c r="Z2906" t="s">
        <v>74</v>
      </c>
      <c r="AA2906" t="str">
        <f>"14621-3001"</f>
        <v>14621-3001</v>
      </c>
      <c r="AB2906" t="s">
        <v>75</v>
      </c>
      <c r="AC2906" t="s">
        <v>76</v>
      </c>
      <c r="AD2906" t="s">
        <v>73</v>
      </c>
      <c r="AE2906" t="s">
        <v>77</v>
      </c>
      <c r="AG2906" t="s">
        <v>78</v>
      </c>
    </row>
    <row r="2907" spans="1:33" hidden="1" x14ac:dyDescent="0.25">
      <c r="A2907" t="str">
        <f>"1619152725"</f>
        <v>1619152725</v>
      </c>
      <c r="B2907" t="str">
        <f>"03339580"</f>
        <v>03339580</v>
      </c>
      <c r="C2907" t="s">
        <v>12074</v>
      </c>
      <c r="D2907" t="s">
        <v>1613</v>
      </c>
      <c r="E2907" t="s">
        <v>1614</v>
      </c>
      <c r="G2907" t="s">
        <v>2260</v>
      </c>
      <c r="H2907" t="s">
        <v>12075</v>
      </c>
      <c r="J2907" t="s">
        <v>1512</v>
      </c>
      <c r="L2907" t="s">
        <v>72</v>
      </c>
      <c r="M2907" t="s">
        <v>73</v>
      </c>
      <c r="R2907" t="s">
        <v>1615</v>
      </c>
      <c r="W2907" t="s">
        <v>1614</v>
      </c>
      <c r="X2907" t="s">
        <v>1167</v>
      </c>
      <c r="Y2907" t="s">
        <v>91</v>
      </c>
      <c r="Z2907" t="s">
        <v>74</v>
      </c>
      <c r="AA2907" t="str">
        <f>"10065-4870"</f>
        <v>10065-4870</v>
      </c>
      <c r="AB2907" t="s">
        <v>75</v>
      </c>
      <c r="AC2907" t="s">
        <v>76</v>
      </c>
      <c r="AD2907" t="s">
        <v>73</v>
      </c>
      <c r="AE2907" t="s">
        <v>77</v>
      </c>
      <c r="AF2907" t="s">
        <v>2242</v>
      </c>
      <c r="AG2907" t="s">
        <v>78</v>
      </c>
    </row>
    <row r="2908" spans="1:33" hidden="1" x14ac:dyDescent="0.25">
      <c r="A2908" t="str">
        <f>"1124096888"</f>
        <v>1124096888</v>
      </c>
      <c r="B2908" t="str">
        <f>"00146814"</f>
        <v>00146814</v>
      </c>
      <c r="C2908" t="s">
        <v>12076</v>
      </c>
      <c r="D2908" t="s">
        <v>1663</v>
      </c>
      <c r="E2908" t="s">
        <v>1664</v>
      </c>
      <c r="G2908" t="s">
        <v>2260</v>
      </c>
      <c r="H2908" t="s">
        <v>12077</v>
      </c>
      <c r="J2908" t="s">
        <v>1512</v>
      </c>
      <c r="L2908" t="s">
        <v>96</v>
      </c>
      <c r="M2908" t="s">
        <v>73</v>
      </c>
      <c r="R2908" t="s">
        <v>1665</v>
      </c>
      <c r="W2908" t="s">
        <v>1666</v>
      </c>
      <c r="AB2908" t="s">
        <v>75</v>
      </c>
      <c r="AC2908" t="s">
        <v>76</v>
      </c>
      <c r="AD2908" t="s">
        <v>73</v>
      </c>
      <c r="AE2908" t="s">
        <v>77</v>
      </c>
      <c r="AG2908" t="s">
        <v>78</v>
      </c>
    </row>
    <row r="2909" spans="1:33" hidden="1" x14ac:dyDescent="0.25">
      <c r="A2909" t="str">
        <f>"1790817716"</f>
        <v>1790817716</v>
      </c>
      <c r="C2909" t="s">
        <v>12078</v>
      </c>
      <c r="G2909" t="s">
        <v>2260</v>
      </c>
      <c r="H2909" t="s">
        <v>12079</v>
      </c>
      <c r="J2909" t="s">
        <v>1512</v>
      </c>
      <c r="K2909" t="s">
        <v>507</v>
      </c>
      <c r="L2909" t="s">
        <v>96</v>
      </c>
      <c r="M2909" t="s">
        <v>73</v>
      </c>
      <c r="R2909" t="s">
        <v>1667</v>
      </c>
      <c r="S2909" t="s">
        <v>1668</v>
      </c>
      <c r="T2909" t="s">
        <v>91</v>
      </c>
      <c r="U2909" t="s">
        <v>74</v>
      </c>
      <c r="V2909" t="str">
        <f>"100221117"</f>
        <v>100221117</v>
      </c>
      <c r="AC2909" t="s">
        <v>76</v>
      </c>
      <c r="AD2909" t="s">
        <v>73</v>
      </c>
      <c r="AE2909" t="s">
        <v>97</v>
      </c>
      <c r="AF2909" t="s">
        <v>2242</v>
      </c>
      <c r="AG2909" t="s">
        <v>78</v>
      </c>
    </row>
    <row r="2910" spans="1:33" hidden="1" x14ac:dyDescent="0.25">
      <c r="A2910" t="str">
        <f>"1023129384"</f>
        <v>1023129384</v>
      </c>
      <c r="B2910" t="str">
        <f>"02267949"</f>
        <v>02267949</v>
      </c>
      <c r="C2910" t="s">
        <v>12080</v>
      </c>
      <c r="D2910" t="s">
        <v>1619</v>
      </c>
      <c r="E2910" t="s">
        <v>1620</v>
      </c>
      <c r="G2910" t="s">
        <v>2260</v>
      </c>
      <c r="H2910" t="s">
        <v>12081</v>
      </c>
      <c r="J2910" t="s">
        <v>1512</v>
      </c>
      <c r="L2910" t="s">
        <v>81</v>
      </c>
      <c r="M2910" t="s">
        <v>73</v>
      </c>
      <c r="R2910" t="s">
        <v>1621</v>
      </c>
      <c r="W2910" t="s">
        <v>1620</v>
      </c>
      <c r="X2910" t="s">
        <v>1622</v>
      </c>
      <c r="Y2910" t="s">
        <v>91</v>
      </c>
      <c r="Z2910" t="s">
        <v>74</v>
      </c>
      <c r="AA2910" t="str">
        <f>"10040-3802"</f>
        <v>10040-3802</v>
      </c>
      <c r="AB2910" t="s">
        <v>75</v>
      </c>
      <c r="AC2910" t="s">
        <v>76</v>
      </c>
      <c r="AD2910" t="s">
        <v>73</v>
      </c>
      <c r="AE2910" t="s">
        <v>77</v>
      </c>
      <c r="AG2910" t="s">
        <v>78</v>
      </c>
    </row>
    <row r="2911" spans="1:33" hidden="1" x14ac:dyDescent="0.25">
      <c r="A2911" t="str">
        <f>"1982948808"</f>
        <v>1982948808</v>
      </c>
      <c r="C2911" t="s">
        <v>12082</v>
      </c>
      <c r="G2911" t="s">
        <v>2224</v>
      </c>
      <c r="H2911" t="s">
        <v>2312</v>
      </c>
      <c r="J2911" t="s">
        <v>2226</v>
      </c>
      <c r="K2911" t="s">
        <v>171</v>
      </c>
      <c r="L2911" t="s">
        <v>96</v>
      </c>
      <c r="M2911" t="s">
        <v>73</v>
      </c>
      <c r="R2911" t="s">
        <v>12083</v>
      </c>
      <c r="S2911" t="s">
        <v>164</v>
      </c>
      <c r="T2911" t="s">
        <v>137</v>
      </c>
      <c r="U2911" t="s">
        <v>74</v>
      </c>
      <c r="V2911" t="str">
        <f>"126013947"</f>
        <v>126013947</v>
      </c>
      <c r="AC2911" t="s">
        <v>76</v>
      </c>
      <c r="AD2911" t="s">
        <v>73</v>
      </c>
      <c r="AE2911" t="s">
        <v>97</v>
      </c>
      <c r="AF2911" t="s">
        <v>2242</v>
      </c>
      <c r="AG2911" t="s">
        <v>78</v>
      </c>
    </row>
    <row r="2912" spans="1:33" hidden="1" x14ac:dyDescent="0.25">
      <c r="A2912" t="str">
        <f>"1346488178"</f>
        <v>1346488178</v>
      </c>
      <c r="B2912" t="str">
        <f>"03623498"</f>
        <v>03623498</v>
      </c>
      <c r="C2912" t="s">
        <v>12084</v>
      </c>
      <c r="D2912" t="s">
        <v>12085</v>
      </c>
      <c r="E2912" t="s">
        <v>12086</v>
      </c>
      <c r="L2912" t="s">
        <v>80</v>
      </c>
      <c r="M2912" t="s">
        <v>73</v>
      </c>
      <c r="R2912" t="s">
        <v>12086</v>
      </c>
      <c r="W2912" t="s">
        <v>12086</v>
      </c>
      <c r="X2912" t="s">
        <v>170</v>
      </c>
      <c r="Y2912" t="s">
        <v>91</v>
      </c>
      <c r="Z2912" t="s">
        <v>74</v>
      </c>
      <c r="AA2912" t="str">
        <f>"10065-4870"</f>
        <v>10065-4870</v>
      </c>
      <c r="AB2912" t="s">
        <v>75</v>
      </c>
      <c r="AC2912" t="s">
        <v>76</v>
      </c>
      <c r="AD2912" t="s">
        <v>73</v>
      </c>
      <c r="AE2912" t="s">
        <v>77</v>
      </c>
      <c r="AF2912" t="s">
        <v>2242</v>
      </c>
      <c r="AG2912" t="s">
        <v>78</v>
      </c>
    </row>
    <row r="2913" spans="1:33" hidden="1" x14ac:dyDescent="0.25">
      <c r="A2913" t="str">
        <f>"1871541011"</f>
        <v>1871541011</v>
      </c>
      <c r="B2913" t="str">
        <f>"03384214"</f>
        <v>03384214</v>
      </c>
      <c r="C2913" t="s">
        <v>12087</v>
      </c>
      <c r="D2913" t="s">
        <v>12088</v>
      </c>
      <c r="E2913" t="s">
        <v>12089</v>
      </c>
      <c r="G2913" t="s">
        <v>2224</v>
      </c>
      <c r="H2913" t="s">
        <v>2225</v>
      </c>
      <c r="J2913" t="s">
        <v>2226</v>
      </c>
      <c r="L2913" t="s">
        <v>72</v>
      </c>
      <c r="M2913" t="s">
        <v>73</v>
      </c>
      <c r="R2913" t="s">
        <v>12090</v>
      </c>
      <c r="W2913" t="s">
        <v>12089</v>
      </c>
      <c r="X2913" t="s">
        <v>167</v>
      </c>
      <c r="Y2913" t="s">
        <v>91</v>
      </c>
      <c r="Z2913" t="s">
        <v>74</v>
      </c>
      <c r="AA2913" t="str">
        <f>"10032-3720"</f>
        <v>10032-3720</v>
      </c>
      <c r="AB2913" t="s">
        <v>75</v>
      </c>
      <c r="AC2913" t="s">
        <v>76</v>
      </c>
      <c r="AD2913" t="s">
        <v>73</v>
      </c>
      <c r="AE2913" t="s">
        <v>77</v>
      </c>
      <c r="AF2913" t="s">
        <v>2228</v>
      </c>
      <c r="AG2913" t="s">
        <v>78</v>
      </c>
    </row>
    <row r="2914" spans="1:33" hidden="1" x14ac:dyDescent="0.25">
      <c r="A2914" t="str">
        <f>"1851559827"</f>
        <v>1851559827</v>
      </c>
      <c r="B2914" t="str">
        <f>"03242440"</f>
        <v>03242440</v>
      </c>
      <c r="C2914" t="s">
        <v>2214</v>
      </c>
      <c r="D2914" t="s">
        <v>12091</v>
      </c>
      <c r="E2914" t="s">
        <v>12092</v>
      </c>
      <c r="G2914" t="s">
        <v>2224</v>
      </c>
      <c r="H2914" t="s">
        <v>2225</v>
      </c>
      <c r="J2914" t="s">
        <v>2226</v>
      </c>
      <c r="L2914" t="s">
        <v>100</v>
      </c>
      <c r="M2914" t="s">
        <v>73</v>
      </c>
      <c r="R2914" t="s">
        <v>12093</v>
      </c>
      <c r="W2914" t="s">
        <v>12094</v>
      </c>
      <c r="X2914" t="s">
        <v>1444</v>
      </c>
      <c r="Y2914" t="s">
        <v>91</v>
      </c>
      <c r="Z2914" t="s">
        <v>74</v>
      </c>
      <c r="AA2914" t="str">
        <f>"10032-3733"</f>
        <v>10032-3733</v>
      </c>
      <c r="AB2914" t="s">
        <v>75</v>
      </c>
      <c r="AC2914" t="s">
        <v>76</v>
      </c>
      <c r="AD2914" t="s">
        <v>73</v>
      </c>
      <c r="AE2914" t="s">
        <v>77</v>
      </c>
      <c r="AF2914" t="s">
        <v>2228</v>
      </c>
      <c r="AG2914" t="s">
        <v>78</v>
      </c>
    </row>
    <row r="2915" spans="1:33" hidden="1" x14ac:dyDescent="0.25">
      <c r="A2915" t="str">
        <f>"1497034151"</f>
        <v>1497034151</v>
      </c>
      <c r="C2915" t="s">
        <v>12095</v>
      </c>
      <c r="G2915" t="s">
        <v>2224</v>
      </c>
      <c r="H2915" t="s">
        <v>2225</v>
      </c>
      <c r="J2915" t="s">
        <v>2226</v>
      </c>
      <c r="K2915" t="s">
        <v>93</v>
      </c>
      <c r="L2915" t="s">
        <v>96</v>
      </c>
      <c r="M2915" t="s">
        <v>73</v>
      </c>
      <c r="R2915" t="s">
        <v>12096</v>
      </c>
      <c r="S2915" t="s">
        <v>1573</v>
      </c>
      <c r="T2915" t="s">
        <v>91</v>
      </c>
      <c r="U2915" t="s">
        <v>74</v>
      </c>
      <c r="V2915" t="str">
        <f>"100166402"</f>
        <v>100166402</v>
      </c>
      <c r="AC2915" t="s">
        <v>76</v>
      </c>
      <c r="AD2915" t="s">
        <v>73</v>
      </c>
      <c r="AE2915" t="s">
        <v>97</v>
      </c>
      <c r="AF2915" t="s">
        <v>2228</v>
      </c>
      <c r="AG2915" t="s">
        <v>78</v>
      </c>
    </row>
    <row r="2916" spans="1:33" hidden="1" x14ac:dyDescent="0.25">
      <c r="A2916" t="str">
        <f>"1538383013"</f>
        <v>1538383013</v>
      </c>
      <c r="B2916" t="str">
        <f>"02988287"</f>
        <v>02988287</v>
      </c>
      <c r="C2916" t="s">
        <v>12097</v>
      </c>
      <c r="D2916" t="s">
        <v>12098</v>
      </c>
      <c r="E2916" t="s">
        <v>12099</v>
      </c>
      <c r="G2916" t="s">
        <v>2224</v>
      </c>
      <c r="H2916" t="s">
        <v>2225</v>
      </c>
      <c r="J2916" t="s">
        <v>2226</v>
      </c>
      <c r="L2916" t="s">
        <v>72</v>
      </c>
      <c r="M2916" t="s">
        <v>73</v>
      </c>
      <c r="R2916" t="s">
        <v>12100</v>
      </c>
      <c r="W2916" t="s">
        <v>12101</v>
      </c>
      <c r="X2916" t="s">
        <v>167</v>
      </c>
      <c r="Y2916" t="s">
        <v>91</v>
      </c>
      <c r="Z2916" t="s">
        <v>74</v>
      </c>
      <c r="AA2916" t="str">
        <f>"10032-3720"</f>
        <v>10032-3720</v>
      </c>
      <c r="AB2916" t="s">
        <v>75</v>
      </c>
      <c r="AC2916" t="s">
        <v>76</v>
      </c>
      <c r="AD2916" t="s">
        <v>73</v>
      </c>
      <c r="AE2916" t="s">
        <v>77</v>
      </c>
      <c r="AF2916" t="s">
        <v>2228</v>
      </c>
      <c r="AG2916" t="s">
        <v>78</v>
      </c>
    </row>
    <row r="2917" spans="1:33" hidden="1" x14ac:dyDescent="0.25">
      <c r="C2917" t="s">
        <v>12102</v>
      </c>
      <c r="G2917" t="s">
        <v>2224</v>
      </c>
      <c r="H2917" t="s">
        <v>2225</v>
      </c>
      <c r="J2917" t="s">
        <v>2226</v>
      </c>
      <c r="K2917" t="s">
        <v>93</v>
      </c>
      <c r="L2917" t="s">
        <v>94</v>
      </c>
      <c r="M2917" t="s">
        <v>73</v>
      </c>
      <c r="N2917" t="s">
        <v>7187</v>
      </c>
      <c r="O2917" t="s">
        <v>475</v>
      </c>
      <c r="P2917" t="s">
        <v>74</v>
      </c>
      <c r="Q2917" t="str">
        <f>"10021"</f>
        <v>10021</v>
      </c>
      <c r="AC2917" t="s">
        <v>76</v>
      </c>
      <c r="AD2917" t="s">
        <v>73</v>
      </c>
      <c r="AE2917" t="s">
        <v>95</v>
      </c>
      <c r="AF2917" t="s">
        <v>2234</v>
      </c>
      <c r="AG2917" t="s">
        <v>78</v>
      </c>
    </row>
    <row r="2918" spans="1:33" hidden="1" x14ac:dyDescent="0.25">
      <c r="A2918" t="str">
        <f>"1144310327"</f>
        <v>1144310327</v>
      </c>
      <c r="B2918" t="str">
        <f>"02636955"</f>
        <v>02636955</v>
      </c>
      <c r="C2918" t="s">
        <v>12103</v>
      </c>
      <c r="D2918" t="s">
        <v>12104</v>
      </c>
      <c r="E2918" t="s">
        <v>12105</v>
      </c>
      <c r="G2918" t="s">
        <v>2224</v>
      </c>
      <c r="H2918" t="s">
        <v>2225</v>
      </c>
      <c r="J2918" t="s">
        <v>2226</v>
      </c>
      <c r="L2918" t="s">
        <v>80</v>
      </c>
      <c r="M2918" t="s">
        <v>73</v>
      </c>
      <c r="R2918" t="s">
        <v>12106</v>
      </c>
      <c r="W2918" t="s">
        <v>12107</v>
      </c>
      <c r="X2918" t="s">
        <v>12108</v>
      </c>
      <c r="Y2918" t="s">
        <v>91</v>
      </c>
      <c r="Z2918" t="s">
        <v>74</v>
      </c>
      <c r="AA2918" t="str">
        <f>"10075-0531"</f>
        <v>10075-0531</v>
      </c>
      <c r="AB2918" t="s">
        <v>75</v>
      </c>
      <c r="AC2918" t="s">
        <v>76</v>
      </c>
      <c r="AD2918" t="s">
        <v>73</v>
      </c>
      <c r="AE2918" t="s">
        <v>77</v>
      </c>
      <c r="AF2918" t="s">
        <v>2242</v>
      </c>
      <c r="AG2918" t="s">
        <v>78</v>
      </c>
    </row>
    <row r="2919" spans="1:33" hidden="1" x14ac:dyDescent="0.25">
      <c r="A2919" t="str">
        <f>"1972543098"</f>
        <v>1972543098</v>
      </c>
      <c r="B2919" t="str">
        <f>"00352956"</f>
        <v>00352956</v>
      </c>
      <c r="C2919" t="s">
        <v>12109</v>
      </c>
      <c r="D2919" t="s">
        <v>12110</v>
      </c>
      <c r="E2919" t="s">
        <v>12111</v>
      </c>
      <c r="G2919" t="s">
        <v>2224</v>
      </c>
      <c r="H2919" t="s">
        <v>2225</v>
      </c>
      <c r="J2919" t="s">
        <v>2226</v>
      </c>
      <c r="L2919" t="s">
        <v>72</v>
      </c>
      <c r="M2919" t="s">
        <v>73</v>
      </c>
      <c r="R2919" t="s">
        <v>12112</v>
      </c>
      <c r="W2919" t="s">
        <v>12111</v>
      </c>
      <c r="X2919" t="s">
        <v>1803</v>
      </c>
      <c r="Y2919" t="s">
        <v>181</v>
      </c>
      <c r="Z2919" t="s">
        <v>74</v>
      </c>
      <c r="AA2919" t="str">
        <f>"10605-1238"</f>
        <v>10605-1238</v>
      </c>
      <c r="AB2919" t="s">
        <v>75</v>
      </c>
      <c r="AC2919" t="s">
        <v>76</v>
      </c>
      <c r="AD2919" t="s">
        <v>73</v>
      </c>
      <c r="AE2919" t="s">
        <v>77</v>
      </c>
      <c r="AF2919" t="s">
        <v>2254</v>
      </c>
      <c r="AG2919" t="s">
        <v>78</v>
      </c>
    </row>
    <row r="2920" spans="1:33" hidden="1" x14ac:dyDescent="0.25">
      <c r="A2920" t="str">
        <f>"1972569655"</f>
        <v>1972569655</v>
      </c>
      <c r="C2920" t="s">
        <v>12113</v>
      </c>
      <c r="G2920" t="s">
        <v>2224</v>
      </c>
      <c r="H2920" t="s">
        <v>2225</v>
      </c>
      <c r="J2920" t="s">
        <v>2226</v>
      </c>
      <c r="K2920" t="s">
        <v>171</v>
      </c>
      <c r="L2920" t="s">
        <v>96</v>
      </c>
      <c r="M2920" t="s">
        <v>73</v>
      </c>
      <c r="R2920" t="s">
        <v>12114</v>
      </c>
      <c r="S2920" t="s">
        <v>12115</v>
      </c>
      <c r="T2920" t="s">
        <v>598</v>
      </c>
      <c r="U2920" t="s">
        <v>599</v>
      </c>
      <c r="V2920" t="str">
        <f>"212242735"</f>
        <v>212242735</v>
      </c>
      <c r="AC2920" t="s">
        <v>76</v>
      </c>
      <c r="AD2920" t="s">
        <v>73</v>
      </c>
      <c r="AE2920" t="s">
        <v>97</v>
      </c>
      <c r="AF2920" t="s">
        <v>2234</v>
      </c>
      <c r="AG2920" t="s">
        <v>78</v>
      </c>
    </row>
    <row r="2921" spans="1:33" hidden="1" x14ac:dyDescent="0.25">
      <c r="A2921" t="str">
        <f>"1275634008"</f>
        <v>1275634008</v>
      </c>
      <c r="B2921" t="str">
        <f>"02101820"</f>
        <v>02101820</v>
      </c>
      <c r="C2921" t="s">
        <v>12116</v>
      </c>
      <c r="D2921" t="s">
        <v>12117</v>
      </c>
      <c r="E2921" t="s">
        <v>12118</v>
      </c>
      <c r="G2921" t="s">
        <v>2224</v>
      </c>
      <c r="H2921" t="s">
        <v>2225</v>
      </c>
      <c r="J2921" t="s">
        <v>2226</v>
      </c>
      <c r="L2921" t="s">
        <v>72</v>
      </c>
      <c r="M2921" t="s">
        <v>73</v>
      </c>
      <c r="R2921" t="s">
        <v>12119</v>
      </c>
      <c r="W2921" t="s">
        <v>12118</v>
      </c>
      <c r="X2921" t="s">
        <v>12120</v>
      </c>
      <c r="Y2921" t="s">
        <v>91</v>
      </c>
      <c r="Z2921" t="s">
        <v>74</v>
      </c>
      <c r="AA2921" t="str">
        <f>"10032-3726"</f>
        <v>10032-3726</v>
      </c>
      <c r="AB2921" t="s">
        <v>75</v>
      </c>
      <c r="AC2921" t="s">
        <v>76</v>
      </c>
      <c r="AD2921" t="s">
        <v>73</v>
      </c>
      <c r="AE2921" t="s">
        <v>77</v>
      </c>
      <c r="AF2921" t="s">
        <v>2228</v>
      </c>
      <c r="AG2921" t="s">
        <v>78</v>
      </c>
    </row>
    <row r="2922" spans="1:33" hidden="1" x14ac:dyDescent="0.25">
      <c r="A2922" t="str">
        <f>"1679556450"</f>
        <v>1679556450</v>
      </c>
      <c r="B2922" t="str">
        <f>"01186305"</f>
        <v>01186305</v>
      </c>
      <c r="C2922" t="s">
        <v>12121</v>
      </c>
      <c r="D2922" t="s">
        <v>1768</v>
      </c>
      <c r="E2922" t="s">
        <v>1769</v>
      </c>
      <c r="G2922" t="s">
        <v>4137</v>
      </c>
      <c r="H2922" t="s">
        <v>1891</v>
      </c>
      <c r="J2922" t="s">
        <v>4138</v>
      </c>
      <c r="L2922" t="s">
        <v>36</v>
      </c>
      <c r="M2922" t="s">
        <v>82</v>
      </c>
      <c r="R2922" t="s">
        <v>1560</v>
      </c>
      <c r="W2922" t="s">
        <v>1780</v>
      </c>
      <c r="X2922" t="s">
        <v>1781</v>
      </c>
      <c r="Y2922" t="s">
        <v>91</v>
      </c>
      <c r="Z2922" t="s">
        <v>74</v>
      </c>
      <c r="AA2922" t="str">
        <f>"10011-3641"</f>
        <v>10011-3641</v>
      </c>
      <c r="AB2922" t="s">
        <v>102</v>
      </c>
      <c r="AC2922" t="s">
        <v>76</v>
      </c>
      <c r="AD2922" t="s">
        <v>73</v>
      </c>
      <c r="AE2922" t="s">
        <v>77</v>
      </c>
      <c r="AG2922" t="s">
        <v>78</v>
      </c>
    </row>
    <row r="2923" spans="1:33" hidden="1" x14ac:dyDescent="0.25">
      <c r="A2923" t="str">
        <f>"1871553768"</f>
        <v>1871553768</v>
      </c>
      <c r="B2923" t="str">
        <f>"00796598"</f>
        <v>00796598</v>
      </c>
      <c r="C2923" t="s">
        <v>12122</v>
      </c>
      <c r="D2923" t="s">
        <v>12123</v>
      </c>
      <c r="E2923" t="s">
        <v>12124</v>
      </c>
      <c r="G2923" t="s">
        <v>2224</v>
      </c>
      <c r="H2923" t="s">
        <v>2225</v>
      </c>
      <c r="J2923" t="s">
        <v>2226</v>
      </c>
      <c r="L2923" t="s">
        <v>81</v>
      </c>
      <c r="M2923" t="s">
        <v>73</v>
      </c>
      <c r="R2923" t="s">
        <v>12125</v>
      </c>
      <c r="W2923" t="s">
        <v>12124</v>
      </c>
      <c r="X2923" t="s">
        <v>12126</v>
      </c>
      <c r="Y2923" t="s">
        <v>392</v>
      </c>
      <c r="Z2923" t="s">
        <v>74</v>
      </c>
      <c r="AA2923" t="str">
        <f>"10709-2807"</f>
        <v>10709-2807</v>
      </c>
      <c r="AB2923" t="s">
        <v>75</v>
      </c>
      <c r="AC2923" t="s">
        <v>76</v>
      </c>
      <c r="AD2923" t="s">
        <v>73</v>
      </c>
      <c r="AE2923" t="s">
        <v>77</v>
      </c>
      <c r="AF2923" t="s">
        <v>2254</v>
      </c>
      <c r="AG2923" t="s">
        <v>78</v>
      </c>
    </row>
    <row r="2924" spans="1:33" hidden="1" x14ac:dyDescent="0.25">
      <c r="C2924" t="s">
        <v>12127</v>
      </c>
      <c r="G2924" t="s">
        <v>2514</v>
      </c>
      <c r="H2924" t="s">
        <v>12128</v>
      </c>
      <c r="J2924" t="s">
        <v>2516</v>
      </c>
      <c r="K2924" t="s">
        <v>507</v>
      </c>
      <c r="L2924" t="s">
        <v>94</v>
      </c>
      <c r="M2924" t="s">
        <v>73</v>
      </c>
      <c r="AC2924" t="s">
        <v>76</v>
      </c>
      <c r="AD2924" t="s">
        <v>73</v>
      </c>
      <c r="AE2924" t="s">
        <v>95</v>
      </c>
      <c r="AF2924" t="s">
        <v>2518</v>
      </c>
      <c r="AG2924" t="s">
        <v>78</v>
      </c>
    </row>
    <row r="2925" spans="1:33" hidden="1" x14ac:dyDescent="0.25">
      <c r="A2925" t="str">
        <f>"1922011014"</f>
        <v>1922011014</v>
      </c>
      <c r="B2925" t="str">
        <f>"01852708"</f>
        <v>01852708</v>
      </c>
      <c r="C2925" t="s">
        <v>12129</v>
      </c>
      <c r="D2925" t="s">
        <v>12130</v>
      </c>
      <c r="E2925" t="s">
        <v>12131</v>
      </c>
      <c r="G2925" t="s">
        <v>2224</v>
      </c>
      <c r="H2925" t="s">
        <v>2225</v>
      </c>
      <c r="J2925" t="s">
        <v>2226</v>
      </c>
      <c r="L2925" t="s">
        <v>80</v>
      </c>
      <c r="M2925" t="s">
        <v>73</v>
      </c>
      <c r="R2925" t="s">
        <v>12131</v>
      </c>
      <c r="W2925" t="s">
        <v>12131</v>
      </c>
      <c r="X2925" t="s">
        <v>12131</v>
      </c>
      <c r="Y2925" t="s">
        <v>91</v>
      </c>
      <c r="Z2925" t="s">
        <v>74</v>
      </c>
      <c r="AA2925" t="str">
        <f>"10022-1002"</f>
        <v>10022-1002</v>
      </c>
      <c r="AB2925" t="s">
        <v>75</v>
      </c>
      <c r="AC2925" t="s">
        <v>76</v>
      </c>
      <c r="AD2925" t="s">
        <v>73</v>
      </c>
      <c r="AE2925" t="s">
        <v>77</v>
      </c>
      <c r="AF2925" t="s">
        <v>2228</v>
      </c>
      <c r="AG2925" t="s">
        <v>78</v>
      </c>
    </row>
    <row r="2926" spans="1:33" hidden="1" x14ac:dyDescent="0.25">
      <c r="A2926" t="str">
        <f>"1841354370"</f>
        <v>1841354370</v>
      </c>
      <c r="B2926" t="str">
        <f>"02999159"</f>
        <v>02999159</v>
      </c>
      <c r="C2926" t="s">
        <v>296</v>
      </c>
      <c r="D2926" t="s">
        <v>297</v>
      </c>
      <c r="E2926" t="s">
        <v>298</v>
      </c>
      <c r="G2926" t="s">
        <v>301</v>
      </c>
      <c r="H2926" t="s">
        <v>12132</v>
      </c>
      <c r="J2926" t="s">
        <v>303</v>
      </c>
      <c r="L2926" t="s">
        <v>130</v>
      </c>
      <c r="M2926" t="s">
        <v>82</v>
      </c>
      <c r="R2926" t="s">
        <v>299</v>
      </c>
      <c r="W2926" t="s">
        <v>298</v>
      </c>
      <c r="X2926" t="s">
        <v>300</v>
      </c>
      <c r="Y2926" t="s">
        <v>91</v>
      </c>
      <c r="Z2926" t="s">
        <v>74</v>
      </c>
      <c r="AA2926" t="str">
        <f>"10024-4018"</f>
        <v>10024-4018</v>
      </c>
      <c r="AB2926" t="s">
        <v>110</v>
      </c>
      <c r="AC2926" t="s">
        <v>76</v>
      </c>
      <c r="AD2926" t="s">
        <v>73</v>
      </c>
      <c r="AE2926" t="s">
        <v>77</v>
      </c>
      <c r="AF2926" t="s">
        <v>4561</v>
      </c>
      <c r="AG2926" t="s">
        <v>78</v>
      </c>
    </row>
    <row r="2927" spans="1:33" hidden="1" x14ac:dyDescent="0.25">
      <c r="A2927" t="str">
        <f>"1801984182"</f>
        <v>1801984182</v>
      </c>
      <c r="B2927" t="str">
        <f>"00914521"</f>
        <v>00914521</v>
      </c>
      <c r="C2927" t="s">
        <v>12133</v>
      </c>
      <c r="D2927" t="s">
        <v>12134</v>
      </c>
      <c r="E2927" t="s">
        <v>12135</v>
      </c>
      <c r="G2927" t="s">
        <v>2224</v>
      </c>
      <c r="H2927" t="s">
        <v>2225</v>
      </c>
      <c r="J2927" t="s">
        <v>2226</v>
      </c>
      <c r="L2927" t="s">
        <v>80</v>
      </c>
      <c r="M2927" t="s">
        <v>73</v>
      </c>
      <c r="R2927" t="s">
        <v>12136</v>
      </c>
      <c r="W2927" t="s">
        <v>12135</v>
      </c>
      <c r="X2927" t="s">
        <v>12137</v>
      </c>
      <c r="Y2927" t="s">
        <v>91</v>
      </c>
      <c r="Z2927" t="s">
        <v>74</v>
      </c>
      <c r="AA2927" t="str">
        <f>"10021-9800"</f>
        <v>10021-9800</v>
      </c>
      <c r="AB2927" t="s">
        <v>75</v>
      </c>
      <c r="AC2927" t="s">
        <v>76</v>
      </c>
      <c r="AD2927" t="s">
        <v>73</v>
      </c>
      <c r="AE2927" t="s">
        <v>77</v>
      </c>
      <c r="AF2927" t="s">
        <v>2242</v>
      </c>
      <c r="AG2927" t="s">
        <v>78</v>
      </c>
    </row>
    <row r="2928" spans="1:33" hidden="1" x14ac:dyDescent="0.25">
      <c r="A2928" t="str">
        <f>"1477631174"</f>
        <v>1477631174</v>
      </c>
      <c r="B2928" t="str">
        <f>"02705860"</f>
        <v>02705860</v>
      </c>
      <c r="C2928" t="s">
        <v>12138</v>
      </c>
      <c r="D2928" t="s">
        <v>12139</v>
      </c>
      <c r="E2928" t="s">
        <v>12140</v>
      </c>
      <c r="G2928" t="s">
        <v>2224</v>
      </c>
      <c r="H2928" t="s">
        <v>2225</v>
      </c>
      <c r="J2928" t="s">
        <v>2226</v>
      </c>
      <c r="L2928" t="s">
        <v>81</v>
      </c>
      <c r="M2928" t="s">
        <v>73</v>
      </c>
      <c r="R2928" t="s">
        <v>12141</v>
      </c>
      <c r="W2928" t="s">
        <v>12142</v>
      </c>
      <c r="X2928" t="s">
        <v>628</v>
      </c>
      <c r="Y2928" t="s">
        <v>91</v>
      </c>
      <c r="Z2928" t="s">
        <v>74</v>
      </c>
      <c r="AA2928" t="str">
        <f>"10021-4872"</f>
        <v>10021-4872</v>
      </c>
      <c r="AB2928" t="s">
        <v>75</v>
      </c>
      <c r="AC2928" t="s">
        <v>76</v>
      </c>
      <c r="AD2928" t="s">
        <v>73</v>
      </c>
      <c r="AE2928" t="s">
        <v>77</v>
      </c>
      <c r="AF2928" t="s">
        <v>2242</v>
      </c>
      <c r="AG2928" t="s">
        <v>78</v>
      </c>
    </row>
    <row r="2929" spans="1:33" hidden="1" x14ac:dyDescent="0.25">
      <c r="A2929" t="str">
        <f>"1477732691"</f>
        <v>1477732691</v>
      </c>
      <c r="B2929" t="str">
        <f>"03030908"</f>
        <v>03030908</v>
      </c>
      <c r="C2929" t="s">
        <v>12143</v>
      </c>
      <c r="D2929" t="s">
        <v>943</v>
      </c>
      <c r="E2929" t="s">
        <v>944</v>
      </c>
      <c r="G2929" t="s">
        <v>2224</v>
      </c>
      <c r="H2929" t="s">
        <v>2225</v>
      </c>
      <c r="J2929" t="s">
        <v>2226</v>
      </c>
      <c r="L2929" t="s">
        <v>88</v>
      </c>
      <c r="M2929" t="s">
        <v>73</v>
      </c>
      <c r="R2929" t="s">
        <v>945</v>
      </c>
      <c r="W2929" t="s">
        <v>944</v>
      </c>
      <c r="X2929" t="s">
        <v>167</v>
      </c>
      <c r="Y2929" t="s">
        <v>91</v>
      </c>
      <c r="Z2929" t="s">
        <v>74</v>
      </c>
      <c r="AA2929" t="str">
        <f>"10032-3720"</f>
        <v>10032-3720</v>
      </c>
      <c r="AB2929" t="s">
        <v>75</v>
      </c>
      <c r="AC2929" t="s">
        <v>76</v>
      </c>
      <c r="AD2929" t="s">
        <v>73</v>
      </c>
      <c r="AE2929" t="s">
        <v>77</v>
      </c>
      <c r="AF2929" t="s">
        <v>2228</v>
      </c>
      <c r="AG2929" t="s">
        <v>78</v>
      </c>
    </row>
    <row r="2930" spans="1:33" hidden="1" x14ac:dyDescent="0.25">
      <c r="A2930" t="str">
        <f>"1487627527"</f>
        <v>1487627527</v>
      </c>
      <c r="B2930" t="str">
        <f>"00879561"</f>
        <v>00879561</v>
      </c>
      <c r="C2930" t="s">
        <v>12144</v>
      </c>
      <c r="D2930" t="s">
        <v>12145</v>
      </c>
      <c r="E2930" t="s">
        <v>12146</v>
      </c>
      <c r="G2930" t="s">
        <v>2224</v>
      </c>
      <c r="H2930" t="s">
        <v>2225</v>
      </c>
      <c r="J2930" t="s">
        <v>2226</v>
      </c>
      <c r="L2930" t="s">
        <v>88</v>
      </c>
      <c r="M2930" t="s">
        <v>82</v>
      </c>
      <c r="R2930" t="s">
        <v>12147</v>
      </c>
      <c r="W2930" t="s">
        <v>12146</v>
      </c>
      <c r="X2930" t="s">
        <v>12148</v>
      </c>
      <c r="Y2930" t="s">
        <v>91</v>
      </c>
      <c r="Z2930" t="s">
        <v>74</v>
      </c>
      <c r="AA2930" t="str">
        <f>"10032-3720"</f>
        <v>10032-3720</v>
      </c>
      <c r="AB2930" t="s">
        <v>75</v>
      </c>
      <c r="AC2930" t="s">
        <v>76</v>
      </c>
      <c r="AD2930" t="s">
        <v>73</v>
      </c>
      <c r="AE2930" t="s">
        <v>77</v>
      </c>
      <c r="AF2930" t="s">
        <v>2228</v>
      </c>
      <c r="AG2930" t="s">
        <v>78</v>
      </c>
    </row>
    <row r="2931" spans="1:33" hidden="1" x14ac:dyDescent="0.25">
      <c r="A2931" t="str">
        <f>"1134381361"</f>
        <v>1134381361</v>
      </c>
      <c r="B2931" t="str">
        <f>"03587464"</f>
        <v>03587464</v>
      </c>
      <c r="C2931" t="s">
        <v>12149</v>
      </c>
      <c r="D2931" t="s">
        <v>12150</v>
      </c>
      <c r="E2931" t="s">
        <v>12151</v>
      </c>
      <c r="L2931" t="s">
        <v>72</v>
      </c>
      <c r="M2931" t="s">
        <v>73</v>
      </c>
      <c r="R2931" t="s">
        <v>12152</v>
      </c>
      <c r="W2931" t="s">
        <v>12151</v>
      </c>
      <c r="X2931" t="s">
        <v>167</v>
      </c>
      <c r="Y2931" t="s">
        <v>91</v>
      </c>
      <c r="Z2931" t="s">
        <v>74</v>
      </c>
      <c r="AA2931" t="str">
        <f>"10032-3720"</f>
        <v>10032-3720</v>
      </c>
      <c r="AB2931" t="s">
        <v>75</v>
      </c>
      <c r="AC2931" t="s">
        <v>76</v>
      </c>
      <c r="AD2931" t="s">
        <v>73</v>
      </c>
      <c r="AE2931" t="s">
        <v>77</v>
      </c>
      <c r="AG2931" t="s">
        <v>78</v>
      </c>
    </row>
    <row r="2932" spans="1:33" hidden="1" x14ac:dyDescent="0.25">
      <c r="A2932" t="str">
        <f>"1013051408"</f>
        <v>1013051408</v>
      </c>
      <c r="B2932" t="str">
        <f>"03047858"</f>
        <v>03047858</v>
      </c>
      <c r="C2932" t="s">
        <v>12153</v>
      </c>
      <c r="D2932" t="s">
        <v>12154</v>
      </c>
      <c r="E2932" t="s">
        <v>12155</v>
      </c>
      <c r="L2932" t="s">
        <v>88</v>
      </c>
      <c r="M2932" t="s">
        <v>73</v>
      </c>
      <c r="R2932" t="s">
        <v>12156</v>
      </c>
      <c r="W2932" t="s">
        <v>12155</v>
      </c>
      <c r="X2932" t="s">
        <v>167</v>
      </c>
      <c r="Y2932" t="s">
        <v>91</v>
      </c>
      <c r="Z2932" t="s">
        <v>74</v>
      </c>
      <c r="AA2932" t="str">
        <f>"10032-3720"</f>
        <v>10032-3720</v>
      </c>
      <c r="AB2932" t="s">
        <v>75</v>
      </c>
      <c r="AC2932" t="s">
        <v>76</v>
      </c>
      <c r="AD2932" t="s">
        <v>73</v>
      </c>
      <c r="AE2932" t="s">
        <v>77</v>
      </c>
      <c r="AF2932" t="s">
        <v>2228</v>
      </c>
      <c r="AG2932" t="s">
        <v>78</v>
      </c>
    </row>
    <row r="2933" spans="1:33" hidden="1" x14ac:dyDescent="0.25">
      <c r="A2933" t="str">
        <f>"1740286574"</f>
        <v>1740286574</v>
      </c>
      <c r="C2933" t="s">
        <v>12157</v>
      </c>
      <c r="G2933" t="s">
        <v>2224</v>
      </c>
      <c r="H2933" t="s">
        <v>2312</v>
      </c>
      <c r="J2933" t="s">
        <v>2226</v>
      </c>
      <c r="K2933" t="s">
        <v>171</v>
      </c>
      <c r="L2933" t="s">
        <v>96</v>
      </c>
      <c r="M2933" t="s">
        <v>73</v>
      </c>
      <c r="R2933" t="s">
        <v>12158</v>
      </c>
      <c r="S2933" t="s">
        <v>142</v>
      </c>
      <c r="T2933" t="s">
        <v>143</v>
      </c>
      <c r="U2933" t="s">
        <v>74</v>
      </c>
      <c r="V2933" t="str">
        <f>"110303816"</f>
        <v>110303816</v>
      </c>
      <c r="AC2933" t="s">
        <v>76</v>
      </c>
      <c r="AD2933" t="s">
        <v>73</v>
      </c>
      <c r="AE2933" t="s">
        <v>97</v>
      </c>
      <c r="AF2933" t="s">
        <v>2234</v>
      </c>
      <c r="AG2933" t="s">
        <v>78</v>
      </c>
    </row>
    <row r="2934" spans="1:33" hidden="1" x14ac:dyDescent="0.25">
      <c r="A2934" t="str">
        <f>"1740244771"</f>
        <v>1740244771</v>
      </c>
      <c r="B2934" t="str">
        <f>"02132841"</f>
        <v>02132841</v>
      </c>
      <c r="C2934" t="s">
        <v>12159</v>
      </c>
      <c r="D2934" t="s">
        <v>12160</v>
      </c>
      <c r="E2934" t="s">
        <v>12161</v>
      </c>
      <c r="L2934" t="s">
        <v>80</v>
      </c>
      <c r="M2934" t="s">
        <v>73</v>
      </c>
      <c r="R2934" t="s">
        <v>12162</v>
      </c>
      <c r="W2934" t="s">
        <v>12161</v>
      </c>
      <c r="X2934" t="s">
        <v>12163</v>
      </c>
      <c r="Y2934" t="s">
        <v>91</v>
      </c>
      <c r="Z2934" t="s">
        <v>74</v>
      </c>
      <c r="AA2934" t="str">
        <f>"10038-2649"</f>
        <v>10038-2649</v>
      </c>
      <c r="AB2934" t="s">
        <v>75</v>
      </c>
      <c r="AC2934" t="s">
        <v>76</v>
      </c>
      <c r="AD2934" t="s">
        <v>73</v>
      </c>
      <c r="AE2934" t="s">
        <v>77</v>
      </c>
      <c r="AG2934" t="s">
        <v>78</v>
      </c>
    </row>
    <row r="2935" spans="1:33" hidden="1" x14ac:dyDescent="0.25">
      <c r="A2935" t="str">
        <f>"1235239153"</f>
        <v>1235239153</v>
      </c>
      <c r="B2935" t="str">
        <f>"02987777"</f>
        <v>02987777</v>
      </c>
      <c r="C2935" t="s">
        <v>12164</v>
      </c>
      <c r="D2935" t="s">
        <v>12165</v>
      </c>
      <c r="E2935" t="s">
        <v>12166</v>
      </c>
      <c r="L2935" t="s">
        <v>80</v>
      </c>
      <c r="M2935" t="s">
        <v>73</v>
      </c>
      <c r="R2935" t="s">
        <v>12167</v>
      </c>
      <c r="W2935" t="s">
        <v>12166</v>
      </c>
      <c r="X2935" t="s">
        <v>275</v>
      </c>
      <c r="Y2935" t="s">
        <v>84</v>
      </c>
      <c r="Z2935" t="s">
        <v>74</v>
      </c>
      <c r="AA2935" t="str">
        <f>"11203-2056"</f>
        <v>11203-2056</v>
      </c>
      <c r="AB2935" t="s">
        <v>75</v>
      </c>
      <c r="AC2935" t="s">
        <v>76</v>
      </c>
      <c r="AD2935" t="s">
        <v>73</v>
      </c>
      <c r="AE2935" t="s">
        <v>77</v>
      </c>
      <c r="AG2935" t="s">
        <v>78</v>
      </c>
    </row>
    <row r="2936" spans="1:33" hidden="1" x14ac:dyDescent="0.25">
      <c r="A2936" t="str">
        <f>"1669612206"</f>
        <v>1669612206</v>
      </c>
      <c r="B2936" t="str">
        <f>"03822382"</f>
        <v>03822382</v>
      </c>
      <c r="C2936" t="s">
        <v>12168</v>
      </c>
      <c r="D2936" t="s">
        <v>12169</v>
      </c>
      <c r="E2936" t="s">
        <v>12170</v>
      </c>
      <c r="L2936" t="s">
        <v>80</v>
      </c>
      <c r="M2936" t="s">
        <v>73</v>
      </c>
      <c r="R2936" t="s">
        <v>12171</v>
      </c>
      <c r="W2936" t="s">
        <v>12170</v>
      </c>
      <c r="X2936" t="s">
        <v>7290</v>
      </c>
      <c r="Y2936" t="s">
        <v>91</v>
      </c>
      <c r="Z2936" t="s">
        <v>74</v>
      </c>
      <c r="AA2936" t="str">
        <f>"10065-4870"</f>
        <v>10065-4870</v>
      </c>
      <c r="AB2936" t="s">
        <v>75</v>
      </c>
      <c r="AC2936" t="s">
        <v>76</v>
      </c>
      <c r="AD2936" t="s">
        <v>73</v>
      </c>
      <c r="AE2936" t="s">
        <v>77</v>
      </c>
      <c r="AF2936" t="s">
        <v>2242</v>
      </c>
      <c r="AG2936" t="s">
        <v>78</v>
      </c>
    </row>
    <row r="2937" spans="1:33" hidden="1" x14ac:dyDescent="0.25">
      <c r="A2937" t="str">
        <f>"1578642054"</f>
        <v>1578642054</v>
      </c>
      <c r="B2937" t="str">
        <f>"01303502"</f>
        <v>01303502</v>
      </c>
      <c r="C2937" t="s">
        <v>1878</v>
      </c>
      <c r="D2937" t="s">
        <v>1875</v>
      </c>
      <c r="E2937" t="s">
        <v>1876</v>
      </c>
      <c r="L2937" t="s">
        <v>10</v>
      </c>
      <c r="M2937" t="s">
        <v>82</v>
      </c>
      <c r="R2937" t="s">
        <v>1878</v>
      </c>
      <c r="W2937" t="s">
        <v>1876</v>
      </c>
      <c r="X2937" t="s">
        <v>1879</v>
      </c>
      <c r="Y2937" t="s">
        <v>91</v>
      </c>
      <c r="Z2937" t="s">
        <v>74</v>
      </c>
      <c r="AA2937" t="str">
        <f>"10036-2304"</f>
        <v>10036-2304</v>
      </c>
      <c r="AB2937" t="s">
        <v>92</v>
      </c>
      <c r="AC2937" t="s">
        <v>76</v>
      </c>
      <c r="AD2937" t="s">
        <v>73</v>
      </c>
      <c r="AE2937" t="s">
        <v>77</v>
      </c>
      <c r="AG2937" t="s">
        <v>78</v>
      </c>
    </row>
    <row r="2938" spans="1:33" hidden="1" x14ac:dyDescent="0.25">
      <c r="A2938" t="str">
        <f>"1306174123"</f>
        <v>1306174123</v>
      </c>
      <c r="C2938" t="s">
        <v>12172</v>
      </c>
      <c r="K2938" t="s">
        <v>189</v>
      </c>
      <c r="L2938" t="s">
        <v>96</v>
      </c>
      <c r="M2938" t="s">
        <v>73</v>
      </c>
      <c r="R2938" t="s">
        <v>12172</v>
      </c>
      <c r="S2938" t="s">
        <v>12173</v>
      </c>
      <c r="T2938" t="s">
        <v>91</v>
      </c>
      <c r="U2938" t="s">
        <v>74</v>
      </c>
      <c r="V2938" t="str">
        <f>"100658206"</f>
        <v>100658206</v>
      </c>
      <c r="AC2938" t="s">
        <v>76</v>
      </c>
      <c r="AD2938" t="s">
        <v>73</v>
      </c>
      <c r="AE2938" t="s">
        <v>97</v>
      </c>
      <c r="AG2938" t="s">
        <v>78</v>
      </c>
    </row>
    <row r="2939" spans="1:33" hidden="1" x14ac:dyDescent="0.25">
      <c r="A2939" t="str">
        <f>"1962791517"</f>
        <v>1962791517</v>
      </c>
      <c r="C2939" t="s">
        <v>12174</v>
      </c>
      <c r="G2939" t="s">
        <v>2224</v>
      </c>
      <c r="H2939" t="s">
        <v>2312</v>
      </c>
      <c r="J2939" t="s">
        <v>2226</v>
      </c>
      <c r="K2939" t="s">
        <v>171</v>
      </c>
      <c r="L2939" t="s">
        <v>96</v>
      </c>
      <c r="M2939" t="s">
        <v>73</v>
      </c>
      <c r="R2939" t="s">
        <v>12175</v>
      </c>
      <c r="S2939" t="s">
        <v>12176</v>
      </c>
      <c r="T2939" t="s">
        <v>1732</v>
      </c>
      <c r="U2939" t="s">
        <v>519</v>
      </c>
      <c r="V2939" t="str">
        <f>"180185754"</f>
        <v>180185754</v>
      </c>
      <c r="AC2939" t="s">
        <v>76</v>
      </c>
      <c r="AD2939" t="s">
        <v>73</v>
      </c>
      <c r="AE2939" t="s">
        <v>97</v>
      </c>
      <c r="AF2939" t="s">
        <v>2228</v>
      </c>
      <c r="AG2939" t="s">
        <v>78</v>
      </c>
    </row>
    <row r="2940" spans="1:33" hidden="1" x14ac:dyDescent="0.25">
      <c r="A2940" t="str">
        <f>"1225328495"</f>
        <v>1225328495</v>
      </c>
      <c r="C2940" t="s">
        <v>12177</v>
      </c>
      <c r="G2940" t="s">
        <v>2224</v>
      </c>
      <c r="H2940" t="s">
        <v>2312</v>
      </c>
      <c r="J2940" t="s">
        <v>2226</v>
      </c>
      <c r="K2940" t="s">
        <v>171</v>
      </c>
      <c r="L2940" t="s">
        <v>96</v>
      </c>
      <c r="M2940" t="s">
        <v>73</v>
      </c>
      <c r="R2940" t="s">
        <v>12178</v>
      </c>
      <c r="S2940" t="s">
        <v>12179</v>
      </c>
      <c r="T2940" t="s">
        <v>91</v>
      </c>
      <c r="U2940" t="s">
        <v>74</v>
      </c>
      <c r="V2940" t="str">
        <f>"100323720"</f>
        <v>100323720</v>
      </c>
      <c r="AC2940" t="s">
        <v>76</v>
      </c>
      <c r="AD2940" t="s">
        <v>73</v>
      </c>
      <c r="AE2940" t="s">
        <v>97</v>
      </c>
      <c r="AF2940" t="s">
        <v>2228</v>
      </c>
      <c r="AG2940" t="s">
        <v>78</v>
      </c>
    </row>
    <row r="2941" spans="1:33" hidden="1" x14ac:dyDescent="0.25">
      <c r="A2941" t="str">
        <f>"1134541626"</f>
        <v>1134541626</v>
      </c>
      <c r="B2941" t="str">
        <f>"04135351"</f>
        <v>04135351</v>
      </c>
      <c r="C2941" t="s">
        <v>9212</v>
      </c>
      <c r="D2941" t="s">
        <v>12180</v>
      </c>
      <c r="E2941" t="s">
        <v>9212</v>
      </c>
      <c r="L2941" t="s">
        <v>16</v>
      </c>
      <c r="M2941" t="s">
        <v>73</v>
      </c>
      <c r="R2941" t="s">
        <v>9212</v>
      </c>
      <c r="W2941" t="s">
        <v>9212</v>
      </c>
      <c r="X2941" t="s">
        <v>12181</v>
      </c>
      <c r="Y2941" t="s">
        <v>84</v>
      </c>
      <c r="Z2941" t="s">
        <v>74</v>
      </c>
      <c r="AA2941" t="str">
        <f>"11217-1812"</f>
        <v>11217-1812</v>
      </c>
      <c r="AB2941" t="s">
        <v>119</v>
      </c>
      <c r="AC2941" t="s">
        <v>76</v>
      </c>
      <c r="AD2941" t="s">
        <v>73</v>
      </c>
      <c r="AE2941" t="s">
        <v>77</v>
      </c>
      <c r="AG2941" t="s">
        <v>78</v>
      </c>
    </row>
    <row r="2942" spans="1:33" hidden="1" x14ac:dyDescent="0.25">
      <c r="C2942" t="s">
        <v>12182</v>
      </c>
      <c r="K2942" t="s">
        <v>105</v>
      </c>
      <c r="L2942" t="s">
        <v>94</v>
      </c>
      <c r="M2942" t="s">
        <v>73</v>
      </c>
      <c r="P2942" t="s">
        <v>74</v>
      </c>
      <c r="AC2942" t="s">
        <v>76</v>
      </c>
      <c r="AD2942" t="s">
        <v>73</v>
      </c>
      <c r="AE2942" t="s">
        <v>95</v>
      </c>
      <c r="AG2942" t="s">
        <v>78</v>
      </c>
    </row>
    <row r="2943" spans="1:33" hidden="1" x14ac:dyDescent="0.25">
      <c r="A2943" t="str">
        <f>"1538396148"</f>
        <v>1538396148</v>
      </c>
      <c r="B2943" t="str">
        <f>"03651085"</f>
        <v>03651085</v>
      </c>
      <c r="C2943" t="s">
        <v>12183</v>
      </c>
      <c r="D2943" t="s">
        <v>670</v>
      </c>
      <c r="E2943" t="s">
        <v>671</v>
      </c>
      <c r="G2943" t="s">
        <v>2224</v>
      </c>
      <c r="H2943" t="s">
        <v>2225</v>
      </c>
      <c r="J2943" t="s">
        <v>2226</v>
      </c>
      <c r="L2943" t="s">
        <v>81</v>
      </c>
      <c r="M2943" t="s">
        <v>73</v>
      </c>
      <c r="R2943" t="s">
        <v>672</v>
      </c>
      <c r="W2943" t="s">
        <v>671</v>
      </c>
      <c r="X2943" t="s">
        <v>170</v>
      </c>
      <c r="Y2943" t="s">
        <v>91</v>
      </c>
      <c r="Z2943" t="s">
        <v>74</v>
      </c>
      <c r="AA2943" t="str">
        <f>"10065-4870"</f>
        <v>10065-4870</v>
      </c>
      <c r="AB2943" t="s">
        <v>75</v>
      </c>
      <c r="AC2943" t="s">
        <v>76</v>
      </c>
      <c r="AD2943" t="s">
        <v>73</v>
      </c>
      <c r="AE2943" t="s">
        <v>77</v>
      </c>
      <c r="AF2943" t="s">
        <v>2398</v>
      </c>
      <c r="AG2943" t="s">
        <v>78</v>
      </c>
    </row>
    <row r="2944" spans="1:33" hidden="1" x14ac:dyDescent="0.25">
      <c r="A2944" t="str">
        <f>"1871522706"</f>
        <v>1871522706</v>
      </c>
      <c r="B2944" t="str">
        <f>"03573080"</f>
        <v>03573080</v>
      </c>
      <c r="C2944" t="s">
        <v>841</v>
      </c>
      <c r="D2944" t="s">
        <v>842</v>
      </c>
      <c r="E2944" t="s">
        <v>843</v>
      </c>
      <c r="G2944" t="s">
        <v>2260</v>
      </c>
      <c r="H2944" t="s">
        <v>12184</v>
      </c>
      <c r="J2944" t="s">
        <v>1512</v>
      </c>
      <c r="L2944" t="s">
        <v>72</v>
      </c>
      <c r="M2944" t="s">
        <v>73</v>
      </c>
      <c r="R2944" t="s">
        <v>844</v>
      </c>
      <c r="W2944" t="s">
        <v>843</v>
      </c>
      <c r="X2944" t="s">
        <v>288</v>
      </c>
      <c r="Y2944" t="s">
        <v>91</v>
      </c>
      <c r="Z2944" t="s">
        <v>74</v>
      </c>
      <c r="AA2944" t="str">
        <f>"10170-1699"</f>
        <v>10170-1699</v>
      </c>
      <c r="AB2944" t="s">
        <v>75</v>
      </c>
      <c r="AC2944" t="s">
        <v>76</v>
      </c>
      <c r="AD2944" t="s">
        <v>73</v>
      </c>
      <c r="AE2944" t="s">
        <v>77</v>
      </c>
      <c r="AG2944" t="s">
        <v>78</v>
      </c>
    </row>
    <row r="2945" spans="1:33" hidden="1" x14ac:dyDescent="0.25">
      <c r="A2945" t="str">
        <f>"1740340942"</f>
        <v>1740340942</v>
      </c>
      <c r="B2945" t="str">
        <f>"00160870"</f>
        <v>00160870</v>
      </c>
      <c r="C2945" t="s">
        <v>811</v>
      </c>
      <c r="D2945" t="s">
        <v>812</v>
      </c>
      <c r="E2945" t="s">
        <v>813</v>
      </c>
      <c r="G2945" t="s">
        <v>2260</v>
      </c>
      <c r="H2945" t="s">
        <v>12185</v>
      </c>
      <c r="J2945" t="s">
        <v>1512</v>
      </c>
      <c r="L2945" t="s">
        <v>81</v>
      </c>
      <c r="M2945" t="s">
        <v>82</v>
      </c>
      <c r="R2945" t="s">
        <v>814</v>
      </c>
      <c r="W2945" t="s">
        <v>813</v>
      </c>
      <c r="X2945" t="s">
        <v>815</v>
      </c>
      <c r="Y2945" t="s">
        <v>118</v>
      </c>
      <c r="Z2945" t="s">
        <v>74</v>
      </c>
      <c r="AA2945" t="str">
        <f>"10467-7947"</f>
        <v>10467-7947</v>
      </c>
      <c r="AB2945" t="s">
        <v>75</v>
      </c>
      <c r="AC2945" t="s">
        <v>76</v>
      </c>
      <c r="AD2945" t="s">
        <v>73</v>
      </c>
      <c r="AE2945" t="s">
        <v>77</v>
      </c>
      <c r="AG2945" t="s">
        <v>78</v>
      </c>
    </row>
    <row r="2946" spans="1:33" hidden="1" x14ac:dyDescent="0.25">
      <c r="A2946" t="str">
        <f>"1437492972"</f>
        <v>1437492972</v>
      </c>
      <c r="C2946" t="s">
        <v>12186</v>
      </c>
      <c r="G2946" t="s">
        <v>2224</v>
      </c>
      <c r="H2946" t="s">
        <v>2312</v>
      </c>
      <c r="J2946" t="s">
        <v>2226</v>
      </c>
      <c r="K2946" t="s">
        <v>171</v>
      </c>
      <c r="L2946" t="s">
        <v>96</v>
      </c>
      <c r="M2946" t="s">
        <v>73</v>
      </c>
      <c r="R2946" t="s">
        <v>12187</v>
      </c>
      <c r="S2946" t="s">
        <v>12188</v>
      </c>
      <c r="T2946" t="s">
        <v>91</v>
      </c>
      <c r="U2946" t="s">
        <v>74</v>
      </c>
      <c r="V2946" t="str">
        <f>"100033821"</f>
        <v>100033821</v>
      </c>
      <c r="AC2946" t="s">
        <v>76</v>
      </c>
      <c r="AD2946" t="s">
        <v>73</v>
      </c>
      <c r="AE2946" t="s">
        <v>97</v>
      </c>
      <c r="AF2946" t="s">
        <v>2242</v>
      </c>
      <c r="AG2946" t="s">
        <v>78</v>
      </c>
    </row>
    <row r="2947" spans="1:33" hidden="1" x14ac:dyDescent="0.25">
      <c r="A2947" t="str">
        <f>"1467719294"</f>
        <v>1467719294</v>
      </c>
      <c r="C2947" t="s">
        <v>12189</v>
      </c>
      <c r="G2947" t="s">
        <v>2224</v>
      </c>
      <c r="H2947" t="s">
        <v>2312</v>
      </c>
      <c r="J2947" t="s">
        <v>2226</v>
      </c>
      <c r="K2947" t="s">
        <v>171</v>
      </c>
      <c r="L2947" t="s">
        <v>96</v>
      </c>
      <c r="M2947" t="s">
        <v>73</v>
      </c>
      <c r="R2947" t="s">
        <v>12190</v>
      </c>
      <c r="S2947" t="s">
        <v>12191</v>
      </c>
      <c r="T2947" t="s">
        <v>520</v>
      </c>
      <c r="U2947" t="s">
        <v>209</v>
      </c>
      <c r="V2947" t="str">
        <f>"606371447"</f>
        <v>606371447</v>
      </c>
      <c r="AC2947" t="s">
        <v>76</v>
      </c>
      <c r="AD2947" t="s">
        <v>73</v>
      </c>
      <c r="AE2947" t="s">
        <v>97</v>
      </c>
      <c r="AF2947" t="s">
        <v>2234</v>
      </c>
      <c r="AG2947" t="s">
        <v>78</v>
      </c>
    </row>
    <row r="2948" spans="1:33" hidden="1" x14ac:dyDescent="0.25">
      <c r="A2948" t="str">
        <f>"1386972339"</f>
        <v>1386972339</v>
      </c>
      <c r="B2948" t="str">
        <f>"03197284"</f>
        <v>03197284</v>
      </c>
      <c r="C2948" t="s">
        <v>12192</v>
      </c>
      <c r="D2948" t="s">
        <v>1130</v>
      </c>
      <c r="E2948" t="s">
        <v>1131</v>
      </c>
      <c r="L2948" t="s">
        <v>16</v>
      </c>
      <c r="M2948" t="s">
        <v>82</v>
      </c>
      <c r="R2948" t="s">
        <v>1131</v>
      </c>
      <c r="W2948" t="s">
        <v>1131</v>
      </c>
      <c r="X2948" t="s">
        <v>1132</v>
      </c>
      <c r="Y2948" t="s">
        <v>91</v>
      </c>
      <c r="Z2948" t="s">
        <v>74</v>
      </c>
      <c r="AA2948" t="str">
        <f>"10032-2241"</f>
        <v>10032-2241</v>
      </c>
      <c r="AB2948" t="s">
        <v>119</v>
      </c>
      <c r="AC2948" t="s">
        <v>76</v>
      </c>
      <c r="AD2948" t="s">
        <v>73</v>
      </c>
      <c r="AE2948" t="s">
        <v>77</v>
      </c>
      <c r="AG2948" t="s">
        <v>78</v>
      </c>
    </row>
    <row r="2949" spans="1:33" hidden="1" x14ac:dyDescent="0.25">
      <c r="A2949" t="str">
        <f>"1235486002"</f>
        <v>1235486002</v>
      </c>
      <c r="B2949" t="str">
        <f>"03498368"</f>
        <v>03498368</v>
      </c>
      <c r="C2949" t="s">
        <v>12193</v>
      </c>
      <c r="D2949" t="s">
        <v>12194</v>
      </c>
      <c r="E2949" t="s">
        <v>12195</v>
      </c>
      <c r="L2949" t="s">
        <v>81</v>
      </c>
      <c r="M2949" t="s">
        <v>82</v>
      </c>
      <c r="R2949" t="s">
        <v>12196</v>
      </c>
      <c r="W2949" t="s">
        <v>12195</v>
      </c>
      <c r="X2949" t="s">
        <v>1103</v>
      </c>
      <c r="Y2949" t="s">
        <v>84</v>
      </c>
      <c r="Z2949" t="s">
        <v>74</v>
      </c>
      <c r="AA2949" t="str">
        <f>"11206-2505"</f>
        <v>11206-2505</v>
      </c>
      <c r="AB2949" t="s">
        <v>75</v>
      </c>
      <c r="AC2949" t="s">
        <v>76</v>
      </c>
      <c r="AD2949" t="s">
        <v>73</v>
      </c>
      <c r="AE2949" t="s">
        <v>77</v>
      </c>
      <c r="AG2949" t="s">
        <v>78</v>
      </c>
    </row>
    <row r="2950" spans="1:33" hidden="1" x14ac:dyDescent="0.25">
      <c r="A2950" t="str">
        <f>"1245660273"</f>
        <v>1245660273</v>
      </c>
      <c r="B2950" t="str">
        <f>"03970207"</f>
        <v>03970207</v>
      </c>
      <c r="C2950" t="s">
        <v>12197</v>
      </c>
      <c r="D2950" t="s">
        <v>705</v>
      </c>
      <c r="E2950" t="s">
        <v>706</v>
      </c>
      <c r="G2950" t="s">
        <v>2224</v>
      </c>
      <c r="H2950" t="s">
        <v>2312</v>
      </c>
      <c r="J2950" t="s">
        <v>2226</v>
      </c>
      <c r="L2950" t="s">
        <v>81</v>
      </c>
      <c r="M2950" t="s">
        <v>73</v>
      </c>
      <c r="R2950" t="s">
        <v>706</v>
      </c>
      <c r="W2950" t="s">
        <v>706</v>
      </c>
      <c r="X2950" t="s">
        <v>707</v>
      </c>
      <c r="Y2950" t="s">
        <v>84</v>
      </c>
      <c r="Z2950" t="s">
        <v>74</v>
      </c>
      <c r="AA2950" t="str">
        <f>"11208-3535"</f>
        <v>11208-3535</v>
      </c>
      <c r="AB2950" t="s">
        <v>75</v>
      </c>
      <c r="AC2950" t="s">
        <v>76</v>
      </c>
      <c r="AD2950" t="s">
        <v>73</v>
      </c>
      <c r="AE2950" t="s">
        <v>77</v>
      </c>
      <c r="AF2950" t="s">
        <v>2234</v>
      </c>
      <c r="AG2950" t="s">
        <v>78</v>
      </c>
    </row>
    <row r="2951" spans="1:33" hidden="1" x14ac:dyDescent="0.25">
      <c r="A2951" t="str">
        <f>"1689867251"</f>
        <v>1689867251</v>
      </c>
      <c r="B2951" t="str">
        <f>"02229270"</f>
        <v>02229270</v>
      </c>
      <c r="C2951" t="s">
        <v>12198</v>
      </c>
      <c r="D2951" t="s">
        <v>12199</v>
      </c>
      <c r="E2951" t="s">
        <v>12200</v>
      </c>
      <c r="L2951" t="s">
        <v>80</v>
      </c>
      <c r="M2951" t="s">
        <v>73</v>
      </c>
      <c r="R2951" t="s">
        <v>12201</v>
      </c>
      <c r="W2951" t="s">
        <v>12200</v>
      </c>
      <c r="X2951" t="s">
        <v>254</v>
      </c>
      <c r="Y2951" t="s">
        <v>91</v>
      </c>
      <c r="Z2951" t="s">
        <v>74</v>
      </c>
      <c r="AA2951" t="str">
        <f>"10003-3804"</f>
        <v>10003-3804</v>
      </c>
      <c r="AB2951" t="s">
        <v>75</v>
      </c>
      <c r="AC2951" t="s">
        <v>76</v>
      </c>
      <c r="AD2951" t="s">
        <v>73</v>
      </c>
      <c r="AE2951" t="s">
        <v>77</v>
      </c>
      <c r="AF2951" t="s">
        <v>2242</v>
      </c>
      <c r="AG2951" t="s">
        <v>78</v>
      </c>
    </row>
    <row r="2952" spans="1:33" hidden="1" x14ac:dyDescent="0.25">
      <c r="A2952" t="str">
        <f>"1235141532"</f>
        <v>1235141532</v>
      </c>
      <c r="B2952" t="str">
        <f>"01553731"</f>
        <v>01553731</v>
      </c>
      <c r="C2952" t="s">
        <v>12202</v>
      </c>
      <c r="D2952" t="s">
        <v>12203</v>
      </c>
      <c r="E2952" t="s">
        <v>12204</v>
      </c>
      <c r="L2952" t="s">
        <v>80</v>
      </c>
      <c r="M2952" t="s">
        <v>73</v>
      </c>
      <c r="R2952" t="s">
        <v>12205</v>
      </c>
      <c r="W2952" t="s">
        <v>12204</v>
      </c>
      <c r="X2952" t="s">
        <v>1595</v>
      </c>
      <c r="Y2952" t="s">
        <v>91</v>
      </c>
      <c r="Z2952" t="s">
        <v>74</v>
      </c>
      <c r="AA2952" t="str">
        <f>"10038-2649"</f>
        <v>10038-2649</v>
      </c>
      <c r="AB2952" t="s">
        <v>75</v>
      </c>
      <c r="AC2952" t="s">
        <v>76</v>
      </c>
      <c r="AD2952" t="s">
        <v>73</v>
      </c>
      <c r="AE2952" t="s">
        <v>77</v>
      </c>
      <c r="AF2952" t="s">
        <v>2242</v>
      </c>
      <c r="AG2952" t="s">
        <v>78</v>
      </c>
    </row>
    <row r="2953" spans="1:33" hidden="1" x14ac:dyDescent="0.25">
      <c r="A2953" t="str">
        <f>"1982842795"</f>
        <v>1982842795</v>
      </c>
      <c r="B2953" t="str">
        <f>"03348065"</f>
        <v>03348065</v>
      </c>
      <c r="C2953" t="s">
        <v>12206</v>
      </c>
      <c r="D2953" t="s">
        <v>12207</v>
      </c>
      <c r="E2953" t="s">
        <v>12208</v>
      </c>
      <c r="L2953" t="s">
        <v>80</v>
      </c>
      <c r="M2953" t="s">
        <v>73</v>
      </c>
      <c r="R2953" t="s">
        <v>12209</v>
      </c>
      <c r="W2953" t="s">
        <v>12208</v>
      </c>
      <c r="X2953" t="s">
        <v>170</v>
      </c>
      <c r="Y2953" t="s">
        <v>91</v>
      </c>
      <c r="Z2953" t="s">
        <v>74</v>
      </c>
      <c r="AA2953" t="str">
        <f>"10065-4870"</f>
        <v>10065-4870</v>
      </c>
      <c r="AB2953" t="s">
        <v>75</v>
      </c>
      <c r="AC2953" t="s">
        <v>76</v>
      </c>
      <c r="AD2953" t="s">
        <v>73</v>
      </c>
      <c r="AE2953" t="s">
        <v>77</v>
      </c>
      <c r="AG2953" t="s">
        <v>78</v>
      </c>
    </row>
    <row r="2954" spans="1:33" hidden="1" x14ac:dyDescent="0.25">
      <c r="A2954" t="str">
        <f>"1457503559"</f>
        <v>1457503559</v>
      </c>
      <c r="C2954" t="s">
        <v>12210</v>
      </c>
      <c r="G2954" t="s">
        <v>2224</v>
      </c>
      <c r="H2954" t="s">
        <v>2312</v>
      </c>
      <c r="J2954" t="s">
        <v>2226</v>
      </c>
      <c r="K2954" t="s">
        <v>171</v>
      </c>
      <c r="L2954" t="s">
        <v>96</v>
      </c>
      <c r="M2954" t="s">
        <v>73</v>
      </c>
      <c r="R2954" t="s">
        <v>12211</v>
      </c>
      <c r="S2954" t="s">
        <v>170</v>
      </c>
      <c r="T2954" t="s">
        <v>91</v>
      </c>
      <c r="U2954" t="s">
        <v>74</v>
      </c>
      <c r="V2954" t="str">
        <f>"100654870"</f>
        <v>100654870</v>
      </c>
      <c r="AC2954" t="s">
        <v>76</v>
      </c>
      <c r="AD2954" t="s">
        <v>73</v>
      </c>
      <c r="AE2954" t="s">
        <v>97</v>
      </c>
      <c r="AF2954" t="s">
        <v>2242</v>
      </c>
      <c r="AG2954" t="s">
        <v>78</v>
      </c>
    </row>
    <row r="2955" spans="1:33" hidden="1" x14ac:dyDescent="0.25">
      <c r="A2955" t="str">
        <f>"1871932301"</f>
        <v>1871932301</v>
      </c>
      <c r="B2955" t="str">
        <f>"03990434"</f>
        <v>03990434</v>
      </c>
      <c r="C2955" t="s">
        <v>12212</v>
      </c>
      <c r="D2955" t="s">
        <v>12213</v>
      </c>
      <c r="E2955" t="s">
        <v>12214</v>
      </c>
      <c r="G2955" t="s">
        <v>2224</v>
      </c>
      <c r="H2955" t="s">
        <v>2312</v>
      </c>
      <c r="J2955" t="s">
        <v>2226</v>
      </c>
      <c r="L2955" t="s">
        <v>80</v>
      </c>
      <c r="M2955" t="s">
        <v>73</v>
      </c>
      <c r="R2955" t="s">
        <v>12215</v>
      </c>
      <c r="W2955" t="s">
        <v>12214</v>
      </c>
      <c r="X2955" t="s">
        <v>1149</v>
      </c>
      <c r="Y2955" t="s">
        <v>1150</v>
      </c>
      <c r="Z2955" t="s">
        <v>74</v>
      </c>
      <c r="AA2955" t="str">
        <f>"10708-3403"</f>
        <v>10708-3403</v>
      </c>
      <c r="AB2955" t="s">
        <v>75</v>
      </c>
      <c r="AC2955" t="s">
        <v>76</v>
      </c>
      <c r="AD2955" t="s">
        <v>73</v>
      </c>
      <c r="AE2955" t="s">
        <v>77</v>
      </c>
      <c r="AF2955" t="s">
        <v>2228</v>
      </c>
      <c r="AG2955" t="s">
        <v>78</v>
      </c>
    </row>
    <row r="2956" spans="1:33" hidden="1" x14ac:dyDescent="0.25">
      <c r="A2956" t="str">
        <f>"1891052544"</f>
        <v>1891052544</v>
      </c>
      <c r="C2956" t="s">
        <v>12216</v>
      </c>
      <c r="G2956" t="s">
        <v>2224</v>
      </c>
      <c r="H2956" t="s">
        <v>2312</v>
      </c>
      <c r="J2956" t="s">
        <v>2226</v>
      </c>
      <c r="K2956" t="s">
        <v>171</v>
      </c>
      <c r="L2956" t="s">
        <v>96</v>
      </c>
      <c r="M2956" t="s">
        <v>73</v>
      </c>
      <c r="R2956" t="s">
        <v>12217</v>
      </c>
      <c r="S2956" t="s">
        <v>2381</v>
      </c>
      <c r="T2956" t="s">
        <v>91</v>
      </c>
      <c r="U2956" t="s">
        <v>74</v>
      </c>
      <c r="V2956" t="str">
        <f>"100654870"</f>
        <v>100654870</v>
      </c>
      <c r="AC2956" t="s">
        <v>76</v>
      </c>
      <c r="AD2956" t="s">
        <v>73</v>
      </c>
      <c r="AE2956" t="s">
        <v>97</v>
      </c>
      <c r="AF2956" t="s">
        <v>2242</v>
      </c>
      <c r="AG2956" t="s">
        <v>78</v>
      </c>
    </row>
    <row r="2957" spans="1:33" hidden="1" x14ac:dyDescent="0.25">
      <c r="A2957" t="str">
        <f>"1467879460"</f>
        <v>1467879460</v>
      </c>
      <c r="C2957" t="s">
        <v>12218</v>
      </c>
      <c r="G2957" t="s">
        <v>2224</v>
      </c>
      <c r="H2957" t="s">
        <v>2312</v>
      </c>
      <c r="J2957" t="s">
        <v>2226</v>
      </c>
      <c r="K2957" t="s">
        <v>171</v>
      </c>
      <c r="L2957" t="s">
        <v>96</v>
      </c>
      <c r="M2957" t="s">
        <v>73</v>
      </c>
      <c r="R2957" t="s">
        <v>12219</v>
      </c>
      <c r="S2957" t="s">
        <v>12220</v>
      </c>
      <c r="T2957" t="s">
        <v>12221</v>
      </c>
      <c r="U2957" t="s">
        <v>139</v>
      </c>
      <c r="V2957" t="str">
        <f>"085501513"</f>
        <v>085501513</v>
      </c>
      <c r="AC2957" t="s">
        <v>76</v>
      </c>
      <c r="AD2957" t="s">
        <v>73</v>
      </c>
      <c r="AE2957" t="s">
        <v>97</v>
      </c>
      <c r="AF2957" t="s">
        <v>2228</v>
      </c>
      <c r="AG2957" t="s">
        <v>78</v>
      </c>
    </row>
    <row r="2958" spans="1:33" hidden="1" x14ac:dyDescent="0.25">
      <c r="A2958" t="str">
        <f>"1609294180"</f>
        <v>1609294180</v>
      </c>
      <c r="C2958" t="s">
        <v>12222</v>
      </c>
      <c r="G2958" t="s">
        <v>2224</v>
      </c>
      <c r="H2958" t="s">
        <v>2312</v>
      </c>
      <c r="J2958" t="s">
        <v>2226</v>
      </c>
      <c r="K2958" t="s">
        <v>171</v>
      </c>
      <c r="L2958" t="s">
        <v>96</v>
      </c>
      <c r="M2958" t="s">
        <v>73</v>
      </c>
      <c r="R2958" t="s">
        <v>12223</v>
      </c>
      <c r="S2958" t="s">
        <v>2442</v>
      </c>
      <c r="T2958" t="s">
        <v>91</v>
      </c>
      <c r="U2958" t="s">
        <v>74</v>
      </c>
      <c r="V2958" t="str">
        <f>"100323720"</f>
        <v>100323720</v>
      </c>
      <c r="AC2958" t="s">
        <v>76</v>
      </c>
      <c r="AD2958" t="s">
        <v>73</v>
      </c>
      <c r="AE2958" t="s">
        <v>97</v>
      </c>
      <c r="AF2958" t="s">
        <v>2228</v>
      </c>
      <c r="AG2958" t="s">
        <v>78</v>
      </c>
    </row>
    <row r="2959" spans="1:33" hidden="1" x14ac:dyDescent="0.25">
      <c r="A2959" t="str">
        <f>"1619233855"</f>
        <v>1619233855</v>
      </c>
      <c r="B2959" t="str">
        <f>"04425687"</f>
        <v>04425687</v>
      </c>
      <c r="C2959" t="s">
        <v>12224</v>
      </c>
      <c r="D2959" t="s">
        <v>12225</v>
      </c>
      <c r="E2959" t="s">
        <v>12226</v>
      </c>
      <c r="G2959" t="s">
        <v>2224</v>
      </c>
      <c r="H2959" t="s">
        <v>2312</v>
      </c>
      <c r="J2959" t="s">
        <v>2226</v>
      </c>
      <c r="L2959" t="s">
        <v>96</v>
      </c>
      <c r="M2959" t="s">
        <v>73</v>
      </c>
      <c r="R2959" t="s">
        <v>12227</v>
      </c>
      <c r="W2959" t="s">
        <v>12226</v>
      </c>
      <c r="X2959" t="s">
        <v>1680</v>
      </c>
      <c r="Y2959" t="s">
        <v>91</v>
      </c>
      <c r="Z2959" t="s">
        <v>74</v>
      </c>
      <c r="AA2959" t="str">
        <f>"10065-4870"</f>
        <v>10065-4870</v>
      </c>
      <c r="AB2959" t="s">
        <v>75</v>
      </c>
      <c r="AC2959" t="s">
        <v>76</v>
      </c>
      <c r="AD2959" t="s">
        <v>73</v>
      </c>
      <c r="AE2959" t="s">
        <v>77</v>
      </c>
      <c r="AF2959" t="s">
        <v>2242</v>
      </c>
      <c r="AG2959" t="s">
        <v>78</v>
      </c>
    </row>
    <row r="2960" spans="1:33" hidden="1" x14ac:dyDescent="0.25">
      <c r="A2960" t="str">
        <f>"1467871038"</f>
        <v>1467871038</v>
      </c>
      <c r="C2960" t="s">
        <v>12228</v>
      </c>
      <c r="G2960" t="s">
        <v>2224</v>
      </c>
      <c r="H2960" t="s">
        <v>2312</v>
      </c>
      <c r="J2960" t="s">
        <v>2226</v>
      </c>
      <c r="K2960" t="s">
        <v>171</v>
      </c>
      <c r="L2960" t="s">
        <v>96</v>
      </c>
      <c r="M2960" t="s">
        <v>73</v>
      </c>
      <c r="R2960" t="s">
        <v>12229</v>
      </c>
      <c r="S2960" t="s">
        <v>12230</v>
      </c>
      <c r="T2960" t="s">
        <v>91</v>
      </c>
      <c r="U2960" t="s">
        <v>74</v>
      </c>
      <c r="V2960" t="str">
        <f>"100654870"</f>
        <v>100654870</v>
      </c>
      <c r="AC2960" t="s">
        <v>76</v>
      </c>
      <c r="AD2960" t="s">
        <v>73</v>
      </c>
      <c r="AE2960" t="s">
        <v>97</v>
      </c>
      <c r="AF2960" t="s">
        <v>2242</v>
      </c>
      <c r="AG2960" t="s">
        <v>78</v>
      </c>
    </row>
    <row r="2961" spans="1:33" hidden="1" x14ac:dyDescent="0.25">
      <c r="A2961" t="str">
        <f>"1396988697"</f>
        <v>1396988697</v>
      </c>
      <c r="B2961" t="str">
        <f>"03687170"</f>
        <v>03687170</v>
      </c>
      <c r="C2961" t="s">
        <v>12231</v>
      </c>
      <c r="D2961" t="s">
        <v>12232</v>
      </c>
      <c r="E2961" t="s">
        <v>12233</v>
      </c>
      <c r="G2961" t="s">
        <v>2224</v>
      </c>
      <c r="H2961" t="s">
        <v>2225</v>
      </c>
      <c r="J2961" t="s">
        <v>2226</v>
      </c>
      <c r="L2961" t="s">
        <v>81</v>
      </c>
      <c r="M2961" t="s">
        <v>73</v>
      </c>
      <c r="R2961" t="s">
        <v>12234</v>
      </c>
      <c r="W2961" t="s">
        <v>12235</v>
      </c>
      <c r="X2961" t="s">
        <v>167</v>
      </c>
      <c r="Y2961" t="s">
        <v>91</v>
      </c>
      <c r="Z2961" t="s">
        <v>74</v>
      </c>
      <c r="AA2961" t="str">
        <f>"10032-3720"</f>
        <v>10032-3720</v>
      </c>
      <c r="AB2961" t="s">
        <v>75</v>
      </c>
      <c r="AC2961" t="s">
        <v>76</v>
      </c>
      <c r="AD2961" t="s">
        <v>73</v>
      </c>
      <c r="AE2961" t="s">
        <v>77</v>
      </c>
      <c r="AF2961" t="s">
        <v>2228</v>
      </c>
      <c r="AG2961" t="s">
        <v>78</v>
      </c>
    </row>
    <row r="2962" spans="1:33" hidden="1" x14ac:dyDescent="0.25">
      <c r="C2962" t="s">
        <v>12236</v>
      </c>
      <c r="G2962" t="s">
        <v>2218</v>
      </c>
      <c r="H2962" t="s">
        <v>1877</v>
      </c>
      <c r="J2962" t="s">
        <v>2220</v>
      </c>
      <c r="K2962" t="s">
        <v>105</v>
      </c>
      <c r="L2962" t="s">
        <v>94</v>
      </c>
      <c r="M2962" t="s">
        <v>73</v>
      </c>
      <c r="AC2962" t="s">
        <v>76</v>
      </c>
      <c r="AD2962" t="s">
        <v>73</v>
      </c>
      <c r="AE2962" t="s">
        <v>95</v>
      </c>
      <c r="AG2962" t="s">
        <v>78</v>
      </c>
    </row>
    <row r="2963" spans="1:33" hidden="1" x14ac:dyDescent="0.25">
      <c r="A2963" t="str">
        <f>"1013293380"</f>
        <v>1013293380</v>
      </c>
      <c r="B2963" t="str">
        <f>"03550465"</f>
        <v>03550465</v>
      </c>
      <c r="C2963" t="s">
        <v>12237</v>
      </c>
      <c r="D2963" t="s">
        <v>12238</v>
      </c>
      <c r="E2963" t="s">
        <v>12239</v>
      </c>
      <c r="G2963" t="s">
        <v>2224</v>
      </c>
      <c r="H2963" t="s">
        <v>2225</v>
      </c>
      <c r="J2963" t="s">
        <v>2226</v>
      </c>
      <c r="L2963" t="s">
        <v>100</v>
      </c>
      <c r="M2963" t="s">
        <v>73</v>
      </c>
      <c r="R2963" t="s">
        <v>12240</v>
      </c>
      <c r="W2963" t="s">
        <v>12239</v>
      </c>
      <c r="X2963" t="s">
        <v>170</v>
      </c>
      <c r="Y2963" t="s">
        <v>91</v>
      </c>
      <c r="Z2963" t="s">
        <v>74</v>
      </c>
      <c r="AA2963" t="str">
        <f>"10065-4870"</f>
        <v>10065-4870</v>
      </c>
      <c r="AB2963" t="s">
        <v>75</v>
      </c>
      <c r="AC2963" t="s">
        <v>76</v>
      </c>
      <c r="AD2963" t="s">
        <v>73</v>
      </c>
      <c r="AE2963" t="s">
        <v>77</v>
      </c>
      <c r="AF2963" t="s">
        <v>2398</v>
      </c>
      <c r="AG2963" t="s">
        <v>78</v>
      </c>
    </row>
    <row r="2964" spans="1:33" hidden="1" x14ac:dyDescent="0.25">
      <c r="A2964" t="str">
        <f>"1003988718"</f>
        <v>1003988718</v>
      </c>
      <c r="B2964" t="str">
        <f>"02568349"</f>
        <v>02568349</v>
      </c>
      <c r="C2964" t="s">
        <v>12241</v>
      </c>
      <c r="D2964" t="s">
        <v>12242</v>
      </c>
      <c r="E2964" t="s">
        <v>12243</v>
      </c>
      <c r="G2964" t="s">
        <v>2224</v>
      </c>
      <c r="H2964" t="s">
        <v>2225</v>
      </c>
      <c r="J2964" t="s">
        <v>2226</v>
      </c>
      <c r="L2964" t="s">
        <v>80</v>
      </c>
      <c r="M2964" t="s">
        <v>73</v>
      </c>
      <c r="R2964" t="s">
        <v>12244</v>
      </c>
      <c r="W2964" t="s">
        <v>12243</v>
      </c>
      <c r="X2964" t="s">
        <v>1931</v>
      </c>
      <c r="Y2964" t="s">
        <v>162</v>
      </c>
      <c r="Z2964" t="s">
        <v>74</v>
      </c>
      <c r="AA2964" t="str">
        <f>"11106-3607"</f>
        <v>11106-3607</v>
      </c>
      <c r="AB2964" t="s">
        <v>75</v>
      </c>
      <c r="AC2964" t="s">
        <v>76</v>
      </c>
      <c r="AD2964" t="s">
        <v>73</v>
      </c>
      <c r="AE2964" t="s">
        <v>77</v>
      </c>
      <c r="AF2964" t="s">
        <v>2228</v>
      </c>
      <c r="AG2964" t="s">
        <v>78</v>
      </c>
    </row>
    <row r="2965" spans="1:33" hidden="1" x14ac:dyDescent="0.25">
      <c r="A2965" t="str">
        <f>"1487758686"</f>
        <v>1487758686</v>
      </c>
      <c r="B2965" t="str">
        <f>"03202673"</f>
        <v>03202673</v>
      </c>
      <c r="C2965" t="s">
        <v>12245</v>
      </c>
      <c r="D2965" t="s">
        <v>12246</v>
      </c>
      <c r="E2965" t="s">
        <v>12247</v>
      </c>
      <c r="G2965" t="s">
        <v>2224</v>
      </c>
      <c r="H2965" t="s">
        <v>2225</v>
      </c>
      <c r="J2965" t="s">
        <v>2226</v>
      </c>
      <c r="L2965" t="s">
        <v>81</v>
      </c>
      <c r="M2965" t="s">
        <v>82</v>
      </c>
      <c r="R2965" t="s">
        <v>12248</v>
      </c>
      <c r="W2965" t="s">
        <v>12247</v>
      </c>
      <c r="X2965" t="s">
        <v>2115</v>
      </c>
      <c r="Y2965" t="s">
        <v>91</v>
      </c>
      <c r="Z2965" t="s">
        <v>74</v>
      </c>
      <c r="AA2965" t="str">
        <f>"10032-7104"</f>
        <v>10032-7104</v>
      </c>
      <c r="AB2965" t="s">
        <v>75</v>
      </c>
      <c r="AC2965" t="s">
        <v>76</v>
      </c>
      <c r="AD2965" t="s">
        <v>73</v>
      </c>
      <c r="AE2965" t="s">
        <v>77</v>
      </c>
      <c r="AF2965" t="s">
        <v>2254</v>
      </c>
      <c r="AG2965" t="s">
        <v>78</v>
      </c>
    </row>
    <row r="2966" spans="1:33" hidden="1" x14ac:dyDescent="0.25">
      <c r="A2966" t="str">
        <f>"1124257639"</f>
        <v>1124257639</v>
      </c>
      <c r="B2966" t="str">
        <f>"04426546"</f>
        <v>04426546</v>
      </c>
      <c r="C2966" t="s">
        <v>12249</v>
      </c>
      <c r="D2966" t="s">
        <v>12250</v>
      </c>
      <c r="E2966" t="s">
        <v>12251</v>
      </c>
      <c r="G2966" t="s">
        <v>2224</v>
      </c>
      <c r="H2966" t="s">
        <v>2312</v>
      </c>
      <c r="J2966" t="s">
        <v>2226</v>
      </c>
      <c r="L2966" t="s">
        <v>96</v>
      </c>
      <c r="M2966" t="s">
        <v>73</v>
      </c>
      <c r="R2966" t="s">
        <v>12252</v>
      </c>
      <c r="W2966" t="s">
        <v>12251</v>
      </c>
      <c r="X2966" t="s">
        <v>151</v>
      </c>
      <c r="Y2966" t="s">
        <v>84</v>
      </c>
      <c r="Z2966" t="s">
        <v>74</v>
      </c>
      <c r="AA2966" t="str">
        <f>"11219-2916"</f>
        <v>11219-2916</v>
      </c>
      <c r="AB2966" t="s">
        <v>75</v>
      </c>
      <c r="AC2966" t="s">
        <v>76</v>
      </c>
      <c r="AD2966" t="s">
        <v>73</v>
      </c>
      <c r="AE2966" t="s">
        <v>77</v>
      </c>
      <c r="AF2966" t="s">
        <v>2234</v>
      </c>
      <c r="AG2966" t="s">
        <v>78</v>
      </c>
    </row>
    <row r="2967" spans="1:33" hidden="1" x14ac:dyDescent="0.25">
      <c r="A2967" t="str">
        <f>"1194910257"</f>
        <v>1194910257</v>
      </c>
      <c r="B2967" t="str">
        <f>"03309359"</f>
        <v>03309359</v>
      </c>
      <c r="C2967" t="s">
        <v>12253</v>
      </c>
      <c r="D2967" t="s">
        <v>1323</v>
      </c>
      <c r="E2967" t="s">
        <v>1324</v>
      </c>
      <c r="G2967" t="s">
        <v>2224</v>
      </c>
      <c r="H2967" t="s">
        <v>2225</v>
      </c>
      <c r="J2967" t="s">
        <v>2226</v>
      </c>
      <c r="L2967" t="s">
        <v>80</v>
      </c>
      <c r="M2967" t="s">
        <v>73</v>
      </c>
      <c r="R2967" t="s">
        <v>1325</v>
      </c>
      <c r="W2967" t="s">
        <v>1326</v>
      </c>
      <c r="X2967" t="s">
        <v>254</v>
      </c>
      <c r="Y2967" t="s">
        <v>91</v>
      </c>
      <c r="Z2967" t="s">
        <v>74</v>
      </c>
      <c r="AA2967" t="str">
        <f>"10003-3804"</f>
        <v>10003-3804</v>
      </c>
      <c r="AB2967" t="s">
        <v>75</v>
      </c>
      <c r="AC2967" t="s">
        <v>76</v>
      </c>
      <c r="AD2967" t="s">
        <v>73</v>
      </c>
      <c r="AE2967" t="s">
        <v>77</v>
      </c>
      <c r="AF2967" t="s">
        <v>2242</v>
      </c>
      <c r="AG2967" t="s">
        <v>78</v>
      </c>
    </row>
    <row r="2968" spans="1:33" hidden="1" x14ac:dyDescent="0.25">
      <c r="A2968" t="str">
        <f>"1588605661"</f>
        <v>1588605661</v>
      </c>
      <c r="B2968" t="str">
        <f>"01506692"</f>
        <v>01506692</v>
      </c>
      <c r="C2968" t="s">
        <v>12254</v>
      </c>
      <c r="D2968" t="s">
        <v>12255</v>
      </c>
      <c r="E2968" t="s">
        <v>12256</v>
      </c>
      <c r="G2968" t="s">
        <v>2224</v>
      </c>
      <c r="H2968" t="s">
        <v>2225</v>
      </c>
      <c r="J2968" t="s">
        <v>2226</v>
      </c>
      <c r="L2968" t="s">
        <v>72</v>
      </c>
      <c r="M2968" t="s">
        <v>73</v>
      </c>
      <c r="R2968" t="s">
        <v>12257</v>
      </c>
      <c r="W2968" t="s">
        <v>12256</v>
      </c>
      <c r="Y2968" t="s">
        <v>91</v>
      </c>
      <c r="Z2968" t="s">
        <v>74</v>
      </c>
      <c r="AA2968" t="str">
        <f>"10032-3725"</f>
        <v>10032-3725</v>
      </c>
      <c r="AB2968" t="s">
        <v>75</v>
      </c>
      <c r="AC2968" t="s">
        <v>76</v>
      </c>
      <c r="AD2968" t="s">
        <v>73</v>
      </c>
      <c r="AE2968" t="s">
        <v>77</v>
      </c>
      <c r="AF2968" t="s">
        <v>2228</v>
      </c>
      <c r="AG2968" t="s">
        <v>78</v>
      </c>
    </row>
    <row r="2969" spans="1:33" hidden="1" x14ac:dyDescent="0.25">
      <c r="A2969" t="str">
        <f>"1790706265"</f>
        <v>1790706265</v>
      </c>
      <c r="B2969" t="str">
        <f>"03233630"</f>
        <v>03233630</v>
      </c>
      <c r="C2969" t="s">
        <v>12258</v>
      </c>
      <c r="D2969" t="s">
        <v>12259</v>
      </c>
      <c r="E2969" t="s">
        <v>12260</v>
      </c>
      <c r="G2969" t="s">
        <v>2224</v>
      </c>
      <c r="H2969" t="s">
        <v>2225</v>
      </c>
      <c r="J2969" t="s">
        <v>2226</v>
      </c>
      <c r="L2969" t="s">
        <v>72</v>
      </c>
      <c r="M2969" t="s">
        <v>73</v>
      </c>
      <c r="R2969" t="s">
        <v>12261</v>
      </c>
      <c r="W2969" t="s">
        <v>12260</v>
      </c>
      <c r="X2969" t="s">
        <v>4943</v>
      </c>
      <c r="Y2969" t="s">
        <v>91</v>
      </c>
      <c r="Z2969" t="s">
        <v>74</v>
      </c>
      <c r="AA2969" t="str">
        <f>"10075-2304"</f>
        <v>10075-2304</v>
      </c>
      <c r="AB2969" t="s">
        <v>75</v>
      </c>
      <c r="AC2969" t="s">
        <v>76</v>
      </c>
      <c r="AD2969" t="s">
        <v>73</v>
      </c>
      <c r="AE2969" t="s">
        <v>77</v>
      </c>
      <c r="AF2969" t="s">
        <v>2398</v>
      </c>
      <c r="AG2969" t="s">
        <v>78</v>
      </c>
    </row>
    <row r="2970" spans="1:33" hidden="1" x14ac:dyDescent="0.25">
      <c r="A2970" t="str">
        <f>"1972856003"</f>
        <v>1972856003</v>
      </c>
      <c r="B2970" t="str">
        <f>"04062680"</f>
        <v>04062680</v>
      </c>
      <c r="C2970" t="s">
        <v>12262</v>
      </c>
      <c r="D2970" t="s">
        <v>12263</v>
      </c>
      <c r="E2970" t="s">
        <v>12264</v>
      </c>
      <c r="G2970" t="s">
        <v>2224</v>
      </c>
      <c r="H2970" t="s">
        <v>2225</v>
      </c>
      <c r="J2970" t="s">
        <v>2226</v>
      </c>
      <c r="L2970" t="s">
        <v>96</v>
      </c>
      <c r="M2970" t="s">
        <v>73</v>
      </c>
      <c r="R2970" t="s">
        <v>12264</v>
      </c>
      <c r="W2970" t="s">
        <v>12264</v>
      </c>
      <c r="X2970" t="s">
        <v>2115</v>
      </c>
      <c r="Y2970" t="s">
        <v>91</v>
      </c>
      <c r="Z2970" t="s">
        <v>74</v>
      </c>
      <c r="AA2970" t="str">
        <f>"10032-7104"</f>
        <v>10032-7104</v>
      </c>
      <c r="AB2970" t="s">
        <v>106</v>
      </c>
      <c r="AC2970" t="s">
        <v>76</v>
      </c>
      <c r="AD2970" t="s">
        <v>73</v>
      </c>
      <c r="AE2970" t="s">
        <v>77</v>
      </c>
      <c r="AF2970" t="s">
        <v>2254</v>
      </c>
      <c r="AG2970" t="s">
        <v>78</v>
      </c>
    </row>
    <row r="2971" spans="1:33" hidden="1" x14ac:dyDescent="0.25">
      <c r="C2971" t="s">
        <v>12265</v>
      </c>
      <c r="G2971" t="s">
        <v>2224</v>
      </c>
      <c r="H2971" t="s">
        <v>2225</v>
      </c>
      <c r="J2971" t="s">
        <v>2226</v>
      </c>
      <c r="K2971" t="s">
        <v>93</v>
      </c>
      <c r="L2971" t="s">
        <v>94</v>
      </c>
      <c r="M2971" t="s">
        <v>73</v>
      </c>
      <c r="N2971" t="s">
        <v>7187</v>
      </c>
      <c r="O2971" t="s">
        <v>475</v>
      </c>
      <c r="P2971" t="s">
        <v>74</v>
      </c>
      <c r="Q2971" t="str">
        <f>"10021"</f>
        <v>10021</v>
      </c>
      <c r="AC2971" t="s">
        <v>76</v>
      </c>
      <c r="AD2971" t="s">
        <v>73</v>
      </c>
      <c r="AE2971" t="s">
        <v>95</v>
      </c>
      <c r="AF2971" t="s">
        <v>2234</v>
      </c>
      <c r="AG2971" t="s">
        <v>78</v>
      </c>
    </row>
    <row r="2972" spans="1:33" hidden="1" x14ac:dyDescent="0.25">
      <c r="A2972" t="str">
        <f>"1578821757"</f>
        <v>1578821757</v>
      </c>
      <c r="C2972" t="s">
        <v>12266</v>
      </c>
      <c r="G2972" t="s">
        <v>2224</v>
      </c>
      <c r="H2972" t="s">
        <v>2312</v>
      </c>
      <c r="J2972" t="s">
        <v>2226</v>
      </c>
      <c r="K2972" t="s">
        <v>171</v>
      </c>
      <c r="L2972" t="s">
        <v>96</v>
      </c>
      <c r="M2972" t="s">
        <v>73</v>
      </c>
      <c r="R2972" t="s">
        <v>12267</v>
      </c>
      <c r="S2972" t="s">
        <v>334</v>
      </c>
      <c r="T2972" t="s">
        <v>91</v>
      </c>
      <c r="U2972" t="s">
        <v>74</v>
      </c>
      <c r="V2972" t="str">
        <f>"100166402"</f>
        <v>100166402</v>
      </c>
      <c r="AC2972" t="s">
        <v>76</v>
      </c>
      <c r="AD2972" t="s">
        <v>73</v>
      </c>
      <c r="AE2972" t="s">
        <v>97</v>
      </c>
      <c r="AF2972" t="s">
        <v>2228</v>
      </c>
      <c r="AG2972" t="s">
        <v>78</v>
      </c>
    </row>
    <row r="2973" spans="1:33" hidden="1" x14ac:dyDescent="0.25">
      <c r="A2973" t="str">
        <f>"1104064906"</f>
        <v>1104064906</v>
      </c>
      <c r="B2973" t="str">
        <f>"03441292"</f>
        <v>03441292</v>
      </c>
      <c r="C2973" t="s">
        <v>12268</v>
      </c>
      <c r="D2973" t="s">
        <v>12269</v>
      </c>
      <c r="E2973" t="s">
        <v>12270</v>
      </c>
      <c r="L2973" t="s">
        <v>80</v>
      </c>
      <c r="M2973" t="s">
        <v>73</v>
      </c>
      <c r="R2973" t="s">
        <v>12271</v>
      </c>
      <c r="W2973" t="s">
        <v>12272</v>
      </c>
      <c r="X2973" t="s">
        <v>1167</v>
      </c>
      <c r="Y2973" t="s">
        <v>91</v>
      </c>
      <c r="Z2973" t="s">
        <v>74</v>
      </c>
      <c r="AA2973" t="str">
        <f>"10065-4870"</f>
        <v>10065-4870</v>
      </c>
      <c r="AB2973" t="s">
        <v>75</v>
      </c>
      <c r="AC2973" t="s">
        <v>76</v>
      </c>
      <c r="AD2973" t="s">
        <v>73</v>
      </c>
      <c r="AE2973" t="s">
        <v>77</v>
      </c>
      <c r="AF2973" t="s">
        <v>2242</v>
      </c>
      <c r="AG2973" t="s">
        <v>78</v>
      </c>
    </row>
    <row r="2974" spans="1:33" hidden="1" x14ac:dyDescent="0.25">
      <c r="A2974" t="str">
        <f>"1184652067"</f>
        <v>1184652067</v>
      </c>
      <c r="B2974" t="str">
        <f>"01845541"</f>
        <v>01845541</v>
      </c>
      <c r="C2974" t="s">
        <v>1895</v>
      </c>
      <c r="D2974" t="s">
        <v>1896</v>
      </c>
      <c r="E2974" t="s">
        <v>1897</v>
      </c>
      <c r="G2974" t="s">
        <v>2260</v>
      </c>
      <c r="H2974" t="s">
        <v>12273</v>
      </c>
      <c r="J2974" t="s">
        <v>1512</v>
      </c>
      <c r="L2974" t="s">
        <v>81</v>
      </c>
      <c r="M2974" t="s">
        <v>73</v>
      </c>
      <c r="R2974" t="s">
        <v>1898</v>
      </c>
      <c r="W2974" t="s">
        <v>1899</v>
      </c>
      <c r="X2974" t="s">
        <v>1900</v>
      </c>
      <c r="Y2974" t="s">
        <v>84</v>
      </c>
      <c r="Z2974" t="s">
        <v>74</v>
      </c>
      <c r="AA2974" t="str">
        <f>"11238-6432"</f>
        <v>11238-6432</v>
      </c>
      <c r="AB2974" t="s">
        <v>75</v>
      </c>
      <c r="AC2974" t="s">
        <v>76</v>
      </c>
      <c r="AD2974" t="s">
        <v>73</v>
      </c>
      <c r="AE2974" t="s">
        <v>77</v>
      </c>
      <c r="AG2974" t="s">
        <v>78</v>
      </c>
    </row>
    <row r="2975" spans="1:33" hidden="1" x14ac:dyDescent="0.25">
      <c r="A2975" t="str">
        <f>"1083650758"</f>
        <v>1083650758</v>
      </c>
      <c r="B2975" t="str">
        <f>"02706352"</f>
        <v>02706352</v>
      </c>
      <c r="C2975" t="s">
        <v>12274</v>
      </c>
      <c r="D2975" t="s">
        <v>12275</v>
      </c>
      <c r="E2975" t="s">
        <v>12276</v>
      </c>
      <c r="G2975" t="s">
        <v>2224</v>
      </c>
      <c r="H2975" t="s">
        <v>2225</v>
      </c>
      <c r="J2975" t="s">
        <v>2226</v>
      </c>
      <c r="L2975" t="s">
        <v>72</v>
      </c>
      <c r="M2975" t="s">
        <v>73</v>
      </c>
      <c r="R2975" t="s">
        <v>12277</v>
      </c>
      <c r="W2975" t="s">
        <v>12276</v>
      </c>
      <c r="X2975" t="s">
        <v>183</v>
      </c>
      <c r="Y2975" t="s">
        <v>91</v>
      </c>
      <c r="Z2975" t="s">
        <v>74</v>
      </c>
      <c r="AA2975" t="str">
        <f>"10032-3729"</f>
        <v>10032-3729</v>
      </c>
      <c r="AB2975" t="s">
        <v>75</v>
      </c>
      <c r="AC2975" t="s">
        <v>76</v>
      </c>
      <c r="AD2975" t="s">
        <v>73</v>
      </c>
      <c r="AE2975" t="s">
        <v>77</v>
      </c>
      <c r="AF2975" t="s">
        <v>2254</v>
      </c>
      <c r="AG2975" t="s">
        <v>78</v>
      </c>
    </row>
    <row r="2976" spans="1:33" hidden="1" x14ac:dyDescent="0.25">
      <c r="A2976" t="str">
        <f>"1710109947"</f>
        <v>1710109947</v>
      </c>
      <c r="B2976" t="str">
        <f>"01484019"</f>
        <v>01484019</v>
      </c>
      <c r="C2976" t="s">
        <v>2046</v>
      </c>
      <c r="D2976" t="s">
        <v>1513</v>
      </c>
      <c r="E2976" t="s">
        <v>1514</v>
      </c>
      <c r="G2976" t="s">
        <v>9039</v>
      </c>
      <c r="H2976" t="s">
        <v>1515</v>
      </c>
      <c r="J2976" t="s">
        <v>1516</v>
      </c>
      <c r="L2976" t="s">
        <v>34</v>
      </c>
      <c r="M2976" t="s">
        <v>82</v>
      </c>
      <c r="R2976" t="s">
        <v>1517</v>
      </c>
      <c r="W2976" t="s">
        <v>1518</v>
      </c>
      <c r="X2976" t="s">
        <v>1519</v>
      </c>
      <c r="Y2976" t="s">
        <v>91</v>
      </c>
      <c r="Z2976" t="s">
        <v>74</v>
      </c>
      <c r="AA2976" t="str">
        <f>"10001-2201"</f>
        <v>10001-2201</v>
      </c>
      <c r="AB2976" t="s">
        <v>92</v>
      </c>
      <c r="AC2976" t="s">
        <v>76</v>
      </c>
      <c r="AD2976" t="s">
        <v>73</v>
      </c>
      <c r="AE2976" t="s">
        <v>77</v>
      </c>
      <c r="AG2976" t="s">
        <v>78</v>
      </c>
    </row>
    <row r="2977" spans="1:33" hidden="1" x14ac:dyDescent="0.25">
      <c r="A2977" t="str">
        <f>"1316945926"</f>
        <v>1316945926</v>
      </c>
      <c r="B2977" t="str">
        <f>"00280795"</f>
        <v>00280795</v>
      </c>
      <c r="C2977" t="s">
        <v>12278</v>
      </c>
      <c r="D2977" t="s">
        <v>12279</v>
      </c>
      <c r="E2977" t="s">
        <v>12280</v>
      </c>
      <c r="G2977" t="s">
        <v>2224</v>
      </c>
      <c r="H2977" t="s">
        <v>2225</v>
      </c>
      <c r="J2977" t="s">
        <v>2226</v>
      </c>
      <c r="L2977" t="s">
        <v>80</v>
      </c>
      <c r="M2977" t="s">
        <v>82</v>
      </c>
      <c r="R2977" t="s">
        <v>12281</v>
      </c>
      <c r="W2977" t="s">
        <v>12280</v>
      </c>
      <c r="X2977" t="s">
        <v>12282</v>
      </c>
      <c r="Y2977" t="s">
        <v>118</v>
      </c>
      <c r="Z2977" t="s">
        <v>74</v>
      </c>
      <c r="AA2977" t="str">
        <f>"10463-3224"</f>
        <v>10463-3224</v>
      </c>
      <c r="AB2977" t="s">
        <v>79</v>
      </c>
      <c r="AC2977" t="s">
        <v>76</v>
      </c>
      <c r="AD2977" t="s">
        <v>73</v>
      </c>
      <c r="AE2977" t="s">
        <v>77</v>
      </c>
      <c r="AF2977" t="s">
        <v>2398</v>
      </c>
      <c r="AG2977" t="s">
        <v>78</v>
      </c>
    </row>
    <row r="2978" spans="1:33" hidden="1" x14ac:dyDescent="0.25">
      <c r="C2978" t="s">
        <v>12283</v>
      </c>
      <c r="G2978" t="s">
        <v>12284</v>
      </c>
      <c r="J2978" t="s">
        <v>12285</v>
      </c>
      <c r="K2978" t="s">
        <v>105</v>
      </c>
      <c r="L2978" t="s">
        <v>94</v>
      </c>
      <c r="M2978" t="s">
        <v>73</v>
      </c>
      <c r="AC2978" t="s">
        <v>76</v>
      </c>
      <c r="AD2978" t="s">
        <v>73</v>
      </c>
      <c r="AE2978" t="s">
        <v>95</v>
      </c>
      <c r="AG2978" t="s">
        <v>78</v>
      </c>
    </row>
    <row r="2979" spans="1:33" hidden="1" x14ac:dyDescent="0.25">
      <c r="C2979" t="s">
        <v>12286</v>
      </c>
      <c r="G2979" t="s">
        <v>12287</v>
      </c>
      <c r="J2979" t="s">
        <v>12288</v>
      </c>
      <c r="K2979" t="s">
        <v>105</v>
      </c>
      <c r="L2979" t="s">
        <v>94</v>
      </c>
      <c r="M2979" t="s">
        <v>73</v>
      </c>
      <c r="AC2979" t="s">
        <v>76</v>
      </c>
      <c r="AD2979" t="s">
        <v>73</v>
      </c>
      <c r="AE2979" t="s">
        <v>95</v>
      </c>
      <c r="AG2979" t="s">
        <v>78</v>
      </c>
    </row>
    <row r="2980" spans="1:33" hidden="1" x14ac:dyDescent="0.25">
      <c r="A2980" t="str">
        <f>"1790941722"</f>
        <v>1790941722</v>
      </c>
      <c r="B2980" t="str">
        <f>"03579435"</f>
        <v>03579435</v>
      </c>
      <c r="C2980" t="s">
        <v>12289</v>
      </c>
      <c r="D2980" t="s">
        <v>12290</v>
      </c>
      <c r="E2980" t="s">
        <v>12291</v>
      </c>
      <c r="L2980" t="s">
        <v>80</v>
      </c>
      <c r="M2980" t="s">
        <v>73</v>
      </c>
      <c r="R2980" t="s">
        <v>12292</v>
      </c>
      <c r="W2980" t="s">
        <v>12291</v>
      </c>
      <c r="X2980" t="s">
        <v>2693</v>
      </c>
      <c r="Y2980" t="s">
        <v>91</v>
      </c>
      <c r="Z2980" t="s">
        <v>74</v>
      </c>
      <c r="AA2980" t="str">
        <f>"10065-4870"</f>
        <v>10065-4870</v>
      </c>
      <c r="AB2980" t="s">
        <v>75</v>
      </c>
      <c r="AC2980" t="s">
        <v>76</v>
      </c>
      <c r="AD2980" t="s">
        <v>73</v>
      </c>
      <c r="AE2980" t="s">
        <v>77</v>
      </c>
      <c r="AF2980" t="s">
        <v>2242</v>
      </c>
      <c r="AG2980" t="s">
        <v>78</v>
      </c>
    </row>
    <row r="2981" spans="1:33" hidden="1" x14ac:dyDescent="0.25">
      <c r="A2981" t="str">
        <f>"1225155310"</f>
        <v>1225155310</v>
      </c>
      <c r="B2981" t="str">
        <f>"02530830"</f>
        <v>02530830</v>
      </c>
      <c r="C2981" t="s">
        <v>12293</v>
      </c>
      <c r="D2981" t="s">
        <v>12294</v>
      </c>
      <c r="E2981" t="s">
        <v>12295</v>
      </c>
      <c r="L2981" t="s">
        <v>72</v>
      </c>
      <c r="M2981" t="s">
        <v>73</v>
      </c>
      <c r="R2981" t="s">
        <v>12296</v>
      </c>
      <c r="W2981" t="s">
        <v>12297</v>
      </c>
      <c r="X2981" t="s">
        <v>170</v>
      </c>
      <c r="Y2981" t="s">
        <v>91</v>
      </c>
      <c r="Z2981" t="s">
        <v>74</v>
      </c>
      <c r="AA2981" t="str">
        <f>"10065-4870"</f>
        <v>10065-4870</v>
      </c>
      <c r="AB2981" t="s">
        <v>75</v>
      </c>
      <c r="AC2981" t="s">
        <v>76</v>
      </c>
      <c r="AD2981" t="s">
        <v>73</v>
      </c>
      <c r="AE2981" t="s">
        <v>77</v>
      </c>
      <c r="AF2981" t="s">
        <v>2242</v>
      </c>
      <c r="AG2981" t="s">
        <v>78</v>
      </c>
    </row>
    <row r="2982" spans="1:33" hidden="1" x14ac:dyDescent="0.25">
      <c r="A2982" t="str">
        <f>"1992882112"</f>
        <v>1992882112</v>
      </c>
      <c r="C2982" t="s">
        <v>1910</v>
      </c>
      <c r="G2982" t="s">
        <v>2260</v>
      </c>
      <c r="H2982" t="s">
        <v>12298</v>
      </c>
      <c r="J2982" t="s">
        <v>1512</v>
      </c>
      <c r="K2982" t="s">
        <v>507</v>
      </c>
      <c r="L2982" t="s">
        <v>96</v>
      </c>
      <c r="M2982" t="s">
        <v>73</v>
      </c>
      <c r="R2982" t="s">
        <v>1254</v>
      </c>
      <c r="S2982" t="s">
        <v>1255</v>
      </c>
      <c r="T2982" t="s">
        <v>575</v>
      </c>
      <c r="U2982" t="s">
        <v>139</v>
      </c>
      <c r="V2982" t="str">
        <f>"073066010"</f>
        <v>073066010</v>
      </c>
      <c r="AC2982" t="s">
        <v>76</v>
      </c>
      <c r="AD2982" t="s">
        <v>73</v>
      </c>
      <c r="AE2982" t="s">
        <v>97</v>
      </c>
      <c r="AG2982" t="s">
        <v>78</v>
      </c>
    </row>
    <row r="2983" spans="1:33" hidden="1" x14ac:dyDescent="0.25">
      <c r="A2983" t="str">
        <f>"1447241252"</f>
        <v>1447241252</v>
      </c>
      <c r="B2983" t="str">
        <f>"01883398"</f>
        <v>01883398</v>
      </c>
      <c r="C2983" t="s">
        <v>12299</v>
      </c>
      <c r="D2983" t="s">
        <v>563</v>
      </c>
      <c r="E2983" t="s">
        <v>564</v>
      </c>
      <c r="G2983" t="s">
        <v>2260</v>
      </c>
      <c r="H2983" t="s">
        <v>12300</v>
      </c>
      <c r="J2983" t="s">
        <v>1512</v>
      </c>
      <c r="L2983" t="s">
        <v>72</v>
      </c>
      <c r="M2983" t="s">
        <v>82</v>
      </c>
      <c r="R2983" t="s">
        <v>562</v>
      </c>
      <c r="W2983" t="s">
        <v>564</v>
      </c>
      <c r="X2983" t="s">
        <v>151</v>
      </c>
      <c r="Y2983" t="s">
        <v>84</v>
      </c>
      <c r="Z2983" t="s">
        <v>74</v>
      </c>
      <c r="AA2983" t="str">
        <f>"11219-2916"</f>
        <v>11219-2916</v>
      </c>
      <c r="AB2983" t="s">
        <v>75</v>
      </c>
      <c r="AC2983" t="s">
        <v>76</v>
      </c>
      <c r="AD2983" t="s">
        <v>73</v>
      </c>
      <c r="AE2983" t="s">
        <v>77</v>
      </c>
      <c r="AG2983" t="s">
        <v>78</v>
      </c>
    </row>
    <row r="2984" spans="1:33" hidden="1" x14ac:dyDescent="0.25">
      <c r="A2984" t="str">
        <f>"1386822922"</f>
        <v>1386822922</v>
      </c>
      <c r="B2984" t="str">
        <f>"03050479"</f>
        <v>03050479</v>
      </c>
      <c r="C2984" t="s">
        <v>1887</v>
      </c>
      <c r="D2984" t="s">
        <v>1307</v>
      </c>
      <c r="E2984" t="s">
        <v>1308</v>
      </c>
      <c r="G2984" t="s">
        <v>2260</v>
      </c>
      <c r="H2984" t="s">
        <v>12301</v>
      </c>
      <c r="J2984" t="s">
        <v>1512</v>
      </c>
      <c r="L2984" t="s">
        <v>81</v>
      </c>
      <c r="M2984" t="s">
        <v>82</v>
      </c>
      <c r="R2984" t="s">
        <v>1308</v>
      </c>
      <c r="W2984" t="s">
        <v>1308</v>
      </c>
      <c r="X2984" t="s">
        <v>1309</v>
      </c>
      <c r="Y2984" t="s">
        <v>118</v>
      </c>
      <c r="Z2984" t="s">
        <v>74</v>
      </c>
      <c r="AA2984" t="str">
        <f>"10461-4509"</f>
        <v>10461-4509</v>
      </c>
      <c r="AB2984" t="s">
        <v>75</v>
      </c>
      <c r="AC2984" t="s">
        <v>76</v>
      </c>
      <c r="AD2984" t="s">
        <v>73</v>
      </c>
      <c r="AE2984" t="s">
        <v>77</v>
      </c>
      <c r="AG2984" t="s">
        <v>78</v>
      </c>
    </row>
    <row r="2985" spans="1:33" hidden="1" x14ac:dyDescent="0.25">
      <c r="A2985" t="str">
        <f>"1700902236"</f>
        <v>1700902236</v>
      </c>
      <c r="B2985" t="str">
        <f>"00814099"</f>
        <v>00814099</v>
      </c>
      <c r="C2985" t="s">
        <v>2176</v>
      </c>
      <c r="D2985" t="s">
        <v>1297</v>
      </c>
      <c r="E2985" t="s">
        <v>1298</v>
      </c>
      <c r="G2985" t="s">
        <v>2260</v>
      </c>
      <c r="H2985" t="s">
        <v>12302</v>
      </c>
      <c r="J2985" t="s">
        <v>1512</v>
      </c>
      <c r="L2985" t="s">
        <v>72</v>
      </c>
      <c r="M2985" t="s">
        <v>73</v>
      </c>
      <c r="R2985" t="s">
        <v>1299</v>
      </c>
      <c r="W2985" t="s">
        <v>1298</v>
      </c>
      <c r="X2985" t="s">
        <v>1300</v>
      </c>
      <c r="Y2985" t="s">
        <v>127</v>
      </c>
      <c r="Z2985" t="s">
        <v>74</v>
      </c>
      <c r="AA2985" t="str">
        <f>"11377-3672"</f>
        <v>11377-3672</v>
      </c>
      <c r="AB2985" t="s">
        <v>75</v>
      </c>
      <c r="AC2985" t="s">
        <v>76</v>
      </c>
      <c r="AD2985" t="s">
        <v>73</v>
      </c>
      <c r="AE2985" t="s">
        <v>77</v>
      </c>
      <c r="AG2985" t="s">
        <v>78</v>
      </c>
    </row>
    <row r="2986" spans="1:33" hidden="1" x14ac:dyDescent="0.25">
      <c r="A2986" t="str">
        <f>"1710187554"</f>
        <v>1710187554</v>
      </c>
      <c r="B2986" t="str">
        <f>"03480839"</f>
        <v>03480839</v>
      </c>
      <c r="C2986" t="s">
        <v>12303</v>
      </c>
      <c r="D2986" t="s">
        <v>12304</v>
      </c>
      <c r="E2986" t="s">
        <v>12305</v>
      </c>
      <c r="G2986" t="s">
        <v>2224</v>
      </c>
      <c r="H2986" t="s">
        <v>2225</v>
      </c>
      <c r="J2986" t="s">
        <v>2226</v>
      </c>
      <c r="L2986" t="s">
        <v>80</v>
      </c>
      <c r="M2986" t="s">
        <v>73</v>
      </c>
      <c r="R2986" t="s">
        <v>12306</v>
      </c>
      <c r="W2986" t="s">
        <v>12305</v>
      </c>
      <c r="X2986" t="s">
        <v>170</v>
      </c>
      <c r="Y2986" t="s">
        <v>91</v>
      </c>
      <c r="Z2986" t="s">
        <v>74</v>
      </c>
      <c r="AA2986" t="str">
        <f>"10065-4870"</f>
        <v>10065-4870</v>
      </c>
      <c r="AB2986" t="s">
        <v>75</v>
      </c>
      <c r="AC2986" t="s">
        <v>76</v>
      </c>
      <c r="AD2986" t="s">
        <v>73</v>
      </c>
      <c r="AE2986" t="s">
        <v>77</v>
      </c>
      <c r="AF2986" t="s">
        <v>2398</v>
      </c>
      <c r="AG2986" t="s">
        <v>78</v>
      </c>
    </row>
    <row r="2987" spans="1:33" hidden="1" x14ac:dyDescent="0.25">
      <c r="A2987" t="str">
        <f>"1063635142"</f>
        <v>1063635142</v>
      </c>
      <c r="B2987" t="str">
        <f>"01783504"</f>
        <v>01783504</v>
      </c>
      <c r="C2987" t="s">
        <v>12307</v>
      </c>
      <c r="D2987" t="s">
        <v>228</v>
      </c>
      <c r="E2987" t="s">
        <v>229</v>
      </c>
      <c r="G2987" t="s">
        <v>4106</v>
      </c>
      <c r="H2987" t="s">
        <v>274</v>
      </c>
      <c r="J2987" t="s">
        <v>2141</v>
      </c>
      <c r="L2987" t="s">
        <v>36</v>
      </c>
      <c r="M2987" t="s">
        <v>73</v>
      </c>
      <c r="R2987" t="s">
        <v>230</v>
      </c>
      <c r="W2987" t="s">
        <v>231</v>
      </c>
      <c r="X2987" t="s">
        <v>227</v>
      </c>
      <c r="Y2987" t="s">
        <v>144</v>
      </c>
      <c r="Z2987" t="s">
        <v>74</v>
      </c>
      <c r="AA2987" t="str">
        <f>"11042-1109"</f>
        <v>11042-1109</v>
      </c>
      <c r="AB2987" t="s">
        <v>107</v>
      </c>
      <c r="AC2987" t="s">
        <v>76</v>
      </c>
      <c r="AD2987" t="s">
        <v>73</v>
      </c>
      <c r="AE2987" t="s">
        <v>77</v>
      </c>
      <c r="AG2987" t="s">
        <v>78</v>
      </c>
    </row>
    <row r="2988" spans="1:33" hidden="1" x14ac:dyDescent="0.25">
      <c r="A2988" t="str">
        <f>"1932323748"</f>
        <v>1932323748</v>
      </c>
      <c r="B2988" t="str">
        <f>"01881438"</f>
        <v>01881438</v>
      </c>
      <c r="C2988" t="s">
        <v>1987</v>
      </c>
      <c r="D2988" t="s">
        <v>1574</v>
      </c>
      <c r="E2988" t="s">
        <v>1575</v>
      </c>
      <c r="G2988" t="s">
        <v>12308</v>
      </c>
      <c r="H2988" t="s">
        <v>12309</v>
      </c>
      <c r="I2988">
        <v>238</v>
      </c>
      <c r="J2988" t="s">
        <v>12310</v>
      </c>
      <c r="L2988" t="s">
        <v>96</v>
      </c>
      <c r="M2988" t="s">
        <v>82</v>
      </c>
      <c r="R2988" t="s">
        <v>1576</v>
      </c>
      <c r="W2988" t="s">
        <v>1577</v>
      </c>
      <c r="X2988" t="s">
        <v>1578</v>
      </c>
      <c r="Y2988" t="s">
        <v>91</v>
      </c>
      <c r="Z2988" t="s">
        <v>74</v>
      </c>
      <c r="AA2988" t="str">
        <f>"10035-4801"</f>
        <v>10035-4801</v>
      </c>
      <c r="AB2988" t="s">
        <v>92</v>
      </c>
      <c r="AC2988" t="s">
        <v>76</v>
      </c>
      <c r="AD2988" t="s">
        <v>73</v>
      </c>
      <c r="AE2988" t="s">
        <v>77</v>
      </c>
      <c r="AG2988" t="s">
        <v>78</v>
      </c>
    </row>
    <row r="2989" spans="1:33" hidden="1" x14ac:dyDescent="0.25">
      <c r="A2989" t="str">
        <f>"1679506869"</f>
        <v>1679506869</v>
      </c>
      <c r="B2989" t="str">
        <f>"02096977"</f>
        <v>02096977</v>
      </c>
      <c r="C2989" t="s">
        <v>12311</v>
      </c>
      <c r="D2989" t="s">
        <v>12312</v>
      </c>
      <c r="E2989" t="s">
        <v>12313</v>
      </c>
      <c r="G2989" t="s">
        <v>2224</v>
      </c>
      <c r="H2989" t="s">
        <v>2225</v>
      </c>
      <c r="J2989" t="s">
        <v>2226</v>
      </c>
      <c r="L2989" t="s">
        <v>80</v>
      </c>
      <c r="M2989" t="s">
        <v>73</v>
      </c>
      <c r="R2989" t="s">
        <v>12314</v>
      </c>
      <c r="W2989" t="s">
        <v>12313</v>
      </c>
      <c r="X2989" t="s">
        <v>372</v>
      </c>
      <c r="Y2989" t="s">
        <v>118</v>
      </c>
      <c r="Z2989" t="s">
        <v>74</v>
      </c>
      <c r="AA2989" t="str">
        <f>"10451-5589"</f>
        <v>10451-5589</v>
      </c>
      <c r="AB2989" t="s">
        <v>75</v>
      </c>
      <c r="AC2989" t="s">
        <v>76</v>
      </c>
      <c r="AD2989" t="s">
        <v>73</v>
      </c>
      <c r="AE2989" t="s">
        <v>77</v>
      </c>
      <c r="AF2989" t="s">
        <v>2254</v>
      </c>
      <c r="AG2989" t="s">
        <v>78</v>
      </c>
    </row>
    <row r="2990" spans="1:33" hidden="1" x14ac:dyDescent="0.25">
      <c r="A2990" t="str">
        <f>"1508016726"</f>
        <v>1508016726</v>
      </c>
      <c r="B2990" t="str">
        <f>"03041949"</f>
        <v>03041949</v>
      </c>
      <c r="C2990" t="s">
        <v>12315</v>
      </c>
      <c r="D2990" t="s">
        <v>12316</v>
      </c>
      <c r="E2990" t="s">
        <v>12317</v>
      </c>
      <c r="G2990" t="s">
        <v>2224</v>
      </c>
      <c r="H2990" t="s">
        <v>2225</v>
      </c>
      <c r="J2990" t="s">
        <v>2226</v>
      </c>
      <c r="L2990" t="s">
        <v>72</v>
      </c>
      <c r="M2990" t="s">
        <v>73</v>
      </c>
      <c r="R2990" t="s">
        <v>12318</v>
      </c>
      <c r="W2990" t="s">
        <v>12317</v>
      </c>
      <c r="X2990" t="s">
        <v>1695</v>
      </c>
      <c r="Y2990" t="s">
        <v>91</v>
      </c>
      <c r="Z2990" t="s">
        <v>74</v>
      </c>
      <c r="AA2990" t="str">
        <f>"10032"</f>
        <v>10032</v>
      </c>
      <c r="AB2990" t="s">
        <v>106</v>
      </c>
      <c r="AC2990" t="s">
        <v>76</v>
      </c>
      <c r="AD2990" t="s">
        <v>73</v>
      </c>
      <c r="AE2990" t="s">
        <v>77</v>
      </c>
      <c r="AF2990" t="s">
        <v>2254</v>
      </c>
      <c r="AG2990" t="s">
        <v>78</v>
      </c>
    </row>
    <row r="2991" spans="1:33" hidden="1" x14ac:dyDescent="0.25">
      <c r="A2991" t="str">
        <f>"1780998575"</f>
        <v>1780998575</v>
      </c>
      <c r="C2991" t="s">
        <v>279</v>
      </c>
      <c r="G2991" t="s">
        <v>4346</v>
      </c>
      <c r="H2991" t="s">
        <v>248</v>
      </c>
      <c r="I2991">
        <v>2604</v>
      </c>
      <c r="J2991" t="s">
        <v>283</v>
      </c>
      <c r="K2991" t="s">
        <v>9</v>
      </c>
      <c r="L2991" t="s">
        <v>96</v>
      </c>
      <c r="M2991" t="s">
        <v>73</v>
      </c>
      <c r="R2991" t="s">
        <v>284</v>
      </c>
      <c r="S2991" t="s">
        <v>273</v>
      </c>
      <c r="T2991" t="s">
        <v>125</v>
      </c>
      <c r="U2991" t="s">
        <v>74</v>
      </c>
      <c r="V2991" t="str">
        <f>"113546533"</f>
        <v>113546533</v>
      </c>
      <c r="AC2991" t="s">
        <v>76</v>
      </c>
      <c r="AD2991" t="s">
        <v>73</v>
      </c>
      <c r="AE2991" t="s">
        <v>97</v>
      </c>
      <c r="AF2991" t="s">
        <v>2319</v>
      </c>
      <c r="AG2991" t="s">
        <v>78</v>
      </c>
    </row>
    <row r="2992" spans="1:33" hidden="1" x14ac:dyDescent="0.25">
      <c r="A2992" t="str">
        <f>"1548237555"</f>
        <v>1548237555</v>
      </c>
      <c r="B2992" t="str">
        <f>"01468693"</f>
        <v>01468693</v>
      </c>
      <c r="C2992" t="s">
        <v>12319</v>
      </c>
      <c r="D2992" t="s">
        <v>1404</v>
      </c>
      <c r="E2992" t="s">
        <v>1405</v>
      </c>
      <c r="G2992" t="s">
        <v>2224</v>
      </c>
      <c r="H2992" t="s">
        <v>2225</v>
      </c>
      <c r="J2992" t="s">
        <v>2226</v>
      </c>
      <c r="L2992" t="s">
        <v>81</v>
      </c>
      <c r="M2992" t="s">
        <v>82</v>
      </c>
      <c r="R2992" t="s">
        <v>1406</v>
      </c>
      <c r="W2992" t="s">
        <v>1405</v>
      </c>
      <c r="X2992" t="s">
        <v>574</v>
      </c>
      <c r="Y2992" t="s">
        <v>118</v>
      </c>
      <c r="Z2992" t="s">
        <v>74</v>
      </c>
      <c r="AA2992" t="str">
        <f>"10467-2490"</f>
        <v>10467-2490</v>
      </c>
      <c r="AB2992" t="s">
        <v>75</v>
      </c>
      <c r="AC2992" t="s">
        <v>76</v>
      </c>
      <c r="AD2992" t="s">
        <v>73</v>
      </c>
      <c r="AE2992" t="s">
        <v>77</v>
      </c>
      <c r="AF2992" t="s">
        <v>2228</v>
      </c>
      <c r="AG2992" t="s">
        <v>78</v>
      </c>
    </row>
    <row r="2993" spans="1:33" hidden="1" x14ac:dyDescent="0.25">
      <c r="A2993" t="str">
        <f>"1548357619"</f>
        <v>1548357619</v>
      </c>
      <c r="B2993" t="str">
        <f>"01144509"</f>
        <v>01144509</v>
      </c>
      <c r="C2993" t="s">
        <v>12320</v>
      </c>
      <c r="D2993" t="s">
        <v>12321</v>
      </c>
      <c r="E2993" t="s">
        <v>12322</v>
      </c>
      <c r="G2993" t="s">
        <v>2224</v>
      </c>
      <c r="H2993" t="s">
        <v>2225</v>
      </c>
      <c r="J2993" t="s">
        <v>2226</v>
      </c>
      <c r="L2993" t="s">
        <v>81</v>
      </c>
      <c r="M2993" t="s">
        <v>73</v>
      </c>
      <c r="R2993" t="s">
        <v>12323</v>
      </c>
      <c r="W2993" t="s">
        <v>12322</v>
      </c>
      <c r="Y2993" t="s">
        <v>91</v>
      </c>
      <c r="Z2993" t="s">
        <v>74</v>
      </c>
      <c r="AA2993" t="str">
        <f>"10032-3720"</f>
        <v>10032-3720</v>
      </c>
      <c r="AB2993" t="s">
        <v>75</v>
      </c>
      <c r="AC2993" t="s">
        <v>76</v>
      </c>
      <c r="AD2993" t="s">
        <v>73</v>
      </c>
      <c r="AE2993" t="s">
        <v>77</v>
      </c>
      <c r="AF2993" t="s">
        <v>2242</v>
      </c>
      <c r="AG2993" t="s">
        <v>78</v>
      </c>
    </row>
    <row r="2994" spans="1:33" hidden="1" x14ac:dyDescent="0.25">
      <c r="A2994" t="str">
        <f>"1053330332"</f>
        <v>1053330332</v>
      </c>
      <c r="B2994" t="str">
        <f>"01634371"</f>
        <v>01634371</v>
      </c>
      <c r="C2994" t="s">
        <v>12324</v>
      </c>
      <c r="D2994" t="s">
        <v>12325</v>
      </c>
      <c r="E2994" t="s">
        <v>12326</v>
      </c>
      <c r="G2994" t="s">
        <v>2224</v>
      </c>
      <c r="H2994" t="s">
        <v>2225</v>
      </c>
      <c r="J2994" t="s">
        <v>2226</v>
      </c>
      <c r="L2994" t="s">
        <v>80</v>
      </c>
      <c r="M2994" t="s">
        <v>73</v>
      </c>
      <c r="R2994" t="s">
        <v>12327</v>
      </c>
      <c r="W2994" t="s">
        <v>12326</v>
      </c>
      <c r="X2994" t="s">
        <v>167</v>
      </c>
      <c r="Y2994" t="s">
        <v>91</v>
      </c>
      <c r="Z2994" t="s">
        <v>74</v>
      </c>
      <c r="AA2994" t="str">
        <f>"10032-3720"</f>
        <v>10032-3720</v>
      </c>
      <c r="AB2994" t="s">
        <v>75</v>
      </c>
      <c r="AC2994" t="s">
        <v>76</v>
      </c>
      <c r="AD2994" t="s">
        <v>73</v>
      </c>
      <c r="AE2994" t="s">
        <v>77</v>
      </c>
      <c r="AF2994" t="s">
        <v>2254</v>
      </c>
      <c r="AG2994" t="s">
        <v>78</v>
      </c>
    </row>
    <row r="2995" spans="1:33" hidden="1" x14ac:dyDescent="0.25">
      <c r="A2995" t="str">
        <f>"1225102163"</f>
        <v>1225102163</v>
      </c>
      <c r="B2995" t="str">
        <f>"03847436"</f>
        <v>03847436</v>
      </c>
      <c r="C2995" t="s">
        <v>12328</v>
      </c>
      <c r="D2995" t="s">
        <v>12329</v>
      </c>
      <c r="E2995" t="s">
        <v>12330</v>
      </c>
      <c r="G2995" t="s">
        <v>2224</v>
      </c>
      <c r="H2995" t="s">
        <v>12331</v>
      </c>
      <c r="J2995" t="s">
        <v>2226</v>
      </c>
      <c r="L2995" t="s">
        <v>72</v>
      </c>
      <c r="M2995" t="s">
        <v>73</v>
      </c>
      <c r="R2995" t="s">
        <v>12332</v>
      </c>
      <c r="W2995" t="s">
        <v>12330</v>
      </c>
      <c r="X2995" t="s">
        <v>628</v>
      </c>
      <c r="Y2995" t="s">
        <v>91</v>
      </c>
      <c r="Z2995" t="s">
        <v>74</v>
      </c>
      <c r="AA2995" t="str">
        <f>"10021-4872"</f>
        <v>10021-4872</v>
      </c>
      <c r="AB2995" t="s">
        <v>75</v>
      </c>
      <c r="AC2995" t="s">
        <v>76</v>
      </c>
      <c r="AD2995" t="s">
        <v>73</v>
      </c>
      <c r="AE2995" t="s">
        <v>77</v>
      </c>
      <c r="AF2995" t="s">
        <v>2242</v>
      </c>
      <c r="AG2995" t="s">
        <v>78</v>
      </c>
    </row>
    <row r="2996" spans="1:33" hidden="1" x14ac:dyDescent="0.25">
      <c r="A2996" t="str">
        <f>"1437318417"</f>
        <v>1437318417</v>
      </c>
      <c r="B2996" t="str">
        <f>"03255727"</f>
        <v>03255727</v>
      </c>
      <c r="C2996" t="s">
        <v>12333</v>
      </c>
      <c r="D2996" t="s">
        <v>12334</v>
      </c>
      <c r="E2996" t="s">
        <v>12335</v>
      </c>
      <c r="G2996" t="s">
        <v>2224</v>
      </c>
      <c r="H2996" t="s">
        <v>12336</v>
      </c>
      <c r="J2996" t="s">
        <v>2226</v>
      </c>
      <c r="L2996" t="s">
        <v>72</v>
      </c>
      <c r="M2996" t="s">
        <v>73</v>
      </c>
      <c r="R2996" t="s">
        <v>12337</v>
      </c>
      <c r="W2996" t="s">
        <v>12335</v>
      </c>
      <c r="X2996" t="s">
        <v>12338</v>
      </c>
      <c r="Y2996" t="s">
        <v>91</v>
      </c>
      <c r="Z2996" t="s">
        <v>74</v>
      </c>
      <c r="AA2996" t="str">
        <f>"10065-4870"</f>
        <v>10065-4870</v>
      </c>
      <c r="AB2996" t="s">
        <v>75</v>
      </c>
      <c r="AC2996" t="s">
        <v>76</v>
      </c>
      <c r="AD2996" t="s">
        <v>73</v>
      </c>
      <c r="AE2996" t="s">
        <v>77</v>
      </c>
      <c r="AF2996" t="s">
        <v>2242</v>
      </c>
      <c r="AG2996" t="s">
        <v>78</v>
      </c>
    </row>
    <row r="2997" spans="1:33" hidden="1" x14ac:dyDescent="0.25">
      <c r="A2997" t="str">
        <f>"1083771232"</f>
        <v>1083771232</v>
      </c>
      <c r="B2997" t="str">
        <f>"01060402"</f>
        <v>01060402</v>
      </c>
      <c r="C2997" t="s">
        <v>12339</v>
      </c>
      <c r="D2997" t="s">
        <v>12340</v>
      </c>
      <c r="E2997" t="s">
        <v>12341</v>
      </c>
      <c r="L2997" t="s">
        <v>130</v>
      </c>
      <c r="M2997" t="s">
        <v>82</v>
      </c>
      <c r="R2997" t="s">
        <v>12339</v>
      </c>
      <c r="W2997" t="s">
        <v>12341</v>
      </c>
      <c r="X2997" t="s">
        <v>12342</v>
      </c>
      <c r="Y2997" t="s">
        <v>91</v>
      </c>
      <c r="Z2997" t="s">
        <v>74</v>
      </c>
      <c r="AA2997" t="str">
        <f>"10034-5003"</f>
        <v>10034-5003</v>
      </c>
      <c r="AB2997" t="s">
        <v>110</v>
      </c>
      <c r="AC2997" t="s">
        <v>76</v>
      </c>
      <c r="AD2997" t="s">
        <v>73</v>
      </c>
      <c r="AE2997" t="s">
        <v>77</v>
      </c>
      <c r="AG2997" t="s">
        <v>78</v>
      </c>
    </row>
    <row r="2998" spans="1:33" hidden="1" x14ac:dyDescent="0.25">
      <c r="A2998" t="str">
        <f>"1942528005"</f>
        <v>1942528005</v>
      </c>
      <c r="B2998" t="str">
        <f>"03313366"</f>
        <v>03313366</v>
      </c>
      <c r="C2998" t="s">
        <v>12343</v>
      </c>
      <c r="D2998" t="s">
        <v>12344</v>
      </c>
      <c r="E2998" t="s">
        <v>12345</v>
      </c>
      <c r="G2998" t="s">
        <v>2224</v>
      </c>
      <c r="H2998" t="s">
        <v>2225</v>
      </c>
      <c r="J2998" t="s">
        <v>2226</v>
      </c>
      <c r="L2998" t="s">
        <v>96</v>
      </c>
      <c r="M2998" t="s">
        <v>73</v>
      </c>
      <c r="R2998" t="s">
        <v>12345</v>
      </c>
      <c r="W2998" t="s">
        <v>12345</v>
      </c>
      <c r="X2998" t="s">
        <v>5266</v>
      </c>
      <c r="Y2998" t="s">
        <v>91</v>
      </c>
      <c r="Z2998" t="s">
        <v>74</v>
      </c>
      <c r="AA2998" t="str">
        <f>"10040-2101"</f>
        <v>10040-2101</v>
      </c>
      <c r="AB2998" t="s">
        <v>106</v>
      </c>
      <c r="AC2998" t="s">
        <v>76</v>
      </c>
      <c r="AD2998" t="s">
        <v>73</v>
      </c>
      <c r="AE2998" t="s">
        <v>77</v>
      </c>
      <c r="AF2998" t="s">
        <v>2254</v>
      </c>
      <c r="AG2998" t="s">
        <v>78</v>
      </c>
    </row>
    <row r="2999" spans="1:33" hidden="1" x14ac:dyDescent="0.25">
      <c r="A2999" t="str">
        <f>"1689785883"</f>
        <v>1689785883</v>
      </c>
      <c r="B2999" t="str">
        <f>"00991057"</f>
        <v>00991057</v>
      </c>
      <c r="C2999" t="s">
        <v>12346</v>
      </c>
      <c r="D2999" t="s">
        <v>12347</v>
      </c>
      <c r="E2999" t="s">
        <v>12348</v>
      </c>
      <c r="G2999" t="s">
        <v>2224</v>
      </c>
      <c r="H2999" t="s">
        <v>2225</v>
      </c>
      <c r="J2999" t="s">
        <v>2226</v>
      </c>
      <c r="L2999" t="s">
        <v>72</v>
      </c>
      <c r="M2999" t="s">
        <v>73</v>
      </c>
      <c r="R2999" t="s">
        <v>12349</v>
      </c>
      <c r="W2999" t="s">
        <v>12348</v>
      </c>
      <c r="Y2999" t="s">
        <v>91</v>
      </c>
      <c r="Z2999" t="s">
        <v>74</v>
      </c>
      <c r="AA2999" t="str">
        <f>"10032-3720"</f>
        <v>10032-3720</v>
      </c>
      <c r="AB2999" t="s">
        <v>75</v>
      </c>
      <c r="AC2999" t="s">
        <v>76</v>
      </c>
      <c r="AD2999" t="s">
        <v>73</v>
      </c>
      <c r="AE2999" t="s">
        <v>77</v>
      </c>
      <c r="AF2999" t="s">
        <v>2228</v>
      </c>
      <c r="AG2999" t="s">
        <v>78</v>
      </c>
    </row>
    <row r="3000" spans="1:33" hidden="1" x14ac:dyDescent="0.25">
      <c r="A3000" t="str">
        <f>"1982987616"</f>
        <v>1982987616</v>
      </c>
      <c r="C3000" t="s">
        <v>12350</v>
      </c>
      <c r="G3000" t="s">
        <v>2224</v>
      </c>
      <c r="H3000" t="s">
        <v>2312</v>
      </c>
      <c r="J3000" t="s">
        <v>2226</v>
      </c>
      <c r="K3000" t="s">
        <v>171</v>
      </c>
      <c r="L3000" t="s">
        <v>72</v>
      </c>
      <c r="M3000" t="s">
        <v>73</v>
      </c>
      <c r="R3000" t="s">
        <v>12351</v>
      </c>
      <c r="S3000" t="s">
        <v>12352</v>
      </c>
      <c r="T3000" t="s">
        <v>729</v>
      </c>
      <c r="U3000" t="s">
        <v>588</v>
      </c>
      <c r="V3000" t="str">
        <f>"220423307"</f>
        <v>220423307</v>
      </c>
      <c r="AC3000" t="s">
        <v>76</v>
      </c>
      <c r="AD3000" t="s">
        <v>73</v>
      </c>
      <c r="AE3000" t="s">
        <v>97</v>
      </c>
      <c r="AF3000" t="s">
        <v>2242</v>
      </c>
      <c r="AG3000" t="s">
        <v>78</v>
      </c>
    </row>
    <row r="3001" spans="1:33" hidden="1" x14ac:dyDescent="0.25">
      <c r="A3001" t="str">
        <f>"1609186162"</f>
        <v>1609186162</v>
      </c>
      <c r="C3001" t="s">
        <v>12353</v>
      </c>
      <c r="G3001" t="s">
        <v>2224</v>
      </c>
      <c r="H3001" t="s">
        <v>8773</v>
      </c>
      <c r="J3001" t="s">
        <v>2226</v>
      </c>
      <c r="K3001" t="s">
        <v>171</v>
      </c>
      <c r="L3001" t="s">
        <v>96</v>
      </c>
      <c r="M3001" t="s">
        <v>73</v>
      </c>
      <c r="R3001" t="s">
        <v>12354</v>
      </c>
      <c r="S3001" t="s">
        <v>12355</v>
      </c>
      <c r="T3001" t="s">
        <v>370</v>
      </c>
      <c r="U3001" t="s">
        <v>211</v>
      </c>
      <c r="V3001" t="str">
        <f>"631101010"</f>
        <v>631101010</v>
      </c>
      <c r="AC3001" t="s">
        <v>76</v>
      </c>
      <c r="AD3001" t="s">
        <v>73</v>
      </c>
      <c r="AE3001" t="s">
        <v>97</v>
      </c>
      <c r="AF3001" t="s">
        <v>2242</v>
      </c>
      <c r="AG3001" t="s">
        <v>78</v>
      </c>
    </row>
    <row r="3002" spans="1:33" hidden="1" x14ac:dyDescent="0.25">
      <c r="A3002" t="str">
        <f>"1508207457"</f>
        <v>1508207457</v>
      </c>
      <c r="C3002" t="s">
        <v>12356</v>
      </c>
      <c r="G3002" t="s">
        <v>2224</v>
      </c>
      <c r="H3002" t="s">
        <v>12357</v>
      </c>
      <c r="J3002" t="s">
        <v>2226</v>
      </c>
      <c r="K3002" t="s">
        <v>171</v>
      </c>
      <c r="L3002" t="s">
        <v>96</v>
      </c>
      <c r="M3002" t="s">
        <v>73</v>
      </c>
      <c r="R3002" t="s">
        <v>4371</v>
      </c>
      <c r="S3002" t="s">
        <v>12358</v>
      </c>
      <c r="T3002" t="s">
        <v>91</v>
      </c>
      <c r="U3002" t="s">
        <v>74</v>
      </c>
      <c r="V3002" t="str">
        <f>"10065"</f>
        <v>10065</v>
      </c>
      <c r="AC3002" t="s">
        <v>76</v>
      </c>
      <c r="AD3002" t="s">
        <v>73</v>
      </c>
      <c r="AE3002" t="s">
        <v>97</v>
      </c>
      <c r="AF3002" t="s">
        <v>2242</v>
      </c>
      <c r="AG3002" t="s">
        <v>78</v>
      </c>
    </row>
    <row r="3003" spans="1:33" hidden="1" x14ac:dyDescent="0.25">
      <c r="A3003" t="str">
        <f>"1205928124"</f>
        <v>1205928124</v>
      </c>
      <c r="B3003" t="str">
        <f>"03493363"</f>
        <v>03493363</v>
      </c>
      <c r="C3003" t="s">
        <v>12359</v>
      </c>
      <c r="D3003" t="s">
        <v>12360</v>
      </c>
      <c r="E3003" t="s">
        <v>12361</v>
      </c>
      <c r="G3003" t="s">
        <v>2224</v>
      </c>
      <c r="H3003" t="s">
        <v>6919</v>
      </c>
      <c r="J3003" t="s">
        <v>2226</v>
      </c>
      <c r="L3003" t="s">
        <v>80</v>
      </c>
      <c r="M3003" t="s">
        <v>73</v>
      </c>
      <c r="R3003" t="s">
        <v>12361</v>
      </c>
      <c r="W3003" t="s">
        <v>12361</v>
      </c>
      <c r="X3003" t="s">
        <v>170</v>
      </c>
      <c r="Y3003" t="s">
        <v>91</v>
      </c>
      <c r="Z3003" t="s">
        <v>74</v>
      </c>
      <c r="AA3003" t="str">
        <f>"10065-4870"</f>
        <v>10065-4870</v>
      </c>
      <c r="AB3003" t="s">
        <v>75</v>
      </c>
      <c r="AC3003" t="s">
        <v>76</v>
      </c>
      <c r="AD3003" t="s">
        <v>73</v>
      </c>
      <c r="AE3003" t="s">
        <v>77</v>
      </c>
      <c r="AF3003" t="s">
        <v>2242</v>
      </c>
      <c r="AG3003" t="s">
        <v>78</v>
      </c>
    </row>
    <row r="3004" spans="1:33" hidden="1" x14ac:dyDescent="0.25">
      <c r="A3004" t="str">
        <f>"1467744664"</f>
        <v>1467744664</v>
      </c>
      <c r="B3004" t="str">
        <f>"03588965"</f>
        <v>03588965</v>
      </c>
      <c r="C3004" t="s">
        <v>12362</v>
      </c>
      <c r="D3004" t="s">
        <v>12363</v>
      </c>
      <c r="E3004" t="s">
        <v>12364</v>
      </c>
      <c r="G3004" t="s">
        <v>2224</v>
      </c>
      <c r="H3004" t="s">
        <v>12365</v>
      </c>
      <c r="J3004" t="s">
        <v>2226</v>
      </c>
      <c r="L3004" t="s">
        <v>80</v>
      </c>
      <c r="M3004" t="s">
        <v>73</v>
      </c>
      <c r="R3004" t="s">
        <v>12366</v>
      </c>
      <c r="W3004" t="s">
        <v>12364</v>
      </c>
      <c r="X3004" t="s">
        <v>170</v>
      </c>
      <c r="Y3004" t="s">
        <v>91</v>
      </c>
      <c r="Z3004" t="s">
        <v>74</v>
      </c>
      <c r="AA3004" t="str">
        <f>"10065-4870"</f>
        <v>10065-4870</v>
      </c>
      <c r="AB3004" t="s">
        <v>75</v>
      </c>
      <c r="AC3004" t="s">
        <v>76</v>
      </c>
      <c r="AD3004" t="s">
        <v>73</v>
      </c>
      <c r="AE3004" t="s">
        <v>77</v>
      </c>
      <c r="AF3004" t="s">
        <v>2242</v>
      </c>
      <c r="AG3004" t="s">
        <v>78</v>
      </c>
    </row>
    <row r="3005" spans="1:33" hidden="1" x14ac:dyDescent="0.25">
      <c r="A3005" t="str">
        <f>"1942610621"</f>
        <v>1942610621</v>
      </c>
      <c r="C3005" t="s">
        <v>12367</v>
      </c>
      <c r="G3005" t="s">
        <v>2224</v>
      </c>
      <c r="H3005" t="s">
        <v>12368</v>
      </c>
      <c r="J3005" t="s">
        <v>2226</v>
      </c>
      <c r="K3005" t="s">
        <v>171</v>
      </c>
      <c r="L3005" t="s">
        <v>96</v>
      </c>
      <c r="M3005" t="s">
        <v>73</v>
      </c>
      <c r="R3005" t="s">
        <v>12369</v>
      </c>
      <c r="S3005" t="s">
        <v>2186</v>
      </c>
      <c r="T3005" t="s">
        <v>91</v>
      </c>
      <c r="U3005" t="s">
        <v>74</v>
      </c>
      <c r="V3005" t="str">
        <f>"100654805"</f>
        <v>100654805</v>
      </c>
      <c r="AC3005" t="s">
        <v>76</v>
      </c>
      <c r="AD3005" t="s">
        <v>73</v>
      </c>
      <c r="AE3005" t="s">
        <v>97</v>
      </c>
      <c r="AF3005" t="s">
        <v>2242</v>
      </c>
      <c r="AG3005" t="s">
        <v>78</v>
      </c>
    </row>
    <row r="3006" spans="1:33" hidden="1" x14ac:dyDescent="0.25">
      <c r="A3006" t="str">
        <f>"1326135427"</f>
        <v>1326135427</v>
      </c>
      <c r="B3006" t="str">
        <f>"01768478"</f>
        <v>01768478</v>
      </c>
      <c r="C3006" t="s">
        <v>12370</v>
      </c>
      <c r="D3006" t="s">
        <v>12371</v>
      </c>
      <c r="E3006" t="s">
        <v>12372</v>
      </c>
      <c r="G3006" t="s">
        <v>2224</v>
      </c>
      <c r="H3006" t="s">
        <v>2225</v>
      </c>
      <c r="J3006" t="s">
        <v>2226</v>
      </c>
      <c r="L3006" t="s">
        <v>88</v>
      </c>
      <c r="M3006" t="s">
        <v>73</v>
      </c>
      <c r="R3006" t="s">
        <v>12373</v>
      </c>
      <c r="W3006" t="s">
        <v>12372</v>
      </c>
      <c r="X3006" t="s">
        <v>644</v>
      </c>
      <c r="Y3006" t="s">
        <v>91</v>
      </c>
      <c r="Z3006" t="s">
        <v>74</v>
      </c>
      <c r="AA3006" t="str">
        <f>"10021-4872"</f>
        <v>10021-4872</v>
      </c>
      <c r="AB3006" t="s">
        <v>75</v>
      </c>
      <c r="AC3006" t="s">
        <v>76</v>
      </c>
      <c r="AD3006" t="s">
        <v>73</v>
      </c>
      <c r="AE3006" t="s">
        <v>77</v>
      </c>
      <c r="AF3006" t="s">
        <v>2398</v>
      </c>
      <c r="AG3006" t="s">
        <v>78</v>
      </c>
    </row>
    <row r="3007" spans="1:33" hidden="1" x14ac:dyDescent="0.25">
      <c r="A3007" t="str">
        <f>"1235329830"</f>
        <v>1235329830</v>
      </c>
      <c r="B3007" t="str">
        <f>"03564665"</f>
        <v>03564665</v>
      </c>
      <c r="C3007" t="s">
        <v>12374</v>
      </c>
      <c r="D3007" t="s">
        <v>12375</v>
      </c>
      <c r="E3007" t="s">
        <v>12376</v>
      </c>
      <c r="G3007" t="s">
        <v>2224</v>
      </c>
      <c r="H3007" t="s">
        <v>2225</v>
      </c>
      <c r="J3007" t="s">
        <v>2226</v>
      </c>
      <c r="L3007" t="s">
        <v>80</v>
      </c>
      <c r="M3007" t="s">
        <v>73</v>
      </c>
      <c r="R3007" t="s">
        <v>12377</v>
      </c>
      <c r="W3007" t="s">
        <v>12376</v>
      </c>
      <c r="X3007" t="s">
        <v>1777</v>
      </c>
      <c r="Y3007" t="s">
        <v>91</v>
      </c>
      <c r="Z3007" t="s">
        <v>74</v>
      </c>
      <c r="AA3007" t="str">
        <f>"10032-3729"</f>
        <v>10032-3729</v>
      </c>
      <c r="AB3007" t="s">
        <v>75</v>
      </c>
      <c r="AC3007" t="s">
        <v>76</v>
      </c>
      <c r="AD3007" t="s">
        <v>73</v>
      </c>
      <c r="AE3007" t="s">
        <v>77</v>
      </c>
      <c r="AF3007" t="s">
        <v>2228</v>
      </c>
      <c r="AG3007" t="s">
        <v>78</v>
      </c>
    </row>
    <row r="3008" spans="1:33" hidden="1" x14ac:dyDescent="0.25">
      <c r="A3008" t="str">
        <f>"1538208962"</f>
        <v>1538208962</v>
      </c>
      <c r="B3008" t="str">
        <f>"03302701"</f>
        <v>03302701</v>
      </c>
      <c r="C3008" t="s">
        <v>12378</v>
      </c>
      <c r="D3008" t="s">
        <v>12379</v>
      </c>
      <c r="E3008" t="s">
        <v>12380</v>
      </c>
      <c r="G3008" t="s">
        <v>2224</v>
      </c>
      <c r="H3008" t="s">
        <v>2225</v>
      </c>
      <c r="J3008" t="s">
        <v>2226</v>
      </c>
      <c r="L3008" t="s">
        <v>72</v>
      </c>
      <c r="M3008" t="s">
        <v>73</v>
      </c>
      <c r="R3008" t="s">
        <v>12381</v>
      </c>
      <c r="W3008" t="s">
        <v>12380</v>
      </c>
      <c r="X3008" t="s">
        <v>10698</v>
      </c>
      <c r="Y3008" t="s">
        <v>91</v>
      </c>
      <c r="Z3008" t="s">
        <v>74</v>
      </c>
      <c r="AA3008" t="str">
        <f>"10030-2432"</f>
        <v>10030-2432</v>
      </c>
      <c r="AB3008" t="s">
        <v>75</v>
      </c>
      <c r="AC3008" t="s">
        <v>76</v>
      </c>
      <c r="AD3008" t="s">
        <v>73</v>
      </c>
      <c r="AE3008" t="s">
        <v>77</v>
      </c>
      <c r="AF3008" t="s">
        <v>2254</v>
      </c>
      <c r="AG3008" t="s">
        <v>78</v>
      </c>
    </row>
    <row r="3009" spans="1:33" hidden="1" x14ac:dyDescent="0.25">
      <c r="A3009" t="str">
        <f>"1629124706"</f>
        <v>1629124706</v>
      </c>
      <c r="B3009" t="str">
        <f>"01924703"</f>
        <v>01924703</v>
      </c>
      <c r="C3009" t="s">
        <v>12382</v>
      </c>
      <c r="D3009" t="s">
        <v>12383</v>
      </c>
      <c r="E3009" t="s">
        <v>12384</v>
      </c>
      <c r="G3009" t="s">
        <v>2224</v>
      </c>
      <c r="H3009" t="s">
        <v>2225</v>
      </c>
      <c r="J3009" t="s">
        <v>2226</v>
      </c>
      <c r="L3009" t="s">
        <v>81</v>
      </c>
      <c r="M3009" t="s">
        <v>73</v>
      </c>
      <c r="R3009" t="s">
        <v>12385</v>
      </c>
      <c r="W3009" t="s">
        <v>12386</v>
      </c>
      <c r="X3009" t="s">
        <v>7139</v>
      </c>
      <c r="Y3009" t="s">
        <v>91</v>
      </c>
      <c r="Z3009" t="s">
        <v>74</v>
      </c>
      <c r="AA3009" t="str">
        <f>"10065-4870"</f>
        <v>10065-4870</v>
      </c>
      <c r="AB3009" t="s">
        <v>75</v>
      </c>
      <c r="AC3009" t="s">
        <v>76</v>
      </c>
      <c r="AD3009" t="s">
        <v>73</v>
      </c>
      <c r="AE3009" t="s">
        <v>77</v>
      </c>
      <c r="AF3009" t="s">
        <v>2242</v>
      </c>
      <c r="AG3009" t="s">
        <v>78</v>
      </c>
    </row>
    <row r="3010" spans="1:33" hidden="1" x14ac:dyDescent="0.25">
      <c r="A3010" t="str">
        <f>"1316139686"</f>
        <v>1316139686</v>
      </c>
      <c r="B3010" t="str">
        <f>"02983402"</f>
        <v>02983402</v>
      </c>
      <c r="C3010" t="s">
        <v>12387</v>
      </c>
      <c r="D3010" t="s">
        <v>12388</v>
      </c>
      <c r="E3010" t="s">
        <v>12389</v>
      </c>
      <c r="G3010" t="s">
        <v>2224</v>
      </c>
      <c r="H3010" t="s">
        <v>2225</v>
      </c>
      <c r="J3010" t="s">
        <v>2226</v>
      </c>
      <c r="L3010" t="s">
        <v>72</v>
      </c>
      <c r="M3010" t="s">
        <v>73</v>
      </c>
      <c r="R3010" t="s">
        <v>12390</v>
      </c>
      <c r="W3010" t="s">
        <v>12389</v>
      </c>
      <c r="X3010" t="s">
        <v>167</v>
      </c>
      <c r="Y3010" t="s">
        <v>91</v>
      </c>
      <c r="Z3010" t="s">
        <v>74</v>
      </c>
      <c r="AA3010" t="str">
        <f>"10032-3720"</f>
        <v>10032-3720</v>
      </c>
      <c r="AB3010" t="s">
        <v>75</v>
      </c>
      <c r="AC3010" t="s">
        <v>76</v>
      </c>
      <c r="AD3010" t="s">
        <v>73</v>
      </c>
      <c r="AE3010" t="s">
        <v>77</v>
      </c>
      <c r="AF3010" t="s">
        <v>2254</v>
      </c>
      <c r="AG3010" t="s">
        <v>78</v>
      </c>
    </row>
    <row r="3011" spans="1:33" hidden="1" x14ac:dyDescent="0.25">
      <c r="A3011" t="str">
        <f>"1043300221"</f>
        <v>1043300221</v>
      </c>
      <c r="B3011" t="str">
        <f>"01139651"</f>
        <v>01139651</v>
      </c>
      <c r="C3011" t="s">
        <v>12391</v>
      </c>
      <c r="D3011" t="s">
        <v>12392</v>
      </c>
      <c r="E3011" t="s">
        <v>12393</v>
      </c>
      <c r="G3011" t="s">
        <v>2224</v>
      </c>
      <c r="H3011" t="s">
        <v>2225</v>
      </c>
      <c r="J3011" t="s">
        <v>2226</v>
      </c>
      <c r="L3011" t="s">
        <v>80</v>
      </c>
      <c r="M3011" t="s">
        <v>73</v>
      </c>
      <c r="R3011" t="s">
        <v>12394</v>
      </c>
      <c r="W3011" t="s">
        <v>12393</v>
      </c>
      <c r="X3011" t="s">
        <v>12395</v>
      </c>
      <c r="Y3011" t="s">
        <v>91</v>
      </c>
      <c r="Z3011" t="s">
        <v>74</v>
      </c>
      <c r="AA3011" t="str">
        <f>"10021-4872"</f>
        <v>10021-4872</v>
      </c>
      <c r="AB3011" t="s">
        <v>75</v>
      </c>
      <c r="AC3011" t="s">
        <v>76</v>
      </c>
      <c r="AD3011" t="s">
        <v>73</v>
      </c>
      <c r="AE3011" t="s">
        <v>77</v>
      </c>
      <c r="AF3011" t="s">
        <v>2234</v>
      </c>
      <c r="AG3011" t="s">
        <v>78</v>
      </c>
    </row>
    <row r="3012" spans="1:33" hidden="1" x14ac:dyDescent="0.25">
      <c r="A3012" t="str">
        <f>"1043328354"</f>
        <v>1043328354</v>
      </c>
      <c r="B3012" t="str">
        <f>"02186198"</f>
        <v>02186198</v>
      </c>
      <c r="C3012" t="s">
        <v>12396</v>
      </c>
      <c r="D3012" t="s">
        <v>12397</v>
      </c>
      <c r="E3012" t="s">
        <v>4598</v>
      </c>
      <c r="L3012" t="s">
        <v>36</v>
      </c>
      <c r="M3012" t="s">
        <v>73</v>
      </c>
      <c r="R3012" t="s">
        <v>3674</v>
      </c>
      <c r="W3012" t="s">
        <v>3280</v>
      </c>
      <c r="X3012" t="s">
        <v>12398</v>
      </c>
      <c r="Y3012" t="s">
        <v>91</v>
      </c>
      <c r="Z3012" t="s">
        <v>74</v>
      </c>
      <c r="AA3012" t="str">
        <f>"10019-6113"</f>
        <v>10019-6113</v>
      </c>
      <c r="AB3012" t="s">
        <v>114</v>
      </c>
      <c r="AC3012" t="s">
        <v>76</v>
      </c>
      <c r="AD3012" t="s">
        <v>73</v>
      </c>
      <c r="AE3012" t="s">
        <v>77</v>
      </c>
      <c r="AG3012" t="s">
        <v>78</v>
      </c>
    </row>
    <row r="3013" spans="1:33" hidden="1" x14ac:dyDescent="0.25">
      <c r="A3013" t="str">
        <f>"1750692869"</f>
        <v>1750692869</v>
      </c>
      <c r="C3013" t="s">
        <v>12399</v>
      </c>
      <c r="G3013" t="s">
        <v>2224</v>
      </c>
      <c r="H3013" t="s">
        <v>2312</v>
      </c>
      <c r="J3013" t="s">
        <v>2226</v>
      </c>
      <c r="K3013" t="s">
        <v>171</v>
      </c>
      <c r="L3013" t="s">
        <v>96</v>
      </c>
      <c r="M3013" t="s">
        <v>73</v>
      </c>
      <c r="R3013" t="s">
        <v>12400</v>
      </c>
      <c r="S3013" t="s">
        <v>12401</v>
      </c>
      <c r="T3013" t="s">
        <v>567</v>
      </c>
      <c r="U3013" t="s">
        <v>111</v>
      </c>
      <c r="V3013" t="str">
        <f>"021155724"</f>
        <v>021155724</v>
      </c>
      <c r="AC3013" t="s">
        <v>76</v>
      </c>
      <c r="AD3013" t="s">
        <v>73</v>
      </c>
      <c r="AE3013" t="s">
        <v>97</v>
      </c>
      <c r="AF3013" t="s">
        <v>2234</v>
      </c>
      <c r="AG3013" t="s">
        <v>78</v>
      </c>
    </row>
    <row r="3014" spans="1:33" hidden="1" x14ac:dyDescent="0.25">
      <c r="A3014" t="str">
        <f>"1073741468"</f>
        <v>1073741468</v>
      </c>
      <c r="B3014" t="str">
        <f>"04186265"</f>
        <v>04186265</v>
      </c>
      <c r="C3014" t="s">
        <v>12402</v>
      </c>
      <c r="D3014" t="s">
        <v>12403</v>
      </c>
      <c r="E3014" t="s">
        <v>12404</v>
      </c>
      <c r="G3014" t="s">
        <v>2224</v>
      </c>
      <c r="H3014" t="s">
        <v>2312</v>
      </c>
      <c r="J3014" t="s">
        <v>2226</v>
      </c>
      <c r="L3014" t="s">
        <v>80</v>
      </c>
      <c r="M3014" t="s">
        <v>73</v>
      </c>
      <c r="R3014" t="s">
        <v>12404</v>
      </c>
      <c r="W3014" t="s">
        <v>12404</v>
      </c>
      <c r="X3014" t="s">
        <v>147</v>
      </c>
      <c r="Y3014" t="s">
        <v>138</v>
      </c>
      <c r="Z3014" t="s">
        <v>74</v>
      </c>
      <c r="AA3014" t="str">
        <f>"10305-3436"</f>
        <v>10305-3436</v>
      </c>
      <c r="AB3014" t="s">
        <v>75</v>
      </c>
      <c r="AC3014" t="s">
        <v>76</v>
      </c>
      <c r="AD3014" t="s">
        <v>73</v>
      </c>
      <c r="AE3014" t="s">
        <v>77</v>
      </c>
      <c r="AF3014" t="s">
        <v>2234</v>
      </c>
      <c r="AG3014" t="s">
        <v>78</v>
      </c>
    </row>
    <row r="3015" spans="1:33" hidden="1" x14ac:dyDescent="0.25">
      <c r="A3015" t="str">
        <f>"1932341591"</f>
        <v>1932341591</v>
      </c>
      <c r="C3015" t="s">
        <v>12405</v>
      </c>
      <c r="G3015" t="s">
        <v>2224</v>
      </c>
      <c r="H3015" t="s">
        <v>2312</v>
      </c>
      <c r="J3015" t="s">
        <v>2226</v>
      </c>
      <c r="K3015" t="s">
        <v>171</v>
      </c>
      <c r="L3015" t="s">
        <v>96</v>
      </c>
      <c r="M3015" t="s">
        <v>73</v>
      </c>
      <c r="R3015" t="s">
        <v>12406</v>
      </c>
      <c r="S3015" t="s">
        <v>12407</v>
      </c>
      <c r="T3015" t="s">
        <v>12408</v>
      </c>
      <c r="U3015" t="s">
        <v>596</v>
      </c>
      <c r="V3015" t="str">
        <f>"477140541"</f>
        <v>477140541</v>
      </c>
      <c r="AC3015" t="s">
        <v>76</v>
      </c>
      <c r="AD3015" t="s">
        <v>73</v>
      </c>
      <c r="AE3015" t="s">
        <v>97</v>
      </c>
      <c r="AF3015" t="s">
        <v>2234</v>
      </c>
      <c r="AG3015" t="s">
        <v>78</v>
      </c>
    </row>
    <row r="3016" spans="1:33" hidden="1" x14ac:dyDescent="0.25">
      <c r="A3016" t="str">
        <f>"1053560441"</f>
        <v>1053560441</v>
      </c>
      <c r="B3016" t="str">
        <f>"03716323"</f>
        <v>03716323</v>
      </c>
      <c r="C3016" t="s">
        <v>12409</v>
      </c>
      <c r="D3016" t="s">
        <v>12410</v>
      </c>
      <c r="E3016" t="s">
        <v>12411</v>
      </c>
      <c r="G3016" t="s">
        <v>2224</v>
      </c>
      <c r="H3016" t="s">
        <v>2225</v>
      </c>
      <c r="J3016" t="s">
        <v>2226</v>
      </c>
      <c r="L3016" t="s">
        <v>80</v>
      </c>
      <c r="M3016" t="s">
        <v>73</v>
      </c>
      <c r="R3016" t="s">
        <v>12412</v>
      </c>
      <c r="W3016" t="s">
        <v>12411</v>
      </c>
      <c r="X3016" t="s">
        <v>496</v>
      </c>
      <c r="Y3016" t="s">
        <v>91</v>
      </c>
      <c r="Z3016" t="s">
        <v>74</v>
      </c>
      <c r="AA3016" t="str">
        <f>"10032-3726"</f>
        <v>10032-3726</v>
      </c>
      <c r="AB3016" t="s">
        <v>75</v>
      </c>
      <c r="AC3016" t="s">
        <v>76</v>
      </c>
      <c r="AD3016" t="s">
        <v>73</v>
      </c>
      <c r="AE3016" t="s">
        <v>77</v>
      </c>
      <c r="AF3016" t="s">
        <v>2234</v>
      </c>
      <c r="AG3016" t="s">
        <v>78</v>
      </c>
    </row>
    <row r="3017" spans="1:33" hidden="1" x14ac:dyDescent="0.25">
      <c r="A3017" t="str">
        <f>"1306837000"</f>
        <v>1306837000</v>
      </c>
      <c r="B3017" t="str">
        <f>"01044522"</f>
        <v>01044522</v>
      </c>
      <c r="C3017" t="s">
        <v>12413</v>
      </c>
      <c r="D3017" t="s">
        <v>747</v>
      </c>
      <c r="E3017" t="s">
        <v>748</v>
      </c>
      <c r="L3017" t="s">
        <v>80</v>
      </c>
      <c r="M3017" t="s">
        <v>82</v>
      </c>
      <c r="R3017" t="s">
        <v>751</v>
      </c>
      <c r="W3017" t="s">
        <v>748</v>
      </c>
      <c r="X3017" t="s">
        <v>217</v>
      </c>
      <c r="Y3017" t="s">
        <v>118</v>
      </c>
      <c r="Z3017" t="s">
        <v>74</v>
      </c>
      <c r="AA3017" t="str">
        <f>"10457-7606"</f>
        <v>10457-7606</v>
      </c>
      <c r="AB3017" t="s">
        <v>75</v>
      </c>
      <c r="AC3017" t="s">
        <v>76</v>
      </c>
      <c r="AD3017" t="s">
        <v>73</v>
      </c>
      <c r="AE3017" t="s">
        <v>77</v>
      </c>
      <c r="AF3017" t="s">
        <v>2228</v>
      </c>
      <c r="AG3017" t="s">
        <v>78</v>
      </c>
    </row>
    <row r="3018" spans="1:33" hidden="1" x14ac:dyDescent="0.25">
      <c r="A3018" t="str">
        <f>"1861757379"</f>
        <v>1861757379</v>
      </c>
      <c r="C3018" t="s">
        <v>12414</v>
      </c>
      <c r="G3018" t="s">
        <v>2224</v>
      </c>
      <c r="H3018" t="s">
        <v>2312</v>
      </c>
      <c r="J3018" t="s">
        <v>2226</v>
      </c>
      <c r="K3018" t="s">
        <v>171</v>
      </c>
      <c r="L3018" t="s">
        <v>96</v>
      </c>
      <c r="M3018" t="s">
        <v>73</v>
      </c>
      <c r="R3018" t="s">
        <v>12415</v>
      </c>
      <c r="S3018" t="s">
        <v>170</v>
      </c>
      <c r="T3018" t="s">
        <v>91</v>
      </c>
      <c r="U3018" t="s">
        <v>74</v>
      </c>
      <c r="V3018" t="str">
        <f>"100654870"</f>
        <v>100654870</v>
      </c>
      <c r="AC3018" t="s">
        <v>76</v>
      </c>
      <c r="AD3018" t="s">
        <v>73</v>
      </c>
      <c r="AE3018" t="s">
        <v>97</v>
      </c>
      <c r="AF3018" t="s">
        <v>2242</v>
      </c>
      <c r="AG3018" t="s">
        <v>78</v>
      </c>
    </row>
    <row r="3019" spans="1:33" hidden="1" x14ac:dyDescent="0.25">
      <c r="A3019" t="str">
        <f>"1265722888"</f>
        <v>1265722888</v>
      </c>
      <c r="C3019" t="s">
        <v>12416</v>
      </c>
      <c r="G3019" t="s">
        <v>2224</v>
      </c>
      <c r="H3019" t="s">
        <v>2312</v>
      </c>
      <c r="J3019" t="s">
        <v>2226</v>
      </c>
      <c r="K3019" t="s">
        <v>171</v>
      </c>
      <c r="L3019" t="s">
        <v>96</v>
      </c>
      <c r="M3019" t="s">
        <v>73</v>
      </c>
      <c r="R3019" t="s">
        <v>12417</v>
      </c>
      <c r="S3019" t="s">
        <v>170</v>
      </c>
      <c r="T3019" t="s">
        <v>91</v>
      </c>
      <c r="U3019" t="s">
        <v>74</v>
      </c>
      <c r="V3019" t="str">
        <f>"100654870"</f>
        <v>100654870</v>
      </c>
      <c r="AC3019" t="s">
        <v>76</v>
      </c>
      <c r="AD3019" t="s">
        <v>73</v>
      </c>
      <c r="AE3019" t="s">
        <v>97</v>
      </c>
      <c r="AF3019" t="s">
        <v>2242</v>
      </c>
      <c r="AG3019" t="s">
        <v>78</v>
      </c>
    </row>
    <row r="3020" spans="1:33" hidden="1" x14ac:dyDescent="0.25">
      <c r="A3020" t="str">
        <f>"1184990350"</f>
        <v>1184990350</v>
      </c>
      <c r="C3020" t="s">
        <v>12418</v>
      </c>
      <c r="G3020" t="s">
        <v>2224</v>
      </c>
      <c r="H3020" t="s">
        <v>2312</v>
      </c>
      <c r="J3020" t="s">
        <v>2226</v>
      </c>
      <c r="K3020" t="s">
        <v>171</v>
      </c>
      <c r="L3020" t="s">
        <v>96</v>
      </c>
      <c r="M3020" t="s">
        <v>73</v>
      </c>
      <c r="R3020" t="s">
        <v>12419</v>
      </c>
      <c r="S3020" t="s">
        <v>3201</v>
      </c>
      <c r="T3020" t="s">
        <v>91</v>
      </c>
      <c r="U3020" t="s">
        <v>74</v>
      </c>
      <c r="V3020" t="str">
        <f>"100654870"</f>
        <v>100654870</v>
      </c>
      <c r="AC3020" t="s">
        <v>76</v>
      </c>
      <c r="AD3020" t="s">
        <v>73</v>
      </c>
      <c r="AE3020" t="s">
        <v>97</v>
      </c>
      <c r="AF3020" t="s">
        <v>2242</v>
      </c>
      <c r="AG3020" t="s">
        <v>78</v>
      </c>
    </row>
    <row r="3021" spans="1:33" hidden="1" x14ac:dyDescent="0.25">
      <c r="A3021" t="str">
        <f>"1669455655"</f>
        <v>1669455655</v>
      </c>
      <c r="B3021" t="str">
        <f>"02587126"</f>
        <v>02587126</v>
      </c>
      <c r="C3021" t="s">
        <v>12420</v>
      </c>
      <c r="D3021" t="s">
        <v>12421</v>
      </c>
      <c r="E3021" t="s">
        <v>12422</v>
      </c>
      <c r="L3021" t="s">
        <v>80</v>
      </c>
      <c r="M3021" t="s">
        <v>73</v>
      </c>
      <c r="R3021" t="s">
        <v>12423</v>
      </c>
      <c r="W3021" t="s">
        <v>12422</v>
      </c>
      <c r="X3021" t="s">
        <v>3610</v>
      </c>
      <c r="Y3021" t="s">
        <v>91</v>
      </c>
      <c r="Z3021" t="s">
        <v>74</v>
      </c>
      <c r="AA3021" t="str">
        <f>"10021-4872"</f>
        <v>10021-4872</v>
      </c>
      <c r="AB3021" t="s">
        <v>75</v>
      </c>
      <c r="AC3021" t="s">
        <v>76</v>
      </c>
      <c r="AD3021" t="s">
        <v>73</v>
      </c>
      <c r="AE3021" t="s">
        <v>77</v>
      </c>
      <c r="AF3021" t="s">
        <v>2242</v>
      </c>
      <c r="AG3021" t="s">
        <v>78</v>
      </c>
    </row>
    <row r="3022" spans="1:33" hidden="1" x14ac:dyDescent="0.25">
      <c r="A3022" t="str">
        <f>"1598082539"</f>
        <v>1598082539</v>
      </c>
      <c r="B3022" t="str">
        <f>"03726794"</f>
        <v>03726794</v>
      </c>
      <c r="C3022" t="s">
        <v>12424</v>
      </c>
      <c r="D3022" t="s">
        <v>12425</v>
      </c>
      <c r="E3022" t="s">
        <v>12426</v>
      </c>
      <c r="L3022" t="s">
        <v>72</v>
      </c>
      <c r="M3022" t="s">
        <v>73</v>
      </c>
      <c r="R3022" t="s">
        <v>12426</v>
      </c>
      <c r="W3022" t="s">
        <v>12427</v>
      </c>
      <c r="X3022" t="s">
        <v>238</v>
      </c>
      <c r="Y3022" t="s">
        <v>91</v>
      </c>
      <c r="Z3022" t="s">
        <v>74</v>
      </c>
      <c r="AA3022" t="str">
        <f>"10065-6007"</f>
        <v>10065-6007</v>
      </c>
      <c r="AB3022" t="s">
        <v>75</v>
      </c>
      <c r="AC3022" t="s">
        <v>76</v>
      </c>
      <c r="AD3022" t="s">
        <v>73</v>
      </c>
      <c r="AE3022" t="s">
        <v>77</v>
      </c>
      <c r="AF3022" t="s">
        <v>2242</v>
      </c>
      <c r="AG3022" t="s">
        <v>78</v>
      </c>
    </row>
    <row r="3023" spans="1:33" hidden="1" x14ac:dyDescent="0.25">
      <c r="A3023" t="str">
        <f>"1215965876"</f>
        <v>1215965876</v>
      </c>
      <c r="B3023" t="str">
        <f>"02710378"</f>
        <v>02710378</v>
      </c>
      <c r="C3023" t="s">
        <v>12428</v>
      </c>
      <c r="D3023" t="s">
        <v>12429</v>
      </c>
      <c r="E3023" t="s">
        <v>12430</v>
      </c>
      <c r="L3023" t="s">
        <v>80</v>
      </c>
      <c r="M3023" t="s">
        <v>73</v>
      </c>
      <c r="R3023" t="s">
        <v>12431</v>
      </c>
      <c r="W3023" t="s">
        <v>12430</v>
      </c>
      <c r="X3023" t="s">
        <v>167</v>
      </c>
      <c r="Y3023" t="s">
        <v>91</v>
      </c>
      <c r="Z3023" t="s">
        <v>74</v>
      </c>
      <c r="AA3023" t="str">
        <f>"10032-3720"</f>
        <v>10032-3720</v>
      </c>
      <c r="AB3023" t="s">
        <v>75</v>
      </c>
      <c r="AC3023" t="s">
        <v>76</v>
      </c>
      <c r="AD3023" t="s">
        <v>73</v>
      </c>
      <c r="AE3023" t="s">
        <v>77</v>
      </c>
      <c r="AF3023" t="s">
        <v>2228</v>
      </c>
      <c r="AG3023" t="s">
        <v>78</v>
      </c>
    </row>
    <row r="3024" spans="1:33" hidden="1" x14ac:dyDescent="0.25">
      <c r="A3024" t="str">
        <f>"1306878046"</f>
        <v>1306878046</v>
      </c>
      <c r="B3024" t="str">
        <f>"00750270"</f>
        <v>00750270</v>
      </c>
      <c r="C3024" t="s">
        <v>12432</v>
      </c>
      <c r="D3024" t="s">
        <v>12433</v>
      </c>
      <c r="E3024" t="s">
        <v>12434</v>
      </c>
      <c r="L3024" t="s">
        <v>80</v>
      </c>
      <c r="M3024" t="s">
        <v>73</v>
      </c>
      <c r="R3024" t="s">
        <v>12435</v>
      </c>
      <c r="W3024" t="s">
        <v>12434</v>
      </c>
      <c r="X3024" t="s">
        <v>2029</v>
      </c>
      <c r="Y3024" t="s">
        <v>91</v>
      </c>
      <c r="Z3024" t="s">
        <v>74</v>
      </c>
      <c r="AA3024" t="str">
        <f>"10032-3720"</f>
        <v>10032-3720</v>
      </c>
      <c r="AB3024" t="s">
        <v>75</v>
      </c>
      <c r="AC3024" t="s">
        <v>76</v>
      </c>
      <c r="AD3024" t="s">
        <v>73</v>
      </c>
      <c r="AE3024" t="s">
        <v>77</v>
      </c>
      <c r="AF3024" t="s">
        <v>2228</v>
      </c>
      <c r="AG3024" t="s">
        <v>78</v>
      </c>
    </row>
    <row r="3025" spans="1:33" hidden="1" x14ac:dyDescent="0.25">
      <c r="A3025" t="str">
        <f>"1356373096"</f>
        <v>1356373096</v>
      </c>
      <c r="B3025" t="str">
        <f>"01925713"</f>
        <v>01925713</v>
      </c>
      <c r="C3025" t="s">
        <v>12436</v>
      </c>
      <c r="D3025" t="s">
        <v>12437</v>
      </c>
      <c r="E3025" t="s">
        <v>12438</v>
      </c>
      <c r="L3025" t="s">
        <v>80</v>
      </c>
      <c r="M3025" t="s">
        <v>73</v>
      </c>
      <c r="R3025" t="s">
        <v>12439</v>
      </c>
      <c r="W3025" t="s">
        <v>12438</v>
      </c>
      <c r="X3025" t="s">
        <v>2365</v>
      </c>
      <c r="Y3025" t="s">
        <v>91</v>
      </c>
      <c r="Z3025" t="s">
        <v>74</v>
      </c>
      <c r="AA3025" t="str">
        <f>"10065-4870"</f>
        <v>10065-4870</v>
      </c>
      <c r="AB3025" t="s">
        <v>75</v>
      </c>
      <c r="AC3025" t="s">
        <v>76</v>
      </c>
      <c r="AD3025" t="s">
        <v>73</v>
      </c>
      <c r="AE3025" t="s">
        <v>77</v>
      </c>
      <c r="AF3025" t="s">
        <v>2228</v>
      </c>
      <c r="AG3025" t="s">
        <v>78</v>
      </c>
    </row>
    <row r="3026" spans="1:33" hidden="1" x14ac:dyDescent="0.25">
      <c r="A3026" t="str">
        <f>"1033484092"</f>
        <v>1033484092</v>
      </c>
      <c r="B3026" t="str">
        <f>"03584521"</f>
        <v>03584521</v>
      </c>
      <c r="C3026" t="s">
        <v>12440</v>
      </c>
      <c r="D3026" t="s">
        <v>12441</v>
      </c>
      <c r="E3026" t="s">
        <v>12442</v>
      </c>
      <c r="L3026" t="s">
        <v>80</v>
      </c>
      <c r="M3026" t="s">
        <v>73</v>
      </c>
      <c r="R3026" t="s">
        <v>12443</v>
      </c>
      <c r="W3026" t="s">
        <v>12444</v>
      </c>
      <c r="X3026" t="s">
        <v>167</v>
      </c>
      <c r="Y3026" t="s">
        <v>91</v>
      </c>
      <c r="Z3026" t="s">
        <v>74</v>
      </c>
      <c r="AA3026" t="str">
        <f t="shared" ref="AA3026:AA3031" si="6">"10032-3720"</f>
        <v>10032-3720</v>
      </c>
      <c r="AB3026" t="s">
        <v>75</v>
      </c>
      <c r="AC3026" t="s">
        <v>76</v>
      </c>
      <c r="AD3026" t="s">
        <v>73</v>
      </c>
      <c r="AE3026" t="s">
        <v>77</v>
      </c>
      <c r="AF3026" t="s">
        <v>2228</v>
      </c>
      <c r="AG3026" t="s">
        <v>78</v>
      </c>
    </row>
    <row r="3027" spans="1:33" hidden="1" x14ac:dyDescent="0.25">
      <c r="A3027" t="str">
        <f>"1235281510"</f>
        <v>1235281510</v>
      </c>
      <c r="B3027" t="str">
        <f>"02023256"</f>
        <v>02023256</v>
      </c>
      <c r="C3027" t="s">
        <v>12445</v>
      </c>
      <c r="D3027" t="s">
        <v>12446</v>
      </c>
      <c r="E3027" t="s">
        <v>12447</v>
      </c>
      <c r="L3027" t="s">
        <v>80</v>
      </c>
      <c r="M3027" t="s">
        <v>73</v>
      </c>
      <c r="R3027" t="s">
        <v>12448</v>
      </c>
      <c r="W3027" t="s">
        <v>12447</v>
      </c>
      <c r="X3027" t="s">
        <v>12449</v>
      </c>
      <c r="Y3027" t="s">
        <v>91</v>
      </c>
      <c r="Z3027" t="s">
        <v>74</v>
      </c>
      <c r="AA3027" t="str">
        <f t="shared" si="6"/>
        <v>10032-3720</v>
      </c>
      <c r="AB3027" t="s">
        <v>75</v>
      </c>
      <c r="AC3027" t="s">
        <v>76</v>
      </c>
      <c r="AD3027" t="s">
        <v>73</v>
      </c>
      <c r="AE3027" t="s">
        <v>77</v>
      </c>
      <c r="AF3027" t="s">
        <v>2228</v>
      </c>
      <c r="AG3027" t="s">
        <v>78</v>
      </c>
    </row>
    <row r="3028" spans="1:33" hidden="1" x14ac:dyDescent="0.25">
      <c r="A3028" t="str">
        <f>"1417183567"</f>
        <v>1417183567</v>
      </c>
      <c r="B3028" t="str">
        <f>"03223907"</f>
        <v>03223907</v>
      </c>
      <c r="C3028" t="s">
        <v>12450</v>
      </c>
      <c r="D3028" t="s">
        <v>12451</v>
      </c>
      <c r="E3028" t="s">
        <v>12452</v>
      </c>
      <c r="L3028" t="s">
        <v>80</v>
      </c>
      <c r="M3028" t="s">
        <v>73</v>
      </c>
      <c r="R3028" t="s">
        <v>12453</v>
      </c>
      <c r="W3028" t="s">
        <v>12452</v>
      </c>
      <c r="X3028" t="s">
        <v>167</v>
      </c>
      <c r="Y3028" t="s">
        <v>91</v>
      </c>
      <c r="Z3028" t="s">
        <v>74</v>
      </c>
      <c r="AA3028" t="str">
        <f t="shared" si="6"/>
        <v>10032-3720</v>
      </c>
      <c r="AB3028" t="s">
        <v>75</v>
      </c>
      <c r="AC3028" t="s">
        <v>76</v>
      </c>
      <c r="AD3028" t="s">
        <v>73</v>
      </c>
      <c r="AE3028" t="s">
        <v>77</v>
      </c>
      <c r="AF3028" t="s">
        <v>2228</v>
      </c>
      <c r="AG3028" t="s">
        <v>78</v>
      </c>
    </row>
    <row r="3029" spans="1:33" hidden="1" x14ac:dyDescent="0.25">
      <c r="A3029" t="str">
        <f>"1073520664"</f>
        <v>1073520664</v>
      </c>
      <c r="B3029" t="str">
        <f>"02799860"</f>
        <v>02799860</v>
      </c>
      <c r="C3029" t="s">
        <v>12454</v>
      </c>
      <c r="D3029" t="s">
        <v>12455</v>
      </c>
      <c r="E3029" t="s">
        <v>12456</v>
      </c>
      <c r="L3029" t="s">
        <v>80</v>
      </c>
      <c r="M3029" t="s">
        <v>73</v>
      </c>
      <c r="R3029" t="s">
        <v>12457</v>
      </c>
      <c r="W3029" t="s">
        <v>12456</v>
      </c>
      <c r="X3029" t="s">
        <v>167</v>
      </c>
      <c r="Y3029" t="s">
        <v>91</v>
      </c>
      <c r="Z3029" t="s">
        <v>74</v>
      </c>
      <c r="AA3029" t="str">
        <f t="shared" si="6"/>
        <v>10032-3720</v>
      </c>
      <c r="AB3029" t="s">
        <v>75</v>
      </c>
      <c r="AC3029" t="s">
        <v>76</v>
      </c>
      <c r="AD3029" t="s">
        <v>73</v>
      </c>
      <c r="AE3029" t="s">
        <v>77</v>
      </c>
      <c r="AF3029" t="s">
        <v>2228</v>
      </c>
      <c r="AG3029" t="s">
        <v>78</v>
      </c>
    </row>
    <row r="3030" spans="1:33" hidden="1" x14ac:dyDescent="0.25">
      <c r="A3030" t="str">
        <f>"1164627717"</f>
        <v>1164627717</v>
      </c>
      <c r="B3030" t="str">
        <f>"03465092"</f>
        <v>03465092</v>
      </c>
      <c r="C3030" t="s">
        <v>12458</v>
      </c>
      <c r="D3030" t="s">
        <v>12459</v>
      </c>
      <c r="E3030" t="s">
        <v>12460</v>
      </c>
      <c r="L3030" t="s">
        <v>80</v>
      </c>
      <c r="M3030" t="s">
        <v>73</v>
      </c>
      <c r="R3030" t="s">
        <v>12461</v>
      </c>
      <c r="W3030" t="s">
        <v>12460</v>
      </c>
      <c r="X3030" t="s">
        <v>167</v>
      </c>
      <c r="Y3030" t="s">
        <v>91</v>
      </c>
      <c r="Z3030" t="s">
        <v>74</v>
      </c>
      <c r="AA3030" t="str">
        <f t="shared" si="6"/>
        <v>10032-3720</v>
      </c>
      <c r="AB3030" t="s">
        <v>75</v>
      </c>
      <c r="AC3030" t="s">
        <v>76</v>
      </c>
      <c r="AD3030" t="s">
        <v>73</v>
      </c>
      <c r="AE3030" t="s">
        <v>77</v>
      </c>
      <c r="AF3030" t="s">
        <v>2228</v>
      </c>
      <c r="AG3030" t="s">
        <v>78</v>
      </c>
    </row>
    <row r="3031" spans="1:33" hidden="1" x14ac:dyDescent="0.25">
      <c r="A3031" t="str">
        <f>"1346474582"</f>
        <v>1346474582</v>
      </c>
      <c r="B3031" t="str">
        <f>"03868297"</f>
        <v>03868297</v>
      </c>
      <c r="C3031" t="s">
        <v>12462</v>
      </c>
      <c r="D3031" t="s">
        <v>12463</v>
      </c>
      <c r="E3031" t="s">
        <v>12464</v>
      </c>
      <c r="L3031" t="s">
        <v>80</v>
      </c>
      <c r="M3031" t="s">
        <v>73</v>
      </c>
      <c r="R3031" t="s">
        <v>12465</v>
      </c>
      <c r="W3031" t="s">
        <v>12464</v>
      </c>
      <c r="X3031" t="s">
        <v>167</v>
      </c>
      <c r="Y3031" t="s">
        <v>91</v>
      </c>
      <c r="Z3031" t="s">
        <v>74</v>
      </c>
      <c r="AA3031" t="str">
        <f t="shared" si="6"/>
        <v>10032-3720</v>
      </c>
      <c r="AB3031" t="s">
        <v>75</v>
      </c>
      <c r="AC3031" t="s">
        <v>76</v>
      </c>
      <c r="AD3031" t="s">
        <v>73</v>
      </c>
      <c r="AE3031" t="s">
        <v>77</v>
      </c>
      <c r="AG3031" t="s">
        <v>78</v>
      </c>
    </row>
    <row r="3032" spans="1:33" hidden="1" x14ac:dyDescent="0.25">
      <c r="A3032" t="str">
        <f>"1164433991"</f>
        <v>1164433991</v>
      </c>
      <c r="B3032" t="str">
        <f>"01074708"</f>
        <v>01074708</v>
      </c>
      <c r="C3032" t="s">
        <v>12466</v>
      </c>
      <c r="D3032" t="s">
        <v>12467</v>
      </c>
      <c r="E3032" t="s">
        <v>12468</v>
      </c>
      <c r="L3032" t="s">
        <v>72</v>
      </c>
      <c r="M3032" t="s">
        <v>73</v>
      </c>
      <c r="R3032" t="s">
        <v>12469</v>
      </c>
      <c r="W3032" t="s">
        <v>12468</v>
      </c>
      <c r="X3032" t="s">
        <v>12470</v>
      </c>
      <c r="Y3032" t="s">
        <v>91</v>
      </c>
      <c r="Z3032" t="s">
        <v>74</v>
      </c>
      <c r="AA3032" t="str">
        <f>"10065-4870"</f>
        <v>10065-4870</v>
      </c>
      <c r="AB3032" t="s">
        <v>75</v>
      </c>
      <c r="AC3032" t="s">
        <v>76</v>
      </c>
      <c r="AD3032" t="s">
        <v>73</v>
      </c>
      <c r="AE3032" t="s">
        <v>77</v>
      </c>
      <c r="AF3032" t="s">
        <v>2242</v>
      </c>
      <c r="AG3032" t="s">
        <v>78</v>
      </c>
    </row>
    <row r="3033" spans="1:33" hidden="1" x14ac:dyDescent="0.25">
      <c r="A3033" t="str">
        <f>"1831416437"</f>
        <v>1831416437</v>
      </c>
      <c r="C3033" t="s">
        <v>12471</v>
      </c>
      <c r="G3033" t="s">
        <v>2224</v>
      </c>
      <c r="H3033" t="s">
        <v>2312</v>
      </c>
      <c r="J3033" t="s">
        <v>2226</v>
      </c>
      <c r="K3033" t="s">
        <v>171</v>
      </c>
      <c r="L3033" t="s">
        <v>72</v>
      </c>
      <c r="M3033" t="s">
        <v>73</v>
      </c>
      <c r="R3033" t="s">
        <v>12472</v>
      </c>
      <c r="S3033" t="s">
        <v>1707</v>
      </c>
      <c r="T3033" t="s">
        <v>91</v>
      </c>
      <c r="U3033" t="s">
        <v>74</v>
      </c>
      <c r="V3033" t="str">
        <f>"10032"</f>
        <v>10032</v>
      </c>
      <c r="AC3033" t="s">
        <v>76</v>
      </c>
      <c r="AD3033" t="s">
        <v>73</v>
      </c>
      <c r="AE3033" t="s">
        <v>97</v>
      </c>
      <c r="AF3033" t="s">
        <v>2234</v>
      </c>
      <c r="AG3033" t="s">
        <v>78</v>
      </c>
    </row>
    <row r="3034" spans="1:33" hidden="1" x14ac:dyDescent="0.25">
      <c r="A3034" t="str">
        <f>"1235452723"</f>
        <v>1235452723</v>
      </c>
      <c r="C3034" t="s">
        <v>12473</v>
      </c>
      <c r="G3034" t="s">
        <v>2224</v>
      </c>
      <c r="H3034" t="s">
        <v>2312</v>
      </c>
      <c r="J3034" t="s">
        <v>2226</v>
      </c>
      <c r="K3034" t="s">
        <v>171</v>
      </c>
      <c r="L3034" t="s">
        <v>96</v>
      </c>
      <c r="M3034" t="s">
        <v>73</v>
      </c>
      <c r="R3034" t="s">
        <v>12474</v>
      </c>
      <c r="S3034" t="s">
        <v>12475</v>
      </c>
      <c r="T3034" t="s">
        <v>1296</v>
      </c>
      <c r="U3034" t="s">
        <v>362</v>
      </c>
      <c r="V3034" t="str">
        <f>"381381762"</f>
        <v>381381762</v>
      </c>
      <c r="AC3034" t="s">
        <v>76</v>
      </c>
      <c r="AD3034" t="s">
        <v>73</v>
      </c>
      <c r="AE3034" t="s">
        <v>97</v>
      </c>
      <c r="AF3034" t="s">
        <v>2234</v>
      </c>
      <c r="AG3034" t="s">
        <v>78</v>
      </c>
    </row>
    <row r="3035" spans="1:33" hidden="1" x14ac:dyDescent="0.25">
      <c r="A3035" t="str">
        <f>"1891928255"</f>
        <v>1891928255</v>
      </c>
      <c r="B3035" t="str">
        <f>"04326078"</f>
        <v>04326078</v>
      </c>
      <c r="C3035" t="s">
        <v>12476</v>
      </c>
      <c r="D3035" t="s">
        <v>2189</v>
      </c>
      <c r="E3035" t="s">
        <v>2190</v>
      </c>
      <c r="G3035" t="s">
        <v>2224</v>
      </c>
      <c r="H3035" t="s">
        <v>2312</v>
      </c>
      <c r="J3035" t="s">
        <v>2226</v>
      </c>
      <c r="L3035" t="s">
        <v>72</v>
      </c>
      <c r="M3035" t="s">
        <v>73</v>
      </c>
      <c r="R3035" t="s">
        <v>2191</v>
      </c>
      <c r="W3035" t="s">
        <v>2190</v>
      </c>
      <c r="X3035" t="s">
        <v>525</v>
      </c>
      <c r="Y3035" t="s">
        <v>126</v>
      </c>
      <c r="Z3035" t="s">
        <v>74</v>
      </c>
      <c r="AA3035" t="str">
        <f>"11772-4870"</f>
        <v>11772-4870</v>
      </c>
      <c r="AB3035" t="s">
        <v>75</v>
      </c>
      <c r="AC3035" t="s">
        <v>76</v>
      </c>
      <c r="AD3035" t="s">
        <v>73</v>
      </c>
      <c r="AE3035" t="s">
        <v>77</v>
      </c>
      <c r="AF3035" t="s">
        <v>2234</v>
      </c>
      <c r="AG3035" t="s">
        <v>78</v>
      </c>
    </row>
    <row r="3036" spans="1:33" hidden="1" x14ac:dyDescent="0.25">
      <c r="A3036" t="str">
        <f>"1609850031"</f>
        <v>1609850031</v>
      </c>
      <c r="B3036" t="str">
        <f>"02433907"</f>
        <v>02433907</v>
      </c>
      <c r="C3036" t="s">
        <v>2092</v>
      </c>
      <c r="D3036" t="s">
        <v>2093</v>
      </c>
      <c r="E3036" t="s">
        <v>2094</v>
      </c>
      <c r="G3036" t="s">
        <v>282</v>
      </c>
      <c r="H3036" t="s">
        <v>248</v>
      </c>
      <c r="I3036">
        <v>2604</v>
      </c>
      <c r="J3036" t="s">
        <v>283</v>
      </c>
      <c r="L3036" t="s">
        <v>80</v>
      </c>
      <c r="M3036" t="s">
        <v>82</v>
      </c>
      <c r="R3036" t="s">
        <v>2095</v>
      </c>
      <c r="W3036" t="s">
        <v>2094</v>
      </c>
      <c r="X3036" t="s">
        <v>2096</v>
      </c>
      <c r="Y3036" t="s">
        <v>91</v>
      </c>
      <c r="Z3036" t="s">
        <v>74</v>
      </c>
      <c r="AA3036" t="str">
        <f>"10013-3100"</f>
        <v>10013-3100</v>
      </c>
      <c r="AB3036" t="s">
        <v>75</v>
      </c>
      <c r="AC3036" t="s">
        <v>76</v>
      </c>
      <c r="AD3036" t="s">
        <v>73</v>
      </c>
      <c r="AE3036" t="s">
        <v>77</v>
      </c>
      <c r="AF3036" t="s">
        <v>2319</v>
      </c>
      <c r="AG3036" t="s">
        <v>78</v>
      </c>
    </row>
    <row r="3037" spans="1:33" hidden="1" x14ac:dyDescent="0.25">
      <c r="A3037" t="str">
        <f>"1992794184"</f>
        <v>1992794184</v>
      </c>
      <c r="B3037" t="str">
        <f>"01887145"</f>
        <v>01887145</v>
      </c>
      <c r="C3037" t="s">
        <v>12477</v>
      </c>
      <c r="D3037" t="s">
        <v>12478</v>
      </c>
      <c r="E3037" t="s">
        <v>12479</v>
      </c>
      <c r="G3037" t="s">
        <v>282</v>
      </c>
      <c r="H3037" t="s">
        <v>248</v>
      </c>
      <c r="I3037">
        <v>2604</v>
      </c>
      <c r="J3037" t="s">
        <v>283</v>
      </c>
      <c r="L3037" t="s">
        <v>80</v>
      </c>
      <c r="M3037" t="s">
        <v>82</v>
      </c>
      <c r="R3037" t="s">
        <v>12480</v>
      </c>
      <c r="W3037" t="s">
        <v>12481</v>
      </c>
      <c r="X3037" t="s">
        <v>195</v>
      </c>
      <c r="Y3037" t="s">
        <v>91</v>
      </c>
      <c r="Z3037" t="s">
        <v>74</v>
      </c>
      <c r="AA3037" t="str">
        <f>"10038-2612"</f>
        <v>10038-2612</v>
      </c>
      <c r="AB3037" t="s">
        <v>75</v>
      </c>
      <c r="AC3037" t="s">
        <v>76</v>
      </c>
      <c r="AD3037" t="s">
        <v>73</v>
      </c>
      <c r="AE3037" t="s">
        <v>77</v>
      </c>
      <c r="AF3037" t="s">
        <v>2319</v>
      </c>
      <c r="AG3037" t="s">
        <v>78</v>
      </c>
    </row>
    <row r="3038" spans="1:33" hidden="1" x14ac:dyDescent="0.25">
      <c r="A3038" t="str">
        <f>"1447679212"</f>
        <v>1447679212</v>
      </c>
      <c r="C3038" t="s">
        <v>12482</v>
      </c>
      <c r="G3038" t="s">
        <v>2224</v>
      </c>
      <c r="H3038" t="s">
        <v>2312</v>
      </c>
      <c r="J3038" t="s">
        <v>2226</v>
      </c>
      <c r="K3038" t="s">
        <v>171</v>
      </c>
      <c r="L3038" t="s">
        <v>96</v>
      </c>
      <c r="M3038" t="s">
        <v>73</v>
      </c>
      <c r="R3038" t="s">
        <v>12483</v>
      </c>
      <c r="S3038" t="s">
        <v>3925</v>
      </c>
      <c r="T3038" t="s">
        <v>91</v>
      </c>
      <c r="U3038" t="s">
        <v>74</v>
      </c>
      <c r="V3038" t="str">
        <f>"100323720"</f>
        <v>100323720</v>
      </c>
      <c r="AC3038" t="s">
        <v>76</v>
      </c>
      <c r="AD3038" t="s">
        <v>73</v>
      </c>
      <c r="AE3038" t="s">
        <v>97</v>
      </c>
      <c r="AF3038" t="s">
        <v>2228</v>
      </c>
      <c r="AG3038" t="s">
        <v>78</v>
      </c>
    </row>
    <row r="3039" spans="1:33" hidden="1" x14ac:dyDescent="0.25">
      <c r="A3039" t="str">
        <f>"1609165174"</f>
        <v>1609165174</v>
      </c>
      <c r="B3039" t="str">
        <f>"04586581"</f>
        <v>04586581</v>
      </c>
      <c r="C3039" t="s">
        <v>4288</v>
      </c>
      <c r="D3039" t="s">
        <v>12484</v>
      </c>
      <c r="E3039" t="s">
        <v>12485</v>
      </c>
      <c r="G3039" t="s">
        <v>2224</v>
      </c>
      <c r="H3039" t="s">
        <v>2312</v>
      </c>
      <c r="J3039" t="s">
        <v>2226</v>
      </c>
      <c r="L3039" t="s">
        <v>96</v>
      </c>
      <c r="M3039" t="s">
        <v>73</v>
      </c>
      <c r="R3039" t="s">
        <v>1551</v>
      </c>
      <c r="W3039" t="s">
        <v>12485</v>
      </c>
      <c r="AB3039" t="s">
        <v>75</v>
      </c>
      <c r="AC3039" t="s">
        <v>76</v>
      </c>
      <c r="AD3039" t="s">
        <v>73</v>
      </c>
      <c r="AE3039" t="s">
        <v>77</v>
      </c>
      <c r="AF3039" t="s">
        <v>2228</v>
      </c>
      <c r="AG3039" t="s">
        <v>78</v>
      </c>
    </row>
    <row r="3040" spans="1:33" hidden="1" x14ac:dyDescent="0.25">
      <c r="A3040" t="str">
        <f>"1699193482"</f>
        <v>1699193482</v>
      </c>
      <c r="C3040" t="s">
        <v>4288</v>
      </c>
      <c r="G3040" t="s">
        <v>2224</v>
      </c>
      <c r="H3040" t="s">
        <v>2312</v>
      </c>
      <c r="J3040" t="s">
        <v>2226</v>
      </c>
      <c r="K3040" t="s">
        <v>171</v>
      </c>
      <c r="L3040" t="s">
        <v>96</v>
      </c>
      <c r="M3040" t="s">
        <v>73</v>
      </c>
      <c r="R3040" t="s">
        <v>1551</v>
      </c>
      <c r="S3040" t="s">
        <v>2442</v>
      </c>
      <c r="T3040" t="s">
        <v>91</v>
      </c>
      <c r="U3040" t="s">
        <v>74</v>
      </c>
      <c r="V3040" t="str">
        <f>"100323720"</f>
        <v>100323720</v>
      </c>
      <c r="AC3040" t="s">
        <v>76</v>
      </c>
      <c r="AD3040" t="s">
        <v>73</v>
      </c>
      <c r="AE3040" t="s">
        <v>97</v>
      </c>
      <c r="AF3040" t="s">
        <v>2228</v>
      </c>
      <c r="AG3040" t="s">
        <v>78</v>
      </c>
    </row>
    <row r="3041" spans="1:33" hidden="1" x14ac:dyDescent="0.25">
      <c r="A3041" t="str">
        <f>"1649536384"</f>
        <v>1649536384</v>
      </c>
      <c r="B3041" t="str">
        <f>"04499345"</f>
        <v>04499345</v>
      </c>
      <c r="C3041" t="s">
        <v>12486</v>
      </c>
      <c r="D3041" t="s">
        <v>2206</v>
      </c>
      <c r="E3041" t="s">
        <v>2207</v>
      </c>
      <c r="G3041" t="s">
        <v>2224</v>
      </c>
      <c r="H3041" t="s">
        <v>2312</v>
      </c>
      <c r="J3041" t="s">
        <v>2226</v>
      </c>
      <c r="L3041" t="s">
        <v>96</v>
      </c>
      <c r="M3041" t="s">
        <v>73</v>
      </c>
      <c r="R3041" t="s">
        <v>2208</v>
      </c>
      <c r="W3041" t="s">
        <v>2209</v>
      </c>
      <c r="AB3041" t="s">
        <v>75</v>
      </c>
      <c r="AC3041" t="s">
        <v>76</v>
      </c>
      <c r="AD3041" t="s">
        <v>73</v>
      </c>
      <c r="AE3041" t="s">
        <v>77</v>
      </c>
      <c r="AF3041" t="s">
        <v>2228</v>
      </c>
      <c r="AG3041" t="s">
        <v>78</v>
      </c>
    </row>
    <row r="3042" spans="1:33" hidden="1" x14ac:dyDescent="0.25">
      <c r="A3042" t="str">
        <f>"1558704668"</f>
        <v>1558704668</v>
      </c>
      <c r="C3042" t="s">
        <v>12487</v>
      </c>
      <c r="G3042" t="s">
        <v>2224</v>
      </c>
      <c r="H3042" t="s">
        <v>2312</v>
      </c>
      <c r="J3042" t="s">
        <v>2226</v>
      </c>
      <c r="K3042" t="s">
        <v>171</v>
      </c>
      <c r="L3042" t="s">
        <v>96</v>
      </c>
      <c r="M3042" t="s">
        <v>73</v>
      </c>
      <c r="R3042" t="s">
        <v>12488</v>
      </c>
      <c r="S3042" t="s">
        <v>3387</v>
      </c>
      <c r="T3042" t="s">
        <v>91</v>
      </c>
      <c r="U3042" t="s">
        <v>74</v>
      </c>
      <c r="V3042" t="str">
        <f>"100323720"</f>
        <v>100323720</v>
      </c>
      <c r="AC3042" t="s">
        <v>76</v>
      </c>
      <c r="AD3042" t="s">
        <v>73</v>
      </c>
      <c r="AE3042" t="s">
        <v>97</v>
      </c>
      <c r="AF3042" t="s">
        <v>2228</v>
      </c>
      <c r="AG3042" t="s">
        <v>78</v>
      </c>
    </row>
    <row r="3043" spans="1:33" hidden="1" x14ac:dyDescent="0.25">
      <c r="A3043" t="str">
        <f>"1457632580"</f>
        <v>1457632580</v>
      </c>
      <c r="B3043" t="str">
        <f>"03629536"</f>
        <v>03629536</v>
      </c>
      <c r="C3043" t="s">
        <v>12489</v>
      </c>
      <c r="D3043" t="s">
        <v>12490</v>
      </c>
      <c r="E3043" t="s">
        <v>12491</v>
      </c>
      <c r="L3043" t="s">
        <v>80</v>
      </c>
      <c r="M3043" t="s">
        <v>73</v>
      </c>
      <c r="R3043" t="s">
        <v>12492</v>
      </c>
      <c r="W3043" t="s">
        <v>12491</v>
      </c>
      <c r="X3043" t="s">
        <v>151</v>
      </c>
      <c r="Y3043" t="s">
        <v>84</v>
      </c>
      <c r="Z3043" t="s">
        <v>74</v>
      </c>
      <c r="AA3043" t="str">
        <f>"11219-2916"</f>
        <v>11219-2916</v>
      </c>
      <c r="AB3043" t="s">
        <v>75</v>
      </c>
      <c r="AC3043" t="s">
        <v>76</v>
      </c>
      <c r="AD3043" t="s">
        <v>73</v>
      </c>
      <c r="AE3043" t="s">
        <v>77</v>
      </c>
      <c r="AF3043" t="s">
        <v>2228</v>
      </c>
      <c r="AG3043" t="s">
        <v>78</v>
      </c>
    </row>
    <row r="3044" spans="1:33" hidden="1" x14ac:dyDescent="0.25">
      <c r="A3044" t="str">
        <f>"1063483154"</f>
        <v>1063483154</v>
      </c>
      <c r="B3044" t="str">
        <f>"01610219"</f>
        <v>01610219</v>
      </c>
      <c r="C3044" t="s">
        <v>12493</v>
      </c>
      <c r="D3044" t="s">
        <v>12494</v>
      </c>
      <c r="E3044" t="s">
        <v>12495</v>
      </c>
      <c r="L3044" t="s">
        <v>80</v>
      </c>
      <c r="M3044" t="s">
        <v>73</v>
      </c>
      <c r="R3044" t="s">
        <v>12496</v>
      </c>
      <c r="W3044" t="s">
        <v>12495</v>
      </c>
      <c r="X3044" t="s">
        <v>167</v>
      </c>
      <c r="Y3044" t="s">
        <v>91</v>
      </c>
      <c r="Z3044" t="s">
        <v>74</v>
      </c>
      <c r="AA3044" t="str">
        <f>"10032-3720"</f>
        <v>10032-3720</v>
      </c>
      <c r="AB3044" t="s">
        <v>75</v>
      </c>
      <c r="AC3044" t="s">
        <v>76</v>
      </c>
      <c r="AD3044" t="s">
        <v>73</v>
      </c>
      <c r="AE3044" t="s">
        <v>77</v>
      </c>
      <c r="AF3044" t="s">
        <v>2228</v>
      </c>
      <c r="AG3044" t="s">
        <v>78</v>
      </c>
    </row>
    <row r="3045" spans="1:33" hidden="1" x14ac:dyDescent="0.25">
      <c r="A3045" t="str">
        <f>"1235378233"</f>
        <v>1235378233</v>
      </c>
      <c r="B3045" t="str">
        <f>"03106058"</f>
        <v>03106058</v>
      </c>
      <c r="C3045" t="s">
        <v>12497</v>
      </c>
      <c r="D3045" t="s">
        <v>12498</v>
      </c>
      <c r="E3045" t="s">
        <v>12499</v>
      </c>
      <c r="L3045" t="s">
        <v>80</v>
      </c>
      <c r="M3045" t="s">
        <v>73</v>
      </c>
      <c r="R3045" t="s">
        <v>12500</v>
      </c>
      <c r="W3045" t="s">
        <v>12499</v>
      </c>
      <c r="X3045" t="s">
        <v>173</v>
      </c>
      <c r="Y3045" t="s">
        <v>172</v>
      </c>
      <c r="Z3045" t="s">
        <v>74</v>
      </c>
      <c r="AA3045" t="str">
        <f>"11794-8460"</f>
        <v>11794-8460</v>
      </c>
      <c r="AB3045" t="s">
        <v>75</v>
      </c>
      <c r="AC3045" t="s">
        <v>76</v>
      </c>
      <c r="AD3045" t="s">
        <v>73</v>
      </c>
      <c r="AE3045" t="s">
        <v>77</v>
      </c>
      <c r="AF3045" t="s">
        <v>2228</v>
      </c>
      <c r="AG3045" t="s">
        <v>78</v>
      </c>
    </row>
    <row r="3046" spans="1:33" hidden="1" x14ac:dyDescent="0.25">
      <c r="A3046" t="str">
        <f>"1255339420"</f>
        <v>1255339420</v>
      </c>
      <c r="B3046" t="str">
        <f>"01949811"</f>
        <v>01949811</v>
      </c>
      <c r="C3046" t="s">
        <v>12501</v>
      </c>
      <c r="D3046" t="s">
        <v>12502</v>
      </c>
      <c r="E3046" t="s">
        <v>12503</v>
      </c>
      <c r="L3046" t="s">
        <v>80</v>
      </c>
      <c r="M3046" t="s">
        <v>73</v>
      </c>
      <c r="R3046" t="s">
        <v>12504</v>
      </c>
      <c r="W3046" t="s">
        <v>12503</v>
      </c>
      <c r="X3046" t="s">
        <v>738</v>
      </c>
      <c r="Y3046" t="s">
        <v>118</v>
      </c>
      <c r="Z3046" t="s">
        <v>74</v>
      </c>
      <c r="AA3046" t="str">
        <f>"10457"</f>
        <v>10457</v>
      </c>
      <c r="AB3046" t="s">
        <v>75</v>
      </c>
      <c r="AC3046" t="s">
        <v>76</v>
      </c>
      <c r="AD3046" t="s">
        <v>73</v>
      </c>
      <c r="AE3046" t="s">
        <v>77</v>
      </c>
      <c r="AF3046" t="s">
        <v>2228</v>
      </c>
      <c r="AG3046" t="s">
        <v>78</v>
      </c>
    </row>
    <row r="3047" spans="1:33" hidden="1" x14ac:dyDescent="0.25">
      <c r="A3047" t="str">
        <f>"1013097591"</f>
        <v>1013097591</v>
      </c>
      <c r="C3047" t="s">
        <v>12505</v>
      </c>
      <c r="G3047" t="s">
        <v>2224</v>
      </c>
      <c r="H3047" t="s">
        <v>2312</v>
      </c>
      <c r="J3047" t="s">
        <v>2226</v>
      </c>
      <c r="K3047" t="s">
        <v>171</v>
      </c>
      <c r="L3047" t="s">
        <v>96</v>
      </c>
      <c r="M3047" t="s">
        <v>73</v>
      </c>
      <c r="R3047" t="s">
        <v>12506</v>
      </c>
      <c r="S3047" t="s">
        <v>12507</v>
      </c>
      <c r="T3047" t="s">
        <v>12508</v>
      </c>
      <c r="U3047" t="s">
        <v>536</v>
      </c>
      <c r="V3047" t="str">
        <f>"065162770"</f>
        <v>065162770</v>
      </c>
      <c r="AC3047" t="s">
        <v>76</v>
      </c>
      <c r="AD3047" t="s">
        <v>73</v>
      </c>
      <c r="AE3047" t="s">
        <v>97</v>
      </c>
      <c r="AF3047" t="s">
        <v>2242</v>
      </c>
      <c r="AG3047" t="s">
        <v>78</v>
      </c>
    </row>
    <row r="3048" spans="1:33" hidden="1" x14ac:dyDescent="0.25">
      <c r="A3048" t="str">
        <f>"1972707339"</f>
        <v>1972707339</v>
      </c>
      <c r="C3048" t="s">
        <v>12509</v>
      </c>
      <c r="G3048" t="s">
        <v>2224</v>
      </c>
      <c r="H3048" t="s">
        <v>2312</v>
      </c>
      <c r="J3048" t="s">
        <v>2226</v>
      </c>
      <c r="K3048" t="s">
        <v>171</v>
      </c>
      <c r="L3048" t="s">
        <v>96</v>
      </c>
      <c r="M3048" t="s">
        <v>73</v>
      </c>
      <c r="R3048" t="s">
        <v>12510</v>
      </c>
      <c r="S3048" t="s">
        <v>170</v>
      </c>
      <c r="T3048" t="s">
        <v>91</v>
      </c>
      <c r="U3048" t="s">
        <v>74</v>
      </c>
      <c r="V3048" t="str">
        <f>"100214870"</f>
        <v>100214870</v>
      </c>
      <c r="AC3048" t="s">
        <v>76</v>
      </c>
      <c r="AD3048" t="s">
        <v>73</v>
      </c>
      <c r="AE3048" t="s">
        <v>97</v>
      </c>
      <c r="AF3048" t="s">
        <v>2242</v>
      </c>
      <c r="AG3048" t="s">
        <v>78</v>
      </c>
    </row>
    <row r="3049" spans="1:33" hidden="1" x14ac:dyDescent="0.25">
      <c r="A3049" t="str">
        <f>"1740572163"</f>
        <v>1740572163</v>
      </c>
      <c r="C3049" t="s">
        <v>12511</v>
      </c>
      <c r="G3049" t="s">
        <v>2224</v>
      </c>
      <c r="H3049" t="s">
        <v>2312</v>
      </c>
      <c r="J3049" t="s">
        <v>2226</v>
      </c>
      <c r="K3049" t="s">
        <v>171</v>
      </c>
      <c r="L3049" t="s">
        <v>96</v>
      </c>
      <c r="M3049" t="s">
        <v>73</v>
      </c>
      <c r="R3049" t="s">
        <v>12512</v>
      </c>
      <c r="S3049" t="s">
        <v>12513</v>
      </c>
      <c r="T3049" t="s">
        <v>91</v>
      </c>
      <c r="U3049" t="s">
        <v>74</v>
      </c>
      <c r="V3049" t="str">
        <f>"100654870"</f>
        <v>100654870</v>
      </c>
      <c r="AC3049" t="s">
        <v>76</v>
      </c>
      <c r="AD3049" t="s">
        <v>73</v>
      </c>
      <c r="AE3049" t="s">
        <v>97</v>
      </c>
      <c r="AF3049" t="s">
        <v>2234</v>
      </c>
      <c r="AG3049" t="s">
        <v>78</v>
      </c>
    </row>
    <row r="3050" spans="1:33" hidden="1" x14ac:dyDescent="0.25">
      <c r="A3050" t="str">
        <f>"1508285909"</f>
        <v>1508285909</v>
      </c>
      <c r="C3050" t="s">
        <v>12514</v>
      </c>
      <c r="G3050" t="s">
        <v>2224</v>
      </c>
      <c r="H3050" t="s">
        <v>2312</v>
      </c>
      <c r="J3050" t="s">
        <v>2226</v>
      </c>
      <c r="K3050" t="s">
        <v>171</v>
      </c>
      <c r="L3050" t="s">
        <v>96</v>
      </c>
      <c r="M3050" t="s">
        <v>73</v>
      </c>
      <c r="R3050" t="s">
        <v>12515</v>
      </c>
      <c r="S3050" t="s">
        <v>170</v>
      </c>
      <c r="T3050" t="s">
        <v>91</v>
      </c>
      <c r="U3050" t="s">
        <v>74</v>
      </c>
      <c r="V3050" t="str">
        <f>"100654870"</f>
        <v>100654870</v>
      </c>
      <c r="AC3050" t="s">
        <v>76</v>
      </c>
      <c r="AD3050" t="s">
        <v>73</v>
      </c>
      <c r="AE3050" t="s">
        <v>97</v>
      </c>
      <c r="AF3050" t="s">
        <v>2242</v>
      </c>
      <c r="AG3050" t="s">
        <v>78</v>
      </c>
    </row>
    <row r="3051" spans="1:33" hidden="1" x14ac:dyDescent="0.25">
      <c r="A3051" t="str">
        <f>"1659490563"</f>
        <v>1659490563</v>
      </c>
      <c r="B3051" t="str">
        <f>"02598709"</f>
        <v>02598709</v>
      </c>
      <c r="C3051" t="s">
        <v>1863</v>
      </c>
      <c r="D3051" t="s">
        <v>1134</v>
      </c>
      <c r="E3051" t="s">
        <v>1135</v>
      </c>
      <c r="G3051" t="s">
        <v>749</v>
      </c>
      <c r="H3051" t="s">
        <v>320</v>
      </c>
      <c r="J3051" t="s">
        <v>750</v>
      </c>
      <c r="L3051" t="s">
        <v>81</v>
      </c>
      <c r="M3051" t="s">
        <v>82</v>
      </c>
      <c r="R3051" t="s">
        <v>1136</v>
      </c>
      <c r="W3051" t="s">
        <v>1135</v>
      </c>
      <c r="X3051" t="s">
        <v>1137</v>
      </c>
      <c r="Y3051" t="s">
        <v>501</v>
      </c>
      <c r="Z3051" t="s">
        <v>111</v>
      </c>
      <c r="AA3051" t="str">
        <f>"01199-1006"</f>
        <v>01199-1006</v>
      </c>
      <c r="AB3051" t="s">
        <v>75</v>
      </c>
      <c r="AC3051" t="s">
        <v>76</v>
      </c>
      <c r="AD3051" t="s">
        <v>73</v>
      </c>
      <c r="AE3051" t="s">
        <v>77</v>
      </c>
      <c r="AF3051" t="s">
        <v>2445</v>
      </c>
      <c r="AG3051" t="s">
        <v>78</v>
      </c>
    </row>
    <row r="3052" spans="1:33" hidden="1" x14ac:dyDescent="0.25">
      <c r="A3052" t="str">
        <f>"1366544686"</f>
        <v>1366544686</v>
      </c>
      <c r="B3052" t="str">
        <f>"01582461"</f>
        <v>01582461</v>
      </c>
      <c r="C3052" t="s">
        <v>12516</v>
      </c>
      <c r="D3052" t="s">
        <v>12517</v>
      </c>
      <c r="E3052" t="s">
        <v>12518</v>
      </c>
      <c r="G3052" t="s">
        <v>2224</v>
      </c>
      <c r="H3052" t="s">
        <v>2225</v>
      </c>
      <c r="J3052" t="s">
        <v>2226</v>
      </c>
      <c r="L3052" t="s">
        <v>81</v>
      </c>
      <c r="M3052" t="s">
        <v>82</v>
      </c>
      <c r="R3052" t="s">
        <v>12519</v>
      </c>
      <c r="W3052" t="s">
        <v>12518</v>
      </c>
      <c r="X3052" t="s">
        <v>193</v>
      </c>
      <c r="Y3052" t="s">
        <v>118</v>
      </c>
      <c r="Z3052" t="s">
        <v>74</v>
      </c>
      <c r="AA3052" t="str">
        <f>"10467-2401"</f>
        <v>10467-2401</v>
      </c>
      <c r="AB3052" t="s">
        <v>75</v>
      </c>
      <c r="AC3052" t="s">
        <v>76</v>
      </c>
      <c r="AD3052" t="s">
        <v>73</v>
      </c>
      <c r="AE3052" t="s">
        <v>77</v>
      </c>
      <c r="AF3052" t="s">
        <v>2254</v>
      </c>
      <c r="AG3052" t="s">
        <v>78</v>
      </c>
    </row>
    <row r="3053" spans="1:33" hidden="1" x14ac:dyDescent="0.25">
      <c r="A3053" t="str">
        <f>"1366609711"</f>
        <v>1366609711</v>
      </c>
      <c r="B3053" t="str">
        <f>"03623750"</f>
        <v>03623750</v>
      </c>
      <c r="C3053" t="s">
        <v>12520</v>
      </c>
      <c r="D3053" t="s">
        <v>12521</v>
      </c>
      <c r="E3053" t="s">
        <v>12522</v>
      </c>
      <c r="G3053" t="s">
        <v>2224</v>
      </c>
      <c r="H3053" t="s">
        <v>2225</v>
      </c>
      <c r="J3053" t="s">
        <v>2226</v>
      </c>
      <c r="L3053" t="s">
        <v>72</v>
      </c>
      <c r="M3053" t="s">
        <v>73</v>
      </c>
      <c r="R3053" t="s">
        <v>12523</v>
      </c>
      <c r="W3053" t="s">
        <v>12522</v>
      </c>
      <c r="X3053" t="s">
        <v>167</v>
      </c>
      <c r="Y3053" t="s">
        <v>91</v>
      </c>
      <c r="Z3053" t="s">
        <v>74</v>
      </c>
      <c r="AA3053" t="str">
        <f>"10032-3720"</f>
        <v>10032-3720</v>
      </c>
      <c r="AB3053" t="s">
        <v>75</v>
      </c>
      <c r="AC3053" t="s">
        <v>76</v>
      </c>
      <c r="AD3053" t="s">
        <v>73</v>
      </c>
      <c r="AE3053" t="s">
        <v>77</v>
      </c>
      <c r="AF3053" t="s">
        <v>2254</v>
      </c>
      <c r="AG3053" t="s">
        <v>78</v>
      </c>
    </row>
    <row r="3054" spans="1:33" hidden="1" x14ac:dyDescent="0.25">
      <c r="A3054" t="str">
        <f>"1851437917"</f>
        <v>1851437917</v>
      </c>
      <c r="C3054" t="s">
        <v>12524</v>
      </c>
      <c r="G3054" t="s">
        <v>2224</v>
      </c>
      <c r="H3054" t="s">
        <v>2312</v>
      </c>
      <c r="J3054" t="s">
        <v>2226</v>
      </c>
      <c r="K3054" t="s">
        <v>171</v>
      </c>
      <c r="L3054" t="s">
        <v>96</v>
      </c>
      <c r="M3054" t="s">
        <v>73</v>
      </c>
      <c r="R3054" t="s">
        <v>12525</v>
      </c>
      <c r="S3054" t="s">
        <v>167</v>
      </c>
      <c r="T3054" t="s">
        <v>91</v>
      </c>
      <c r="U3054" t="s">
        <v>74</v>
      </c>
      <c r="V3054" t="str">
        <f>"100323720"</f>
        <v>100323720</v>
      </c>
      <c r="AC3054" t="s">
        <v>76</v>
      </c>
      <c r="AD3054" t="s">
        <v>73</v>
      </c>
      <c r="AE3054" t="s">
        <v>97</v>
      </c>
      <c r="AF3054" t="s">
        <v>2234</v>
      </c>
      <c r="AG3054" t="s">
        <v>78</v>
      </c>
    </row>
    <row r="3055" spans="1:33" hidden="1" x14ac:dyDescent="0.25">
      <c r="A3055" t="str">
        <f>"1871508184"</f>
        <v>1871508184</v>
      </c>
      <c r="B3055" t="str">
        <f>"02378545"</f>
        <v>02378545</v>
      </c>
      <c r="C3055" t="s">
        <v>12526</v>
      </c>
      <c r="D3055" t="s">
        <v>12527</v>
      </c>
      <c r="E3055" t="s">
        <v>12528</v>
      </c>
      <c r="L3055" t="s">
        <v>80</v>
      </c>
      <c r="M3055" t="s">
        <v>73</v>
      </c>
      <c r="R3055" t="s">
        <v>12529</v>
      </c>
      <c r="W3055" t="s">
        <v>12528</v>
      </c>
      <c r="X3055" t="s">
        <v>12530</v>
      </c>
      <c r="Y3055" t="s">
        <v>91</v>
      </c>
      <c r="Z3055" t="s">
        <v>74</v>
      </c>
      <c r="AA3055" t="str">
        <f>"10065-4870"</f>
        <v>10065-4870</v>
      </c>
      <c r="AB3055" t="s">
        <v>75</v>
      </c>
      <c r="AC3055" t="s">
        <v>76</v>
      </c>
      <c r="AD3055" t="s">
        <v>73</v>
      </c>
      <c r="AE3055" t="s">
        <v>77</v>
      </c>
      <c r="AF3055" t="s">
        <v>2242</v>
      </c>
      <c r="AG3055" t="s">
        <v>78</v>
      </c>
    </row>
    <row r="3056" spans="1:33" hidden="1" x14ac:dyDescent="0.25">
      <c r="A3056" t="str">
        <f>"1083751895"</f>
        <v>1083751895</v>
      </c>
      <c r="B3056" t="str">
        <f>"03077709"</f>
        <v>03077709</v>
      </c>
      <c r="C3056" t="s">
        <v>12531</v>
      </c>
      <c r="D3056" t="s">
        <v>12532</v>
      </c>
      <c r="E3056" t="s">
        <v>12533</v>
      </c>
      <c r="G3056" t="s">
        <v>2224</v>
      </c>
      <c r="H3056" t="s">
        <v>2225</v>
      </c>
      <c r="J3056" t="s">
        <v>2226</v>
      </c>
      <c r="L3056" t="s">
        <v>72</v>
      </c>
      <c r="M3056" t="s">
        <v>73</v>
      </c>
      <c r="R3056" t="s">
        <v>12534</v>
      </c>
      <c r="W3056" t="s">
        <v>12533</v>
      </c>
      <c r="X3056" t="s">
        <v>12535</v>
      </c>
      <c r="Y3056" t="s">
        <v>91</v>
      </c>
      <c r="Z3056" t="s">
        <v>74</v>
      </c>
      <c r="AA3056" t="str">
        <f>"10032-3724"</f>
        <v>10032-3724</v>
      </c>
      <c r="AB3056" t="s">
        <v>75</v>
      </c>
      <c r="AC3056" t="s">
        <v>76</v>
      </c>
      <c r="AD3056" t="s">
        <v>73</v>
      </c>
      <c r="AE3056" t="s">
        <v>77</v>
      </c>
      <c r="AF3056" t="s">
        <v>2234</v>
      </c>
      <c r="AG3056" t="s">
        <v>78</v>
      </c>
    </row>
    <row r="3057" spans="1:33" hidden="1" x14ac:dyDescent="0.25">
      <c r="A3057" t="str">
        <f>"1083778559"</f>
        <v>1083778559</v>
      </c>
      <c r="B3057" t="str">
        <f>"00776009"</f>
        <v>00776009</v>
      </c>
      <c r="C3057" t="s">
        <v>12536</v>
      </c>
      <c r="D3057" t="s">
        <v>12537</v>
      </c>
      <c r="E3057" t="s">
        <v>12538</v>
      </c>
      <c r="G3057" t="s">
        <v>2224</v>
      </c>
      <c r="H3057" t="s">
        <v>2225</v>
      </c>
      <c r="J3057" t="s">
        <v>2226</v>
      </c>
      <c r="L3057" t="s">
        <v>72</v>
      </c>
      <c r="M3057" t="s">
        <v>73</v>
      </c>
      <c r="R3057" t="s">
        <v>12539</v>
      </c>
      <c r="W3057" t="s">
        <v>12538</v>
      </c>
      <c r="X3057" t="s">
        <v>12540</v>
      </c>
      <c r="Y3057" t="s">
        <v>1549</v>
      </c>
      <c r="Z3057" t="s">
        <v>1550</v>
      </c>
      <c r="AA3057" t="str">
        <f>"20007-4856"</f>
        <v>20007-4856</v>
      </c>
      <c r="AB3057" t="s">
        <v>75</v>
      </c>
      <c r="AC3057" t="s">
        <v>76</v>
      </c>
      <c r="AD3057" t="s">
        <v>73</v>
      </c>
      <c r="AE3057" t="s">
        <v>77</v>
      </c>
      <c r="AF3057" t="s">
        <v>2228</v>
      </c>
      <c r="AG3057" t="s">
        <v>78</v>
      </c>
    </row>
    <row r="3058" spans="1:33" hidden="1" x14ac:dyDescent="0.25">
      <c r="A3058" t="str">
        <f>"1134377500"</f>
        <v>1134377500</v>
      </c>
      <c r="C3058" t="s">
        <v>12541</v>
      </c>
      <c r="G3058" t="s">
        <v>2224</v>
      </c>
      <c r="H3058" t="s">
        <v>2312</v>
      </c>
      <c r="J3058" t="s">
        <v>2226</v>
      </c>
      <c r="K3058" t="s">
        <v>171</v>
      </c>
      <c r="L3058" t="s">
        <v>72</v>
      </c>
      <c r="M3058" t="s">
        <v>73</v>
      </c>
      <c r="R3058" t="s">
        <v>12542</v>
      </c>
      <c r="S3058" t="s">
        <v>167</v>
      </c>
      <c r="T3058" t="s">
        <v>91</v>
      </c>
      <c r="U3058" t="s">
        <v>74</v>
      </c>
      <c r="V3058" t="str">
        <f>"100323720"</f>
        <v>100323720</v>
      </c>
      <c r="AC3058" t="s">
        <v>76</v>
      </c>
      <c r="AD3058" t="s">
        <v>73</v>
      </c>
      <c r="AE3058" t="s">
        <v>97</v>
      </c>
      <c r="AF3058" t="s">
        <v>2228</v>
      </c>
      <c r="AG3058" t="s">
        <v>78</v>
      </c>
    </row>
    <row r="3059" spans="1:33" hidden="1" x14ac:dyDescent="0.25">
      <c r="A3059" t="str">
        <f>"1861801235"</f>
        <v>1861801235</v>
      </c>
      <c r="B3059" t="str">
        <f>"04000726"</f>
        <v>04000726</v>
      </c>
      <c r="C3059" t="s">
        <v>12543</v>
      </c>
      <c r="D3059" t="s">
        <v>12544</v>
      </c>
      <c r="E3059" t="s">
        <v>12545</v>
      </c>
      <c r="G3059" t="s">
        <v>2224</v>
      </c>
      <c r="H3059" t="s">
        <v>2312</v>
      </c>
      <c r="J3059" t="s">
        <v>2226</v>
      </c>
      <c r="L3059" t="s">
        <v>72</v>
      </c>
      <c r="M3059" t="s">
        <v>73</v>
      </c>
      <c r="R3059" t="s">
        <v>12546</v>
      </c>
      <c r="W3059" t="s">
        <v>12545</v>
      </c>
      <c r="X3059" t="s">
        <v>167</v>
      </c>
      <c r="Y3059" t="s">
        <v>91</v>
      </c>
      <c r="Z3059" t="s">
        <v>74</v>
      </c>
      <c r="AA3059" t="str">
        <f>"10032-3720"</f>
        <v>10032-3720</v>
      </c>
      <c r="AB3059" t="s">
        <v>75</v>
      </c>
      <c r="AC3059" t="s">
        <v>76</v>
      </c>
      <c r="AD3059" t="s">
        <v>73</v>
      </c>
      <c r="AE3059" t="s">
        <v>77</v>
      </c>
      <c r="AF3059" t="s">
        <v>2228</v>
      </c>
      <c r="AG3059" t="s">
        <v>78</v>
      </c>
    </row>
    <row r="3060" spans="1:33" hidden="1" x14ac:dyDescent="0.25">
      <c r="C3060" t="s">
        <v>12547</v>
      </c>
      <c r="G3060" t="s">
        <v>2224</v>
      </c>
      <c r="H3060" t="s">
        <v>2225</v>
      </c>
      <c r="J3060" t="s">
        <v>2226</v>
      </c>
      <c r="K3060" t="s">
        <v>93</v>
      </c>
      <c r="L3060" t="s">
        <v>94</v>
      </c>
      <c r="M3060" t="s">
        <v>73</v>
      </c>
      <c r="N3060" t="s">
        <v>7187</v>
      </c>
      <c r="O3060" t="s">
        <v>475</v>
      </c>
      <c r="P3060" t="s">
        <v>74</v>
      </c>
      <c r="Q3060" t="str">
        <f>"10021"</f>
        <v>10021</v>
      </c>
      <c r="AC3060" t="s">
        <v>76</v>
      </c>
      <c r="AD3060" t="s">
        <v>73</v>
      </c>
      <c r="AE3060" t="s">
        <v>95</v>
      </c>
      <c r="AF3060" t="s">
        <v>2234</v>
      </c>
      <c r="AG3060" t="s">
        <v>78</v>
      </c>
    </row>
    <row r="3061" spans="1:33" hidden="1" x14ac:dyDescent="0.25">
      <c r="A3061" t="str">
        <f>"1558673079"</f>
        <v>1558673079</v>
      </c>
      <c r="B3061" t="str">
        <f>"03285696"</f>
        <v>03285696</v>
      </c>
      <c r="C3061" t="s">
        <v>12548</v>
      </c>
      <c r="D3061" t="s">
        <v>12549</v>
      </c>
      <c r="E3061" t="s">
        <v>12550</v>
      </c>
      <c r="G3061" t="s">
        <v>2224</v>
      </c>
      <c r="H3061" t="s">
        <v>2225</v>
      </c>
      <c r="J3061" t="s">
        <v>2226</v>
      </c>
      <c r="L3061" t="s">
        <v>72</v>
      </c>
      <c r="M3061" t="s">
        <v>73</v>
      </c>
      <c r="R3061" t="s">
        <v>12550</v>
      </c>
      <c r="W3061" t="s">
        <v>12550</v>
      </c>
      <c r="X3061" t="s">
        <v>7790</v>
      </c>
      <c r="Y3061" t="s">
        <v>91</v>
      </c>
      <c r="Z3061" t="s">
        <v>74</v>
      </c>
      <c r="AA3061" t="str">
        <f>"10021-0000"</f>
        <v>10021-0000</v>
      </c>
      <c r="AB3061" t="s">
        <v>106</v>
      </c>
      <c r="AC3061" t="s">
        <v>76</v>
      </c>
      <c r="AD3061" t="s">
        <v>73</v>
      </c>
      <c r="AE3061" t="s">
        <v>77</v>
      </c>
      <c r="AF3061" t="s">
        <v>2398</v>
      </c>
      <c r="AG3061" t="s">
        <v>78</v>
      </c>
    </row>
    <row r="3062" spans="1:33" hidden="1" x14ac:dyDescent="0.25">
      <c r="A3062" t="str">
        <f>"1881922821"</f>
        <v>1881922821</v>
      </c>
      <c r="B3062" t="str">
        <f>"03545071"</f>
        <v>03545071</v>
      </c>
      <c r="C3062" t="s">
        <v>12551</v>
      </c>
      <c r="D3062" t="s">
        <v>12552</v>
      </c>
      <c r="E3062" t="s">
        <v>12553</v>
      </c>
      <c r="G3062" t="s">
        <v>2224</v>
      </c>
      <c r="H3062" t="s">
        <v>2225</v>
      </c>
      <c r="J3062" t="s">
        <v>2226</v>
      </c>
      <c r="L3062" t="s">
        <v>72</v>
      </c>
      <c r="M3062" t="s">
        <v>73</v>
      </c>
      <c r="R3062" t="s">
        <v>12554</v>
      </c>
      <c r="W3062" t="s">
        <v>12553</v>
      </c>
      <c r="X3062" t="s">
        <v>1958</v>
      </c>
      <c r="Y3062" t="s">
        <v>91</v>
      </c>
      <c r="Z3062" t="s">
        <v>74</v>
      </c>
      <c r="AA3062" t="str">
        <f>"10032-3722"</f>
        <v>10032-3722</v>
      </c>
      <c r="AB3062" t="s">
        <v>106</v>
      </c>
      <c r="AC3062" t="s">
        <v>76</v>
      </c>
      <c r="AD3062" t="s">
        <v>73</v>
      </c>
      <c r="AE3062" t="s">
        <v>77</v>
      </c>
      <c r="AF3062" t="s">
        <v>2254</v>
      </c>
      <c r="AG3062" t="s">
        <v>78</v>
      </c>
    </row>
    <row r="3063" spans="1:33" hidden="1" x14ac:dyDescent="0.25">
      <c r="A3063" t="str">
        <f>"1649489717"</f>
        <v>1649489717</v>
      </c>
      <c r="C3063" t="s">
        <v>12555</v>
      </c>
      <c r="G3063" t="s">
        <v>2224</v>
      </c>
      <c r="H3063" t="s">
        <v>2225</v>
      </c>
      <c r="J3063" t="s">
        <v>2226</v>
      </c>
      <c r="K3063" t="s">
        <v>93</v>
      </c>
      <c r="L3063" t="s">
        <v>96</v>
      </c>
      <c r="M3063" t="s">
        <v>73</v>
      </c>
      <c r="R3063" t="s">
        <v>12556</v>
      </c>
      <c r="S3063" t="s">
        <v>12557</v>
      </c>
      <c r="T3063" t="s">
        <v>91</v>
      </c>
      <c r="U3063" t="s">
        <v>74</v>
      </c>
      <c r="V3063" t="str">
        <f>"100323720"</f>
        <v>100323720</v>
      </c>
      <c r="AC3063" t="s">
        <v>76</v>
      </c>
      <c r="AD3063" t="s">
        <v>73</v>
      </c>
      <c r="AE3063" t="s">
        <v>97</v>
      </c>
      <c r="AF3063" t="s">
        <v>2234</v>
      </c>
      <c r="AG3063" t="s">
        <v>78</v>
      </c>
    </row>
    <row r="3064" spans="1:33" hidden="1" x14ac:dyDescent="0.25">
      <c r="A3064" t="str">
        <f>"1902080161"</f>
        <v>1902080161</v>
      </c>
      <c r="C3064" t="s">
        <v>12558</v>
      </c>
      <c r="G3064" t="s">
        <v>2224</v>
      </c>
      <c r="H3064" t="s">
        <v>2225</v>
      </c>
      <c r="J3064" t="s">
        <v>2226</v>
      </c>
      <c r="K3064" t="s">
        <v>93</v>
      </c>
      <c r="L3064" t="s">
        <v>96</v>
      </c>
      <c r="M3064" t="s">
        <v>73</v>
      </c>
      <c r="R3064" t="s">
        <v>12559</v>
      </c>
      <c r="S3064" t="s">
        <v>1617</v>
      </c>
      <c r="T3064" t="s">
        <v>91</v>
      </c>
      <c r="U3064" t="s">
        <v>74</v>
      </c>
      <c r="V3064" t="str">
        <f>"10029"</f>
        <v>10029</v>
      </c>
      <c r="AC3064" t="s">
        <v>76</v>
      </c>
      <c r="AD3064" t="s">
        <v>73</v>
      </c>
      <c r="AE3064" t="s">
        <v>97</v>
      </c>
      <c r="AF3064" t="s">
        <v>2234</v>
      </c>
      <c r="AG3064" t="s">
        <v>78</v>
      </c>
    </row>
    <row r="3065" spans="1:33" hidden="1" x14ac:dyDescent="0.25">
      <c r="A3065" t="str">
        <f>"1104106475"</f>
        <v>1104106475</v>
      </c>
      <c r="C3065" t="s">
        <v>12560</v>
      </c>
      <c r="G3065" t="s">
        <v>2224</v>
      </c>
      <c r="H3065" t="s">
        <v>2225</v>
      </c>
      <c r="J3065" t="s">
        <v>2226</v>
      </c>
      <c r="K3065" t="s">
        <v>93</v>
      </c>
      <c r="L3065" t="s">
        <v>96</v>
      </c>
      <c r="M3065" t="s">
        <v>73</v>
      </c>
      <c r="R3065" t="s">
        <v>12561</v>
      </c>
      <c r="S3065" t="s">
        <v>12562</v>
      </c>
      <c r="T3065" t="s">
        <v>91</v>
      </c>
      <c r="U3065" t="s">
        <v>74</v>
      </c>
      <c r="V3065" t="str">
        <f>"100215274"</f>
        <v>100215274</v>
      </c>
      <c r="AC3065" t="s">
        <v>76</v>
      </c>
      <c r="AD3065" t="s">
        <v>73</v>
      </c>
      <c r="AE3065" t="s">
        <v>97</v>
      </c>
      <c r="AF3065" t="s">
        <v>2234</v>
      </c>
      <c r="AG3065" t="s">
        <v>78</v>
      </c>
    </row>
    <row r="3066" spans="1:33" hidden="1" x14ac:dyDescent="0.25">
      <c r="A3066" t="str">
        <f>"1356684179"</f>
        <v>1356684179</v>
      </c>
      <c r="B3066" t="str">
        <f>"03687730"</f>
        <v>03687730</v>
      </c>
      <c r="C3066" t="s">
        <v>12563</v>
      </c>
      <c r="D3066" t="s">
        <v>12564</v>
      </c>
      <c r="E3066" t="s">
        <v>12565</v>
      </c>
      <c r="G3066" t="s">
        <v>2224</v>
      </c>
      <c r="H3066" t="s">
        <v>2225</v>
      </c>
      <c r="J3066" t="s">
        <v>2226</v>
      </c>
      <c r="L3066" t="s">
        <v>72</v>
      </c>
      <c r="M3066" t="s">
        <v>73</v>
      </c>
      <c r="R3066" t="s">
        <v>12566</v>
      </c>
      <c r="W3066" t="s">
        <v>12565</v>
      </c>
      <c r="X3066" t="s">
        <v>628</v>
      </c>
      <c r="Y3066" t="s">
        <v>91</v>
      </c>
      <c r="Z3066" t="s">
        <v>74</v>
      </c>
      <c r="AA3066" t="str">
        <f>"10021-4872"</f>
        <v>10021-4872</v>
      </c>
      <c r="AB3066" t="s">
        <v>106</v>
      </c>
      <c r="AC3066" t="s">
        <v>76</v>
      </c>
      <c r="AD3066" t="s">
        <v>73</v>
      </c>
      <c r="AE3066" t="s">
        <v>77</v>
      </c>
      <c r="AF3066" t="s">
        <v>2234</v>
      </c>
      <c r="AG3066" t="s">
        <v>78</v>
      </c>
    </row>
    <row r="3067" spans="1:33" hidden="1" x14ac:dyDescent="0.25">
      <c r="A3067" t="str">
        <f>"1518102490"</f>
        <v>1518102490</v>
      </c>
      <c r="B3067" t="str">
        <f>"03090131"</f>
        <v>03090131</v>
      </c>
      <c r="C3067" t="s">
        <v>12567</v>
      </c>
      <c r="D3067" t="s">
        <v>12568</v>
      </c>
      <c r="E3067" t="s">
        <v>12569</v>
      </c>
      <c r="G3067" t="s">
        <v>2224</v>
      </c>
      <c r="H3067" t="s">
        <v>2225</v>
      </c>
      <c r="J3067" t="s">
        <v>2226</v>
      </c>
      <c r="L3067" t="s">
        <v>100</v>
      </c>
      <c r="M3067" t="s">
        <v>73</v>
      </c>
      <c r="R3067" t="s">
        <v>12570</v>
      </c>
      <c r="W3067" t="s">
        <v>12569</v>
      </c>
      <c r="X3067" t="s">
        <v>277</v>
      </c>
      <c r="Y3067" t="s">
        <v>136</v>
      </c>
      <c r="Z3067" t="s">
        <v>74</v>
      </c>
      <c r="AA3067" t="str">
        <f>"11375-4914"</f>
        <v>11375-4914</v>
      </c>
      <c r="AB3067" t="s">
        <v>106</v>
      </c>
      <c r="AC3067" t="s">
        <v>76</v>
      </c>
      <c r="AD3067" t="s">
        <v>73</v>
      </c>
      <c r="AE3067" t="s">
        <v>77</v>
      </c>
      <c r="AF3067" t="s">
        <v>2234</v>
      </c>
      <c r="AG3067" t="s">
        <v>78</v>
      </c>
    </row>
    <row r="3068" spans="1:33" hidden="1" x14ac:dyDescent="0.25">
      <c r="A3068" t="str">
        <f>"1831476852"</f>
        <v>1831476852</v>
      </c>
      <c r="B3068" t="str">
        <f>"03690411"</f>
        <v>03690411</v>
      </c>
      <c r="C3068" t="s">
        <v>12571</v>
      </c>
      <c r="D3068" t="s">
        <v>12572</v>
      </c>
      <c r="E3068" t="s">
        <v>12573</v>
      </c>
      <c r="G3068" t="s">
        <v>2224</v>
      </c>
      <c r="H3068" t="s">
        <v>2225</v>
      </c>
      <c r="J3068" t="s">
        <v>2226</v>
      </c>
      <c r="L3068" t="s">
        <v>72</v>
      </c>
      <c r="M3068" t="s">
        <v>73</v>
      </c>
      <c r="R3068" t="s">
        <v>12574</v>
      </c>
      <c r="W3068" t="s">
        <v>12573</v>
      </c>
      <c r="X3068" t="s">
        <v>12575</v>
      </c>
      <c r="Y3068" t="s">
        <v>91</v>
      </c>
      <c r="Z3068" t="s">
        <v>74</v>
      </c>
      <c r="AA3068" t="str">
        <f>"10016-2708"</f>
        <v>10016-2708</v>
      </c>
      <c r="AB3068" t="s">
        <v>75</v>
      </c>
      <c r="AC3068" t="s">
        <v>76</v>
      </c>
      <c r="AD3068" t="s">
        <v>73</v>
      </c>
      <c r="AE3068" t="s">
        <v>77</v>
      </c>
      <c r="AF3068" t="s">
        <v>2242</v>
      </c>
      <c r="AG3068" t="s">
        <v>78</v>
      </c>
    </row>
    <row r="3069" spans="1:33" hidden="1" x14ac:dyDescent="0.25">
      <c r="A3069" t="str">
        <f>"1134180169"</f>
        <v>1134180169</v>
      </c>
      <c r="C3069" t="s">
        <v>12576</v>
      </c>
      <c r="G3069" t="s">
        <v>2224</v>
      </c>
      <c r="H3069" t="s">
        <v>2225</v>
      </c>
      <c r="J3069" t="s">
        <v>2226</v>
      </c>
      <c r="K3069" t="s">
        <v>93</v>
      </c>
      <c r="L3069" t="s">
        <v>96</v>
      </c>
      <c r="M3069" t="s">
        <v>73</v>
      </c>
      <c r="R3069" t="s">
        <v>12577</v>
      </c>
      <c r="S3069" t="s">
        <v>12578</v>
      </c>
      <c r="T3069" t="s">
        <v>91</v>
      </c>
      <c r="U3069" t="s">
        <v>74</v>
      </c>
      <c r="V3069" t="str">
        <f>"100323733"</f>
        <v>100323733</v>
      </c>
      <c r="AC3069" t="s">
        <v>76</v>
      </c>
      <c r="AD3069" t="s">
        <v>73</v>
      </c>
      <c r="AE3069" t="s">
        <v>97</v>
      </c>
      <c r="AF3069" t="s">
        <v>2234</v>
      </c>
      <c r="AG3069" t="s">
        <v>78</v>
      </c>
    </row>
    <row r="3070" spans="1:33" hidden="1" x14ac:dyDescent="0.25">
      <c r="A3070" t="str">
        <f>"1528249026"</f>
        <v>1528249026</v>
      </c>
      <c r="C3070" t="s">
        <v>12579</v>
      </c>
      <c r="G3070" t="s">
        <v>2224</v>
      </c>
      <c r="H3070" t="s">
        <v>2225</v>
      </c>
      <c r="J3070" t="s">
        <v>2226</v>
      </c>
      <c r="K3070" t="s">
        <v>93</v>
      </c>
      <c r="L3070" t="s">
        <v>72</v>
      </c>
      <c r="M3070" t="s">
        <v>73</v>
      </c>
      <c r="R3070" t="s">
        <v>12580</v>
      </c>
      <c r="S3070" t="s">
        <v>12581</v>
      </c>
      <c r="T3070" t="s">
        <v>91</v>
      </c>
      <c r="U3070" t="s">
        <v>74</v>
      </c>
      <c r="V3070" t="str">
        <f>"100654870"</f>
        <v>100654870</v>
      </c>
      <c r="AC3070" t="s">
        <v>76</v>
      </c>
      <c r="AD3070" t="s">
        <v>73</v>
      </c>
      <c r="AE3070" t="s">
        <v>97</v>
      </c>
      <c r="AF3070" t="s">
        <v>2234</v>
      </c>
      <c r="AG3070" t="s">
        <v>78</v>
      </c>
    </row>
    <row r="3071" spans="1:33" hidden="1" x14ac:dyDescent="0.25">
      <c r="A3071" t="str">
        <f>"1679654347"</f>
        <v>1679654347</v>
      </c>
      <c r="B3071" t="str">
        <f>"03266199"</f>
        <v>03266199</v>
      </c>
      <c r="C3071" t="s">
        <v>12582</v>
      </c>
      <c r="D3071" t="s">
        <v>12583</v>
      </c>
      <c r="E3071" t="s">
        <v>12584</v>
      </c>
      <c r="G3071" t="s">
        <v>2224</v>
      </c>
      <c r="H3071" t="s">
        <v>2225</v>
      </c>
      <c r="J3071" t="s">
        <v>2226</v>
      </c>
      <c r="L3071" t="s">
        <v>72</v>
      </c>
      <c r="M3071" t="s">
        <v>73</v>
      </c>
      <c r="R3071" t="s">
        <v>12585</v>
      </c>
      <c r="W3071" t="s">
        <v>12584</v>
      </c>
      <c r="X3071" t="s">
        <v>2018</v>
      </c>
      <c r="Y3071" t="s">
        <v>91</v>
      </c>
      <c r="Z3071" t="s">
        <v>74</v>
      </c>
      <c r="AA3071" t="str">
        <f>"10032"</f>
        <v>10032</v>
      </c>
      <c r="AB3071" t="s">
        <v>106</v>
      </c>
      <c r="AC3071" t="s">
        <v>76</v>
      </c>
      <c r="AD3071" t="s">
        <v>73</v>
      </c>
      <c r="AE3071" t="s">
        <v>77</v>
      </c>
      <c r="AF3071" t="s">
        <v>2234</v>
      </c>
      <c r="AG3071" t="s">
        <v>78</v>
      </c>
    </row>
    <row r="3072" spans="1:33" hidden="1" x14ac:dyDescent="0.25">
      <c r="A3072" t="str">
        <f>"1518294172"</f>
        <v>1518294172</v>
      </c>
      <c r="B3072" t="str">
        <f>"03173668"</f>
        <v>03173668</v>
      </c>
      <c r="C3072" t="s">
        <v>12586</v>
      </c>
      <c r="D3072" t="s">
        <v>12587</v>
      </c>
      <c r="E3072" t="s">
        <v>12588</v>
      </c>
      <c r="G3072" t="s">
        <v>2224</v>
      </c>
      <c r="H3072" t="s">
        <v>2225</v>
      </c>
      <c r="J3072" t="s">
        <v>2226</v>
      </c>
      <c r="L3072" t="s">
        <v>72</v>
      </c>
      <c r="M3072" t="s">
        <v>73</v>
      </c>
      <c r="R3072" t="s">
        <v>12588</v>
      </c>
      <c r="W3072" t="s">
        <v>12588</v>
      </c>
      <c r="X3072" t="s">
        <v>12589</v>
      </c>
      <c r="Y3072" t="s">
        <v>91</v>
      </c>
      <c r="Z3072" t="s">
        <v>74</v>
      </c>
      <c r="AA3072" t="str">
        <f>"10033"</f>
        <v>10033</v>
      </c>
      <c r="AB3072" t="s">
        <v>106</v>
      </c>
      <c r="AC3072" t="s">
        <v>76</v>
      </c>
      <c r="AD3072" t="s">
        <v>73</v>
      </c>
      <c r="AE3072" t="s">
        <v>77</v>
      </c>
      <c r="AF3072" t="s">
        <v>2234</v>
      </c>
      <c r="AG3072" t="s">
        <v>78</v>
      </c>
    </row>
    <row r="3073" spans="1:33" hidden="1" x14ac:dyDescent="0.25">
      <c r="A3073" t="str">
        <f>"1326221383"</f>
        <v>1326221383</v>
      </c>
      <c r="B3073" t="str">
        <f>"03393991"</f>
        <v>03393991</v>
      </c>
      <c r="C3073" t="s">
        <v>12590</v>
      </c>
      <c r="D3073" t="s">
        <v>12591</v>
      </c>
      <c r="E3073" t="s">
        <v>12592</v>
      </c>
      <c r="G3073" t="s">
        <v>2224</v>
      </c>
      <c r="H3073" t="s">
        <v>2225</v>
      </c>
      <c r="J3073" t="s">
        <v>2226</v>
      </c>
      <c r="L3073" t="s">
        <v>72</v>
      </c>
      <c r="M3073" t="s">
        <v>73</v>
      </c>
      <c r="R3073" t="s">
        <v>12593</v>
      </c>
      <c r="W3073" t="s">
        <v>12592</v>
      </c>
      <c r="X3073" t="s">
        <v>7782</v>
      </c>
      <c r="Y3073" t="s">
        <v>91</v>
      </c>
      <c r="Z3073" t="s">
        <v>74</v>
      </c>
      <c r="AA3073" t="str">
        <f>"10033-5002"</f>
        <v>10033-5002</v>
      </c>
      <c r="AB3073" t="s">
        <v>75</v>
      </c>
      <c r="AC3073" t="s">
        <v>76</v>
      </c>
      <c r="AD3073" t="s">
        <v>73</v>
      </c>
      <c r="AE3073" t="s">
        <v>77</v>
      </c>
      <c r="AF3073" t="s">
        <v>2228</v>
      </c>
      <c r="AG3073" t="s">
        <v>78</v>
      </c>
    </row>
    <row r="3074" spans="1:33" hidden="1" x14ac:dyDescent="0.25">
      <c r="A3074" t="str">
        <f>"1992843080"</f>
        <v>1992843080</v>
      </c>
      <c r="B3074" t="str">
        <f>"03090228"</f>
        <v>03090228</v>
      </c>
      <c r="C3074" t="s">
        <v>12594</v>
      </c>
      <c r="D3074" t="s">
        <v>12595</v>
      </c>
      <c r="E3074" t="s">
        <v>12596</v>
      </c>
      <c r="G3074" t="s">
        <v>2224</v>
      </c>
      <c r="H3074" t="s">
        <v>2225</v>
      </c>
      <c r="J3074" t="s">
        <v>2226</v>
      </c>
      <c r="L3074" t="s">
        <v>96</v>
      </c>
      <c r="M3074" t="s">
        <v>73</v>
      </c>
      <c r="R3074" t="s">
        <v>12596</v>
      </c>
      <c r="W3074" t="s">
        <v>12596</v>
      </c>
      <c r="X3074" t="s">
        <v>12597</v>
      </c>
      <c r="Y3074" t="s">
        <v>91</v>
      </c>
      <c r="Z3074" t="s">
        <v>74</v>
      </c>
      <c r="AA3074" t="str">
        <f>"10021"</f>
        <v>10021</v>
      </c>
      <c r="AB3074" t="s">
        <v>106</v>
      </c>
      <c r="AC3074" t="s">
        <v>76</v>
      </c>
      <c r="AD3074" t="s">
        <v>73</v>
      </c>
      <c r="AE3074" t="s">
        <v>77</v>
      </c>
      <c r="AF3074" t="s">
        <v>2242</v>
      </c>
      <c r="AG3074" t="s">
        <v>78</v>
      </c>
    </row>
    <row r="3075" spans="1:33" hidden="1" x14ac:dyDescent="0.25">
      <c r="A3075" t="str">
        <f>"1811132590"</f>
        <v>1811132590</v>
      </c>
      <c r="B3075" t="str">
        <f>"03090113"</f>
        <v>03090113</v>
      </c>
      <c r="C3075" t="s">
        <v>12598</v>
      </c>
      <c r="D3075" t="s">
        <v>12599</v>
      </c>
      <c r="E3075" t="s">
        <v>12600</v>
      </c>
      <c r="G3075" t="s">
        <v>2224</v>
      </c>
      <c r="H3075" t="s">
        <v>2225</v>
      </c>
      <c r="J3075" t="s">
        <v>2226</v>
      </c>
      <c r="L3075" t="s">
        <v>72</v>
      </c>
      <c r="M3075" t="s">
        <v>73</v>
      </c>
      <c r="R3075" t="s">
        <v>12601</v>
      </c>
      <c r="W3075" t="s">
        <v>12600</v>
      </c>
      <c r="X3075" t="s">
        <v>628</v>
      </c>
      <c r="Y3075" t="s">
        <v>91</v>
      </c>
      <c r="Z3075" t="s">
        <v>74</v>
      </c>
      <c r="AA3075" t="str">
        <f>"10021-4872"</f>
        <v>10021-4872</v>
      </c>
      <c r="AB3075" t="s">
        <v>106</v>
      </c>
      <c r="AC3075" t="s">
        <v>76</v>
      </c>
      <c r="AD3075" t="s">
        <v>73</v>
      </c>
      <c r="AE3075" t="s">
        <v>77</v>
      </c>
      <c r="AF3075" t="s">
        <v>2234</v>
      </c>
      <c r="AG3075" t="s">
        <v>78</v>
      </c>
    </row>
    <row r="3076" spans="1:33" hidden="1" x14ac:dyDescent="0.25">
      <c r="A3076" t="str">
        <f>"1992017404"</f>
        <v>1992017404</v>
      </c>
      <c r="B3076" t="str">
        <f>"03285545"</f>
        <v>03285545</v>
      </c>
      <c r="C3076" t="s">
        <v>12602</v>
      </c>
      <c r="D3076" t="s">
        <v>12603</v>
      </c>
      <c r="E3076" t="s">
        <v>12604</v>
      </c>
      <c r="G3076" t="s">
        <v>2224</v>
      </c>
      <c r="H3076" t="s">
        <v>2225</v>
      </c>
      <c r="J3076" t="s">
        <v>2226</v>
      </c>
      <c r="L3076" t="s">
        <v>96</v>
      </c>
      <c r="M3076" t="s">
        <v>73</v>
      </c>
      <c r="R3076" t="s">
        <v>12605</v>
      </c>
      <c r="W3076" t="s">
        <v>12606</v>
      </c>
      <c r="X3076" t="s">
        <v>2131</v>
      </c>
      <c r="Y3076" t="s">
        <v>91</v>
      </c>
      <c r="Z3076" t="s">
        <v>74</v>
      </c>
      <c r="AA3076" t="str">
        <f>"10010-4237"</f>
        <v>10010-4237</v>
      </c>
      <c r="AB3076" t="s">
        <v>106</v>
      </c>
      <c r="AC3076" t="s">
        <v>76</v>
      </c>
      <c r="AD3076" t="s">
        <v>73</v>
      </c>
      <c r="AE3076" t="s">
        <v>77</v>
      </c>
      <c r="AF3076" t="s">
        <v>2234</v>
      </c>
      <c r="AG3076" t="s">
        <v>78</v>
      </c>
    </row>
    <row r="3077" spans="1:33" hidden="1" x14ac:dyDescent="0.25">
      <c r="A3077" t="str">
        <f>"1639389885"</f>
        <v>1639389885</v>
      </c>
      <c r="B3077" t="str">
        <f>"01855572"</f>
        <v>01855572</v>
      </c>
      <c r="C3077" t="s">
        <v>12607</v>
      </c>
      <c r="D3077" t="s">
        <v>12608</v>
      </c>
      <c r="E3077" t="s">
        <v>12609</v>
      </c>
      <c r="G3077" t="s">
        <v>2224</v>
      </c>
      <c r="H3077" t="s">
        <v>2225</v>
      </c>
      <c r="J3077" t="s">
        <v>2226</v>
      </c>
      <c r="L3077" t="s">
        <v>80</v>
      </c>
      <c r="M3077" t="s">
        <v>82</v>
      </c>
      <c r="R3077" t="s">
        <v>12610</v>
      </c>
      <c r="W3077" t="s">
        <v>12609</v>
      </c>
      <c r="X3077" t="s">
        <v>12611</v>
      </c>
      <c r="Y3077" t="s">
        <v>91</v>
      </c>
      <c r="Z3077" t="s">
        <v>74</v>
      </c>
      <c r="AA3077" t="str">
        <f>"10040-3501"</f>
        <v>10040-3501</v>
      </c>
      <c r="AB3077" t="s">
        <v>107</v>
      </c>
      <c r="AC3077" t="s">
        <v>76</v>
      </c>
      <c r="AD3077" t="s">
        <v>73</v>
      </c>
      <c r="AE3077" t="s">
        <v>77</v>
      </c>
      <c r="AF3077" t="s">
        <v>2228</v>
      </c>
      <c r="AG3077" t="s">
        <v>78</v>
      </c>
    </row>
    <row r="3078" spans="1:33" hidden="1" x14ac:dyDescent="0.25">
      <c r="A3078" t="str">
        <f>"1013035328"</f>
        <v>1013035328</v>
      </c>
      <c r="B3078" t="str">
        <f>"03099832"</f>
        <v>03099832</v>
      </c>
      <c r="C3078" t="s">
        <v>12612</v>
      </c>
      <c r="D3078" t="s">
        <v>12613</v>
      </c>
      <c r="E3078" t="s">
        <v>12614</v>
      </c>
      <c r="G3078" t="s">
        <v>2224</v>
      </c>
      <c r="H3078" t="s">
        <v>2225</v>
      </c>
      <c r="J3078" t="s">
        <v>2226</v>
      </c>
      <c r="L3078" t="s">
        <v>72</v>
      </c>
      <c r="M3078" t="s">
        <v>73</v>
      </c>
      <c r="R3078" t="s">
        <v>12614</v>
      </c>
      <c r="W3078" t="s">
        <v>12614</v>
      </c>
      <c r="X3078" t="s">
        <v>3407</v>
      </c>
      <c r="Y3078" t="s">
        <v>91</v>
      </c>
      <c r="Z3078" t="s">
        <v>74</v>
      </c>
      <c r="AA3078" t="str">
        <f>"10032-3720"</f>
        <v>10032-3720</v>
      </c>
      <c r="AB3078" t="s">
        <v>106</v>
      </c>
      <c r="AC3078" t="s">
        <v>76</v>
      </c>
      <c r="AD3078" t="s">
        <v>73</v>
      </c>
      <c r="AE3078" t="s">
        <v>77</v>
      </c>
      <c r="AF3078" t="s">
        <v>2234</v>
      </c>
      <c r="AG3078" t="s">
        <v>78</v>
      </c>
    </row>
    <row r="3079" spans="1:33" hidden="1" x14ac:dyDescent="0.25">
      <c r="A3079" t="str">
        <f>"1194026609"</f>
        <v>1194026609</v>
      </c>
      <c r="B3079" t="str">
        <f>"03535426"</f>
        <v>03535426</v>
      </c>
      <c r="C3079" t="s">
        <v>12615</v>
      </c>
      <c r="D3079" t="s">
        <v>12616</v>
      </c>
      <c r="E3079" t="s">
        <v>12617</v>
      </c>
      <c r="G3079" t="s">
        <v>2224</v>
      </c>
      <c r="H3079" t="s">
        <v>2225</v>
      </c>
      <c r="J3079" t="s">
        <v>2226</v>
      </c>
      <c r="L3079" t="s">
        <v>72</v>
      </c>
      <c r="M3079" t="s">
        <v>73</v>
      </c>
      <c r="R3079" t="s">
        <v>12618</v>
      </c>
      <c r="W3079" t="s">
        <v>12617</v>
      </c>
      <c r="X3079" t="s">
        <v>12619</v>
      </c>
      <c r="Y3079" t="s">
        <v>91</v>
      </c>
      <c r="Z3079" t="s">
        <v>74</v>
      </c>
      <c r="AA3079" t="str">
        <f>"10021-0000"</f>
        <v>10021-0000</v>
      </c>
      <c r="AB3079" t="s">
        <v>106</v>
      </c>
      <c r="AC3079" t="s">
        <v>76</v>
      </c>
      <c r="AD3079" t="s">
        <v>73</v>
      </c>
      <c r="AE3079" t="s">
        <v>77</v>
      </c>
      <c r="AF3079" t="s">
        <v>2234</v>
      </c>
      <c r="AG3079" t="s">
        <v>78</v>
      </c>
    </row>
    <row r="3080" spans="1:33" hidden="1" x14ac:dyDescent="0.25">
      <c r="A3080" t="str">
        <f>"1831443886"</f>
        <v>1831443886</v>
      </c>
      <c r="B3080" t="str">
        <f>"03853858"</f>
        <v>03853858</v>
      </c>
      <c r="C3080" t="s">
        <v>12620</v>
      </c>
      <c r="D3080" t="s">
        <v>12621</v>
      </c>
      <c r="E3080" t="s">
        <v>12622</v>
      </c>
      <c r="G3080" t="s">
        <v>2224</v>
      </c>
      <c r="H3080" t="s">
        <v>2225</v>
      </c>
      <c r="J3080" t="s">
        <v>2226</v>
      </c>
      <c r="L3080" t="s">
        <v>96</v>
      </c>
      <c r="M3080" t="s">
        <v>73</v>
      </c>
      <c r="R3080" t="s">
        <v>12623</v>
      </c>
      <c r="W3080" t="s">
        <v>12622</v>
      </c>
      <c r="X3080" t="s">
        <v>170</v>
      </c>
      <c r="Y3080" t="s">
        <v>91</v>
      </c>
      <c r="Z3080" t="s">
        <v>74</v>
      </c>
      <c r="AA3080" t="str">
        <f>"10065-4870"</f>
        <v>10065-4870</v>
      </c>
      <c r="AB3080" t="s">
        <v>106</v>
      </c>
      <c r="AC3080" t="s">
        <v>76</v>
      </c>
      <c r="AD3080" t="s">
        <v>73</v>
      </c>
      <c r="AE3080" t="s">
        <v>77</v>
      </c>
      <c r="AF3080" t="s">
        <v>2234</v>
      </c>
      <c r="AG3080" t="s">
        <v>78</v>
      </c>
    </row>
    <row r="3081" spans="1:33" hidden="1" x14ac:dyDescent="0.25">
      <c r="A3081" t="str">
        <f>"1003933771"</f>
        <v>1003933771</v>
      </c>
      <c r="B3081" t="str">
        <f>"02550883"</f>
        <v>02550883</v>
      </c>
      <c r="C3081" t="s">
        <v>12624</v>
      </c>
      <c r="D3081" t="s">
        <v>12625</v>
      </c>
      <c r="E3081" t="s">
        <v>12626</v>
      </c>
      <c r="G3081" t="s">
        <v>2224</v>
      </c>
      <c r="H3081" t="s">
        <v>2225</v>
      </c>
      <c r="J3081" t="s">
        <v>2226</v>
      </c>
      <c r="L3081" t="s">
        <v>72</v>
      </c>
      <c r="M3081" t="s">
        <v>73</v>
      </c>
      <c r="R3081" t="s">
        <v>12627</v>
      </c>
      <c r="W3081" t="s">
        <v>12626</v>
      </c>
      <c r="X3081" t="s">
        <v>12626</v>
      </c>
      <c r="Y3081" t="s">
        <v>91</v>
      </c>
      <c r="Z3081" t="s">
        <v>74</v>
      </c>
      <c r="AA3081" t="str">
        <f>"10032-3720"</f>
        <v>10032-3720</v>
      </c>
      <c r="AB3081" t="s">
        <v>75</v>
      </c>
      <c r="AC3081" t="s">
        <v>76</v>
      </c>
      <c r="AD3081" t="s">
        <v>73</v>
      </c>
      <c r="AE3081" t="s">
        <v>77</v>
      </c>
      <c r="AF3081" t="s">
        <v>2228</v>
      </c>
      <c r="AG3081" t="s">
        <v>78</v>
      </c>
    </row>
    <row r="3082" spans="1:33" hidden="1" x14ac:dyDescent="0.25">
      <c r="C3082" t="s">
        <v>12628</v>
      </c>
      <c r="G3082" t="s">
        <v>2224</v>
      </c>
      <c r="H3082" t="s">
        <v>2225</v>
      </c>
      <c r="J3082" t="s">
        <v>2226</v>
      </c>
      <c r="K3082" t="s">
        <v>93</v>
      </c>
      <c r="L3082" t="s">
        <v>94</v>
      </c>
      <c r="M3082" t="s">
        <v>73</v>
      </c>
      <c r="N3082" t="s">
        <v>7187</v>
      </c>
      <c r="O3082" t="s">
        <v>475</v>
      </c>
      <c r="P3082" t="s">
        <v>74</v>
      </c>
      <c r="Q3082" t="str">
        <f>"10021"</f>
        <v>10021</v>
      </c>
      <c r="AC3082" t="s">
        <v>76</v>
      </c>
      <c r="AD3082" t="s">
        <v>73</v>
      </c>
      <c r="AE3082" t="s">
        <v>95</v>
      </c>
      <c r="AF3082" t="s">
        <v>2234</v>
      </c>
      <c r="AG3082" t="s">
        <v>78</v>
      </c>
    </row>
    <row r="3083" spans="1:33" hidden="1" x14ac:dyDescent="0.25">
      <c r="A3083" t="str">
        <f>"1437291614"</f>
        <v>1437291614</v>
      </c>
      <c r="B3083" t="str">
        <f>"02136670"</f>
        <v>02136670</v>
      </c>
      <c r="C3083" t="s">
        <v>12629</v>
      </c>
      <c r="D3083" t="s">
        <v>12630</v>
      </c>
      <c r="E3083" t="s">
        <v>12631</v>
      </c>
      <c r="G3083" t="s">
        <v>2224</v>
      </c>
      <c r="H3083" t="s">
        <v>2225</v>
      </c>
      <c r="J3083" t="s">
        <v>2226</v>
      </c>
      <c r="L3083" t="s">
        <v>72</v>
      </c>
      <c r="M3083" t="s">
        <v>82</v>
      </c>
      <c r="R3083" t="s">
        <v>12632</v>
      </c>
      <c r="W3083" t="s">
        <v>12631</v>
      </c>
      <c r="X3083" t="s">
        <v>12633</v>
      </c>
      <c r="Y3083" t="s">
        <v>91</v>
      </c>
      <c r="Z3083" t="s">
        <v>74</v>
      </c>
      <c r="AA3083" t="str">
        <f>"10027-2520"</f>
        <v>10027-2520</v>
      </c>
      <c r="AB3083" t="s">
        <v>107</v>
      </c>
      <c r="AC3083" t="s">
        <v>76</v>
      </c>
      <c r="AD3083" t="s">
        <v>73</v>
      </c>
      <c r="AE3083" t="s">
        <v>77</v>
      </c>
      <c r="AF3083" t="s">
        <v>2228</v>
      </c>
      <c r="AG3083" t="s">
        <v>78</v>
      </c>
    </row>
    <row r="3084" spans="1:33" hidden="1" x14ac:dyDescent="0.25">
      <c r="A3084" t="str">
        <f>"1144466046"</f>
        <v>1144466046</v>
      </c>
      <c r="B3084" t="str">
        <f>"03090351"</f>
        <v>03090351</v>
      </c>
      <c r="C3084" t="s">
        <v>12634</v>
      </c>
      <c r="D3084" t="s">
        <v>12635</v>
      </c>
      <c r="E3084" t="s">
        <v>12636</v>
      </c>
      <c r="G3084" t="s">
        <v>2224</v>
      </c>
      <c r="H3084" t="s">
        <v>2225</v>
      </c>
      <c r="J3084" t="s">
        <v>2226</v>
      </c>
      <c r="L3084" t="s">
        <v>72</v>
      </c>
      <c r="M3084" t="s">
        <v>73</v>
      </c>
      <c r="R3084" t="s">
        <v>12637</v>
      </c>
      <c r="W3084" t="s">
        <v>12636</v>
      </c>
      <c r="X3084" t="s">
        <v>170</v>
      </c>
      <c r="Y3084" t="s">
        <v>91</v>
      </c>
      <c r="Z3084" t="s">
        <v>74</v>
      </c>
      <c r="AA3084" t="str">
        <f>"10065-4870"</f>
        <v>10065-4870</v>
      </c>
      <c r="AB3084" t="s">
        <v>106</v>
      </c>
      <c r="AC3084" t="s">
        <v>76</v>
      </c>
      <c r="AD3084" t="s">
        <v>73</v>
      </c>
      <c r="AE3084" t="s">
        <v>77</v>
      </c>
      <c r="AF3084" t="s">
        <v>2234</v>
      </c>
      <c r="AG3084" t="s">
        <v>78</v>
      </c>
    </row>
    <row r="3085" spans="1:33" hidden="1" x14ac:dyDescent="0.25">
      <c r="A3085" t="str">
        <f>"1811016710"</f>
        <v>1811016710</v>
      </c>
      <c r="C3085" t="s">
        <v>12638</v>
      </c>
      <c r="G3085" t="s">
        <v>2224</v>
      </c>
      <c r="H3085" t="s">
        <v>2225</v>
      </c>
      <c r="J3085" t="s">
        <v>2226</v>
      </c>
      <c r="K3085" t="s">
        <v>93</v>
      </c>
      <c r="L3085" t="s">
        <v>72</v>
      </c>
      <c r="M3085" t="s">
        <v>73</v>
      </c>
      <c r="R3085" t="s">
        <v>12639</v>
      </c>
      <c r="S3085" t="s">
        <v>12640</v>
      </c>
      <c r="T3085" t="s">
        <v>91</v>
      </c>
      <c r="U3085" t="s">
        <v>74</v>
      </c>
      <c r="V3085" t="str">
        <f>"100323733"</f>
        <v>100323733</v>
      </c>
      <c r="AC3085" t="s">
        <v>76</v>
      </c>
      <c r="AD3085" t="s">
        <v>73</v>
      </c>
      <c r="AE3085" t="s">
        <v>97</v>
      </c>
      <c r="AF3085" t="s">
        <v>2228</v>
      </c>
      <c r="AG3085" t="s">
        <v>78</v>
      </c>
    </row>
    <row r="3086" spans="1:33" hidden="1" x14ac:dyDescent="0.25">
      <c r="A3086" t="str">
        <f>"1447466131"</f>
        <v>1447466131</v>
      </c>
      <c r="B3086" t="str">
        <f>"01628440"</f>
        <v>01628440</v>
      </c>
      <c r="C3086" t="s">
        <v>12641</v>
      </c>
      <c r="D3086" t="s">
        <v>12642</v>
      </c>
      <c r="E3086" t="s">
        <v>12643</v>
      </c>
      <c r="G3086" t="s">
        <v>2224</v>
      </c>
      <c r="H3086" t="s">
        <v>2225</v>
      </c>
      <c r="J3086" t="s">
        <v>2226</v>
      </c>
      <c r="L3086" t="s">
        <v>72</v>
      </c>
      <c r="M3086" t="s">
        <v>73</v>
      </c>
      <c r="R3086" t="s">
        <v>12644</v>
      </c>
      <c r="W3086" t="s">
        <v>12643</v>
      </c>
      <c r="X3086" t="s">
        <v>1187</v>
      </c>
      <c r="Y3086" t="s">
        <v>121</v>
      </c>
      <c r="Z3086" t="s">
        <v>74</v>
      </c>
      <c r="AA3086" t="str">
        <f>"14201-2135"</f>
        <v>14201-2135</v>
      </c>
      <c r="AB3086" t="s">
        <v>75</v>
      </c>
      <c r="AC3086" t="s">
        <v>76</v>
      </c>
      <c r="AD3086" t="s">
        <v>73</v>
      </c>
      <c r="AE3086" t="s">
        <v>77</v>
      </c>
      <c r="AF3086" t="s">
        <v>2242</v>
      </c>
      <c r="AG3086" t="s">
        <v>78</v>
      </c>
    </row>
    <row r="3087" spans="1:33" hidden="1" x14ac:dyDescent="0.25">
      <c r="A3087" t="str">
        <f>"1972801991"</f>
        <v>1972801991</v>
      </c>
      <c r="B3087" t="str">
        <f>"03421914"</f>
        <v>03421914</v>
      </c>
      <c r="C3087" t="s">
        <v>12645</v>
      </c>
      <c r="D3087" t="s">
        <v>12646</v>
      </c>
      <c r="E3087" t="s">
        <v>12647</v>
      </c>
      <c r="G3087" t="s">
        <v>2224</v>
      </c>
      <c r="H3087" t="s">
        <v>2225</v>
      </c>
      <c r="J3087" t="s">
        <v>2226</v>
      </c>
      <c r="L3087" t="s">
        <v>100</v>
      </c>
      <c r="M3087" t="s">
        <v>73</v>
      </c>
      <c r="R3087" t="s">
        <v>12647</v>
      </c>
      <c r="W3087" t="s">
        <v>12648</v>
      </c>
      <c r="X3087" t="s">
        <v>170</v>
      </c>
      <c r="Y3087" t="s">
        <v>91</v>
      </c>
      <c r="Z3087" t="s">
        <v>74</v>
      </c>
      <c r="AA3087" t="str">
        <f>"10065-4870"</f>
        <v>10065-4870</v>
      </c>
      <c r="AB3087" t="s">
        <v>106</v>
      </c>
      <c r="AC3087" t="s">
        <v>76</v>
      </c>
      <c r="AD3087" t="s">
        <v>73</v>
      </c>
      <c r="AE3087" t="s">
        <v>77</v>
      </c>
      <c r="AF3087" t="s">
        <v>2234</v>
      </c>
      <c r="AG3087" t="s">
        <v>78</v>
      </c>
    </row>
    <row r="3088" spans="1:33" hidden="1" x14ac:dyDescent="0.25">
      <c r="A3088" t="str">
        <f>"1811137342"</f>
        <v>1811137342</v>
      </c>
      <c r="B3088" t="str">
        <f>"03099901"</f>
        <v>03099901</v>
      </c>
      <c r="C3088" t="s">
        <v>12649</v>
      </c>
      <c r="D3088" t="s">
        <v>12650</v>
      </c>
      <c r="E3088" t="s">
        <v>12651</v>
      </c>
      <c r="G3088" t="s">
        <v>2224</v>
      </c>
      <c r="H3088" t="s">
        <v>2225</v>
      </c>
      <c r="J3088" t="s">
        <v>2226</v>
      </c>
      <c r="L3088" t="s">
        <v>72</v>
      </c>
      <c r="M3088" t="s">
        <v>73</v>
      </c>
      <c r="R3088" t="s">
        <v>12652</v>
      </c>
      <c r="W3088" t="s">
        <v>12653</v>
      </c>
      <c r="X3088" t="s">
        <v>3433</v>
      </c>
      <c r="Y3088" t="s">
        <v>91</v>
      </c>
      <c r="Z3088" t="s">
        <v>74</v>
      </c>
      <c r="AA3088" t="str">
        <f>"10032-4220"</f>
        <v>10032-4220</v>
      </c>
      <c r="AB3088" t="s">
        <v>106</v>
      </c>
      <c r="AC3088" t="s">
        <v>76</v>
      </c>
      <c r="AD3088" t="s">
        <v>73</v>
      </c>
      <c r="AE3088" t="s">
        <v>77</v>
      </c>
      <c r="AF3088" t="s">
        <v>2234</v>
      </c>
      <c r="AG3088" t="s">
        <v>78</v>
      </c>
    </row>
    <row r="3089" spans="1:33" hidden="1" x14ac:dyDescent="0.25">
      <c r="C3089" t="s">
        <v>12654</v>
      </c>
      <c r="G3089" t="s">
        <v>2224</v>
      </c>
      <c r="H3089" t="s">
        <v>2225</v>
      </c>
      <c r="J3089" t="s">
        <v>2226</v>
      </c>
      <c r="K3089" t="s">
        <v>93</v>
      </c>
      <c r="L3089" t="s">
        <v>94</v>
      </c>
      <c r="M3089" t="s">
        <v>73</v>
      </c>
      <c r="N3089" t="s">
        <v>7187</v>
      </c>
      <c r="O3089" t="s">
        <v>475</v>
      </c>
      <c r="P3089" t="s">
        <v>74</v>
      </c>
      <c r="Q3089" t="str">
        <f>"10021"</f>
        <v>10021</v>
      </c>
      <c r="AC3089" t="s">
        <v>76</v>
      </c>
      <c r="AD3089" t="s">
        <v>73</v>
      </c>
      <c r="AE3089" t="s">
        <v>95</v>
      </c>
      <c r="AF3089" t="s">
        <v>2234</v>
      </c>
      <c r="AG3089" t="s">
        <v>78</v>
      </c>
    </row>
    <row r="3090" spans="1:33" hidden="1" x14ac:dyDescent="0.25">
      <c r="A3090" t="str">
        <f>"1801190608"</f>
        <v>1801190608</v>
      </c>
      <c r="C3090" t="s">
        <v>12655</v>
      </c>
      <c r="G3090" t="s">
        <v>2224</v>
      </c>
      <c r="H3090" t="s">
        <v>2225</v>
      </c>
      <c r="J3090" t="s">
        <v>2226</v>
      </c>
      <c r="K3090" t="s">
        <v>93</v>
      </c>
      <c r="L3090" t="s">
        <v>96</v>
      </c>
      <c r="M3090" t="s">
        <v>73</v>
      </c>
      <c r="R3090" t="s">
        <v>12656</v>
      </c>
      <c r="S3090" t="s">
        <v>12657</v>
      </c>
      <c r="T3090" t="s">
        <v>91</v>
      </c>
      <c r="U3090" t="s">
        <v>74</v>
      </c>
      <c r="V3090" t="str">
        <f>"100323720"</f>
        <v>100323720</v>
      </c>
      <c r="AC3090" t="s">
        <v>76</v>
      </c>
      <c r="AD3090" t="s">
        <v>73</v>
      </c>
      <c r="AE3090" t="s">
        <v>97</v>
      </c>
      <c r="AF3090" t="s">
        <v>2234</v>
      </c>
      <c r="AG3090" t="s">
        <v>78</v>
      </c>
    </row>
    <row r="3091" spans="1:33" hidden="1" x14ac:dyDescent="0.25">
      <c r="A3091" t="str">
        <f>"1528197449"</f>
        <v>1528197449</v>
      </c>
      <c r="B3091" t="str">
        <f>"03108078"</f>
        <v>03108078</v>
      </c>
      <c r="C3091" t="s">
        <v>12658</v>
      </c>
      <c r="D3091" t="s">
        <v>12659</v>
      </c>
      <c r="E3091" t="s">
        <v>12660</v>
      </c>
      <c r="G3091" t="s">
        <v>2224</v>
      </c>
      <c r="H3091" t="s">
        <v>2225</v>
      </c>
      <c r="J3091" t="s">
        <v>2226</v>
      </c>
      <c r="L3091" t="s">
        <v>72</v>
      </c>
      <c r="M3091" t="s">
        <v>73</v>
      </c>
      <c r="R3091" t="s">
        <v>12660</v>
      </c>
      <c r="W3091" t="s">
        <v>12661</v>
      </c>
      <c r="X3091" t="s">
        <v>4996</v>
      </c>
      <c r="Y3091" t="s">
        <v>91</v>
      </c>
      <c r="Z3091" t="s">
        <v>74</v>
      </c>
      <c r="AA3091" t="str">
        <f>"10031-8644"</f>
        <v>10031-8644</v>
      </c>
      <c r="AB3091" t="s">
        <v>106</v>
      </c>
      <c r="AC3091" t="s">
        <v>76</v>
      </c>
      <c r="AD3091" t="s">
        <v>73</v>
      </c>
      <c r="AE3091" t="s">
        <v>77</v>
      </c>
      <c r="AF3091" t="s">
        <v>2234</v>
      </c>
      <c r="AG3091" t="s">
        <v>78</v>
      </c>
    </row>
    <row r="3092" spans="1:33" hidden="1" x14ac:dyDescent="0.25">
      <c r="A3092" t="str">
        <f>"1679734941"</f>
        <v>1679734941</v>
      </c>
      <c r="B3092" t="str">
        <f>"03022093"</f>
        <v>03022093</v>
      </c>
      <c r="C3092" t="s">
        <v>12662</v>
      </c>
      <c r="D3092" t="s">
        <v>12663</v>
      </c>
      <c r="E3092" t="s">
        <v>12664</v>
      </c>
      <c r="G3092" t="s">
        <v>2224</v>
      </c>
      <c r="H3092" t="s">
        <v>2225</v>
      </c>
      <c r="J3092" t="s">
        <v>2226</v>
      </c>
      <c r="L3092" t="s">
        <v>81</v>
      </c>
      <c r="M3092" t="s">
        <v>73</v>
      </c>
      <c r="R3092" t="s">
        <v>12665</v>
      </c>
      <c r="W3092" t="s">
        <v>12666</v>
      </c>
      <c r="X3092" t="s">
        <v>1271</v>
      </c>
      <c r="Y3092" t="s">
        <v>388</v>
      </c>
      <c r="Z3092" t="s">
        <v>74</v>
      </c>
      <c r="AA3092" t="str">
        <f>"10532-1535"</f>
        <v>10532-1535</v>
      </c>
      <c r="AB3092" t="s">
        <v>75</v>
      </c>
      <c r="AC3092" t="s">
        <v>76</v>
      </c>
      <c r="AD3092" t="s">
        <v>73</v>
      </c>
      <c r="AE3092" t="s">
        <v>77</v>
      </c>
      <c r="AF3092" t="s">
        <v>2242</v>
      </c>
      <c r="AG3092" t="s">
        <v>78</v>
      </c>
    </row>
    <row r="3093" spans="1:33" hidden="1" x14ac:dyDescent="0.25">
      <c r="A3093" t="str">
        <f>"1750710471"</f>
        <v>1750710471</v>
      </c>
      <c r="C3093" t="s">
        <v>12667</v>
      </c>
      <c r="G3093" t="s">
        <v>2224</v>
      </c>
      <c r="H3093" t="s">
        <v>2225</v>
      </c>
      <c r="J3093" t="s">
        <v>2226</v>
      </c>
      <c r="K3093" t="s">
        <v>93</v>
      </c>
      <c r="L3093" t="s">
        <v>96</v>
      </c>
      <c r="M3093" t="s">
        <v>73</v>
      </c>
      <c r="R3093" t="s">
        <v>12668</v>
      </c>
      <c r="S3093" t="s">
        <v>167</v>
      </c>
      <c r="T3093" t="s">
        <v>91</v>
      </c>
      <c r="U3093" t="s">
        <v>74</v>
      </c>
      <c r="V3093" t="str">
        <f>"100323720"</f>
        <v>100323720</v>
      </c>
      <c r="AC3093" t="s">
        <v>76</v>
      </c>
      <c r="AD3093" t="s">
        <v>73</v>
      </c>
      <c r="AE3093" t="s">
        <v>97</v>
      </c>
      <c r="AF3093" t="s">
        <v>2234</v>
      </c>
      <c r="AG3093" t="s">
        <v>78</v>
      </c>
    </row>
    <row r="3094" spans="1:33" hidden="1" x14ac:dyDescent="0.25">
      <c r="A3094" t="str">
        <f>"1114165131"</f>
        <v>1114165131</v>
      </c>
      <c r="B3094" t="str">
        <f>"02454020"</f>
        <v>02454020</v>
      </c>
      <c r="C3094" t="s">
        <v>12669</v>
      </c>
      <c r="D3094" t="s">
        <v>12670</v>
      </c>
      <c r="E3094" t="s">
        <v>12671</v>
      </c>
      <c r="G3094" t="s">
        <v>2224</v>
      </c>
      <c r="H3094" t="s">
        <v>2225</v>
      </c>
      <c r="J3094" t="s">
        <v>2226</v>
      </c>
      <c r="L3094" t="s">
        <v>96</v>
      </c>
      <c r="M3094" t="s">
        <v>73</v>
      </c>
      <c r="R3094" t="s">
        <v>12672</v>
      </c>
      <c r="W3094" t="s">
        <v>12673</v>
      </c>
      <c r="X3094" t="s">
        <v>12674</v>
      </c>
      <c r="Y3094" t="s">
        <v>91</v>
      </c>
      <c r="Z3094" t="s">
        <v>74</v>
      </c>
      <c r="AA3094" t="str">
        <f>"10021-0000"</f>
        <v>10021-0000</v>
      </c>
      <c r="AB3094" t="s">
        <v>106</v>
      </c>
      <c r="AC3094" t="s">
        <v>76</v>
      </c>
      <c r="AD3094" t="s">
        <v>73</v>
      </c>
      <c r="AE3094" t="s">
        <v>77</v>
      </c>
      <c r="AF3094" t="s">
        <v>2234</v>
      </c>
      <c r="AG3094" t="s">
        <v>78</v>
      </c>
    </row>
    <row r="3095" spans="1:33" hidden="1" x14ac:dyDescent="0.25">
      <c r="A3095" t="str">
        <f>"1346497609"</f>
        <v>1346497609</v>
      </c>
      <c r="B3095" t="str">
        <f>"03174807"</f>
        <v>03174807</v>
      </c>
      <c r="C3095" t="s">
        <v>12675</v>
      </c>
      <c r="D3095" t="s">
        <v>12676</v>
      </c>
      <c r="E3095" t="s">
        <v>12677</v>
      </c>
      <c r="G3095" t="s">
        <v>2224</v>
      </c>
      <c r="H3095" t="s">
        <v>2225</v>
      </c>
      <c r="J3095" t="s">
        <v>2226</v>
      </c>
      <c r="L3095" t="s">
        <v>72</v>
      </c>
      <c r="M3095" t="s">
        <v>73</v>
      </c>
      <c r="R3095" t="s">
        <v>12677</v>
      </c>
      <c r="W3095" t="s">
        <v>12677</v>
      </c>
      <c r="X3095" t="s">
        <v>12678</v>
      </c>
      <c r="Y3095" t="s">
        <v>91</v>
      </c>
      <c r="Z3095" t="s">
        <v>74</v>
      </c>
      <c r="AA3095" t="str">
        <f>"10032-3722"</f>
        <v>10032-3722</v>
      </c>
      <c r="AB3095" t="s">
        <v>106</v>
      </c>
      <c r="AC3095" t="s">
        <v>76</v>
      </c>
      <c r="AD3095" t="s">
        <v>73</v>
      </c>
      <c r="AE3095" t="s">
        <v>77</v>
      </c>
      <c r="AF3095" t="s">
        <v>2234</v>
      </c>
      <c r="AG3095" t="s">
        <v>78</v>
      </c>
    </row>
    <row r="3096" spans="1:33" hidden="1" x14ac:dyDescent="0.25">
      <c r="A3096" t="str">
        <f>"1750716254"</f>
        <v>1750716254</v>
      </c>
      <c r="B3096" t="str">
        <f>"03924403"</f>
        <v>03924403</v>
      </c>
      <c r="C3096" t="s">
        <v>12679</v>
      </c>
      <c r="D3096" t="s">
        <v>12680</v>
      </c>
      <c r="E3096" t="s">
        <v>12681</v>
      </c>
      <c r="G3096" t="s">
        <v>2224</v>
      </c>
      <c r="H3096" t="s">
        <v>2225</v>
      </c>
      <c r="J3096" t="s">
        <v>2226</v>
      </c>
      <c r="L3096" t="s">
        <v>96</v>
      </c>
      <c r="M3096" t="s">
        <v>73</v>
      </c>
      <c r="R3096" t="s">
        <v>12681</v>
      </c>
      <c r="W3096" t="s">
        <v>12681</v>
      </c>
      <c r="X3096" t="s">
        <v>12682</v>
      </c>
      <c r="Y3096" t="s">
        <v>91</v>
      </c>
      <c r="Z3096" t="s">
        <v>74</v>
      </c>
      <c r="AA3096" t="str">
        <f>"10021"</f>
        <v>10021</v>
      </c>
      <c r="AB3096" t="s">
        <v>106</v>
      </c>
      <c r="AC3096" t="s">
        <v>76</v>
      </c>
      <c r="AD3096" t="s">
        <v>73</v>
      </c>
      <c r="AE3096" t="s">
        <v>77</v>
      </c>
      <c r="AF3096" t="s">
        <v>2234</v>
      </c>
      <c r="AG3096" t="s">
        <v>78</v>
      </c>
    </row>
    <row r="3097" spans="1:33" hidden="1" x14ac:dyDescent="0.25">
      <c r="A3097" t="str">
        <f>"1942690664"</f>
        <v>1942690664</v>
      </c>
      <c r="C3097" t="s">
        <v>12683</v>
      </c>
      <c r="G3097" t="s">
        <v>2224</v>
      </c>
      <c r="H3097" t="s">
        <v>2225</v>
      </c>
      <c r="J3097" t="s">
        <v>2226</v>
      </c>
      <c r="K3097" t="s">
        <v>93</v>
      </c>
      <c r="L3097" t="s">
        <v>96</v>
      </c>
      <c r="M3097" t="s">
        <v>73</v>
      </c>
      <c r="R3097" t="s">
        <v>12684</v>
      </c>
      <c r="S3097" t="s">
        <v>170</v>
      </c>
      <c r="T3097" t="s">
        <v>91</v>
      </c>
      <c r="U3097" t="s">
        <v>74</v>
      </c>
      <c r="V3097" t="str">
        <f>"100654870"</f>
        <v>100654870</v>
      </c>
      <c r="AC3097" t="s">
        <v>76</v>
      </c>
      <c r="AD3097" t="s">
        <v>73</v>
      </c>
      <c r="AE3097" t="s">
        <v>97</v>
      </c>
      <c r="AF3097" t="s">
        <v>2234</v>
      </c>
      <c r="AG3097" t="s">
        <v>78</v>
      </c>
    </row>
    <row r="3098" spans="1:33" hidden="1" x14ac:dyDescent="0.25">
      <c r="A3098" t="str">
        <f>"1346552882"</f>
        <v>1346552882</v>
      </c>
      <c r="B3098" t="str">
        <f>"03285572"</f>
        <v>03285572</v>
      </c>
      <c r="C3098" t="s">
        <v>12685</v>
      </c>
      <c r="D3098" t="s">
        <v>12686</v>
      </c>
      <c r="E3098" t="s">
        <v>12687</v>
      </c>
      <c r="G3098" t="s">
        <v>2224</v>
      </c>
      <c r="H3098" t="s">
        <v>2225</v>
      </c>
      <c r="J3098" t="s">
        <v>2226</v>
      </c>
      <c r="L3098" t="s">
        <v>96</v>
      </c>
      <c r="M3098" t="s">
        <v>73</v>
      </c>
      <c r="R3098" t="s">
        <v>12687</v>
      </c>
      <c r="W3098" t="s">
        <v>12688</v>
      </c>
      <c r="X3098" t="s">
        <v>2131</v>
      </c>
      <c r="Y3098" t="s">
        <v>91</v>
      </c>
      <c r="Z3098" t="s">
        <v>74</v>
      </c>
      <c r="AA3098" t="str">
        <f>"10010-4237"</f>
        <v>10010-4237</v>
      </c>
      <c r="AB3098" t="s">
        <v>106</v>
      </c>
      <c r="AC3098" t="s">
        <v>76</v>
      </c>
      <c r="AD3098" t="s">
        <v>73</v>
      </c>
      <c r="AE3098" t="s">
        <v>77</v>
      </c>
      <c r="AF3098" t="s">
        <v>2234</v>
      </c>
      <c r="AG3098" t="s">
        <v>78</v>
      </c>
    </row>
    <row r="3099" spans="1:33" hidden="1" x14ac:dyDescent="0.25">
      <c r="A3099" t="str">
        <f>"1326128596"</f>
        <v>1326128596</v>
      </c>
      <c r="B3099" t="str">
        <f>"00746387"</f>
        <v>00746387</v>
      </c>
      <c r="C3099" t="s">
        <v>12689</v>
      </c>
      <c r="D3099" t="s">
        <v>546</v>
      </c>
      <c r="E3099" t="s">
        <v>547</v>
      </c>
      <c r="G3099" t="s">
        <v>2224</v>
      </c>
      <c r="H3099" t="s">
        <v>2225</v>
      </c>
      <c r="J3099" t="s">
        <v>2226</v>
      </c>
      <c r="L3099" t="s">
        <v>80</v>
      </c>
      <c r="M3099" t="s">
        <v>73</v>
      </c>
      <c r="R3099" t="s">
        <v>545</v>
      </c>
      <c r="W3099" t="s">
        <v>548</v>
      </c>
      <c r="X3099" t="s">
        <v>549</v>
      </c>
      <c r="Y3099" t="s">
        <v>118</v>
      </c>
      <c r="Z3099" t="s">
        <v>74</v>
      </c>
      <c r="AA3099" t="str">
        <f>"10462-3709"</f>
        <v>10462-3709</v>
      </c>
      <c r="AB3099" t="s">
        <v>115</v>
      </c>
      <c r="AC3099" t="s">
        <v>76</v>
      </c>
      <c r="AD3099" t="s">
        <v>73</v>
      </c>
      <c r="AE3099" t="s">
        <v>77</v>
      </c>
      <c r="AF3099" t="s">
        <v>2228</v>
      </c>
      <c r="AG3099" t="s">
        <v>78</v>
      </c>
    </row>
    <row r="3100" spans="1:33" hidden="1" x14ac:dyDescent="0.25">
      <c r="A3100" t="str">
        <f>"1144645847"</f>
        <v>1144645847</v>
      </c>
      <c r="C3100" t="s">
        <v>12690</v>
      </c>
      <c r="G3100" t="s">
        <v>2224</v>
      </c>
      <c r="H3100" t="s">
        <v>2225</v>
      </c>
      <c r="J3100" t="s">
        <v>2226</v>
      </c>
      <c r="K3100" t="s">
        <v>93</v>
      </c>
      <c r="L3100" t="s">
        <v>72</v>
      </c>
      <c r="M3100" t="s">
        <v>73</v>
      </c>
      <c r="R3100" t="s">
        <v>12691</v>
      </c>
      <c r="S3100" t="s">
        <v>167</v>
      </c>
      <c r="T3100" t="s">
        <v>91</v>
      </c>
      <c r="U3100" t="s">
        <v>74</v>
      </c>
      <c r="V3100" t="str">
        <f>"100323720"</f>
        <v>100323720</v>
      </c>
      <c r="AC3100" t="s">
        <v>76</v>
      </c>
      <c r="AD3100" t="s">
        <v>73</v>
      </c>
      <c r="AE3100" t="s">
        <v>97</v>
      </c>
      <c r="AF3100" t="s">
        <v>2234</v>
      </c>
      <c r="AG3100" t="s">
        <v>78</v>
      </c>
    </row>
    <row r="3101" spans="1:33" hidden="1" x14ac:dyDescent="0.25">
      <c r="A3101" t="str">
        <f>"1780882274"</f>
        <v>1780882274</v>
      </c>
      <c r="B3101" t="str">
        <f>"03313155"</f>
        <v>03313155</v>
      </c>
      <c r="C3101" t="s">
        <v>12692</v>
      </c>
      <c r="D3101" t="s">
        <v>12693</v>
      </c>
      <c r="E3101" t="s">
        <v>12694</v>
      </c>
      <c r="G3101" t="s">
        <v>2224</v>
      </c>
      <c r="H3101" t="s">
        <v>2225</v>
      </c>
      <c r="J3101" t="s">
        <v>2226</v>
      </c>
      <c r="L3101" t="s">
        <v>72</v>
      </c>
      <c r="M3101" t="s">
        <v>73</v>
      </c>
      <c r="R3101" t="s">
        <v>12695</v>
      </c>
      <c r="W3101" t="s">
        <v>12694</v>
      </c>
      <c r="X3101" t="s">
        <v>1958</v>
      </c>
      <c r="Y3101" t="s">
        <v>91</v>
      </c>
      <c r="Z3101" t="s">
        <v>74</v>
      </c>
      <c r="AA3101" t="str">
        <f>"10032-3722"</f>
        <v>10032-3722</v>
      </c>
      <c r="AB3101" t="s">
        <v>106</v>
      </c>
      <c r="AC3101" t="s">
        <v>76</v>
      </c>
      <c r="AD3101" t="s">
        <v>73</v>
      </c>
      <c r="AE3101" t="s">
        <v>77</v>
      </c>
      <c r="AF3101" t="s">
        <v>2234</v>
      </c>
      <c r="AG3101" t="s">
        <v>78</v>
      </c>
    </row>
    <row r="3102" spans="1:33" hidden="1" x14ac:dyDescent="0.25">
      <c r="C3102" t="s">
        <v>12696</v>
      </c>
      <c r="K3102" t="s">
        <v>93</v>
      </c>
      <c r="L3102" t="s">
        <v>94</v>
      </c>
      <c r="M3102" t="s">
        <v>73</v>
      </c>
      <c r="AC3102" t="s">
        <v>76</v>
      </c>
      <c r="AD3102" t="s">
        <v>73</v>
      </c>
      <c r="AE3102" t="s">
        <v>95</v>
      </c>
      <c r="AG3102" t="s">
        <v>78</v>
      </c>
    </row>
    <row r="3103" spans="1:33" hidden="1" x14ac:dyDescent="0.25">
      <c r="A3103" t="str">
        <f>"1063633956"</f>
        <v>1063633956</v>
      </c>
      <c r="B3103" t="str">
        <f>"03090099"</f>
        <v>03090099</v>
      </c>
      <c r="C3103" t="s">
        <v>12697</v>
      </c>
      <c r="D3103" t="s">
        <v>12698</v>
      </c>
      <c r="E3103" t="s">
        <v>12699</v>
      </c>
      <c r="G3103" t="s">
        <v>2224</v>
      </c>
      <c r="H3103" t="s">
        <v>2225</v>
      </c>
      <c r="J3103" t="s">
        <v>2226</v>
      </c>
      <c r="L3103" t="s">
        <v>96</v>
      </c>
      <c r="M3103" t="s">
        <v>73</v>
      </c>
      <c r="R3103" t="s">
        <v>12700</v>
      </c>
      <c r="W3103" t="s">
        <v>12699</v>
      </c>
      <c r="X3103" t="s">
        <v>11419</v>
      </c>
      <c r="Y3103" t="s">
        <v>91</v>
      </c>
      <c r="Z3103" t="s">
        <v>74</v>
      </c>
      <c r="AA3103" t="str">
        <f>"10021"</f>
        <v>10021</v>
      </c>
      <c r="AB3103" t="s">
        <v>106</v>
      </c>
      <c r="AC3103" t="s">
        <v>76</v>
      </c>
      <c r="AD3103" t="s">
        <v>73</v>
      </c>
      <c r="AE3103" t="s">
        <v>77</v>
      </c>
      <c r="AF3103" t="s">
        <v>2234</v>
      </c>
      <c r="AG3103" t="s">
        <v>78</v>
      </c>
    </row>
    <row r="3104" spans="1:33" hidden="1" x14ac:dyDescent="0.25">
      <c r="A3104" t="str">
        <f>"1154597854"</f>
        <v>1154597854</v>
      </c>
      <c r="B3104" t="str">
        <f>"03367071"</f>
        <v>03367071</v>
      </c>
      <c r="C3104" t="s">
        <v>12701</v>
      </c>
      <c r="D3104" t="s">
        <v>12702</v>
      </c>
      <c r="E3104" t="s">
        <v>12703</v>
      </c>
      <c r="G3104" t="s">
        <v>2224</v>
      </c>
      <c r="H3104" t="s">
        <v>2225</v>
      </c>
      <c r="J3104" t="s">
        <v>2226</v>
      </c>
      <c r="L3104" t="s">
        <v>72</v>
      </c>
      <c r="M3104" t="s">
        <v>73</v>
      </c>
      <c r="R3104" t="s">
        <v>12704</v>
      </c>
      <c r="W3104" t="s">
        <v>12703</v>
      </c>
      <c r="X3104" t="s">
        <v>124</v>
      </c>
      <c r="Y3104" t="s">
        <v>125</v>
      </c>
      <c r="Z3104" t="s">
        <v>74</v>
      </c>
      <c r="AA3104" t="str">
        <f>"11355-5045"</f>
        <v>11355-5045</v>
      </c>
      <c r="AB3104" t="s">
        <v>75</v>
      </c>
      <c r="AC3104" t="s">
        <v>76</v>
      </c>
      <c r="AD3104" t="s">
        <v>73</v>
      </c>
      <c r="AE3104" t="s">
        <v>77</v>
      </c>
      <c r="AF3104" t="s">
        <v>2228</v>
      </c>
      <c r="AG3104" t="s">
        <v>78</v>
      </c>
    </row>
    <row r="3105" spans="1:33" hidden="1" x14ac:dyDescent="0.25">
      <c r="A3105" t="str">
        <f>"1972757805"</f>
        <v>1972757805</v>
      </c>
      <c r="B3105" t="str">
        <f>"03090324"</f>
        <v>03090324</v>
      </c>
      <c r="C3105" t="s">
        <v>12705</v>
      </c>
      <c r="D3105" t="s">
        <v>12706</v>
      </c>
      <c r="E3105" t="s">
        <v>12707</v>
      </c>
      <c r="G3105" t="s">
        <v>2224</v>
      </c>
      <c r="H3105" t="s">
        <v>2225</v>
      </c>
      <c r="J3105" t="s">
        <v>2226</v>
      </c>
      <c r="L3105" t="s">
        <v>72</v>
      </c>
      <c r="M3105" t="s">
        <v>73</v>
      </c>
      <c r="R3105" t="s">
        <v>12708</v>
      </c>
      <c r="W3105" t="s">
        <v>12707</v>
      </c>
      <c r="X3105" t="s">
        <v>3433</v>
      </c>
      <c r="Y3105" t="s">
        <v>91</v>
      </c>
      <c r="Z3105" t="s">
        <v>74</v>
      </c>
      <c r="AA3105" t="str">
        <f>"10032-4220"</f>
        <v>10032-4220</v>
      </c>
      <c r="AB3105" t="s">
        <v>106</v>
      </c>
      <c r="AC3105" t="s">
        <v>76</v>
      </c>
      <c r="AD3105" t="s">
        <v>73</v>
      </c>
      <c r="AE3105" t="s">
        <v>77</v>
      </c>
      <c r="AF3105" t="s">
        <v>2234</v>
      </c>
      <c r="AG3105" t="s">
        <v>78</v>
      </c>
    </row>
    <row r="3106" spans="1:33" hidden="1" x14ac:dyDescent="0.25">
      <c r="A3106" t="str">
        <f>"1770725699"</f>
        <v>1770725699</v>
      </c>
      <c r="C3106" t="s">
        <v>12709</v>
      </c>
      <c r="G3106" t="s">
        <v>2224</v>
      </c>
      <c r="H3106" t="s">
        <v>2225</v>
      </c>
      <c r="J3106" t="s">
        <v>2226</v>
      </c>
      <c r="K3106" t="s">
        <v>171</v>
      </c>
      <c r="L3106" t="s">
        <v>96</v>
      </c>
      <c r="M3106" t="s">
        <v>73</v>
      </c>
      <c r="R3106" t="s">
        <v>12710</v>
      </c>
      <c r="S3106" t="s">
        <v>12711</v>
      </c>
      <c r="T3106" t="s">
        <v>91</v>
      </c>
      <c r="U3106" t="s">
        <v>74</v>
      </c>
      <c r="V3106" t="str">
        <f>"100655924"</f>
        <v>100655924</v>
      </c>
      <c r="AC3106" t="s">
        <v>76</v>
      </c>
      <c r="AD3106" t="s">
        <v>73</v>
      </c>
      <c r="AE3106" t="s">
        <v>97</v>
      </c>
      <c r="AF3106" t="s">
        <v>2242</v>
      </c>
      <c r="AG3106" t="s">
        <v>78</v>
      </c>
    </row>
    <row r="3107" spans="1:33" hidden="1" x14ac:dyDescent="0.25">
      <c r="A3107" t="str">
        <f>"1689819856"</f>
        <v>1689819856</v>
      </c>
      <c r="B3107" t="str">
        <f>"03084360"</f>
        <v>03084360</v>
      </c>
      <c r="C3107" t="s">
        <v>12712</v>
      </c>
      <c r="D3107" t="s">
        <v>12713</v>
      </c>
      <c r="E3107" t="s">
        <v>12714</v>
      </c>
      <c r="G3107" t="s">
        <v>2224</v>
      </c>
      <c r="H3107" t="s">
        <v>2225</v>
      </c>
      <c r="J3107" t="s">
        <v>2226</v>
      </c>
      <c r="L3107" t="s">
        <v>80</v>
      </c>
      <c r="M3107" t="s">
        <v>73</v>
      </c>
      <c r="R3107" t="s">
        <v>12715</v>
      </c>
      <c r="W3107" t="s">
        <v>12714</v>
      </c>
      <c r="X3107" t="s">
        <v>12716</v>
      </c>
      <c r="Y3107" t="s">
        <v>91</v>
      </c>
      <c r="Z3107" t="s">
        <v>74</v>
      </c>
      <c r="AA3107" t="str">
        <f>"10032-3720"</f>
        <v>10032-3720</v>
      </c>
      <c r="AB3107" t="s">
        <v>75</v>
      </c>
      <c r="AC3107" t="s">
        <v>76</v>
      </c>
      <c r="AD3107" t="s">
        <v>73</v>
      </c>
      <c r="AE3107" t="s">
        <v>77</v>
      </c>
      <c r="AF3107" t="s">
        <v>2234</v>
      </c>
      <c r="AG3107" t="s">
        <v>78</v>
      </c>
    </row>
    <row r="3108" spans="1:33" hidden="1" x14ac:dyDescent="0.25">
      <c r="A3108" t="str">
        <f>"1629131958"</f>
        <v>1629131958</v>
      </c>
      <c r="B3108" t="str">
        <f>"02236060"</f>
        <v>02236060</v>
      </c>
      <c r="C3108" t="s">
        <v>12717</v>
      </c>
      <c r="D3108" t="s">
        <v>12718</v>
      </c>
      <c r="E3108" t="s">
        <v>12719</v>
      </c>
      <c r="G3108" t="s">
        <v>2224</v>
      </c>
      <c r="H3108" t="s">
        <v>2225</v>
      </c>
      <c r="J3108" t="s">
        <v>2226</v>
      </c>
      <c r="L3108" t="s">
        <v>80</v>
      </c>
      <c r="M3108" t="s">
        <v>73</v>
      </c>
      <c r="R3108" t="s">
        <v>12720</v>
      </c>
      <c r="W3108" t="s">
        <v>12719</v>
      </c>
      <c r="X3108" t="s">
        <v>12719</v>
      </c>
      <c r="Y3108" t="s">
        <v>153</v>
      </c>
      <c r="Z3108" t="s">
        <v>74</v>
      </c>
      <c r="AA3108" t="str">
        <f>"11021-2209"</f>
        <v>11021-2209</v>
      </c>
      <c r="AB3108" t="s">
        <v>75</v>
      </c>
      <c r="AC3108" t="s">
        <v>76</v>
      </c>
      <c r="AD3108" t="s">
        <v>73</v>
      </c>
      <c r="AE3108" t="s">
        <v>77</v>
      </c>
      <c r="AF3108" t="s">
        <v>2242</v>
      </c>
      <c r="AG3108" t="s">
        <v>78</v>
      </c>
    </row>
    <row r="3109" spans="1:33" hidden="1" x14ac:dyDescent="0.25">
      <c r="A3109" t="str">
        <f>"1417970872"</f>
        <v>1417970872</v>
      </c>
      <c r="B3109" t="str">
        <f>"00370356"</f>
        <v>00370356</v>
      </c>
      <c r="C3109" t="s">
        <v>12721</v>
      </c>
      <c r="D3109" t="s">
        <v>12722</v>
      </c>
      <c r="E3109" t="s">
        <v>12723</v>
      </c>
      <c r="G3109" t="s">
        <v>2224</v>
      </c>
      <c r="H3109" t="s">
        <v>2225</v>
      </c>
      <c r="J3109" t="s">
        <v>2226</v>
      </c>
      <c r="L3109" t="s">
        <v>80</v>
      </c>
      <c r="M3109" t="s">
        <v>73</v>
      </c>
      <c r="R3109" t="s">
        <v>12724</v>
      </c>
      <c r="W3109" t="s">
        <v>12725</v>
      </c>
      <c r="X3109" t="s">
        <v>12726</v>
      </c>
      <c r="Y3109" t="s">
        <v>91</v>
      </c>
      <c r="Z3109" t="s">
        <v>74</v>
      </c>
      <c r="AA3109" t="str">
        <f>"10032-3724"</f>
        <v>10032-3724</v>
      </c>
      <c r="AB3109" t="s">
        <v>75</v>
      </c>
      <c r="AC3109" t="s">
        <v>76</v>
      </c>
      <c r="AD3109" t="s">
        <v>73</v>
      </c>
      <c r="AE3109" t="s">
        <v>77</v>
      </c>
      <c r="AF3109" t="s">
        <v>2228</v>
      </c>
      <c r="AG3109" t="s">
        <v>78</v>
      </c>
    </row>
    <row r="3110" spans="1:33" hidden="1" x14ac:dyDescent="0.25">
      <c r="A3110" t="str">
        <f>"1417998436"</f>
        <v>1417998436</v>
      </c>
      <c r="B3110" t="str">
        <f>"03100272"</f>
        <v>03100272</v>
      </c>
      <c r="C3110" t="s">
        <v>12727</v>
      </c>
      <c r="D3110" t="s">
        <v>12728</v>
      </c>
      <c r="E3110" t="s">
        <v>12729</v>
      </c>
      <c r="G3110" t="s">
        <v>2224</v>
      </c>
      <c r="H3110" t="s">
        <v>2225</v>
      </c>
      <c r="J3110" t="s">
        <v>2226</v>
      </c>
      <c r="L3110" t="s">
        <v>80</v>
      </c>
      <c r="M3110" t="s">
        <v>73</v>
      </c>
      <c r="R3110" t="s">
        <v>12729</v>
      </c>
      <c r="W3110" t="s">
        <v>12730</v>
      </c>
      <c r="X3110" t="s">
        <v>12731</v>
      </c>
      <c r="Y3110" t="s">
        <v>91</v>
      </c>
      <c r="Z3110" t="s">
        <v>74</v>
      </c>
      <c r="AA3110" t="str">
        <f>"10021-0000"</f>
        <v>10021-0000</v>
      </c>
      <c r="AB3110" t="s">
        <v>75</v>
      </c>
      <c r="AC3110" t="s">
        <v>76</v>
      </c>
      <c r="AD3110" t="s">
        <v>73</v>
      </c>
      <c r="AE3110" t="s">
        <v>77</v>
      </c>
      <c r="AF3110" t="s">
        <v>2398</v>
      </c>
      <c r="AG3110" t="s">
        <v>78</v>
      </c>
    </row>
    <row r="3111" spans="1:33" hidden="1" x14ac:dyDescent="0.25">
      <c r="A3111" t="str">
        <f>"1801993753"</f>
        <v>1801993753</v>
      </c>
      <c r="B3111" t="str">
        <f>"02997395"</f>
        <v>02997395</v>
      </c>
      <c r="C3111" t="s">
        <v>12732</v>
      </c>
      <c r="D3111" t="s">
        <v>327</v>
      </c>
      <c r="E3111" t="s">
        <v>328</v>
      </c>
      <c r="G3111" t="s">
        <v>2260</v>
      </c>
      <c r="H3111" t="s">
        <v>1511</v>
      </c>
      <c r="J3111" t="s">
        <v>8355</v>
      </c>
      <c r="L3111" t="s">
        <v>36</v>
      </c>
      <c r="M3111" t="s">
        <v>82</v>
      </c>
      <c r="R3111" t="s">
        <v>329</v>
      </c>
      <c r="W3111" t="s">
        <v>326</v>
      </c>
      <c r="X3111" t="s">
        <v>330</v>
      </c>
      <c r="Y3111" t="s">
        <v>84</v>
      </c>
      <c r="Z3111" t="s">
        <v>74</v>
      </c>
      <c r="AA3111" t="str">
        <f>"11201-3818"</f>
        <v>11201-3818</v>
      </c>
      <c r="AB3111" t="s">
        <v>92</v>
      </c>
      <c r="AC3111" t="s">
        <v>76</v>
      </c>
      <c r="AD3111" t="s">
        <v>73</v>
      </c>
      <c r="AE3111" t="s">
        <v>77</v>
      </c>
      <c r="AG3111" t="s">
        <v>78</v>
      </c>
    </row>
    <row r="3112" spans="1:33" hidden="1" x14ac:dyDescent="0.25">
      <c r="A3112" t="str">
        <f>"1285981118"</f>
        <v>1285981118</v>
      </c>
      <c r="C3112" t="s">
        <v>12733</v>
      </c>
      <c r="G3112" t="s">
        <v>2224</v>
      </c>
      <c r="H3112" t="s">
        <v>2312</v>
      </c>
      <c r="J3112" t="s">
        <v>2226</v>
      </c>
      <c r="K3112" t="s">
        <v>171</v>
      </c>
      <c r="L3112" t="s">
        <v>96</v>
      </c>
      <c r="M3112" t="s">
        <v>73</v>
      </c>
      <c r="R3112" t="s">
        <v>12734</v>
      </c>
      <c r="S3112" t="s">
        <v>12735</v>
      </c>
      <c r="T3112" t="s">
        <v>118</v>
      </c>
      <c r="U3112" t="s">
        <v>74</v>
      </c>
      <c r="V3112" t="str">
        <f>"104611138"</f>
        <v>104611138</v>
      </c>
      <c r="AC3112" t="s">
        <v>76</v>
      </c>
      <c r="AD3112" t="s">
        <v>73</v>
      </c>
      <c r="AE3112" t="s">
        <v>97</v>
      </c>
      <c r="AF3112" t="s">
        <v>2242</v>
      </c>
      <c r="AG3112" t="s">
        <v>78</v>
      </c>
    </row>
    <row r="3113" spans="1:33" hidden="1" x14ac:dyDescent="0.25">
      <c r="A3113" t="str">
        <f>"1386907343"</f>
        <v>1386907343</v>
      </c>
      <c r="C3113" t="s">
        <v>12736</v>
      </c>
      <c r="G3113" t="s">
        <v>2224</v>
      </c>
      <c r="H3113" t="s">
        <v>2312</v>
      </c>
      <c r="J3113" t="s">
        <v>2226</v>
      </c>
      <c r="K3113" t="s">
        <v>171</v>
      </c>
      <c r="L3113" t="s">
        <v>96</v>
      </c>
      <c r="M3113" t="s">
        <v>73</v>
      </c>
      <c r="R3113" t="s">
        <v>12737</v>
      </c>
      <c r="S3113" t="s">
        <v>170</v>
      </c>
      <c r="T3113" t="s">
        <v>91</v>
      </c>
      <c r="U3113" t="s">
        <v>74</v>
      </c>
      <c r="V3113" t="str">
        <f>"100654870"</f>
        <v>100654870</v>
      </c>
      <c r="AC3113" t="s">
        <v>76</v>
      </c>
      <c r="AD3113" t="s">
        <v>73</v>
      </c>
      <c r="AE3113" t="s">
        <v>97</v>
      </c>
      <c r="AF3113" t="s">
        <v>2242</v>
      </c>
      <c r="AG3113" t="s">
        <v>78</v>
      </c>
    </row>
    <row r="3114" spans="1:33" hidden="1" x14ac:dyDescent="0.25">
      <c r="A3114" t="str">
        <f>"1285662908"</f>
        <v>1285662908</v>
      </c>
      <c r="B3114" t="str">
        <f>"01813198"</f>
        <v>01813198</v>
      </c>
      <c r="C3114" t="s">
        <v>12738</v>
      </c>
      <c r="D3114" t="s">
        <v>12739</v>
      </c>
      <c r="E3114" t="s">
        <v>12740</v>
      </c>
      <c r="G3114" t="s">
        <v>2224</v>
      </c>
      <c r="H3114" t="s">
        <v>2225</v>
      </c>
      <c r="J3114" t="s">
        <v>2226</v>
      </c>
      <c r="L3114" t="s">
        <v>80</v>
      </c>
      <c r="M3114" t="s">
        <v>73</v>
      </c>
      <c r="R3114" t="s">
        <v>12741</v>
      </c>
      <c r="W3114" t="s">
        <v>12740</v>
      </c>
      <c r="X3114" t="s">
        <v>1493</v>
      </c>
      <c r="Y3114" t="s">
        <v>181</v>
      </c>
      <c r="Z3114" t="s">
        <v>74</v>
      </c>
      <c r="AA3114" t="str">
        <f>"10601-1712"</f>
        <v>10601-1712</v>
      </c>
      <c r="AB3114" t="s">
        <v>75</v>
      </c>
      <c r="AC3114" t="s">
        <v>76</v>
      </c>
      <c r="AD3114" t="s">
        <v>73</v>
      </c>
      <c r="AE3114" t="s">
        <v>77</v>
      </c>
      <c r="AF3114" t="s">
        <v>2254</v>
      </c>
      <c r="AG3114" t="s">
        <v>78</v>
      </c>
    </row>
    <row r="3115" spans="1:33" hidden="1" x14ac:dyDescent="0.25">
      <c r="A3115" t="str">
        <f>"1285666974"</f>
        <v>1285666974</v>
      </c>
      <c r="B3115" t="str">
        <f>"00832682"</f>
        <v>00832682</v>
      </c>
      <c r="C3115" t="s">
        <v>12742</v>
      </c>
      <c r="D3115" t="s">
        <v>12743</v>
      </c>
      <c r="E3115" t="s">
        <v>12744</v>
      </c>
      <c r="G3115" t="s">
        <v>2224</v>
      </c>
      <c r="H3115" t="s">
        <v>2225</v>
      </c>
      <c r="J3115" t="s">
        <v>2226</v>
      </c>
      <c r="L3115" t="s">
        <v>80</v>
      </c>
      <c r="M3115" t="s">
        <v>73</v>
      </c>
      <c r="R3115" t="s">
        <v>12745</v>
      </c>
      <c r="W3115" t="s">
        <v>12744</v>
      </c>
      <c r="X3115" t="s">
        <v>167</v>
      </c>
      <c r="Y3115" t="s">
        <v>91</v>
      </c>
      <c r="Z3115" t="s">
        <v>74</v>
      </c>
      <c r="AA3115" t="str">
        <f>"10032-3720"</f>
        <v>10032-3720</v>
      </c>
      <c r="AB3115" t="s">
        <v>75</v>
      </c>
      <c r="AC3115" t="s">
        <v>76</v>
      </c>
      <c r="AD3115" t="s">
        <v>73</v>
      </c>
      <c r="AE3115" t="s">
        <v>77</v>
      </c>
      <c r="AF3115" t="s">
        <v>2228</v>
      </c>
      <c r="AG3115" t="s">
        <v>78</v>
      </c>
    </row>
    <row r="3116" spans="1:33" hidden="1" x14ac:dyDescent="0.25">
      <c r="A3116" t="str">
        <f>"1326135492"</f>
        <v>1326135492</v>
      </c>
      <c r="B3116" t="str">
        <f>"01591253"</f>
        <v>01591253</v>
      </c>
      <c r="C3116" t="s">
        <v>12746</v>
      </c>
      <c r="D3116" t="s">
        <v>12747</v>
      </c>
      <c r="E3116" t="s">
        <v>12748</v>
      </c>
      <c r="G3116" t="s">
        <v>2224</v>
      </c>
      <c r="H3116" t="s">
        <v>2225</v>
      </c>
      <c r="J3116" t="s">
        <v>2226</v>
      </c>
      <c r="L3116" t="s">
        <v>80</v>
      </c>
      <c r="M3116" t="s">
        <v>73</v>
      </c>
      <c r="R3116" t="s">
        <v>12749</v>
      </c>
      <c r="W3116" t="s">
        <v>12748</v>
      </c>
      <c r="X3116" t="s">
        <v>12750</v>
      </c>
      <c r="Y3116" t="s">
        <v>91</v>
      </c>
      <c r="Z3116" t="s">
        <v>74</v>
      </c>
      <c r="AA3116" t="str">
        <f>"10065-4870"</f>
        <v>10065-4870</v>
      </c>
      <c r="AB3116" t="s">
        <v>75</v>
      </c>
      <c r="AC3116" t="s">
        <v>76</v>
      </c>
      <c r="AD3116" t="s">
        <v>73</v>
      </c>
      <c r="AE3116" t="s">
        <v>77</v>
      </c>
      <c r="AF3116" t="s">
        <v>2242</v>
      </c>
      <c r="AG3116" t="s">
        <v>78</v>
      </c>
    </row>
    <row r="3117" spans="1:33" hidden="1" x14ac:dyDescent="0.25">
      <c r="A3117" t="str">
        <f>"1528293875"</f>
        <v>1528293875</v>
      </c>
      <c r="B3117" t="str">
        <f>"03376721"</f>
        <v>03376721</v>
      </c>
      <c r="C3117" t="s">
        <v>12751</v>
      </c>
      <c r="D3117" t="s">
        <v>12752</v>
      </c>
      <c r="E3117" t="s">
        <v>12753</v>
      </c>
      <c r="L3117" t="s">
        <v>80</v>
      </c>
      <c r="M3117" t="s">
        <v>73</v>
      </c>
      <c r="R3117" t="s">
        <v>12754</v>
      </c>
      <c r="W3117" t="s">
        <v>12753</v>
      </c>
      <c r="X3117" t="s">
        <v>167</v>
      </c>
      <c r="Y3117" t="s">
        <v>91</v>
      </c>
      <c r="Z3117" t="s">
        <v>74</v>
      </c>
      <c r="AA3117" t="str">
        <f>"10032-3720"</f>
        <v>10032-3720</v>
      </c>
      <c r="AB3117" t="s">
        <v>75</v>
      </c>
      <c r="AC3117" t="s">
        <v>76</v>
      </c>
      <c r="AD3117" t="s">
        <v>73</v>
      </c>
      <c r="AE3117" t="s">
        <v>77</v>
      </c>
      <c r="AF3117" t="s">
        <v>2228</v>
      </c>
      <c r="AG3117" t="s">
        <v>78</v>
      </c>
    </row>
    <row r="3118" spans="1:33" hidden="1" x14ac:dyDescent="0.25">
      <c r="A3118" t="str">
        <f>"1861550725"</f>
        <v>1861550725</v>
      </c>
      <c r="B3118" t="str">
        <f>"02270120"</f>
        <v>02270120</v>
      </c>
      <c r="C3118" t="s">
        <v>12755</v>
      </c>
      <c r="D3118" t="s">
        <v>12756</v>
      </c>
      <c r="E3118" t="s">
        <v>12757</v>
      </c>
      <c r="L3118" t="s">
        <v>72</v>
      </c>
      <c r="M3118" t="s">
        <v>73</v>
      </c>
      <c r="R3118" t="s">
        <v>1372</v>
      </c>
      <c r="W3118" t="s">
        <v>12758</v>
      </c>
      <c r="X3118" t="s">
        <v>167</v>
      </c>
      <c r="Y3118" t="s">
        <v>91</v>
      </c>
      <c r="Z3118" t="s">
        <v>74</v>
      </c>
      <c r="AA3118" t="str">
        <f>"10032-3720"</f>
        <v>10032-3720</v>
      </c>
      <c r="AB3118" t="s">
        <v>75</v>
      </c>
      <c r="AC3118" t="s">
        <v>76</v>
      </c>
      <c r="AD3118" t="s">
        <v>73</v>
      </c>
      <c r="AE3118" t="s">
        <v>77</v>
      </c>
      <c r="AF3118" t="s">
        <v>2228</v>
      </c>
      <c r="AG3118" t="s">
        <v>78</v>
      </c>
    </row>
    <row r="3119" spans="1:33" hidden="1" x14ac:dyDescent="0.25">
      <c r="A3119" t="str">
        <f>"1649403791"</f>
        <v>1649403791</v>
      </c>
      <c r="B3119" t="str">
        <f>"03944896"</f>
        <v>03944896</v>
      </c>
      <c r="C3119" t="s">
        <v>12759</v>
      </c>
      <c r="D3119" t="s">
        <v>12760</v>
      </c>
      <c r="E3119" t="s">
        <v>12761</v>
      </c>
      <c r="G3119" t="s">
        <v>2224</v>
      </c>
      <c r="H3119" t="s">
        <v>2312</v>
      </c>
      <c r="J3119" t="s">
        <v>2226</v>
      </c>
      <c r="L3119" t="s">
        <v>80</v>
      </c>
      <c r="M3119" t="s">
        <v>73</v>
      </c>
      <c r="R3119" t="s">
        <v>12762</v>
      </c>
      <c r="W3119" t="s">
        <v>12761</v>
      </c>
      <c r="X3119" t="s">
        <v>167</v>
      </c>
      <c r="Y3119" t="s">
        <v>91</v>
      </c>
      <c r="Z3119" t="s">
        <v>74</v>
      </c>
      <c r="AA3119" t="str">
        <f>"10032-3720"</f>
        <v>10032-3720</v>
      </c>
      <c r="AB3119" t="s">
        <v>75</v>
      </c>
      <c r="AC3119" t="s">
        <v>76</v>
      </c>
      <c r="AD3119" t="s">
        <v>73</v>
      </c>
      <c r="AE3119" t="s">
        <v>77</v>
      </c>
      <c r="AF3119" t="s">
        <v>2228</v>
      </c>
      <c r="AG3119" t="s">
        <v>78</v>
      </c>
    </row>
    <row r="3120" spans="1:33" hidden="1" x14ac:dyDescent="0.25">
      <c r="A3120" t="str">
        <f>"1508877879"</f>
        <v>1508877879</v>
      </c>
      <c r="B3120" t="str">
        <f>"02716801"</f>
        <v>02716801</v>
      </c>
      <c r="C3120" t="s">
        <v>12763</v>
      </c>
      <c r="D3120" t="s">
        <v>12764</v>
      </c>
      <c r="E3120" t="s">
        <v>12765</v>
      </c>
      <c r="L3120" t="s">
        <v>80</v>
      </c>
      <c r="M3120" t="s">
        <v>73</v>
      </c>
      <c r="R3120" t="s">
        <v>12766</v>
      </c>
      <c r="W3120" t="s">
        <v>12765</v>
      </c>
      <c r="X3120" t="s">
        <v>170</v>
      </c>
      <c r="Y3120" t="s">
        <v>91</v>
      </c>
      <c r="Z3120" t="s">
        <v>74</v>
      </c>
      <c r="AA3120" t="str">
        <f>"10065-4870"</f>
        <v>10065-4870</v>
      </c>
      <c r="AB3120" t="s">
        <v>75</v>
      </c>
      <c r="AC3120" t="s">
        <v>76</v>
      </c>
      <c r="AD3120" t="s">
        <v>73</v>
      </c>
      <c r="AE3120" t="s">
        <v>77</v>
      </c>
      <c r="AF3120" t="s">
        <v>2242</v>
      </c>
      <c r="AG3120" t="s">
        <v>78</v>
      </c>
    </row>
    <row r="3121" spans="1:33" hidden="1" x14ac:dyDescent="0.25">
      <c r="A3121" t="str">
        <f>"1447567102"</f>
        <v>1447567102</v>
      </c>
      <c r="C3121" t="s">
        <v>12767</v>
      </c>
      <c r="G3121" t="s">
        <v>2224</v>
      </c>
      <c r="H3121" t="s">
        <v>2312</v>
      </c>
      <c r="J3121" t="s">
        <v>2226</v>
      </c>
      <c r="K3121" t="s">
        <v>171</v>
      </c>
      <c r="L3121" t="s">
        <v>96</v>
      </c>
      <c r="M3121" t="s">
        <v>73</v>
      </c>
      <c r="R3121" t="s">
        <v>12768</v>
      </c>
      <c r="S3121" t="s">
        <v>12769</v>
      </c>
      <c r="T3121" t="s">
        <v>91</v>
      </c>
      <c r="U3121" t="s">
        <v>74</v>
      </c>
      <c r="V3121" t="str">
        <f>"100231735"</f>
        <v>100231735</v>
      </c>
      <c r="AC3121" t="s">
        <v>76</v>
      </c>
      <c r="AD3121" t="s">
        <v>73</v>
      </c>
      <c r="AE3121" t="s">
        <v>97</v>
      </c>
      <c r="AF3121" t="s">
        <v>2242</v>
      </c>
      <c r="AG3121" t="s">
        <v>78</v>
      </c>
    </row>
    <row r="3122" spans="1:33" hidden="1" x14ac:dyDescent="0.25">
      <c r="A3122" t="str">
        <f>"1619298197"</f>
        <v>1619298197</v>
      </c>
      <c r="B3122" t="str">
        <f>"04320536"</f>
        <v>04320536</v>
      </c>
      <c r="C3122" t="s">
        <v>12770</v>
      </c>
      <c r="D3122" t="s">
        <v>12771</v>
      </c>
      <c r="E3122" t="s">
        <v>12772</v>
      </c>
      <c r="G3122" t="s">
        <v>2224</v>
      </c>
      <c r="H3122" t="s">
        <v>2312</v>
      </c>
      <c r="J3122" t="s">
        <v>2226</v>
      </c>
      <c r="L3122" t="s">
        <v>80</v>
      </c>
      <c r="M3122" t="s">
        <v>73</v>
      </c>
      <c r="R3122" t="s">
        <v>12772</v>
      </c>
      <c r="W3122" t="s">
        <v>12772</v>
      </c>
      <c r="X3122" t="s">
        <v>170</v>
      </c>
      <c r="Y3122" t="s">
        <v>91</v>
      </c>
      <c r="Z3122" t="s">
        <v>74</v>
      </c>
      <c r="AA3122" t="str">
        <f>"10065-4870"</f>
        <v>10065-4870</v>
      </c>
      <c r="AB3122" t="s">
        <v>75</v>
      </c>
      <c r="AC3122" t="s">
        <v>76</v>
      </c>
      <c r="AD3122" t="s">
        <v>73</v>
      </c>
      <c r="AE3122" t="s">
        <v>77</v>
      </c>
      <c r="AF3122" t="s">
        <v>2242</v>
      </c>
      <c r="AG3122" t="s">
        <v>78</v>
      </c>
    </row>
    <row r="3123" spans="1:33" hidden="1" x14ac:dyDescent="0.25">
      <c r="A3123" t="str">
        <f>"1548574312"</f>
        <v>1548574312</v>
      </c>
      <c r="C3123" t="s">
        <v>12773</v>
      </c>
      <c r="G3123" t="s">
        <v>2224</v>
      </c>
      <c r="H3123" t="s">
        <v>2312</v>
      </c>
      <c r="J3123" t="s">
        <v>2226</v>
      </c>
      <c r="K3123" t="s">
        <v>171</v>
      </c>
      <c r="L3123" t="s">
        <v>96</v>
      </c>
      <c r="M3123" t="s">
        <v>73</v>
      </c>
      <c r="R3123" t="s">
        <v>12774</v>
      </c>
      <c r="S3123" t="s">
        <v>170</v>
      </c>
      <c r="T3123" t="s">
        <v>91</v>
      </c>
      <c r="U3123" t="s">
        <v>74</v>
      </c>
      <c r="V3123" t="str">
        <f>"100654870"</f>
        <v>100654870</v>
      </c>
      <c r="AC3123" t="s">
        <v>76</v>
      </c>
      <c r="AD3123" t="s">
        <v>73</v>
      </c>
      <c r="AE3123" t="s">
        <v>97</v>
      </c>
      <c r="AF3123" t="s">
        <v>2242</v>
      </c>
      <c r="AG3123" t="s">
        <v>78</v>
      </c>
    </row>
    <row r="3124" spans="1:33" hidden="1" x14ac:dyDescent="0.25">
      <c r="A3124" t="str">
        <f>"1336150317"</f>
        <v>1336150317</v>
      </c>
      <c r="B3124" t="str">
        <f>"00916472"</f>
        <v>00916472</v>
      </c>
      <c r="C3124" t="s">
        <v>12775</v>
      </c>
      <c r="D3124" t="s">
        <v>12776</v>
      </c>
      <c r="E3124" t="s">
        <v>12777</v>
      </c>
      <c r="L3124" t="s">
        <v>96</v>
      </c>
      <c r="M3124" t="s">
        <v>73</v>
      </c>
      <c r="R3124" t="s">
        <v>12778</v>
      </c>
      <c r="W3124" t="s">
        <v>12777</v>
      </c>
      <c r="X3124" t="s">
        <v>170</v>
      </c>
      <c r="Y3124" t="s">
        <v>91</v>
      </c>
      <c r="Z3124" t="s">
        <v>74</v>
      </c>
      <c r="AA3124" t="str">
        <f>"10065-4870"</f>
        <v>10065-4870</v>
      </c>
      <c r="AB3124" t="s">
        <v>75</v>
      </c>
      <c r="AC3124" t="s">
        <v>76</v>
      </c>
      <c r="AD3124" t="s">
        <v>73</v>
      </c>
      <c r="AE3124" t="s">
        <v>77</v>
      </c>
      <c r="AG3124" t="s">
        <v>78</v>
      </c>
    </row>
    <row r="3125" spans="1:33" hidden="1" x14ac:dyDescent="0.25">
      <c r="A3125" t="str">
        <f>"1790781490"</f>
        <v>1790781490</v>
      </c>
      <c r="B3125" t="str">
        <f>"01277816"</f>
        <v>01277816</v>
      </c>
      <c r="C3125" t="s">
        <v>12779</v>
      </c>
      <c r="D3125" t="s">
        <v>12780</v>
      </c>
      <c r="E3125" t="s">
        <v>12781</v>
      </c>
      <c r="L3125" t="s">
        <v>80</v>
      </c>
      <c r="M3125" t="s">
        <v>73</v>
      </c>
      <c r="R3125" t="s">
        <v>12782</v>
      </c>
      <c r="W3125" t="s">
        <v>12783</v>
      </c>
      <c r="X3125" t="s">
        <v>142</v>
      </c>
      <c r="Y3125" t="s">
        <v>143</v>
      </c>
      <c r="Z3125" t="s">
        <v>74</v>
      </c>
      <c r="AA3125" t="str">
        <f>"11030-3816"</f>
        <v>11030-3816</v>
      </c>
      <c r="AB3125" t="s">
        <v>75</v>
      </c>
      <c r="AC3125" t="s">
        <v>76</v>
      </c>
      <c r="AD3125" t="s">
        <v>73</v>
      </c>
      <c r="AE3125" t="s">
        <v>77</v>
      </c>
      <c r="AG3125" t="s">
        <v>78</v>
      </c>
    </row>
    <row r="3126" spans="1:33" hidden="1" x14ac:dyDescent="0.25">
      <c r="A3126" t="str">
        <f>"1770808784"</f>
        <v>1770808784</v>
      </c>
      <c r="B3126" t="str">
        <f>"03389104"</f>
        <v>03389104</v>
      </c>
      <c r="C3126" t="s">
        <v>12784</v>
      </c>
      <c r="D3126" t="s">
        <v>12785</v>
      </c>
      <c r="E3126" t="s">
        <v>12786</v>
      </c>
      <c r="L3126" t="s">
        <v>80</v>
      </c>
      <c r="M3126" t="s">
        <v>73</v>
      </c>
      <c r="R3126" t="s">
        <v>12787</v>
      </c>
      <c r="W3126" t="s">
        <v>12786</v>
      </c>
      <c r="X3126" t="s">
        <v>272</v>
      </c>
      <c r="Y3126" t="s">
        <v>91</v>
      </c>
      <c r="Z3126" t="s">
        <v>74</v>
      </c>
      <c r="AA3126" t="str">
        <f>"10038-2612"</f>
        <v>10038-2612</v>
      </c>
      <c r="AB3126" t="s">
        <v>75</v>
      </c>
      <c r="AC3126" t="s">
        <v>76</v>
      </c>
      <c r="AD3126" t="s">
        <v>73</v>
      </c>
      <c r="AE3126" t="s">
        <v>77</v>
      </c>
      <c r="AG3126" t="s">
        <v>78</v>
      </c>
    </row>
    <row r="3127" spans="1:33" hidden="1" x14ac:dyDescent="0.25">
      <c r="A3127" t="str">
        <f>"1215012422"</f>
        <v>1215012422</v>
      </c>
      <c r="B3127" t="str">
        <f>"02863032"</f>
        <v>02863032</v>
      </c>
      <c r="C3127" t="s">
        <v>12788</v>
      </c>
      <c r="D3127" t="s">
        <v>12789</v>
      </c>
      <c r="E3127" t="s">
        <v>12790</v>
      </c>
      <c r="L3127" t="s">
        <v>80</v>
      </c>
      <c r="M3127" t="s">
        <v>73</v>
      </c>
      <c r="R3127" t="s">
        <v>12791</v>
      </c>
      <c r="W3127" t="s">
        <v>12790</v>
      </c>
      <c r="X3127" t="s">
        <v>3477</v>
      </c>
      <c r="Y3127" t="s">
        <v>91</v>
      </c>
      <c r="Z3127" t="s">
        <v>74</v>
      </c>
      <c r="AA3127" t="str">
        <f>"10032-3725"</f>
        <v>10032-3725</v>
      </c>
      <c r="AB3127" t="s">
        <v>75</v>
      </c>
      <c r="AC3127" t="s">
        <v>76</v>
      </c>
      <c r="AD3127" t="s">
        <v>73</v>
      </c>
      <c r="AE3127" t="s">
        <v>77</v>
      </c>
      <c r="AF3127" t="s">
        <v>2228</v>
      </c>
      <c r="AG3127" t="s">
        <v>78</v>
      </c>
    </row>
    <row r="3128" spans="1:33" hidden="1" x14ac:dyDescent="0.25">
      <c r="A3128" t="str">
        <f>"1578852240"</f>
        <v>1578852240</v>
      </c>
      <c r="B3128" t="str">
        <f>"03916158"</f>
        <v>03916158</v>
      </c>
      <c r="C3128" t="s">
        <v>12792</v>
      </c>
      <c r="D3128" t="s">
        <v>782</v>
      </c>
      <c r="E3128" t="s">
        <v>783</v>
      </c>
      <c r="G3128" t="s">
        <v>749</v>
      </c>
      <c r="H3128" t="s">
        <v>320</v>
      </c>
      <c r="J3128" t="s">
        <v>750</v>
      </c>
      <c r="L3128" t="s">
        <v>81</v>
      </c>
      <c r="M3128" t="s">
        <v>73</v>
      </c>
      <c r="R3128" t="s">
        <v>784</v>
      </c>
      <c r="W3128" t="s">
        <v>783</v>
      </c>
      <c r="X3128" t="s">
        <v>679</v>
      </c>
      <c r="Y3128" t="s">
        <v>91</v>
      </c>
      <c r="Z3128" t="s">
        <v>74</v>
      </c>
      <c r="AA3128" t="str">
        <f>"10032-7601"</f>
        <v>10032-7601</v>
      </c>
      <c r="AB3128" t="s">
        <v>75</v>
      </c>
      <c r="AC3128" t="s">
        <v>76</v>
      </c>
      <c r="AD3128" t="s">
        <v>73</v>
      </c>
      <c r="AE3128" t="s">
        <v>77</v>
      </c>
      <c r="AF3128" t="s">
        <v>2445</v>
      </c>
      <c r="AG3128" t="s">
        <v>78</v>
      </c>
    </row>
    <row r="3129" spans="1:33" hidden="1" x14ac:dyDescent="0.25">
      <c r="A3129" t="str">
        <f>"1962599035"</f>
        <v>1962599035</v>
      </c>
      <c r="B3129" t="str">
        <f>"02151866"</f>
        <v>02151866</v>
      </c>
      <c r="C3129" t="s">
        <v>12793</v>
      </c>
      <c r="D3129" t="s">
        <v>850</v>
      </c>
      <c r="E3129" t="s">
        <v>851</v>
      </c>
      <c r="G3129" t="s">
        <v>749</v>
      </c>
      <c r="H3129" t="s">
        <v>320</v>
      </c>
      <c r="J3129" t="s">
        <v>750</v>
      </c>
      <c r="L3129" t="s">
        <v>81</v>
      </c>
      <c r="M3129" t="s">
        <v>73</v>
      </c>
      <c r="R3129" t="s">
        <v>852</v>
      </c>
      <c r="W3129" t="s">
        <v>851</v>
      </c>
      <c r="X3129" t="s">
        <v>853</v>
      </c>
      <c r="Y3129" t="s">
        <v>91</v>
      </c>
      <c r="Z3129" t="s">
        <v>74</v>
      </c>
      <c r="AA3129" t="str">
        <f>"10021-4872"</f>
        <v>10021-4872</v>
      </c>
      <c r="AB3129" t="s">
        <v>75</v>
      </c>
      <c r="AC3129" t="s">
        <v>76</v>
      </c>
      <c r="AD3129" t="s">
        <v>73</v>
      </c>
      <c r="AE3129" t="s">
        <v>77</v>
      </c>
      <c r="AF3129" t="s">
        <v>2445</v>
      </c>
      <c r="AG3129" t="s">
        <v>78</v>
      </c>
    </row>
    <row r="3130" spans="1:33" hidden="1" x14ac:dyDescent="0.25">
      <c r="A3130" t="str">
        <f>"1083735500"</f>
        <v>1083735500</v>
      </c>
      <c r="B3130" t="str">
        <f>"02351568"</f>
        <v>02351568</v>
      </c>
      <c r="C3130" t="s">
        <v>12794</v>
      </c>
      <c r="D3130" t="s">
        <v>882</v>
      </c>
      <c r="E3130" t="s">
        <v>883</v>
      </c>
      <c r="G3130" t="s">
        <v>749</v>
      </c>
      <c r="H3130" t="s">
        <v>320</v>
      </c>
      <c r="J3130" t="s">
        <v>750</v>
      </c>
      <c r="L3130" t="s">
        <v>80</v>
      </c>
      <c r="M3130" t="s">
        <v>82</v>
      </c>
      <c r="R3130" t="s">
        <v>884</v>
      </c>
      <c r="W3130" t="s">
        <v>883</v>
      </c>
      <c r="X3130" t="s">
        <v>885</v>
      </c>
      <c r="Y3130" t="s">
        <v>91</v>
      </c>
      <c r="Z3130" t="s">
        <v>74</v>
      </c>
      <c r="AA3130" t="str">
        <f>"10034-6001"</f>
        <v>10034-6001</v>
      </c>
      <c r="AB3130" t="s">
        <v>107</v>
      </c>
      <c r="AC3130" t="s">
        <v>76</v>
      </c>
      <c r="AD3130" t="s">
        <v>73</v>
      </c>
      <c r="AE3130" t="s">
        <v>77</v>
      </c>
      <c r="AF3130" t="s">
        <v>2445</v>
      </c>
      <c r="AG3130" t="s">
        <v>78</v>
      </c>
    </row>
    <row r="3131" spans="1:33" hidden="1" x14ac:dyDescent="0.25">
      <c r="A3131" t="str">
        <f>"1053350579"</f>
        <v>1053350579</v>
      </c>
      <c r="B3131" t="str">
        <f>"02682084"</f>
        <v>02682084</v>
      </c>
      <c r="C3131" t="s">
        <v>12795</v>
      </c>
      <c r="D3131" t="s">
        <v>1054</v>
      </c>
      <c r="E3131" t="s">
        <v>1055</v>
      </c>
      <c r="G3131" t="s">
        <v>749</v>
      </c>
      <c r="H3131" t="s">
        <v>320</v>
      </c>
      <c r="J3131" t="s">
        <v>750</v>
      </c>
      <c r="L3131" t="s">
        <v>81</v>
      </c>
      <c r="M3131" t="s">
        <v>82</v>
      </c>
      <c r="R3131" t="s">
        <v>1056</v>
      </c>
      <c r="W3131" t="s">
        <v>1055</v>
      </c>
      <c r="X3131" t="s">
        <v>592</v>
      </c>
      <c r="Y3131" t="s">
        <v>155</v>
      </c>
      <c r="Z3131" t="s">
        <v>74</v>
      </c>
      <c r="AA3131" t="str">
        <f>"10701-1301"</f>
        <v>10701-1301</v>
      </c>
      <c r="AB3131" t="s">
        <v>75</v>
      </c>
      <c r="AC3131" t="s">
        <v>76</v>
      </c>
      <c r="AD3131" t="s">
        <v>73</v>
      </c>
      <c r="AE3131" t="s">
        <v>77</v>
      </c>
      <c r="AF3131" t="s">
        <v>2445</v>
      </c>
      <c r="AG3131" t="s">
        <v>78</v>
      </c>
    </row>
    <row r="3132" spans="1:33" hidden="1" x14ac:dyDescent="0.25">
      <c r="A3132" t="str">
        <f>"1104046002"</f>
        <v>1104046002</v>
      </c>
      <c r="B3132" t="str">
        <f>"02420060"</f>
        <v>02420060</v>
      </c>
      <c r="C3132" t="s">
        <v>12796</v>
      </c>
      <c r="D3132" t="s">
        <v>12797</v>
      </c>
      <c r="E3132" t="s">
        <v>12798</v>
      </c>
      <c r="G3132" t="s">
        <v>2224</v>
      </c>
      <c r="H3132" t="s">
        <v>2225</v>
      </c>
      <c r="J3132" t="s">
        <v>2226</v>
      </c>
      <c r="L3132" t="s">
        <v>81</v>
      </c>
      <c r="M3132" t="s">
        <v>82</v>
      </c>
      <c r="R3132" t="s">
        <v>12799</v>
      </c>
      <c r="W3132" t="s">
        <v>12798</v>
      </c>
      <c r="X3132" t="s">
        <v>12678</v>
      </c>
      <c r="Y3132" t="s">
        <v>91</v>
      </c>
      <c r="Z3132" t="s">
        <v>74</v>
      </c>
      <c r="AA3132" t="str">
        <f>"10032-3722"</f>
        <v>10032-3722</v>
      </c>
      <c r="AB3132" t="s">
        <v>75</v>
      </c>
      <c r="AC3132" t="s">
        <v>76</v>
      </c>
      <c r="AD3132" t="s">
        <v>73</v>
      </c>
      <c r="AE3132" t="s">
        <v>77</v>
      </c>
      <c r="AF3132" t="s">
        <v>2228</v>
      </c>
      <c r="AG3132" t="s">
        <v>78</v>
      </c>
    </row>
    <row r="3133" spans="1:33" hidden="1" x14ac:dyDescent="0.25">
      <c r="A3133" t="str">
        <f>"1063432656"</f>
        <v>1063432656</v>
      </c>
      <c r="B3133" t="str">
        <f>"02393488"</f>
        <v>02393488</v>
      </c>
      <c r="C3133" t="s">
        <v>12800</v>
      </c>
      <c r="D3133" t="s">
        <v>12801</v>
      </c>
      <c r="E3133" t="s">
        <v>12802</v>
      </c>
      <c r="G3133" t="s">
        <v>2224</v>
      </c>
      <c r="H3133" t="s">
        <v>2225</v>
      </c>
      <c r="J3133" t="s">
        <v>2226</v>
      </c>
      <c r="L3133" t="s">
        <v>80</v>
      </c>
      <c r="M3133" t="s">
        <v>73</v>
      </c>
      <c r="R3133" t="s">
        <v>12803</v>
      </c>
      <c r="W3133" t="s">
        <v>12802</v>
      </c>
      <c r="X3133" t="s">
        <v>179</v>
      </c>
      <c r="Y3133" t="s">
        <v>118</v>
      </c>
      <c r="Z3133" t="s">
        <v>74</v>
      </c>
      <c r="AA3133" t="str">
        <f>"10467-2403"</f>
        <v>10467-2403</v>
      </c>
      <c r="AB3133" t="s">
        <v>75</v>
      </c>
      <c r="AC3133" t="s">
        <v>76</v>
      </c>
      <c r="AD3133" t="s">
        <v>73</v>
      </c>
      <c r="AE3133" t="s">
        <v>77</v>
      </c>
      <c r="AF3133" t="s">
        <v>2242</v>
      </c>
      <c r="AG3133" t="s">
        <v>78</v>
      </c>
    </row>
    <row r="3134" spans="1:33" hidden="1" x14ac:dyDescent="0.25">
      <c r="A3134" t="str">
        <f>"1760538664"</f>
        <v>1760538664</v>
      </c>
      <c r="B3134" t="str">
        <f>"01844935"</f>
        <v>01844935</v>
      </c>
      <c r="C3134" t="s">
        <v>12804</v>
      </c>
      <c r="D3134" t="s">
        <v>12805</v>
      </c>
      <c r="E3134" t="s">
        <v>12806</v>
      </c>
      <c r="G3134" t="s">
        <v>2224</v>
      </c>
      <c r="H3134" t="s">
        <v>2225</v>
      </c>
      <c r="J3134" t="s">
        <v>2226</v>
      </c>
      <c r="L3134" t="s">
        <v>81</v>
      </c>
      <c r="M3134" t="s">
        <v>73</v>
      </c>
      <c r="R3134" t="s">
        <v>12807</v>
      </c>
      <c r="W3134" t="s">
        <v>12806</v>
      </c>
      <c r="X3134" t="s">
        <v>170</v>
      </c>
      <c r="Y3134" t="s">
        <v>91</v>
      </c>
      <c r="Z3134" t="s">
        <v>74</v>
      </c>
      <c r="AA3134" t="str">
        <f>"10065-4870"</f>
        <v>10065-4870</v>
      </c>
      <c r="AB3134" t="s">
        <v>75</v>
      </c>
      <c r="AC3134" t="s">
        <v>76</v>
      </c>
      <c r="AD3134" t="s">
        <v>73</v>
      </c>
      <c r="AE3134" t="s">
        <v>77</v>
      </c>
      <c r="AF3134" t="s">
        <v>2242</v>
      </c>
      <c r="AG3134" t="s">
        <v>78</v>
      </c>
    </row>
    <row r="3135" spans="1:33" hidden="1" x14ac:dyDescent="0.25">
      <c r="A3135" t="str">
        <f>"1720161904"</f>
        <v>1720161904</v>
      </c>
      <c r="B3135" t="str">
        <f>"01712367"</f>
        <v>01712367</v>
      </c>
      <c r="C3135" t="s">
        <v>12808</v>
      </c>
      <c r="D3135" t="s">
        <v>12809</v>
      </c>
      <c r="E3135" t="s">
        <v>12810</v>
      </c>
      <c r="G3135" t="s">
        <v>2224</v>
      </c>
      <c r="H3135" t="s">
        <v>7915</v>
      </c>
      <c r="J3135" t="s">
        <v>2226</v>
      </c>
      <c r="L3135" t="s">
        <v>72</v>
      </c>
      <c r="M3135" t="s">
        <v>73</v>
      </c>
      <c r="R3135" t="s">
        <v>12811</v>
      </c>
      <c r="W3135" t="s">
        <v>12810</v>
      </c>
      <c r="X3135" t="s">
        <v>167</v>
      </c>
      <c r="Y3135" t="s">
        <v>91</v>
      </c>
      <c r="Z3135" t="s">
        <v>74</v>
      </c>
      <c r="AA3135" t="str">
        <f>"10032-3720"</f>
        <v>10032-3720</v>
      </c>
      <c r="AB3135" t="s">
        <v>75</v>
      </c>
      <c r="AC3135" t="s">
        <v>76</v>
      </c>
      <c r="AD3135" t="s">
        <v>73</v>
      </c>
      <c r="AE3135" t="s">
        <v>77</v>
      </c>
      <c r="AF3135" t="s">
        <v>2228</v>
      </c>
      <c r="AG3135" t="s">
        <v>78</v>
      </c>
    </row>
    <row r="3136" spans="1:33" hidden="1" x14ac:dyDescent="0.25">
      <c r="A3136" t="str">
        <f>"1922004860"</f>
        <v>1922004860</v>
      </c>
      <c r="B3136" t="str">
        <f>"00708181"</f>
        <v>00708181</v>
      </c>
      <c r="C3136" t="s">
        <v>399</v>
      </c>
      <c r="D3136" t="s">
        <v>400</v>
      </c>
      <c r="E3136" t="s">
        <v>401</v>
      </c>
      <c r="G3136" t="s">
        <v>5513</v>
      </c>
      <c r="H3136" t="s">
        <v>338</v>
      </c>
      <c r="J3136" t="s">
        <v>339</v>
      </c>
      <c r="L3136" t="s">
        <v>101</v>
      </c>
      <c r="M3136" t="s">
        <v>82</v>
      </c>
      <c r="R3136" t="s">
        <v>402</v>
      </c>
      <c r="W3136" t="s">
        <v>401</v>
      </c>
      <c r="X3136" t="s">
        <v>403</v>
      </c>
      <c r="Y3136" t="s">
        <v>84</v>
      </c>
      <c r="Z3136" t="s">
        <v>74</v>
      </c>
      <c r="AA3136" t="str">
        <f>"11235-2328"</f>
        <v>11235-2328</v>
      </c>
      <c r="AB3136" t="s">
        <v>102</v>
      </c>
      <c r="AC3136" t="s">
        <v>76</v>
      </c>
      <c r="AD3136" t="s">
        <v>73</v>
      </c>
      <c r="AE3136" t="s">
        <v>77</v>
      </c>
      <c r="AG3136" t="s">
        <v>78</v>
      </c>
    </row>
    <row r="3137" spans="1:33" hidden="1" x14ac:dyDescent="0.25">
      <c r="A3137" t="str">
        <f>"1396756524"</f>
        <v>1396756524</v>
      </c>
      <c r="B3137" t="str">
        <f>"02023403"</f>
        <v>02023403</v>
      </c>
      <c r="C3137" t="s">
        <v>12812</v>
      </c>
      <c r="D3137" t="s">
        <v>395</v>
      </c>
      <c r="E3137" t="s">
        <v>394</v>
      </c>
      <c r="G3137" t="s">
        <v>1305</v>
      </c>
      <c r="H3137" t="s">
        <v>12813</v>
      </c>
      <c r="J3137" t="s">
        <v>6327</v>
      </c>
      <c r="L3137" t="s">
        <v>134</v>
      </c>
      <c r="M3137" t="s">
        <v>73</v>
      </c>
      <c r="R3137" t="s">
        <v>396</v>
      </c>
      <c r="W3137" t="s">
        <v>394</v>
      </c>
      <c r="X3137" t="s">
        <v>361</v>
      </c>
      <c r="Y3137" t="s">
        <v>118</v>
      </c>
      <c r="Z3137" t="s">
        <v>74</v>
      </c>
      <c r="AA3137" t="str">
        <f>"10461-2300"</f>
        <v>10461-2300</v>
      </c>
      <c r="AB3137" t="s">
        <v>110</v>
      </c>
      <c r="AC3137" t="s">
        <v>76</v>
      </c>
      <c r="AD3137" t="s">
        <v>73</v>
      </c>
      <c r="AE3137" t="s">
        <v>77</v>
      </c>
      <c r="AG3137" t="s">
        <v>78</v>
      </c>
    </row>
    <row r="3138" spans="1:33" hidden="1" x14ac:dyDescent="0.25">
      <c r="A3138" t="str">
        <f>"1891716262"</f>
        <v>1891716262</v>
      </c>
      <c r="B3138" t="str">
        <f>"01768309"</f>
        <v>01768309</v>
      </c>
      <c r="C3138" t="s">
        <v>12814</v>
      </c>
      <c r="D3138" t="s">
        <v>12815</v>
      </c>
      <c r="E3138" t="s">
        <v>12816</v>
      </c>
      <c r="G3138" t="s">
        <v>2224</v>
      </c>
      <c r="H3138" t="s">
        <v>2225</v>
      </c>
      <c r="J3138" t="s">
        <v>2226</v>
      </c>
      <c r="L3138" t="s">
        <v>72</v>
      </c>
      <c r="M3138" t="s">
        <v>73</v>
      </c>
      <c r="R3138" t="s">
        <v>12817</v>
      </c>
      <c r="W3138" t="s">
        <v>12816</v>
      </c>
      <c r="X3138" t="s">
        <v>347</v>
      </c>
      <c r="Y3138" t="s">
        <v>91</v>
      </c>
      <c r="Z3138" t="s">
        <v>74</v>
      </c>
      <c r="AA3138" t="str">
        <f>"10032-3724"</f>
        <v>10032-3724</v>
      </c>
      <c r="AB3138" t="s">
        <v>75</v>
      </c>
      <c r="AC3138" t="s">
        <v>76</v>
      </c>
      <c r="AD3138" t="s">
        <v>73</v>
      </c>
      <c r="AE3138" t="s">
        <v>77</v>
      </c>
      <c r="AF3138" t="s">
        <v>2254</v>
      </c>
      <c r="AG3138" t="s">
        <v>78</v>
      </c>
    </row>
    <row r="3139" spans="1:33" hidden="1" x14ac:dyDescent="0.25">
      <c r="C3139" t="s">
        <v>2174</v>
      </c>
      <c r="G3139" t="s">
        <v>1481</v>
      </c>
      <c r="H3139" t="s">
        <v>1482</v>
      </c>
      <c r="J3139" t="s">
        <v>1483</v>
      </c>
      <c r="K3139" t="s">
        <v>105</v>
      </c>
      <c r="L3139" t="s">
        <v>94</v>
      </c>
      <c r="M3139" t="s">
        <v>73</v>
      </c>
      <c r="N3139" t="s">
        <v>12818</v>
      </c>
      <c r="O3139" t="s">
        <v>146</v>
      </c>
      <c r="P3139" t="s">
        <v>74</v>
      </c>
      <c r="Q3139" t="str">
        <f>"10003"</f>
        <v>10003</v>
      </c>
      <c r="AC3139" t="s">
        <v>76</v>
      </c>
      <c r="AD3139" t="s">
        <v>73</v>
      </c>
      <c r="AE3139" t="s">
        <v>95</v>
      </c>
      <c r="AG3139" t="s">
        <v>78</v>
      </c>
    </row>
    <row r="3140" spans="1:33" hidden="1" x14ac:dyDescent="0.25">
      <c r="A3140" t="str">
        <f>"1083836894"</f>
        <v>1083836894</v>
      </c>
      <c r="B3140" t="str">
        <f>"03266502"</f>
        <v>03266502</v>
      </c>
      <c r="C3140" t="s">
        <v>1893</v>
      </c>
      <c r="D3140" t="s">
        <v>1892</v>
      </c>
      <c r="E3140" t="s">
        <v>1893</v>
      </c>
      <c r="L3140" t="s">
        <v>81</v>
      </c>
      <c r="M3140" t="s">
        <v>82</v>
      </c>
      <c r="R3140" t="s">
        <v>1893</v>
      </c>
      <c r="W3140" t="s">
        <v>1893</v>
      </c>
      <c r="X3140" t="s">
        <v>1894</v>
      </c>
      <c r="Y3140" t="s">
        <v>84</v>
      </c>
      <c r="Z3140" t="s">
        <v>74</v>
      </c>
      <c r="AA3140" t="str">
        <f>"11215-4802"</f>
        <v>11215-4802</v>
      </c>
      <c r="AB3140" t="s">
        <v>75</v>
      </c>
      <c r="AC3140" t="s">
        <v>76</v>
      </c>
      <c r="AD3140" t="s">
        <v>73</v>
      </c>
      <c r="AE3140" t="s">
        <v>77</v>
      </c>
      <c r="AF3140" t="s">
        <v>12819</v>
      </c>
      <c r="AG3140" t="s">
        <v>78</v>
      </c>
    </row>
    <row r="3141" spans="1:33" hidden="1" x14ac:dyDescent="0.25">
      <c r="A3141" t="str">
        <f>"1225230154"</f>
        <v>1225230154</v>
      </c>
      <c r="B3141" t="str">
        <f>"03427745"</f>
        <v>03427745</v>
      </c>
      <c r="C3141" t="s">
        <v>1973</v>
      </c>
      <c r="D3141" t="s">
        <v>1974</v>
      </c>
      <c r="E3141" t="s">
        <v>1975</v>
      </c>
      <c r="L3141" t="s">
        <v>80</v>
      </c>
      <c r="M3141" t="s">
        <v>82</v>
      </c>
      <c r="R3141" t="s">
        <v>1973</v>
      </c>
      <c r="W3141" t="s">
        <v>1975</v>
      </c>
      <c r="X3141" t="s">
        <v>1571</v>
      </c>
      <c r="Y3141" t="s">
        <v>84</v>
      </c>
      <c r="Z3141" t="s">
        <v>74</v>
      </c>
      <c r="AA3141" t="str">
        <f>"11220-3529"</f>
        <v>11220-3529</v>
      </c>
      <c r="AB3141" t="s">
        <v>75</v>
      </c>
      <c r="AC3141" t="s">
        <v>76</v>
      </c>
      <c r="AD3141" t="s">
        <v>73</v>
      </c>
      <c r="AE3141" t="s">
        <v>77</v>
      </c>
      <c r="AF3141" t="s">
        <v>12819</v>
      </c>
      <c r="AG3141" t="s">
        <v>78</v>
      </c>
    </row>
    <row r="3142" spans="1:33" hidden="1" x14ac:dyDescent="0.25">
      <c r="A3142" t="str">
        <f>"1942520424"</f>
        <v>1942520424</v>
      </c>
      <c r="B3142" t="str">
        <f>"03662508"</f>
        <v>03662508</v>
      </c>
      <c r="C3142" t="s">
        <v>1543</v>
      </c>
      <c r="D3142" t="s">
        <v>1541</v>
      </c>
      <c r="E3142" t="s">
        <v>1542</v>
      </c>
      <c r="L3142" t="s">
        <v>81</v>
      </c>
      <c r="M3142" t="s">
        <v>73</v>
      </c>
      <c r="R3142" t="s">
        <v>1543</v>
      </c>
      <c r="W3142" t="s">
        <v>1542</v>
      </c>
      <c r="X3142" t="s">
        <v>1537</v>
      </c>
      <c r="Y3142" t="s">
        <v>91</v>
      </c>
      <c r="Z3142" t="s">
        <v>74</v>
      </c>
      <c r="AA3142" t="str">
        <f>"10038-4737"</f>
        <v>10038-4737</v>
      </c>
      <c r="AB3142" t="s">
        <v>75</v>
      </c>
      <c r="AC3142" t="s">
        <v>76</v>
      </c>
      <c r="AD3142" t="s">
        <v>73</v>
      </c>
      <c r="AE3142" t="s">
        <v>77</v>
      </c>
      <c r="AF3142" t="s">
        <v>12819</v>
      </c>
      <c r="AG3142" t="s">
        <v>78</v>
      </c>
    </row>
    <row r="3143" spans="1:33" hidden="1" x14ac:dyDescent="0.25">
      <c r="A3143" t="str">
        <f>"1053746586"</f>
        <v>1053746586</v>
      </c>
      <c r="B3143" t="str">
        <f>"04048142"</f>
        <v>04048142</v>
      </c>
      <c r="C3143" t="s">
        <v>12820</v>
      </c>
      <c r="D3143" t="s">
        <v>12821</v>
      </c>
      <c r="E3143" t="s">
        <v>12822</v>
      </c>
      <c r="L3143" t="s">
        <v>80</v>
      </c>
      <c r="M3143" t="s">
        <v>73</v>
      </c>
      <c r="R3143" t="s">
        <v>12820</v>
      </c>
      <c r="W3143" t="s">
        <v>12822</v>
      </c>
      <c r="X3143" t="s">
        <v>1537</v>
      </c>
      <c r="Y3143" t="s">
        <v>91</v>
      </c>
      <c r="Z3143" t="s">
        <v>74</v>
      </c>
      <c r="AA3143" t="str">
        <f>"10038-4737"</f>
        <v>10038-4737</v>
      </c>
      <c r="AB3143" t="s">
        <v>75</v>
      </c>
      <c r="AC3143" t="s">
        <v>76</v>
      </c>
      <c r="AD3143" t="s">
        <v>73</v>
      </c>
      <c r="AE3143" t="s">
        <v>77</v>
      </c>
      <c r="AF3143" t="s">
        <v>12819</v>
      </c>
      <c r="AG3143" t="s">
        <v>78</v>
      </c>
    </row>
    <row r="3144" spans="1:33" hidden="1" x14ac:dyDescent="0.25">
      <c r="A3144" t="str">
        <f>"1407014640"</f>
        <v>1407014640</v>
      </c>
      <c r="B3144" t="str">
        <f>"03260666"</f>
        <v>03260666</v>
      </c>
      <c r="C3144" t="s">
        <v>12823</v>
      </c>
      <c r="D3144" t="s">
        <v>12824</v>
      </c>
      <c r="E3144" t="s">
        <v>12825</v>
      </c>
      <c r="L3144" t="s">
        <v>129</v>
      </c>
      <c r="M3144" t="s">
        <v>82</v>
      </c>
      <c r="R3144" t="s">
        <v>12823</v>
      </c>
      <c r="W3144" t="s">
        <v>12825</v>
      </c>
      <c r="X3144" t="s">
        <v>1537</v>
      </c>
      <c r="Y3144" t="s">
        <v>91</v>
      </c>
      <c r="Z3144" t="s">
        <v>74</v>
      </c>
      <c r="AA3144" t="str">
        <f>"10038-4812"</f>
        <v>10038-4812</v>
      </c>
      <c r="AB3144" t="s">
        <v>75</v>
      </c>
      <c r="AC3144" t="s">
        <v>76</v>
      </c>
      <c r="AD3144" t="s">
        <v>73</v>
      </c>
      <c r="AE3144" t="s">
        <v>77</v>
      </c>
      <c r="AF3144" t="s">
        <v>12819</v>
      </c>
      <c r="AG3144" t="s">
        <v>78</v>
      </c>
    </row>
    <row r="3145" spans="1:33" hidden="1" x14ac:dyDescent="0.25">
      <c r="A3145" t="str">
        <f>"1548453152"</f>
        <v>1548453152</v>
      </c>
      <c r="B3145" t="str">
        <f>"03735059"</f>
        <v>03735059</v>
      </c>
      <c r="C3145" t="s">
        <v>1536</v>
      </c>
      <c r="D3145" t="s">
        <v>1534</v>
      </c>
      <c r="E3145" t="s">
        <v>1535</v>
      </c>
      <c r="L3145" t="s">
        <v>129</v>
      </c>
      <c r="M3145" t="s">
        <v>73</v>
      </c>
      <c r="R3145" t="s">
        <v>1536</v>
      </c>
      <c r="W3145" t="s">
        <v>1535</v>
      </c>
      <c r="X3145" t="s">
        <v>1537</v>
      </c>
      <c r="Y3145" t="s">
        <v>91</v>
      </c>
      <c r="Z3145" t="s">
        <v>74</v>
      </c>
      <c r="AA3145" t="str">
        <f>"10038-4737"</f>
        <v>10038-4737</v>
      </c>
      <c r="AB3145" t="s">
        <v>75</v>
      </c>
      <c r="AC3145" t="s">
        <v>76</v>
      </c>
      <c r="AD3145" t="s">
        <v>73</v>
      </c>
      <c r="AE3145" t="s">
        <v>77</v>
      </c>
      <c r="AF3145" t="s">
        <v>12819</v>
      </c>
      <c r="AG3145" t="s">
        <v>78</v>
      </c>
    </row>
    <row r="3146" spans="1:33" hidden="1" x14ac:dyDescent="0.25">
      <c r="A3146" t="str">
        <f>"1629431648"</f>
        <v>1629431648</v>
      </c>
      <c r="C3146" t="s">
        <v>12826</v>
      </c>
      <c r="G3146" t="s">
        <v>2224</v>
      </c>
      <c r="H3146" t="s">
        <v>2225</v>
      </c>
      <c r="J3146" t="s">
        <v>2226</v>
      </c>
      <c r="K3146" t="s">
        <v>93</v>
      </c>
      <c r="L3146" t="s">
        <v>96</v>
      </c>
      <c r="M3146" t="s">
        <v>73</v>
      </c>
      <c r="R3146" t="s">
        <v>12827</v>
      </c>
      <c r="S3146" t="s">
        <v>7459</v>
      </c>
      <c r="T3146" t="s">
        <v>91</v>
      </c>
      <c r="U3146" t="s">
        <v>74</v>
      </c>
      <c r="V3146" t="str">
        <f>"100214872"</f>
        <v>100214872</v>
      </c>
      <c r="AC3146" t="s">
        <v>76</v>
      </c>
      <c r="AD3146" t="s">
        <v>73</v>
      </c>
      <c r="AE3146" t="s">
        <v>97</v>
      </c>
      <c r="AF3146" t="s">
        <v>2398</v>
      </c>
      <c r="AG3146" t="s">
        <v>78</v>
      </c>
    </row>
    <row r="3147" spans="1:33" hidden="1" x14ac:dyDescent="0.25">
      <c r="A3147" t="str">
        <f>"1528453818"</f>
        <v>1528453818</v>
      </c>
      <c r="C3147" t="s">
        <v>12828</v>
      </c>
      <c r="G3147" t="s">
        <v>2224</v>
      </c>
      <c r="H3147" t="s">
        <v>2225</v>
      </c>
      <c r="J3147" t="s">
        <v>2226</v>
      </c>
      <c r="K3147" t="s">
        <v>93</v>
      </c>
      <c r="L3147" t="s">
        <v>96</v>
      </c>
      <c r="M3147" t="s">
        <v>73</v>
      </c>
      <c r="R3147" t="s">
        <v>12829</v>
      </c>
      <c r="S3147" t="s">
        <v>12830</v>
      </c>
      <c r="T3147" t="s">
        <v>91</v>
      </c>
      <c r="U3147" t="s">
        <v>74</v>
      </c>
      <c r="V3147" t="str">
        <f>"100323720"</f>
        <v>100323720</v>
      </c>
      <c r="AC3147" t="s">
        <v>76</v>
      </c>
      <c r="AD3147" t="s">
        <v>73</v>
      </c>
      <c r="AE3147" t="s">
        <v>97</v>
      </c>
      <c r="AF3147" t="s">
        <v>2254</v>
      </c>
      <c r="AG3147" t="s">
        <v>78</v>
      </c>
    </row>
    <row r="3148" spans="1:33" hidden="1" x14ac:dyDescent="0.25">
      <c r="A3148" t="str">
        <f>"1609261999"</f>
        <v>1609261999</v>
      </c>
      <c r="C3148" t="s">
        <v>12831</v>
      </c>
      <c r="G3148" t="s">
        <v>2224</v>
      </c>
      <c r="H3148" t="s">
        <v>2225</v>
      </c>
      <c r="J3148" t="s">
        <v>2226</v>
      </c>
      <c r="K3148" t="s">
        <v>93</v>
      </c>
      <c r="L3148" t="s">
        <v>96</v>
      </c>
      <c r="M3148" t="s">
        <v>73</v>
      </c>
      <c r="R3148" t="s">
        <v>12832</v>
      </c>
      <c r="S3148" t="s">
        <v>12833</v>
      </c>
      <c r="T3148" t="s">
        <v>91</v>
      </c>
      <c r="U3148" t="s">
        <v>74</v>
      </c>
      <c r="V3148" t="str">
        <f>"100654870"</f>
        <v>100654870</v>
      </c>
      <c r="AC3148" t="s">
        <v>76</v>
      </c>
      <c r="AD3148" t="s">
        <v>73</v>
      </c>
      <c r="AE3148" t="s">
        <v>97</v>
      </c>
      <c r="AF3148" t="s">
        <v>2398</v>
      </c>
      <c r="AG3148" t="s">
        <v>78</v>
      </c>
    </row>
    <row r="3149" spans="1:33" hidden="1" x14ac:dyDescent="0.25">
      <c r="A3149" t="str">
        <f>"1720496607"</f>
        <v>1720496607</v>
      </c>
      <c r="C3149" t="s">
        <v>12834</v>
      </c>
      <c r="G3149" t="s">
        <v>2224</v>
      </c>
      <c r="H3149" t="s">
        <v>2225</v>
      </c>
      <c r="J3149" t="s">
        <v>2226</v>
      </c>
      <c r="K3149" t="s">
        <v>93</v>
      </c>
      <c r="L3149" t="s">
        <v>96</v>
      </c>
      <c r="M3149" t="s">
        <v>73</v>
      </c>
      <c r="R3149" t="s">
        <v>12835</v>
      </c>
      <c r="S3149" t="s">
        <v>12836</v>
      </c>
      <c r="T3149" t="s">
        <v>501</v>
      </c>
      <c r="U3149" t="s">
        <v>111</v>
      </c>
      <c r="V3149" t="str">
        <f>"011991001"</f>
        <v>011991001</v>
      </c>
      <c r="AC3149" t="s">
        <v>76</v>
      </c>
      <c r="AD3149" t="s">
        <v>73</v>
      </c>
      <c r="AE3149" t="s">
        <v>97</v>
      </c>
      <c r="AF3149" t="s">
        <v>2398</v>
      </c>
      <c r="AG3149" t="s">
        <v>78</v>
      </c>
    </row>
    <row r="3150" spans="1:33" hidden="1" x14ac:dyDescent="0.25">
      <c r="A3150" t="str">
        <f>"1174914543"</f>
        <v>1174914543</v>
      </c>
      <c r="C3150" t="s">
        <v>12837</v>
      </c>
      <c r="G3150" t="s">
        <v>2224</v>
      </c>
      <c r="H3150" t="s">
        <v>2225</v>
      </c>
      <c r="J3150" t="s">
        <v>2226</v>
      </c>
      <c r="K3150" t="s">
        <v>93</v>
      </c>
      <c r="L3150" t="s">
        <v>96</v>
      </c>
      <c r="M3150" t="s">
        <v>73</v>
      </c>
      <c r="R3150" t="s">
        <v>12838</v>
      </c>
      <c r="S3150" t="s">
        <v>7459</v>
      </c>
      <c r="T3150" t="s">
        <v>91</v>
      </c>
      <c r="U3150" t="s">
        <v>74</v>
      </c>
      <c r="V3150" t="str">
        <f>"100214872"</f>
        <v>100214872</v>
      </c>
      <c r="AC3150" t="s">
        <v>76</v>
      </c>
      <c r="AD3150" t="s">
        <v>73</v>
      </c>
      <c r="AE3150" t="s">
        <v>97</v>
      </c>
      <c r="AF3150" t="s">
        <v>2398</v>
      </c>
      <c r="AG3150" t="s">
        <v>78</v>
      </c>
    </row>
    <row r="3151" spans="1:33" hidden="1" x14ac:dyDescent="0.25">
      <c r="A3151" t="str">
        <f>"1134583560"</f>
        <v>1134583560</v>
      </c>
      <c r="C3151" t="s">
        <v>12839</v>
      </c>
      <c r="G3151" t="s">
        <v>2224</v>
      </c>
      <c r="H3151" t="s">
        <v>2225</v>
      </c>
      <c r="J3151" t="s">
        <v>2226</v>
      </c>
      <c r="K3151" t="s">
        <v>93</v>
      </c>
      <c r="L3151" t="s">
        <v>96</v>
      </c>
      <c r="M3151" t="s">
        <v>73</v>
      </c>
      <c r="R3151" t="s">
        <v>12840</v>
      </c>
      <c r="S3151" t="s">
        <v>236</v>
      </c>
      <c r="T3151" t="s">
        <v>91</v>
      </c>
      <c r="U3151" t="s">
        <v>74</v>
      </c>
      <c r="V3151" t="str">
        <f>"100341159"</f>
        <v>100341159</v>
      </c>
      <c r="AC3151" t="s">
        <v>76</v>
      </c>
      <c r="AD3151" t="s">
        <v>73</v>
      </c>
      <c r="AE3151" t="s">
        <v>97</v>
      </c>
      <c r="AF3151" t="s">
        <v>2398</v>
      </c>
      <c r="AG3151" t="s">
        <v>78</v>
      </c>
    </row>
    <row r="3152" spans="1:33" hidden="1" x14ac:dyDescent="0.25">
      <c r="A3152" t="str">
        <f>"1932562766"</f>
        <v>1932562766</v>
      </c>
      <c r="C3152" t="s">
        <v>12841</v>
      </c>
      <c r="G3152" t="s">
        <v>2224</v>
      </c>
      <c r="H3152" t="s">
        <v>2225</v>
      </c>
      <c r="J3152" t="s">
        <v>2226</v>
      </c>
      <c r="K3152" t="s">
        <v>93</v>
      </c>
      <c r="L3152" t="s">
        <v>96</v>
      </c>
      <c r="M3152" t="s">
        <v>73</v>
      </c>
      <c r="R3152" t="s">
        <v>12842</v>
      </c>
      <c r="S3152" t="s">
        <v>12843</v>
      </c>
      <c r="T3152" t="s">
        <v>91</v>
      </c>
      <c r="U3152" t="s">
        <v>74</v>
      </c>
      <c r="V3152" t="str">
        <f>"100654870"</f>
        <v>100654870</v>
      </c>
      <c r="AC3152" t="s">
        <v>76</v>
      </c>
      <c r="AD3152" t="s">
        <v>73</v>
      </c>
      <c r="AE3152" t="s">
        <v>97</v>
      </c>
      <c r="AF3152" t="s">
        <v>2398</v>
      </c>
      <c r="AG3152" t="s">
        <v>78</v>
      </c>
    </row>
    <row r="3153" spans="1:33" hidden="1" x14ac:dyDescent="0.25">
      <c r="A3153" t="str">
        <f>"1679935019"</f>
        <v>1679935019</v>
      </c>
      <c r="C3153" t="s">
        <v>12844</v>
      </c>
      <c r="G3153" t="s">
        <v>2224</v>
      </c>
      <c r="H3153" t="s">
        <v>2225</v>
      </c>
      <c r="J3153" t="s">
        <v>2226</v>
      </c>
      <c r="K3153" t="s">
        <v>93</v>
      </c>
      <c r="L3153" t="s">
        <v>96</v>
      </c>
      <c r="M3153" t="s">
        <v>73</v>
      </c>
      <c r="R3153" t="s">
        <v>12845</v>
      </c>
      <c r="S3153" t="s">
        <v>628</v>
      </c>
      <c r="T3153" t="s">
        <v>91</v>
      </c>
      <c r="U3153" t="s">
        <v>74</v>
      </c>
      <c r="V3153" t="str">
        <f>"100214872"</f>
        <v>100214872</v>
      </c>
      <c r="AC3153" t="s">
        <v>76</v>
      </c>
      <c r="AD3153" t="s">
        <v>73</v>
      </c>
      <c r="AE3153" t="s">
        <v>97</v>
      </c>
      <c r="AF3153" t="s">
        <v>2398</v>
      </c>
      <c r="AG3153" t="s">
        <v>78</v>
      </c>
    </row>
    <row r="3154" spans="1:33" hidden="1" x14ac:dyDescent="0.25">
      <c r="A3154" t="str">
        <f>"1235592080"</f>
        <v>1235592080</v>
      </c>
      <c r="C3154" t="s">
        <v>12846</v>
      </c>
      <c r="G3154" t="s">
        <v>2224</v>
      </c>
      <c r="H3154" t="s">
        <v>2225</v>
      </c>
      <c r="J3154" t="s">
        <v>2226</v>
      </c>
      <c r="K3154" t="s">
        <v>93</v>
      </c>
      <c r="L3154" t="s">
        <v>96</v>
      </c>
      <c r="M3154" t="s">
        <v>73</v>
      </c>
      <c r="R3154" t="s">
        <v>12847</v>
      </c>
      <c r="S3154" t="s">
        <v>167</v>
      </c>
      <c r="T3154" t="s">
        <v>91</v>
      </c>
      <c r="U3154" t="s">
        <v>74</v>
      </c>
      <c r="V3154" t="str">
        <f>"100323720"</f>
        <v>100323720</v>
      </c>
      <c r="AC3154" t="s">
        <v>76</v>
      </c>
      <c r="AD3154" t="s">
        <v>73</v>
      </c>
      <c r="AE3154" t="s">
        <v>97</v>
      </c>
      <c r="AF3154" t="s">
        <v>2254</v>
      </c>
      <c r="AG3154" t="s">
        <v>78</v>
      </c>
    </row>
    <row r="3155" spans="1:33" hidden="1" x14ac:dyDescent="0.25">
      <c r="A3155" t="str">
        <f>"1811316714"</f>
        <v>1811316714</v>
      </c>
      <c r="C3155" t="s">
        <v>12848</v>
      </c>
      <c r="G3155" t="s">
        <v>2224</v>
      </c>
      <c r="H3155" t="s">
        <v>2225</v>
      </c>
      <c r="J3155" t="s">
        <v>2226</v>
      </c>
      <c r="K3155" t="s">
        <v>93</v>
      </c>
      <c r="L3155" t="s">
        <v>96</v>
      </c>
      <c r="M3155" t="s">
        <v>73</v>
      </c>
      <c r="R3155" t="s">
        <v>12849</v>
      </c>
      <c r="S3155" t="s">
        <v>12850</v>
      </c>
      <c r="T3155" t="s">
        <v>91</v>
      </c>
      <c r="U3155" t="s">
        <v>74</v>
      </c>
      <c r="V3155" t="str">
        <f>"100215354"</f>
        <v>100215354</v>
      </c>
      <c r="AC3155" t="s">
        <v>76</v>
      </c>
      <c r="AD3155" t="s">
        <v>73</v>
      </c>
      <c r="AE3155" t="s">
        <v>97</v>
      </c>
      <c r="AF3155" t="s">
        <v>2254</v>
      </c>
      <c r="AG3155" t="s">
        <v>78</v>
      </c>
    </row>
    <row r="3156" spans="1:33" hidden="1" x14ac:dyDescent="0.25">
      <c r="A3156" t="str">
        <f>"1104272814"</f>
        <v>1104272814</v>
      </c>
      <c r="C3156" t="s">
        <v>12851</v>
      </c>
      <c r="G3156" t="s">
        <v>2224</v>
      </c>
      <c r="H3156" t="s">
        <v>2225</v>
      </c>
      <c r="J3156" t="s">
        <v>2226</v>
      </c>
      <c r="K3156" t="s">
        <v>93</v>
      </c>
      <c r="L3156" t="s">
        <v>96</v>
      </c>
      <c r="M3156" t="s">
        <v>73</v>
      </c>
      <c r="R3156" t="s">
        <v>12852</v>
      </c>
      <c r="S3156" t="s">
        <v>12853</v>
      </c>
      <c r="T3156" t="s">
        <v>91</v>
      </c>
      <c r="U3156" t="s">
        <v>74</v>
      </c>
      <c r="V3156" t="str">
        <f>"100323720"</f>
        <v>100323720</v>
      </c>
      <c r="AC3156" t="s">
        <v>76</v>
      </c>
      <c r="AD3156" t="s">
        <v>73</v>
      </c>
      <c r="AE3156" t="s">
        <v>97</v>
      </c>
      <c r="AF3156" t="s">
        <v>2254</v>
      </c>
      <c r="AG3156" t="s">
        <v>78</v>
      </c>
    </row>
    <row r="3157" spans="1:33" hidden="1" x14ac:dyDescent="0.25">
      <c r="A3157" t="str">
        <f>"1760802821"</f>
        <v>1760802821</v>
      </c>
      <c r="C3157" t="s">
        <v>12854</v>
      </c>
      <c r="G3157" t="s">
        <v>2224</v>
      </c>
      <c r="H3157" t="s">
        <v>2225</v>
      </c>
      <c r="J3157" t="s">
        <v>2226</v>
      </c>
      <c r="K3157" t="s">
        <v>93</v>
      </c>
      <c r="L3157" t="s">
        <v>96</v>
      </c>
      <c r="M3157" t="s">
        <v>73</v>
      </c>
      <c r="R3157" t="s">
        <v>12855</v>
      </c>
      <c r="S3157" t="s">
        <v>410</v>
      </c>
      <c r="T3157" t="s">
        <v>91</v>
      </c>
      <c r="U3157" t="s">
        <v>74</v>
      </c>
      <c r="V3157" t="str">
        <f>"100321559"</f>
        <v>100321559</v>
      </c>
      <c r="AC3157" t="s">
        <v>76</v>
      </c>
      <c r="AD3157" t="s">
        <v>73</v>
      </c>
      <c r="AE3157" t="s">
        <v>97</v>
      </c>
      <c r="AF3157" t="s">
        <v>2254</v>
      </c>
      <c r="AG3157" t="s">
        <v>78</v>
      </c>
    </row>
    <row r="3158" spans="1:33" hidden="1" x14ac:dyDescent="0.25">
      <c r="A3158" t="str">
        <f>"1083009971"</f>
        <v>1083009971</v>
      </c>
      <c r="C3158" t="s">
        <v>12856</v>
      </c>
      <c r="G3158" t="s">
        <v>2224</v>
      </c>
      <c r="H3158" t="s">
        <v>2225</v>
      </c>
      <c r="J3158" t="s">
        <v>2226</v>
      </c>
      <c r="K3158" t="s">
        <v>93</v>
      </c>
      <c r="L3158" t="s">
        <v>96</v>
      </c>
      <c r="M3158" t="s">
        <v>73</v>
      </c>
      <c r="R3158" t="s">
        <v>12857</v>
      </c>
      <c r="S3158" t="s">
        <v>410</v>
      </c>
      <c r="T3158" t="s">
        <v>91</v>
      </c>
      <c r="U3158" t="s">
        <v>74</v>
      </c>
      <c r="V3158" t="str">
        <f>"100321559"</f>
        <v>100321559</v>
      </c>
      <c r="AC3158" t="s">
        <v>76</v>
      </c>
      <c r="AD3158" t="s">
        <v>73</v>
      </c>
      <c r="AE3158" t="s">
        <v>97</v>
      </c>
      <c r="AF3158" t="s">
        <v>2254</v>
      </c>
      <c r="AG3158" t="s">
        <v>78</v>
      </c>
    </row>
    <row r="3159" spans="1:33" hidden="1" x14ac:dyDescent="0.25">
      <c r="A3159" t="str">
        <f>"1912326166"</f>
        <v>1912326166</v>
      </c>
      <c r="C3159" t="s">
        <v>12858</v>
      </c>
      <c r="G3159" t="s">
        <v>2224</v>
      </c>
      <c r="H3159" t="s">
        <v>2225</v>
      </c>
      <c r="J3159" t="s">
        <v>2226</v>
      </c>
      <c r="K3159" t="s">
        <v>93</v>
      </c>
      <c r="L3159" t="s">
        <v>96</v>
      </c>
      <c r="M3159" t="s">
        <v>73</v>
      </c>
      <c r="R3159" t="s">
        <v>12859</v>
      </c>
      <c r="S3159" t="s">
        <v>12860</v>
      </c>
      <c r="T3159" t="s">
        <v>165</v>
      </c>
      <c r="U3159" t="s">
        <v>519</v>
      </c>
      <c r="V3159" t="str">
        <f>"190542220"</f>
        <v>190542220</v>
      </c>
      <c r="AC3159" t="s">
        <v>76</v>
      </c>
      <c r="AD3159" t="s">
        <v>73</v>
      </c>
      <c r="AE3159" t="s">
        <v>97</v>
      </c>
      <c r="AF3159" t="s">
        <v>2254</v>
      </c>
      <c r="AG3159" t="s">
        <v>78</v>
      </c>
    </row>
    <row r="3160" spans="1:33" hidden="1" x14ac:dyDescent="0.25">
      <c r="A3160" t="str">
        <f>"1073900940"</f>
        <v>1073900940</v>
      </c>
      <c r="C3160" t="s">
        <v>12861</v>
      </c>
      <c r="G3160" t="s">
        <v>2224</v>
      </c>
      <c r="H3160" t="s">
        <v>2225</v>
      </c>
      <c r="J3160" t="s">
        <v>2226</v>
      </c>
      <c r="K3160" t="s">
        <v>93</v>
      </c>
      <c r="L3160" t="s">
        <v>96</v>
      </c>
      <c r="M3160" t="s">
        <v>73</v>
      </c>
      <c r="R3160" t="s">
        <v>12862</v>
      </c>
      <c r="S3160" t="s">
        <v>170</v>
      </c>
      <c r="T3160" t="s">
        <v>91</v>
      </c>
      <c r="U3160" t="s">
        <v>74</v>
      </c>
      <c r="V3160" t="str">
        <f>"100654870"</f>
        <v>100654870</v>
      </c>
      <c r="AC3160" t="s">
        <v>76</v>
      </c>
      <c r="AD3160" t="s">
        <v>73</v>
      </c>
      <c r="AE3160" t="s">
        <v>97</v>
      </c>
      <c r="AF3160" t="s">
        <v>2398</v>
      </c>
      <c r="AG3160" t="s">
        <v>78</v>
      </c>
    </row>
    <row r="3161" spans="1:33" hidden="1" x14ac:dyDescent="0.25">
      <c r="A3161" t="str">
        <f>"1871942235"</f>
        <v>1871942235</v>
      </c>
      <c r="C3161" t="s">
        <v>12863</v>
      </c>
      <c r="G3161" t="s">
        <v>2224</v>
      </c>
      <c r="H3161" t="s">
        <v>2225</v>
      </c>
      <c r="J3161" t="s">
        <v>2226</v>
      </c>
      <c r="K3161" t="s">
        <v>93</v>
      </c>
      <c r="L3161" t="s">
        <v>96</v>
      </c>
      <c r="M3161" t="s">
        <v>73</v>
      </c>
      <c r="R3161" t="s">
        <v>12864</v>
      </c>
      <c r="S3161" t="s">
        <v>10378</v>
      </c>
      <c r="T3161" t="s">
        <v>91</v>
      </c>
      <c r="U3161" t="s">
        <v>74</v>
      </c>
      <c r="V3161" t="str">
        <f>"100323720"</f>
        <v>100323720</v>
      </c>
      <c r="AC3161" t="s">
        <v>76</v>
      </c>
      <c r="AD3161" t="s">
        <v>73</v>
      </c>
      <c r="AE3161" t="s">
        <v>97</v>
      </c>
      <c r="AF3161" t="s">
        <v>2254</v>
      </c>
      <c r="AG3161" t="s">
        <v>78</v>
      </c>
    </row>
    <row r="3162" spans="1:33" hidden="1" x14ac:dyDescent="0.25">
      <c r="A3162" t="str">
        <f>"1275987257"</f>
        <v>1275987257</v>
      </c>
      <c r="C3162" t="s">
        <v>12865</v>
      </c>
      <c r="G3162" t="s">
        <v>2224</v>
      </c>
      <c r="H3162" t="s">
        <v>2225</v>
      </c>
      <c r="J3162" t="s">
        <v>2226</v>
      </c>
      <c r="K3162" t="s">
        <v>93</v>
      </c>
      <c r="L3162" t="s">
        <v>96</v>
      </c>
      <c r="M3162" t="s">
        <v>73</v>
      </c>
      <c r="R3162" t="s">
        <v>12866</v>
      </c>
      <c r="S3162" t="s">
        <v>170</v>
      </c>
      <c r="T3162" t="s">
        <v>91</v>
      </c>
      <c r="U3162" t="s">
        <v>74</v>
      </c>
      <c r="V3162" t="str">
        <f>"100654870"</f>
        <v>100654870</v>
      </c>
      <c r="AC3162" t="s">
        <v>76</v>
      </c>
      <c r="AD3162" t="s">
        <v>73</v>
      </c>
      <c r="AE3162" t="s">
        <v>97</v>
      </c>
      <c r="AF3162" t="s">
        <v>2398</v>
      </c>
      <c r="AG3162" t="s">
        <v>78</v>
      </c>
    </row>
    <row r="3163" spans="1:33" hidden="1" x14ac:dyDescent="0.25">
      <c r="A3163" t="str">
        <f>"1124481486"</f>
        <v>1124481486</v>
      </c>
      <c r="C3163" t="s">
        <v>12867</v>
      </c>
      <c r="G3163" t="s">
        <v>2224</v>
      </c>
      <c r="H3163" t="s">
        <v>2225</v>
      </c>
      <c r="J3163" t="s">
        <v>2226</v>
      </c>
      <c r="K3163" t="s">
        <v>93</v>
      </c>
      <c r="L3163" t="s">
        <v>96</v>
      </c>
      <c r="M3163" t="s">
        <v>73</v>
      </c>
      <c r="R3163" t="s">
        <v>12868</v>
      </c>
      <c r="S3163" t="s">
        <v>167</v>
      </c>
      <c r="T3163" t="s">
        <v>91</v>
      </c>
      <c r="U3163" t="s">
        <v>74</v>
      </c>
      <c r="V3163" t="str">
        <f>"100323720"</f>
        <v>100323720</v>
      </c>
      <c r="AC3163" t="s">
        <v>76</v>
      </c>
      <c r="AD3163" t="s">
        <v>73</v>
      </c>
      <c r="AE3163" t="s">
        <v>97</v>
      </c>
      <c r="AF3163" t="s">
        <v>2254</v>
      </c>
      <c r="AG3163" t="s">
        <v>78</v>
      </c>
    </row>
    <row r="3164" spans="1:33" hidden="1" x14ac:dyDescent="0.25">
      <c r="A3164" t="str">
        <f>"1659766905"</f>
        <v>1659766905</v>
      </c>
      <c r="C3164" t="s">
        <v>12869</v>
      </c>
      <c r="G3164" t="s">
        <v>2224</v>
      </c>
      <c r="H3164" t="s">
        <v>2225</v>
      </c>
      <c r="J3164" t="s">
        <v>2226</v>
      </c>
      <c r="K3164" t="s">
        <v>93</v>
      </c>
      <c r="L3164" t="s">
        <v>96</v>
      </c>
      <c r="M3164" t="s">
        <v>73</v>
      </c>
      <c r="R3164" t="s">
        <v>12870</v>
      </c>
      <c r="S3164" t="s">
        <v>12830</v>
      </c>
      <c r="T3164" t="s">
        <v>91</v>
      </c>
      <c r="U3164" t="s">
        <v>74</v>
      </c>
      <c r="V3164" t="str">
        <f>"100323720"</f>
        <v>100323720</v>
      </c>
      <c r="AC3164" t="s">
        <v>76</v>
      </c>
      <c r="AD3164" t="s">
        <v>73</v>
      </c>
      <c r="AE3164" t="s">
        <v>97</v>
      </c>
      <c r="AF3164" t="s">
        <v>2254</v>
      </c>
      <c r="AG3164" t="s">
        <v>78</v>
      </c>
    </row>
    <row r="3165" spans="1:33" hidden="1" x14ac:dyDescent="0.25">
      <c r="A3165" t="str">
        <f>"1376938001"</f>
        <v>1376938001</v>
      </c>
      <c r="C3165" t="s">
        <v>12871</v>
      </c>
      <c r="G3165" t="s">
        <v>2224</v>
      </c>
      <c r="H3165" t="s">
        <v>2225</v>
      </c>
      <c r="J3165" t="s">
        <v>2226</v>
      </c>
      <c r="K3165" t="s">
        <v>93</v>
      </c>
      <c r="L3165" t="s">
        <v>96</v>
      </c>
      <c r="M3165" t="s">
        <v>73</v>
      </c>
      <c r="R3165" t="s">
        <v>12872</v>
      </c>
      <c r="S3165" t="s">
        <v>410</v>
      </c>
      <c r="T3165" t="s">
        <v>91</v>
      </c>
      <c r="U3165" t="s">
        <v>74</v>
      </c>
      <c r="V3165" t="str">
        <f>"100321559"</f>
        <v>100321559</v>
      </c>
      <c r="AC3165" t="s">
        <v>76</v>
      </c>
      <c r="AD3165" t="s">
        <v>73</v>
      </c>
      <c r="AE3165" t="s">
        <v>97</v>
      </c>
      <c r="AF3165" t="s">
        <v>2254</v>
      </c>
      <c r="AG3165" t="s">
        <v>78</v>
      </c>
    </row>
    <row r="3166" spans="1:33" hidden="1" x14ac:dyDescent="0.25">
      <c r="A3166" t="str">
        <f>"1508285644"</f>
        <v>1508285644</v>
      </c>
      <c r="C3166" t="s">
        <v>12873</v>
      </c>
      <c r="G3166" t="s">
        <v>2224</v>
      </c>
      <c r="H3166" t="s">
        <v>2225</v>
      </c>
      <c r="J3166" t="s">
        <v>2226</v>
      </c>
      <c r="K3166" t="s">
        <v>93</v>
      </c>
      <c r="L3166" t="s">
        <v>96</v>
      </c>
      <c r="M3166" t="s">
        <v>73</v>
      </c>
      <c r="R3166" t="s">
        <v>12874</v>
      </c>
      <c r="S3166" t="s">
        <v>167</v>
      </c>
      <c r="T3166" t="s">
        <v>91</v>
      </c>
      <c r="U3166" t="s">
        <v>74</v>
      </c>
      <c r="V3166" t="str">
        <f>"100323720"</f>
        <v>100323720</v>
      </c>
      <c r="AC3166" t="s">
        <v>76</v>
      </c>
      <c r="AD3166" t="s">
        <v>73</v>
      </c>
      <c r="AE3166" t="s">
        <v>97</v>
      </c>
      <c r="AF3166" t="s">
        <v>2254</v>
      </c>
      <c r="AG3166" t="s">
        <v>78</v>
      </c>
    </row>
    <row r="3167" spans="1:33" hidden="1" x14ac:dyDescent="0.25">
      <c r="A3167" t="str">
        <f>"1679992168"</f>
        <v>1679992168</v>
      </c>
      <c r="C3167" t="s">
        <v>12875</v>
      </c>
      <c r="G3167" t="s">
        <v>2224</v>
      </c>
      <c r="H3167" t="s">
        <v>2225</v>
      </c>
      <c r="J3167" t="s">
        <v>2226</v>
      </c>
      <c r="K3167" t="s">
        <v>93</v>
      </c>
      <c r="L3167" t="s">
        <v>96</v>
      </c>
      <c r="M3167" t="s">
        <v>73</v>
      </c>
      <c r="R3167" t="s">
        <v>12876</v>
      </c>
      <c r="S3167" t="s">
        <v>12877</v>
      </c>
      <c r="T3167" t="s">
        <v>91</v>
      </c>
      <c r="U3167" t="s">
        <v>74</v>
      </c>
      <c r="V3167" t="str">
        <f>"100323720"</f>
        <v>100323720</v>
      </c>
      <c r="AC3167" t="s">
        <v>76</v>
      </c>
      <c r="AD3167" t="s">
        <v>73</v>
      </c>
      <c r="AE3167" t="s">
        <v>97</v>
      </c>
      <c r="AF3167" t="s">
        <v>2254</v>
      </c>
      <c r="AG3167" t="s">
        <v>78</v>
      </c>
    </row>
    <row r="3168" spans="1:33" hidden="1" x14ac:dyDescent="0.25">
      <c r="A3168" t="str">
        <f>"1992190391"</f>
        <v>1992190391</v>
      </c>
      <c r="C3168" t="s">
        <v>12878</v>
      </c>
      <c r="G3168" t="s">
        <v>2224</v>
      </c>
      <c r="H3168" t="s">
        <v>2225</v>
      </c>
      <c r="J3168" t="s">
        <v>2226</v>
      </c>
      <c r="K3168" t="s">
        <v>93</v>
      </c>
      <c r="L3168" t="s">
        <v>96</v>
      </c>
      <c r="M3168" t="s">
        <v>73</v>
      </c>
      <c r="R3168" t="s">
        <v>12879</v>
      </c>
      <c r="S3168" t="s">
        <v>12880</v>
      </c>
      <c r="T3168" t="s">
        <v>91</v>
      </c>
      <c r="U3168" t="s">
        <v>74</v>
      </c>
      <c r="V3168" t="str">
        <f>"100323720"</f>
        <v>100323720</v>
      </c>
      <c r="AC3168" t="s">
        <v>76</v>
      </c>
      <c r="AD3168" t="s">
        <v>73</v>
      </c>
      <c r="AE3168" t="s">
        <v>97</v>
      </c>
      <c r="AF3168" t="s">
        <v>2254</v>
      </c>
      <c r="AG3168" t="s">
        <v>78</v>
      </c>
    </row>
    <row r="3169" spans="1:33" hidden="1" x14ac:dyDescent="0.25">
      <c r="A3169" t="str">
        <f>"1174972517"</f>
        <v>1174972517</v>
      </c>
      <c r="C3169" t="s">
        <v>12881</v>
      </c>
      <c r="G3169" t="s">
        <v>2224</v>
      </c>
      <c r="H3169" t="s">
        <v>2225</v>
      </c>
      <c r="J3169" t="s">
        <v>2226</v>
      </c>
      <c r="K3169" t="s">
        <v>93</v>
      </c>
      <c r="L3169" t="s">
        <v>96</v>
      </c>
      <c r="M3169" t="s">
        <v>73</v>
      </c>
      <c r="R3169" t="s">
        <v>12882</v>
      </c>
      <c r="S3169" t="s">
        <v>12883</v>
      </c>
      <c r="T3169" t="s">
        <v>91</v>
      </c>
      <c r="U3169" t="s">
        <v>74</v>
      </c>
      <c r="V3169" t="str">
        <f>"100322604"</f>
        <v>100322604</v>
      </c>
      <c r="AC3169" t="s">
        <v>76</v>
      </c>
      <c r="AD3169" t="s">
        <v>73</v>
      </c>
      <c r="AE3169" t="s">
        <v>97</v>
      </c>
      <c r="AF3169" t="s">
        <v>2254</v>
      </c>
      <c r="AG3169" t="s">
        <v>78</v>
      </c>
    </row>
    <row r="3170" spans="1:33" hidden="1" x14ac:dyDescent="0.25">
      <c r="A3170" t="str">
        <f>"1629432646"</f>
        <v>1629432646</v>
      </c>
      <c r="C3170" t="s">
        <v>12884</v>
      </c>
      <c r="G3170" t="s">
        <v>2224</v>
      </c>
      <c r="H3170" t="s">
        <v>2225</v>
      </c>
      <c r="J3170" t="s">
        <v>2226</v>
      </c>
      <c r="K3170" t="s">
        <v>93</v>
      </c>
      <c r="L3170" t="s">
        <v>96</v>
      </c>
      <c r="M3170" t="s">
        <v>73</v>
      </c>
      <c r="R3170" t="s">
        <v>12885</v>
      </c>
      <c r="S3170" t="s">
        <v>1745</v>
      </c>
      <c r="T3170" t="s">
        <v>91</v>
      </c>
      <c r="U3170" t="s">
        <v>74</v>
      </c>
      <c r="V3170" t="str">
        <f>"10021"</f>
        <v>10021</v>
      </c>
      <c r="AC3170" t="s">
        <v>76</v>
      </c>
      <c r="AD3170" t="s">
        <v>73</v>
      </c>
      <c r="AE3170" t="s">
        <v>97</v>
      </c>
      <c r="AF3170" t="s">
        <v>2398</v>
      </c>
      <c r="AG3170" t="s">
        <v>78</v>
      </c>
    </row>
    <row r="3171" spans="1:33" hidden="1" x14ac:dyDescent="0.25">
      <c r="A3171" t="str">
        <f>"1700229937"</f>
        <v>1700229937</v>
      </c>
      <c r="C3171" t="s">
        <v>12886</v>
      </c>
      <c r="G3171" t="s">
        <v>2224</v>
      </c>
      <c r="H3171" t="s">
        <v>2225</v>
      </c>
      <c r="J3171" t="s">
        <v>2226</v>
      </c>
      <c r="K3171" t="s">
        <v>93</v>
      </c>
      <c r="L3171" t="s">
        <v>96</v>
      </c>
      <c r="M3171" t="s">
        <v>73</v>
      </c>
      <c r="R3171" t="s">
        <v>12887</v>
      </c>
      <c r="S3171" t="s">
        <v>12888</v>
      </c>
      <c r="T3171" t="s">
        <v>91</v>
      </c>
      <c r="U3171" t="s">
        <v>74</v>
      </c>
      <c r="V3171" t="str">
        <f>"100654870"</f>
        <v>100654870</v>
      </c>
      <c r="AC3171" t="s">
        <v>76</v>
      </c>
      <c r="AD3171" t="s">
        <v>73</v>
      </c>
      <c r="AE3171" t="s">
        <v>97</v>
      </c>
      <c r="AF3171" t="s">
        <v>2398</v>
      </c>
      <c r="AG3171" t="s">
        <v>78</v>
      </c>
    </row>
    <row r="3172" spans="1:33" hidden="1" x14ac:dyDescent="0.25">
      <c r="A3172" t="str">
        <f>"1073933552"</f>
        <v>1073933552</v>
      </c>
      <c r="C3172" t="s">
        <v>12889</v>
      </c>
      <c r="G3172" t="s">
        <v>2224</v>
      </c>
      <c r="H3172" t="s">
        <v>2225</v>
      </c>
      <c r="J3172" t="s">
        <v>2226</v>
      </c>
      <c r="K3172" t="s">
        <v>93</v>
      </c>
      <c r="L3172" t="s">
        <v>96</v>
      </c>
      <c r="M3172" t="s">
        <v>73</v>
      </c>
      <c r="R3172" t="s">
        <v>12890</v>
      </c>
      <c r="S3172" t="s">
        <v>12891</v>
      </c>
      <c r="T3172" t="s">
        <v>91</v>
      </c>
      <c r="U3172" t="s">
        <v>74</v>
      </c>
      <c r="V3172" t="str">
        <f>"100323784"</f>
        <v>100323784</v>
      </c>
      <c r="AC3172" t="s">
        <v>76</v>
      </c>
      <c r="AD3172" t="s">
        <v>73</v>
      </c>
      <c r="AE3172" t="s">
        <v>97</v>
      </c>
      <c r="AF3172" t="s">
        <v>2254</v>
      </c>
      <c r="AG3172" t="s">
        <v>78</v>
      </c>
    </row>
    <row r="3173" spans="1:33" hidden="1" x14ac:dyDescent="0.25">
      <c r="A3173" t="str">
        <f>"1366804486"</f>
        <v>1366804486</v>
      </c>
      <c r="C3173" t="s">
        <v>12892</v>
      </c>
      <c r="G3173" t="s">
        <v>2224</v>
      </c>
      <c r="H3173" t="s">
        <v>2225</v>
      </c>
      <c r="J3173" t="s">
        <v>2226</v>
      </c>
      <c r="K3173" t="s">
        <v>93</v>
      </c>
      <c r="L3173" t="s">
        <v>96</v>
      </c>
      <c r="M3173" t="s">
        <v>73</v>
      </c>
      <c r="R3173" t="s">
        <v>12893</v>
      </c>
      <c r="S3173" t="s">
        <v>628</v>
      </c>
      <c r="T3173" t="s">
        <v>91</v>
      </c>
      <c r="U3173" t="s">
        <v>74</v>
      </c>
      <c r="V3173" t="str">
        <f>"100214872"</f>
        <v>100214872</v>
      </c>
      <c r="AC3173" t="s">
        <v>76</v>
      </c>
      <c r="AD3173" t="s">
        <v>73</v>
      </c>
      <c r="AE3173" t="s">
        <v>97</v>
      </c>
      <c r="AF3173" t="s">
        <v>2398</v>
      </c>
      <c r="AG3173" t="s">
        <v>78</v>
      </c>
    </row>
    <row r="3174" spans="1:33" hidden="1" x14ac:dyDescent="0.25">
      <c r="A3174" t="str">
        <f>"1811350291"</f>
        <v>1811350291</v>
      </c>
      <c r="C3174" t="s">
        <v>12894</v>
      </c>
      <c r="G3174" t="s">
        <v>2224</v>
      </c>
      <c r="H3174" t="s">
        <v>2225</v>
      </c>
      <c r="J3174" t="s">
        <v>2226</v>
      </c>
      <c r="K3174" t="s">
        <v>93</v>
      </c>
      <c r="L3174" t="s">
        <v>96</v>
      </c>
      <c r="M3174" t="s">
        <v>73</v>
      </c>
      <c r="R3174" t="s">
        <v>12895</v>
      </c>
      <c r="S3174" t="s">
        <v>167</v>
      </c>
      <c r="T3174" t="s">
        <v>91</v>
      </c>
      <c r="U3174" t="s">
        <v>74</v>
      </c>
      <c r="V3174" t="str">
        <f>"100323720"</f>
        <v>100323720</v>
      </c>
      <c r="AC3174" t="s">
        <v>76</v>
      </c>
      <c r="AD3174" t="s">
        <v>73</v>
      </c>
      <c r="AE3174" t="s">
        <v>97</v>
      </c>
      <c r="AF3174" t="s">
        <v>2254</v>
      </c>
      <c r="AG3174" t="s">
        <v>78</v>
      </c>
    </row>
    <row r="3175" spans="1:33" hidden="1" x14ac:dyDescent="0.25">
      <c r="A3175" t="str">
        <f>"1710349063"</f>
        <v>1710349063</v>
      </c>
      <c r="C3175" t="s">
        <v>12896</v>
      </c>
      <c r="G3175" t="s">
        <v>2224</v>
      </c>
      <c r="H3175" t="s">
        <v>2225</v>
      </c>
      <c r="J3175" t="s">
        <v>2226</v>
      </c>
      <c r="K3175" t="s">
        <v>93</v>
      </c>
      <c r="L3175" t="s">
        <v>96</v>
      </c>
      <c r="M3175" t="s">
        <v>73</v>
      </c>
      <c r="R3175" t="s">
        <v>12897</v>
      </c>
      <c r="S3175" t="s">
        <v>410</v>
      </c>
      <c r="T3175" t="s">
        <v>91</v>
      </c>
      <c r="U3175" t="s">
        <v>74</v>
      </c>
      <c r="V3175" t="str">
        <f>"100321559"</f>
        <v>100321559</v>
      </c>
      <c r="AC3175" t="s">
        <v>76</v>
      </c>
      <c r="AD3175" t="s">
        <v>73</v>
      </c>
      <c r="AE3175" t="s">
        <v>97</v>
      </c>
      <c r="AF3175" t="s">
        <v>2254</v>
      </c>
      <c r="AG3175" t="s">
        <v>78</v>
      </c>
    </row>
    <row r="3176" spans="1:33" hidden="1" x14ac:dyDescent="0.25">
      <c r="A3176" t="str">
        <f>"1093150161"</f>
        <v>1093150161</v>
      </c>
      <c r="C3176" t="s">
        <v>12898</v>
      </c>
      <c r="G3176" t="s">
        <v>2224</v>
      </c>
      <c r="H3176" t="s">
        <v>2225</v>
      </c>
      <c r="J3176" t="s">
        <v>2226</v>
      </c>
      <c r="K3176" t="s">
        <v>93</v>
      </c>
      <c r="L3176" t="s">
        <v>96</v>
      </c>
      <c r="M3176" t="s">
        <v>73</v>
      </c>
      <c r="R3176" t="s">
        <v>12899</v>
      </c>
      <c r="S3176" t="s">
        <v>12900</v>
      </c>
      <c r="T3176" t="s">
        <v>598</v>
      </c>
      <c r="U3176" t="s">
        <v>599</v>
      </c>
      <c r="V3176" t="str">
        <f>"212870010"</f>
        <v>212870010</v>
      </c>
      <c r="AC3176" t="s">
        <v>76</v>
      </c>
      <c r="AD3176" t="s">
        <v>73</v>
      </c>
      <c r="AE3176" t="s">
        <v>97</v>
      </c>
      <c r="AF3176" t="s">
        <v>2254</v>
      </c>
      <c r="AG3176" t="s">
        <v>78</v>
      </c>
    </row>
    <row r="3177" spans="1:33" hidden="1" x14ac:dyDescent="0.25">
      <c r="A3177" t="str">
        <f>"1760878789"</f>
        <v>1760878789</v>
      </c>
      <c r="C3177" t="s">
        <v>12901</v>
      </c>
      <c r="G3177" t="s">
        <v>2224</v>
      </c>
      <c r="H3177" t="s">
        <v>2225</v>
      </c>
      <c r="J3177" t="s">
        <v>2226</v>
      </c>
      <c r="K3177" t="s">
        <v>93</v>
      </c>
      <c r="L3177" t="s">
        <v>96</v>
      </c>
      <c r="M3177" t="s">
        <v>73</v>
      </c>
      <c r="R3177" t="s">
        <v>12902</v>
      </c>
      <c r="S3177" t="s">
        <v>354</v>
      </c>
      <c r="T3177" t="s">
        <v>91</v>
      </c>
      <c r="U3177" t="s">
        <v>74</v>
      </c>
      <c r="V3177" t="str">
        <f>"100323725"</f>
        <v>100323725</v>
      </c>
      <c r="AC3177" t="s">
        <v>76</v>
      </c>
      <c r="AD3177" t="s">
        <v>73</v>
      </c>
      <c r="AE3177" t="s">
        <v>97</v>
      </c>
      <c r="AF3177" t="s">
        <v>2254</v>
      </c>
      <c r="AG3177" t="s">
        <v>78</v>
      </c>
    </row>
    <row r="3178" spans="1:33" hidden="1" x14ac:dyDescent="0.25">
      <c r="A3178" t="str">
        <f>"1790171825"</f>
        <v>1790171825</v>
      </c>
      <c r="C3178" t="s">
        <v>12903</v>
      </c>
      <c r="G3178" t="s">
        <v>2224</v>
      </c>
      <c r="H3178" t="s">
        <v>2225</v>
      </c>
      <c r="J3178" t="s">
        <v>2226</v>
      </c>
      <c r="K3178" t="s">
        <v>93</v>
      </c>
      <c r="L3178" t="s">
        <v>96</v>
      </c>
      <c r="M3178" t="s">
        <v>73</v>
      </c>
      <c r="R3178" t="s">
        <v>12904</v>
      </c>
      <c r="S3178" t="s">
        <v>2503</v>
      </c>
      <c r="T3178" t="s">
        <v>91</v>
      </c>
      <c r="U3178" t="s">
        <v>74</v>
      </c>
      <c r="V3178" t="str">
        <f>"100654870"</f>
        <v>100654870</v>
      </c>
      <c r="AC3178" t="s">
        <v>76</v>
      </c>
      <c r="AD3178" t="s">
        <v>73</v>
      </c>
      <c r="AE3178" t="s">
        <v>97</v>
      </c>
      <c r="AF3178" t="s">
        <v>2398</v>
      </c>
      <c r="AG3178" t="s">
        <v>78</v>
      </c>
    </row>
    <row r="3179" spans="1:33" hidden="1" x14ac:dyDescent="0.25">
      <c r="A3179" t="str">
        <f>"1083077119"</f>
        <v>1083077119</v>
      </c>
      <c r="C3179" t="s">
        <v>12905</v>
      </c>
      <c r="G3179" t="s">
        <v>2224</v>
      </c>
      <c r="H3179" t="s">
        <v>2225</v>
      </c>
      <c r="J3179" t="s">
        <v>2226</v>
      </c>
      <c r="K3179" t="s">
        <v>93</v>
      </c>
      <c r="L3179" t="s">
        <v>96</v>
      </c>
      <c r="M3179" t="s">
        <v>73</v>
      </c>
      <c r="R3179" t="s">
        <v>12906</v>
      </c>
      <c r="S3179" t="s">
        <v>1745</v>
      </c>
      <c r="T3179" t="s">
        <v>91</v>
      </c>
      <c r="U3179" t="s">
        <v>74</v>
      </c>
      <c r="V3179" t="str">
        <f>"10021"</f>
        <v>10021</v>
      </c>
      <c r="AC3179" t="s">
        <v>76</v>
      </c>
      <c r="AD3179" t="s">
        <v>73</v>
      </c>
      <c r="AE3179" t="s">
        <v>97</v>
      </c>
      <c r="AF3179" t="s">
        <v>2398</v>
      </c>
      <c r="AG3179" t="s">
        <v>78</v>
      </c>
    </row>
    <row r="3180" spans="1:33" hidden="1" x14ac:dyDescent="0.25">
      <c r="A3180" t="str">
        <f>"1447612817"</f>
        <v>1447612817</v>
      </c>
      <c r="C3180" t="s">
        <v>12907</v>
      </c>
      <c r="G3180" t="s">
        <v>2224</v>
      </c>
      <c r="H3180" t="s">
        <v>2225</v>
      </c>
      <c r="J3180" t="s">
        <v>2226</v>
      </c>
      <c r="K3180" t="s">
        <v>93</v>
      </c>
      <c r="L3180" t="s">
        <v>96</v>
      </c>
      <c r="M3180" t="s">
        <v>73</v>
      </c>
      <c r="R3180" t="s">
        <v>12908</v>
      </c>
      <c r="S3180" t="s">
        <v>410</v>
      </c>
      <c r="T3180" t="s">
        <v>91</v>
      </c>
      <c r="U3180" t="s">
        <v>74</v>
      </c>
      <c r="V3180" t="str">
        <f>"100321559"</f>
        <v>100321559</v>
      </c>
      <c r="AC3180" t="s">
        <v>76</v>
      </c>
      <c r="AD3180" t="s">
        <v>73</v>
      </c>
      <c r="AE3180" t="s">
        <v>97</v>
      </c>
      <c r="AF3180" t="s">
        <v>2254</v>
      </c>
      <c r="AG3180" t="s">
        <v>78</v>
      </c>
    </row>
    <row r="3181" spans="1:33" hidden="1" x14ac:dyDescent="0.25">
      <c r="A3181" t="str">
        <f>"1184087025"</f>
        <v>1184087025</v>
      </c>
      <c r="C3181" t="s">
        <v>12909</v>
      </c>
      <c r="G3181" t="s">
        <v>2224</v>
      </c>
      <c r="H3181" t="s">
        <v>2225</v>
      </c>
      <c r="J3181" t="s">
        <v>2226</v>
      </c>
      <c r="K3181" t="s">
        <v>93</v>
      </c>
      <c r="L3181" t="s">
        <v>96</v>
      </c>
      <c r="M3181" t="s">
        <v>73</v>
      </c>
      <c r="R3181" t="s">
        <v>12910</v>
      </c>
      <c r="S3181" t="s">
        <v>167</v>
      </c>
      <c r="T3181" t="s">
        <v>91</v>
      </c>
      <c r="U3181" t="s">
        <v>74</v>
      </c>
      <c r="V3181" t="str">
        <f>"100323720"</f>
        <v>100323720</v>
      </c>
      <c r="AC3181" t="s">
        <v>76</v>
      </c>
      <c r="AD3181" t="s">
        <v>73</v>
      </c>
      <c r="AE3181" t="s">
        <v>97</v>
      </c>
      <c r="AF3181" t="s">
        <v>2254</v>
      </c>
      <c r="AG3181" t="s">
        <v>78</v>
      </c>
    </row>
    <row r="3182" spans="1:33" hidden="1" x14ac:dyDescent="0.25">
      <c r="A3182" t="str">
        <f>"1912361643"</f>
        <v>1912361643</v>
      </c>
      <c r="C3182" t="s">
        <v>12911</v>
      </c>
      <c r="G3182" t="s">
        <v>2224</v>
      </c>
      <c r="H3182" t="s">
        <v>2225</v>
      </c>
      <c r="J3182" t="s">
        <v>2226</v>
      </c>
      <c r="K3182" t="s">
        <v>93</v>
      </c>
      <c r="L3182" t="s">
        <v>96</v>
      </c>
      <c r="M3182" t="s">
        <v>73</v>
      </c>
      <c r="R3182" t="s">
        <v>12912</v>
      </c>
      <c r="S3182" t="s">
        <v>1745</v>
      </c>
      <c r="T3182" t="s">
        <v>91</v>
      </c>
      <c r="U3182" t="s">
        <v>74</v>
      </c>
      <c r="V3182" t="str">
        <f>"10021"</f>
        <v>10021</v>
      </c>
      <c r="AC3182" t="s">
        <v>76</v>
      </c>
      <c r="AD3182" t="s">
        <v>73</v>
      </c>
      <c r="AE3182" t="s">
        <v>97</v>
      </c>
      <c r="AF3182" t="s">
        <v>2398</v>
      </c>
      <c r="AG3182" t="s">
        <v>78</v>
      </c>
    </row>
    <row r="3183" spans="1:33" hidden="1" x14ac:dyDescent="0.25">
      <c r="A3183" t="str">
        <f>"1174977367"</f>
        <v>1174977367</v>
      </c>
      <c r="C3183" t="s">
        <v>12913</v>
      </c>
      <c r="G3183" t="s">
        <v>2224</v>
      </c>
      <c r="H3183" t="s">
        <v>2225</v>
      </c>
      <c r="J3183" t="s">
        <v>2226</v>
      </c>
      <c r="K3183" t="s">
        <v>93</v>
      </c>
      <c r="L3183" t="s">
        <v>96</v>
      </c>
      <c r="M3183" t="s">
        <v>73</v>
      </c>
      <c r="R3183" t="s">
        <v>12914</v>
      </c>
      <c r="S3183" t="s">
        <v>410</v>
      </c>
      <c r="T3183" t="s">
        <v>91</v>
      </c>
      <c r="U3183" t="s">
        <v>74</v>
      </c>
      <c r="V3183" t="str">
        <f>"100321559"</f>
        <v>100321559</v>
      </c>
      <c r="AC3183" t="s">
        <v>76</v>
      </c>
      <c r="AD3183" t="s">
        <v>73</v>
      </c>
      <c r="AE3183" t="s">
        <v>97</v>
      </c>
      <c r="AF3183" t="s">
        <v>2254</v>
      </c>
      <c r="AG3183" t="s">
        <v>78</v>
      </c>
    </row>
    <row r="3184" spans="1:33" hidden="1" x14ac:dyDescent="0.25">
      <c r="C3184" t="s">
        <v>12915</v>
      </c>
      <c r="G3184" t="s">
        <v>2224</v>
      </c>
      <c r="H3184" t="s">
        <v>2225</v>
      </c>
      <c r="J3184" t="s">
        <v>2226</v>
      </c>
      <c r="K3184" t="s">
        <v>93</v>
      </c>
      <c r="L3184" t="s">
        <v>94</v>
      </c>
      <c r="M3184" t="s">
        <v>73</v>
      </c>
      <c r="AC3184" t="s">
        <v>76</v>
      </c>
      <c r="AD3184" t="s">
        <v>73</v>
      </c>
      <c r="AE3184" t="s">
        <v>95</v>
      </c>
      <c r="AF3184" t="s">
        <v>2254</v>
      </c>
      <c r="AG3184" t="s">
        <v>78</v>
      </c>
    </row>
    <row r="3185" spans="1:33" hidden="1" x14ac:dyDescent="0.25">
      <c r="A3185" t="str">
        <f>"1447612908"</f>
        <v>1447612908</v>
      </c>
      <c r="C3185" t="s">
        <v>12916</v>
      </c>
      <c r="G3185" t="s">
        <v>2224</v>
      </c>
      <c r="H3185" t="s">
        <v>2225</v>
      </c>
      <c r="J3185" t="s">
        <v>2226</v>
      </c>
      <c r="K3185" t="s">
        <v>93</v>
      </c>
      <c r="L3185" t="s">
        <v>96</v>
      </c>
      <c r="M3185" t="s">
        <v>73</v>
      </c>
      <c r="R3185" t="s">
        <v>12917</v>
      </c>
      <c r="S3185" t="s">
        <v>7459</v>
      </c>
      <c r="T3185" t="s">
        <v>91</v>
      </c>
      <c r="U3185" t="s">
        <v>74</v>
      </c>
      <c r="V3185" t="str">
        <f>"100214872"</f>
        <v>100214872</v>
      </c>
      <c r="AC3185" t="s">
        <v>76</v>
      </c>
      <c r="AD3185" t="s">
        <v>73</v>
      </c>
      <c r="AE3185" t="s">
        <v>97</v>
      </c>
      <c r="AF3185" t="s">
        <v>2398</v>
      </c>
      <c r="AG3185" t="s">
        <v>78</v>
      </c>
    </row>
    <row r="3186" spans="1:33" hidden="1" x14ac:dyDescent="0.25">
      <c r="A3186" t="str">
        <f>"1770901332"</f>
        <v>1770901332</v>
      </c>
      <c r="C3186" t="s">
        <v>12918</v>
      </c>
      <c r="G3186" t="s">
        <v>2224</v>
      </c>
      <c r="H3186" t="s">
        <v>2225</v>
      </c>
      <c r="J3186" t="s">
        <v>2226</v>
      </c>
      <c r="K3186" t="s">
        <v>93</v>
      </c>
      <c r="L3186" t="s">
        <v>96</v>
      </c>
      <c r="M3186" t="s">
        <v>73</v>
      </c>
      <c r="R3186" t="s">
        <v>12919</v>
      </c>
      <c r="S3186" t="s">
        <v>410</v>
      </c>
      <c r="T3186" t="s">
        <v>91</v>
      </c>
      <c r="U3186" t="s">
        <v>74</v>
      </c>
      <c r="V3186" t="str">
        <f>"100321559"</f>
        <v>100321559</v>
      </c>
      <c r="AC3186" t="s">
        <v>76</v>
      </c>
      <c r="AD3186" t="s">
        <v>73</v>
      </c>
      <c r="AE3186" t="s">
        <v>97</v>
      </c>
      <c r="AF3186" t="s">
        <v>2254</v>
      </c>
      <c r="AG3186" t="s">
        <v>78</v>
      </c>
    </row>
    <row r="3187" spans="1:33" hidden="1" x14ac:dyDescent="0.25">
      <c r="A3187" t="str">
        <f>"1720441132"</f>
        <v>1720441132</v>
      </c>
      <c r="C3187" t="s">
        <v>12920</v>
      </c>
      <c r="G3187" t="s">
        <v>2224</v>
      </c>
      <c r="H3187" t="s">
        <v>2225</v>
      </c>
      <c r="J3187" t="s">
        <v>2226</v>
      </c>
      <c r="K3187" t="s">
        <v>93</v>
      </c>
      <c r="L3187" t="s">
        <v>96</v>
      </c>
      <c r="M3187" t="s">
        <v>73</v>
      </c>
      <c r="R3187" t="s">
        <v>12921</v>
      </c>
      <c r="S3187" t="s">
        <v>170</v>
      </c>
      <c r="T3187" t="s">
        <v>91</v>
      </c>
      <c r="U3187" t="s">
        <v>74</v>
      </c>
      <c r="V3187" t="str">
        <f>"100654870"</f>
        <v>100654870</v>
      </c>
      <c r="AC3187" t="s">
        <v>76</v>
      </c>
      <c r="AD3187" t="s">
        <v>73</v>
      </c>
      <c r="AE3187" t="s">
        <v>97</v>
      </c>
      <c r="AF3187" t="s">
        <v>2398</v>
      </c>
      <c r="AG3187" t="s">
        <v>78</v>
      </c>
    </row>
    <row r="3188" spans="1:33" hidden="1" x14ac:dyDescent="0.25">
      <c r="A3188" t="str">
        <f>"1568849164"</f>
        <v>1568849164</v>
      </c>
      <c r="C3188" t="s">
        <v>12922</v>
      </c>
      <c r="G3188" t="s">
        <v>2224</v>
      </c>
      <c r="H3188" t="s">
        <v>2225</v>
      </c>
      <c r="J3188" t="s">
        <v>2226</v>
      </c>
      <c r="K3188" t="s">
        <v>93</v>
      </c>
      <c r="L3188" t="s">
        <v>96</v>
      </c>
      <c r="M3188" t="s">
        <v>73</v>
      </c>
      <c r="R3188" t="s">
        <v>12923</v>
      </c>
      <c r="S3188" t="s">
        <v>170</v>
      </c>
      <c r="T3188" t="s">
        <v>91</v>
      </c>
      <c r="U3188" t="s">
        <v>74</v>
      </c>
      <c r="V3188" t="str">
        <f>"100654870"</f>
        <v>100654870</v>
      </c>
      <c r="AC3188" t="s">
        <v>76</v>
      </c>
      <c r="AD3188" t="s">
        <v>73</v>
      </c>
      <c r="AE3188" t="s">
        <v>97</v>
      </c>
      <c r="AF3188" t="s">
        <v>2398</v>
      </c>
      <c r="AG3188" t="s">
        <v>78</v>
      </c>
    </row>
    <row r="3189" spans="1:33" hidden="1" x14ac:dyDescent="0.25">
      <c r="A3189" t="str">
        <f>"1376906768"</f>
        <v>1376906768</v>
      </c>
      <c r="C3189" t="s">
        <v>12924</v>
      </c>
      <c r="G3189" t="s">
        <v>2224</v>
      </c>
      <c r="H3189" t="s">
        <v>2225</v>
      </c>
      <c r="J3189" t="s">
        <v>2226</v>
      </c>
      <c r="K3189" t="s">
        <v>93</v>
      </c>
      <c r="L3189" t="s">
        <v>96</v>
      </c>
      <c r="M3189" t="s">
        <v>73</v>
      </c>
      <c r="R3189" t="s">
        <v>12925</v>
      </c>
      <c r="S3189" t="s">
        <v>167</v>
      </c>
      <c r="T3189" t="s">
        <v>91</v>
      </c>
      <c r="U3189" t="s">
        <v>74</v>
      </c>
      <c r="V3189" t="str">
        <f>"100323720"</f>
        <v>100323720</v>
      </c>
      <c r="AC3189" t="s">
        <v>76</v>
      </c>
      <c r="AD3189" t="s">
        <v>73</v>
      </c>
      <c r="AE3189" t="s">
        <v>97</v>
      </c>
      <c r="AF3189" t="s">
        <v>2254</v>
      </c>
      <c r="AG3189" t="s">
        <v>78</v>
      </c>
    </row>
    <row r="3190" spans="1:33" hidden="1" x14ac:dyDescent="0.25">
      <c r="A3190" t="str">
        <f>"1972923498"</f>
        <v>1972923498</v>
      </c>
      <c r="C3190" t="s">
        <v>12926</v>
      </c>
      <c r="G3190" t="s">
        <v>2224</v>
      </c>
      <c r="H3190" t="s">
        <v>2225</v>
      </c>
      <c r="J3190" t="s">
        <v>2226</v>
      </c>
      <c r="K3190" t="s">
        <v>93</v>
      </c>
      <c r="L3190" t="s">
        <v>96</v>
      </c>
      <c r="M3190" t="s">
        <v>73</v>
      </c>
      <c r="R3190" t="s">
        <v>12927</v>
      </c>
      <c r="S3190" t="s">
        <v>410</v>
      </c>
      <c r="T3190" t="s">
        <v>91</v>
      </c>
      <c r="U3190" t="s">
        <v>74</v>
      </c>
      <c r="V3190" t="str">
        <f>"100321559"</f>
        <v>100321559</v>
      </c>
      <c r="AC3190" t="s">
        <v>76</v>
      </c>
      <c r="AD3190" t="s">
        <v>73</v>
      </c>
      <c r="AE3190" t="s">
        <v>97</v>
      </c>
      <c r="AF3190" t="s">
        <v>2254</v>
      </c>
      <c r="AG3190" t="s">
        <v>78</v>
      </c>
    </row>
    <row r="3191" spans="1:33" hidden="1" x14ac:dyDescent="0.25">
      <c r="A3191" t="str">
        <f>"1316300551"</f>
        <v>1316300551</v>
      </c>
      <c r="C3191" t="s">
        <v>12928</v>
      </c>
      <c r="G3191" t="s">
        <v>2224</v>
      </c>
      <c r="H3191" t="s">
        <v>2225</v>
      </c>
      <c r="J3191" t="s">
        <v>2226</v>
      </c>
      <c r="K3191" t="s">
        <v>93</v>
      </c>
      <c r="L3191" t="s">
        <v>96</v>
      </c>
      <c r="M3191" t="s">
        <v>73</v>
      </c>
      <c r="R3191" t="s">
        <v>12929</v>
      </c>
      <c r="S3191" t="s">
        <v>167</v>
      </c>
      <c r="T3191" t="s">
        <v>91</v>
      </c>
      <c r="U3191" t="s">
        <v>74</v>
      </c>
      <c r="V3191" t="str">
        <f>"100323720"</f>
        <v>100323720</v>
      </c>
      <c r="AC3191" t="s">
        <v>76</v>
      </c>
      <c r="AD3191" t="s">
        <v>73</v>
      </c>
      <c r="AE3191" t="s">
        <v>97</v>
      </c>
      <c r="AF3191" t="s">
        <v>2254</v>
      </c>
      <c r="AG3191" t="s">
        <v>78</v>
      </c>
    </row>
    <row r="3192" spans="1:33" hidden="1" x14ac:dyDescent="0.25">
      <c r="A3192" t="str">
        <f>"1932593332"</f>
        <v>1932593332</v>
      </c>
      <c r="C3192" t="s">
        <v>12930</v>
      </c>
      <c r="G3192" t="s">
        <v>2224</v>
      </c>
      <c r="H3192" t="s">
        <v>2225</v>
      </c>
      <c r="J3192" t="s">
        <v>2226</v>
      </c>
      <c r="K3192" t="s">
        <v>93</v>
      </c>
      <c r="L3192" t="s">
        <v>96</v>
      </c>
      <c r="M3192" t="s">
        <v>73</v>
      </c>
      <c r="R3192" t="s">
        <v>12931</v>
      </c>
      <c r="S3192" t="s">
        <v>1745</v>
      </c>
      <c r="T3192" t="s">
        <v>91</v>
      </c>
      <c r="U3192" t="s">
        <v>74</v>
      </c>
      <c r="V3192" t="str">
        <f>"10021"</f>
        <v>10021</v>
      </c>
      <c r="AC3192" t="s">
        <v>76</v>
      </c>
      <c r="AD3192" t="s">
        <v>73</v>
      </c>
      <c r="AE3192" t="s">
        <v>97</v>
      </c>
      <c r="AF3192" t="s">
        <v>2398</v>
      </c>
      <c r="AG3192" t="s">
        <v>78</v>
      </c>
    </row>
    <row r="3193" spans="1:33" hidden="1" x14ac:dyDescent="0.25">
      <c r="A3193" t="str">
        <f>"1982067799"</f>
        <v>1982067799</v>
      </c>
      <c r="C3193" t="s">
        <v>12932</v>
      </c>
      <c r="G3193" t="s">
        <v>2224</v>
      </c>
      <c r="H3193" t="s">
        <v>2225</v>
      </c>
      <c r="J3193" t="s">
        <v>2226</v>
      </c>
      <c r="K3193" t="s">
        <v>93</v>
      </c>
      <c r="L3193" t="s">
        <v>96</v>
      </c>
      <c r="M3193" t="s">
        <v>73</v>
      </c>
      <c r="R3193" t="s">
        <v>12933</v>
      </c>
      <c r="S3193" t="s">
        <v>628</v>
      </c>
      <c r="T3193" t="s">
        <v>91</v>
      </c>
      <c r="U3193" t="s">
        <v>74</v>
      </c>
      <c r="V3193" t="str">
        <f>"100214872"</f>
        <v>100214872</v>
      </c>
      <c r="AC3193" t="s">
        <v>76</v>
      </c>
      <c r="AD3193" t="s">
        <v>73</v>
      </c>
      <c r="AE3193" t="s">
        <v>97</v>
      </c>
      <c r="AF3193" t="s">
        <v>2398</v>
      </c>
      <c r="AG3193" t="s">
        <v>78</v>
      </c>
    </row>
    <row r="3194" spans="1:33" hidden="1" x14ac:dyDescent="0.25">
      <c r="A3194" t="str">
        <f>"1942662127"</f>
        <v>1942662127</v>
      </c>
      <c r="C3194" t="s">
        <v>12934</v>
      </c>
      <c r="G3194" t="s">
        <v>2224</v>
      </c>
      <c r="H3194" t="s">
        <v>2225</v>
      </c>
      <c r="J3194" t="s">
        <v>2226</v>
      </c>
      <c r="K3194" t="s">
        <v>93</v>
      </c>
      <c r="L3194" t="s">
        <v>96</v>
      </c>
      <c r="M3194" t="s">
        <v>73</v>
      </c>
      <c r="R3194" t="s">
        <v>12935</v>
      </c>
      <c r="S3194" t="s">
        <v>167</v>
      </c>
      <c r="T3194" t="s">
        <v>91</v>
      </c>
      <c r="U3194" t="s">
        <v>74</v>
      </c>
      <c r="V3194" t="str">
        <f>"100323720"</f>
        <v>100323720</v>
      </c>
      <c r="AC3194" t="s">
        <v>76</v>
      </c>
      <c r="AD3194" t="s">
        <v>73</v>
      </c>
      <c r="AE3194" t="s">
        <v>97</v>
      </c>
      <c r="AF3194" t="s">
        <v>2254</v>
      </c>
      <c r="AG3194" t="s">
        <v>78</v>
      </c>
    </row>
    <row r="3195" spans="1:33" hidden="1" x14ac:dyDescent="0.25">
      <c r="A3195" t="str">
        <f>"1912341975"</f>
        <v>1912341975</v>
      </c>
      <c r="C3195" t="s">
        <v>12936</v>
      </c>
      <c r="G3195" t="s">
        <v>2224</v>
      </c>
      <c r="H3195" t="s">
        <v>2225</v>
      </c>
      <c r="J3195" t="s">
        <v>2226</v>
      </c>
      <c r="K3195" t="s">
        <v>93</v>
      </c>
      <c r="L3195" t="s">
        <v>96</v>
      </c>
      <c r="M3195" t="s">
        <v>73</v>
      </c>
      <c r="R3195" t="s">
        <v>12937</v>
      </c>
      <c r="S3195" t="s">
        <v>163</v>
      </c>
      <c r="T3195" t="s">
        <v>91</v>
      </c>
      <c r="U3195" t="s">
        <v>74</v>
      </c>
      <c r="V3195" t="str">
        <f>"100191147"</f>
        <v>100191147</v>
      </c>
      <c r="AC3195" t="s">
        <v>76</v>
      </c>
      <c r="AD3195" t="s">
        <v>73</v>
      </c>
      <c r="AE3195" t="s">
        <v>97</v>
      </c>
      <c r="AF3195" t="s">
        <v>2254</v>
      </c>
      <c r="AG3195" t="s">
        <v>78</v>
      </c>
    </row>
    <row r="3196" spans="1:33" hidden="1" x14ac:dyDescent="0.25">
      <c r="A3196" t="str">
        <f>"1497118731"</f>
        <v>1497118731</v>
      </c>
      <c r="C3196" t="s">
        <v>12938</v>
      </c>
      <c r="G3196" t="s">
        <v>2224</v>
      </c>
      <c r="H3196" t="s">
        <v>2225</v>
      </c>
      <c r="J3196" t="s">
        <v>2226</v>
      </c>
      <c r="K3196" t="s">
        <v>93</v>
      </c>
      <c r="L3196" t="s">
        <v>96</v>
      </c>
      <c r="M3196" t="s">
        <v>73</v>
      </c>
      <c r="R3196" t="s">
        <v>12939</v>
      </c>
      <c r="S3196" t="s">
        <v>170</v>
      </c>
      <c r="T3196" t="s">
        <v>91</v>
      </c>
      <c r="U3196" t="s">
        <v>74</v>
      </c>
      <c r="V3196" t="str">
        <f>"100654870"</f>
        <v>100654870</v>
      </c>
      <c r="AC3196" t="s">
        <v>76</v>
      </c>
      <c r="AD3196" t="s">
        <v>73</v>
      </c>
      <c r="AE3196" t="s">
        <v>97</v>
      </c>
      <c r="AF3196" t="s">
        <v>2398</v>
      </c>
      <c r="AG3196" t="s">
        <v>78</v>
      </c>
    </row>
    <row r="3197" spans="1:33" hidden="1" x14ac:dyDescent="0.25">
      <c r="A3197" t="str">
        <f>"1720442403"</f>
        <v>1720442403</v>
      </c>
      <c r="C3197" t="s">
        <v>12940</v>
      </c>
      <c r="G3197" t="s">
        <v>2224</v>
      </c>
      <c r="H3197" t="s">
        <v>2225</v>
      </c>
      <c r="J3197" t="s">
        <v>2226</v>
      </c>
      <c r="K3197" t="s">
        <v>93</v>
      </c>
      <c r="L3197" t="s">
        <v>96</v>
      </c>
      <c r="M3197" t="s">
        <v>73</v>
      </c>
      <c r="R3197" t="s">
        <v>12941</v>
      </c>
      <c r="S3197" t="s">
        <v>1745</v>
      </c>
      <c r="T3197" t="s">
        <v>91</v>
      </c>
      <c r="U3197" t="s">
        <v>74</v>
      </c>
      <c r="V3197" t="str">
        <f>"10021"</f>
        <v>10021</v>
      </c>
      <c r="AC3197" t="s">
        <v>76</v>
      </c>
      <c r="AD3197" t="s">
        <v>73</v>
      </c>
      <c r="AE3197" t="s">
        <v>97</v>
      </c>
      <c r="AF3197" t="s">
        <v>2398</v>
      </c>
      <c r="AG3197" t="s">
        <v>78</v>
      </c>
    </row>
    <row r="3198" spans="1:33" hidden="1" x14ac:dyDescent="0.25">
      <c r="A3198" t="str">
        <f>"1568709939"</f>
        <v>1568709939</v>
      </c>
      <c r="C3198" t="s">
        <v>12942</v>
      </c>
      <c r="G3198" t="s">
        <v>2224</v>
      </c>
      <c r="H3198" t="s">
        <v>2225</v>
      </c>
      <c r="J3198" t="s">
        <v>2226</v>
      </c>
      <c r="K3198" t="s">
        <v>93</v>
      </c>
      <c r="L3198" t="s">
        <v>96</v>
      </c>
      <c r="M3198" t="s">
        <v>73</v>
      </c>
      <c r="R3198" t="s">
        <v>12943</v>
      </c>
      <c r="S3198" t="s">
        <v>12944</v>
      </c>
      <c r="T3198" t="s">
        <v>586</v>
      </c>
      <c r="U3198" t="s">
        <v>578</v>
      </c>
      <c r="V3198" t="str">
        <f>"958172200"</f>
        <v>958172200</v>
      </c>
      <c r="AC3198" t="s">
        <v>76</v>
      </c>
      <c r="AD3198" t="s">
        <v>73</v>
      </c>
      <c r="AE3198" t="s">
        <v>97</v>
      </c>
      <c r="AF3198" t="s">
        <v>2398</v>
      </c>
      <c r="AG3198" t="s">
        <v>78</v>
      </c>
    </row>
    <row r="3199" spans="1:33" hidden="1" x14ac:dyDescent="0.25">
      <c r="A3199" t="str">
        <f>"1528301348"</f>
        <v>1528301348</v>
      </c>
      <c r="C3199" t="s">
        <v>12945</v>
      </c>
      <c r="G3199" t="s">
        <v>2224</v>
      </c>
      <c r="H3199" t="s">
        <v>2225</v>
      </c>
      <c r="J3199" t="s">
        <v>2226</v>
      </c>
      <c r="K3199" t="s">
        <v>93</v>
      </c>
      <c r="L3199" t="s">
        <v>96</v>
      </c>
      <c r="M3199" t="s">
        <v>73</v>
      </c>
      <c r="R3199" t="s">
        <v>12946</v>
      </c>
      <c r="S3199" t="s">
        <v>170</v>
      </c>
      <c r="T3199" t="s">
        <v>91</v>
      </c>
      <c r="U3199" t="s">
        <v>74</v>
      </c>
      <c r="V3199" t="str">
        <f>"100654870"</f>
        <v>100654870</v>
      </c>
      <c r="AC3199" t="s">
        <v>76</v>
      </c>
      <c r="AD3199" t="s">
        <v>73</v>
      </c>
      <c r="AE3199" t="s">
        <v>97</v>
      </c>
      <c r="AF3199" t="s">
        <v>2398</v>
      </c>
      <c r="AG3199" t="s">
        <v>78</v>
      </c>
    </row>
    <row r="3200" spans="1:33" hidden="1" x14ac:dyDescent="0.25">
      <c r="A3200" t="str">
        <f>"1962866657"</f>
        <v>1962866657</v>
      </c>
      <c r="C3200" t="s">
        <v>12947</v>
      </c>
      <c r="G3200" t="s">
        <v>2224</v>
      </c>
      <c r="H3200" t="s">
        <v>2225</v>
      </c>
      <c r="J3200" t="s">
        <v>2226</v>
      </c>
      <c r="K3200" t="s">
        <v>93</v>
      </c>
      <c r="L3200" t="s">
        <v>96</v>
      </c>
      <c r="M3200" t="s">
        <v>73</v>
      </c>
      <c r="R3200" t="s">
        <v>12948</v>
      </c>
      <c r="S3200" t="s">
        <v>1745</v>
      </c>
      <c r="T3200" t="s">
        <v>91</v>
      </c>
      <c r="U3200" t="s">
        <v>74</v>
      </c>
      <c r="V3200" t="str">
        <f>"10021"</f>
        <v>10021</v>
      </c>
      <c r="AC3200" t="s">
        <v>76</v>
      </c>
      <c r="AD3200" t="s">
        <v>73</v>
      </c>
      <c r="AE3200" t="s">
        <v>97</v>
      </c>
      <c r="AF3200" t="s">
        <v>2398</v>
      </c>
      <c r="AG3200" t="s">
        <v>78</v>
      </c>
    </row>
    <row r="3201" spans="1:33" hidden="1" x14ac:dyDescent="0.25">
      <c r="A3201" t="str">
        <f>"1639566284"</f>
        <v>1639566284</v>
      </c>
      <c r="C3201" t="s">
        <v>12949</v>
      </c>
      <c r="G3201" t="s">
        <v>2224</v>
      </c>
      <c r="H3201" t="s">
        <v>2225</v>
      </c>
      <c r="J3201" t="s">
        <v>2226</v>
      </c>
      <c r="K3201" t="s">
        <v>93</v>
      </c>
      <c r="L3201" t="s">
        <v>96</v>
      </c>
      <c r="M3201" t="s">
        <v>73</v>
      </c>
      <c r="R3201" t="s">
        <v>12950</v>
      </c>
      <c r="S3201" t="s">
        <v>170</v>
      </c>
      <c r="T3201" t="s">
        <v>91</v>
      </c>
      <c r="U3201" t="s">
        <v>74</v>
      </c>
      <c r="V3201" t="str">
        <f>"100654870"</f>
        <v>100654870</v>
      </c>
      <c r="AC3201" t="s">
        <v>76</v>
      </c>
      <c r="AD3201" t="s">
        <v>73</v>
      </c>
      <c r="AE3201" t="s">
        <v>97</v>
      </c>
      <c r="AF3201" t="s">
        <v>2398</v>
      </c>
      <c r="AG3201" t="s">
        <v>78</v>
      </c>
    </row>
    <row r="3202" spans="1:33" hidden="1" x14ac:dyDescent="0.25">
      <c r="A3202" t="str">
        <f>"1245654680"</f>
        <v>1245654680</v>
      </c>
      <c r="C3202" t="s">
        <v>12951</v>
      </c>
      <c r="G3202" t="s">
        <v>2224</v>
      </c>
      <c r="H3202" t="s">
        <v>2225</v>
      </c>
      <c r="J3202" t="s">
        <v>2226</v>
      </c>
      <c r="K3202" t="s">
        <v>93</v>
      </c>
      <c r="L3202" t="s">
        <v>96</v>
      </c>
      <c r="M3202" t="s">
        <v>73</v>
      </c>
      <c r="R3202" t="s">
        <v>12952</v>
      </c>
      <c r="S3202" t="s">
        <v>1430</v>
      </c>
      <c r="T3202" t="s">
        <v>598</v>
      </c>
      <c r="U3202" t="s">
        <v>599</v>
      </c>
      <c r="V3202" t="str">
        <f>"212872109"</f>
        <v>212872109</v>
      </c>
      <c r="AC3202" t="s">
        <v>76</v>
      </c>
      <c r="AD3202" t="s">
        <v>73</v>
      </c>
      <c r="AE3202" t="s">
        <v>97</v>
      </c>
      <c r="AF3202" t="s">
        <v>2254</v>
      </c>
      <c r="AG3202" t="s">
        <v>78</v>
      </c>
    </row>
    <row r="3203" spans="1:33" hidden="1" x14ac:dyDescent="0.25">
      <c r="A3203" t="str">
        <f>"1669835880"</f>
        <v>1669835880</v>
      </c>
      <c r="C3203" t="s">
        <v>12953</v>
      </c>
      <c r="G3203" t="s">
        <v>2224</v>
      </c>
      <c r="H3203" t="s">
        <v>2225</v>
      </c>
      <c r="J3203" t="s">
        <v>2226</v>
      </c>
      <c r="K3203" t="s">
        <v>93</v>
      </c>
      <c r="L3203" t="s">
        <v>96</v>
      </c>
      <c r="M3203" t="s">
        <v>73</v>
      </c>
      <c r="R3203" t="s">
        <v>12954</v>
      </c>
      <c r="S3203" t="s">
        <v>410</v>
      </c>
      <c r="T3203" t="s">
        <v>91</v>
      </c>
      <c r="U3203" t="s">
        <v>74</v>
      </c>
      <c r="V3203" t="str">
        <f>"100321559"</f>
        <v>100321559</v>
      </c>
      <c r="AC3203" t="s">
        <v>76</v>
      </c>
      <c r="AD3203" t="s">
        <v>73</v>
      </c>
      <c r="AE3203" t="s">
        <v>97</v>
      </c>
      <c r="AF3203" t="s">
        <v>2254</v>
      </c>
      <c r="AG3203" t="s">
        <v>78</v>
      </c>
    </row>
    <row r="3204" spans="1:33" hidden="1" x14ac:dyDescent="0.25">
      <c r="A3204" t="str">
        <f>"1134461437"</f>
        <v>1134461437</v>
      </c>
      <c r="C3204" t="s">
        <v>12955</v>
      </c>
      <c r="G3204" t="s">
        <v>2224</v>
      </c>
      <c r="H3204" t="s">
        <v>2225</v>
      </c>
      <c r="J3204" t="s">
        <v>2226</v>
      </c>
      <c r="K3204" t="s">
        <v>93</v>
      </c>
      <c r="L3204" t="s">
        <v>96</v>
      </c>
      <c r="M3204" t="s">
        <v>73</v>
      </c>
      <c r="R3204" t="s">
        <v>950</v>
      </c>
      <c r="S3204" t="s">
        <v>11608</v>
      </c>
      <c r="T3204" t="s">
        <v>91</v>
      </c>
      <c r="U3204" t="s">
        <v>74</v>
      </c>
      <c r="V3204" t="str">
        <f>"100654870"</f>
        <v>100654870</v>
      </c>
      <c r="AC3204" t="s">
        <v>76</v>
      </c>
      <c r="AD3204" t="s">
        <v>73</v>
      </c>
      <c r="AE3204" t="s">
        <v>97</v>
      </c>
      <c r="AF3204" t="s">
        <v>2398</v>
      </c>
      <c r="AG3204" t="s">
        <v>78</v>
      </c>
    </row>
    <row r="3205" spans="1:33" hidden="1" x14ac:dyDescent="0.25">
      <c r="A3205" t="str">
        <f>"1699193722"</f>
        <v>1699193722</v>
      </c>
      <c r="C3205" t="s">
        <v>12956</v>
      </c>
      <c r="G3205" t="s">
        <v>2224</v>
      </c>
      <c r="H3205" t="s">
        <v>2225</v>
      </c>
      <c r="J3205" t="s">
        <v>2226</v>
      </c>
      <c r="K3205" t="s">
        <v>93</v>
      </c>
      <c r="L3205" t="s">
        <v>96</v>
      </c>
      <c r="M3205" t="s">
        <v>73</v>
      </c>
      <c r="R3205" t="s">
        <v>12957</v>
      </c>
      <c r="S3205" t="s">
        <v>12958</v>
      </c>
      <c r="T3205" t="s">
        <v>91</v>
      </c>
      <c r="U3205" t="s">
        <v>74</v>
      </c>
      <c r="V3205" t="str">
        <f>"100654870"</f>
        <v>100654870</v>
      </c>
      <c r="AC3205" t="s">
        <v>76</v>
      </c>
      <c r="AD3205" t="s">
        <v>73</v>
      </c>
      <c r="AE3205" t="s">
        <v>97</v>
      </c>
      <c r="AF3205" t="s">
        <v>2398</v>
      </c>
      <c r="AG3205" t="s">
        <v>78</v>
      </c>
    </row>
    <row r="3206" spans="1:33" hidden="1" x14ac:dyDescent="0.25">
      <c r="A3206" t="str">
        <f>"1063832160"</f>
        <v>1063832160</v>
      </c>
      <c r="C3206" t="s">
        <v>12959</v>
      </c>
      <c r="G3206" t="s">
        <v>2224</v>
      </c>
      <c r="H3206" t="s">
        <v>2225</v>
      </c>
      <c r="J3206" t="s">
        <v>2226</v>
      </c>
      <c r="K3206" t="s">
        <v>93</v>
      </c>
      <c r="L3206" t="s">
        <v>96</v>
      </c>
      <c r="M3206" t="s">
        <v>73</v>
      </c>
      <c r="R3206" t="s">
        <v>12960</v>
      </c>
      <c r="S3206" t="s">
        <v>10089</v>
      </c>
      <c r="T3206" t="s">
        <v>91</v>
      </c>
      <c r="U3206" t="s">
        <v>74</v>
      </c>
      <c r="V3206" t="str">
        <f>"100654870"</f>
        <v>100654870</v>
      </c>
      <c r="AC3206" t="s">
        <v>76</v>
      </c>
      <c r="AD3206" t="s">
        <v>73</v>
      </c>
      <c r="AE3206" t="s">
        <v>97</v>
      </c>
      <c r="AF3206" t="s">
        <v>2398</v>
      </c>
      <c r="AG3206" t="s">
        <v>78</v>
      </c>
    </row>
    <row r="3207" spans="1:33" hidden="1" x14ac:dyDescent="0.25">
      <c r="A3207" t="str">
        <f>"1770945107"</f>
        <v>1770945107</v>
      </c>
      <c r="C3207" t="s">
        <v>12961</v>
      </c>
      <c r="G3207" t="s">
        <v>2224</v>
      </c>
      <c r="H3207" t="s">
        <v>2225</v>
      </c>
      <c r="J3207" t="s">
        <v>2226</v>
      </c>
      <c r="K3207" t="s">
        <v>93</v>
      </c>
      <c r="L3207" t="s">
        <v>96</v>
      </c>
      <c r="M3207" t="s">
        <v>73</v>
      </c>
      <c r="R3207" t="s">
        <v>12962</v>
      </c>
      <c r="S3207" t="s">
        <v>410</v>
      </c>
      <c r="T3207" t="s">
        <v>91</v>
      </c>
      <c r="U3207" t="s">
        <v>74</v>
      </c>
      <c r="V3207" t="str">
        <f>"100321559"</f>
        <v>100321559</v>
      </c>
      <c r="AC3207" t="s">
        <v>76</v>
      </c>
      <c r="AD3207" t="s">
        <v>73</v>
      </c>
      <c r="AE3207" t="s">
        <v>97</v>
      </c>
      <c r="AF3207" t="s">
        <v>2254</v>
      </c>
      <c r="AG3207" t="s">
        <v>78</v>
      </c>
    </row>
    <row r="3208" spans="1:33" hidden="1" x14ac:dyDescent="0.25">
      <c r="A3208" t="str">
        <f>"1669867685"</f>
        <v>1669867685</v>
      </c>
      <c r="C3208" t="s">
        <v>12963</v>
      </c>
      <c r="G3208" t="s">
        <v>2224</v>
      </c>
      <c r="H3208" t="s">
        <v>2225</v>
      </c>
      <c r="J3208" t="s">
        <v>2226</v>
      </c>
      <c r="K3208" t="s">
        <v>93</v>
      </c>
      <c r="L3208" t="s">
        <v>96</v>
      </c>
      <c r="M3208" t="s">
        <v>73</v>
      </c>
      <c r="R3208" t="s">
        <v>12964</v>
      </c>
      <c r="S3208" t="s">
        <v>12965</v>
      </c>
      <c r="T3208" t="s">
        <v>91</v>
      </c>
      <c r="U3208" t="s">
        <v>74</v>
      </c>
      <c r="V3208" t="str">
        <f>"100656307"</f>
        <v>100656307</v>
      </c>
      <c r="AC3208" t="s">
        <v>76</v>
      </c>
      <c r="AD3208" t="s">
        <v>73</v>
      </c>
      <c r="AE3208" t="s">
        <v>97</v>
      </c>
      <c r="AF3208" t="s">
        <v>2398</v>
      </c>
      <c r="AG3208" t="s">
        <v>78</v>
      </c>
    </row>
    <row r="3209" spans="1:33" hidden="1" x14ac:dyDescent="0.25">
      <c r="A3209" t="str">
        <f>"1861810822"</f>
        <v>1861810822</v>
      </c>
      <c r="C3209" t="s">
        <v>12966</v>
      </c>
      <c r="G3209" t="s">
        <v>2224</v>
      </c>
      <c r="H3209" t="s">
        <v>2225</v>
      </c>
      <c r="J3209" t="s">
        <v>2226</v>
      </c>
      <c r="K3209" t="s">
        <v>93</v>
      </c>
      <c r="L3209" t="s">
        <v>96</v>
      </c>
      <c r="M3209" t="s">
        <v>73</v>
      </c>
      <c r="R3209" t="s">
        <v>12967</v>
      </c>
      <c r="S3209" t="s">
        <v>410</v>
      </c>
      <c r="T3209" t="s">
        <v>91</v>
      </c>
      <c r="U3209" t="s">
        <v>74</v>
      </c>
      <c r="V3209" t="str">
        <f>"100321559"</f>
        <v>100321559</v>
      </c>
      <c r="AC3209" t="s">
        <v>76</v>
      </c>
      <c r="AD3209" t="s">
        <v>73</v>
      </c>
      <c r="AE3209" t="s">
        <v>97</v>
      </c>
      <c r="AF3209" t="s">
        <v>2254</v>
      </c>
      <c r="AG3209" t="s">
        <v>78</v>
      </c>
    </row>
    <row r="3210" spans="1:33" hidden="1" x14ac:dyDescent="0.25">
      <c r="A3210" t="str">
        <f>"1932527066"</f>
        <v>1932527066</v>
      </c>
      <c r="C3210" t="s">
        <v>12968</v>
      </c>
      <c r="G3210" t="s">
        <v>2224</v>
      </c>
      <c r="H3210" t="s">
        <v>2225</v>
      </c>
      <c r="J3210" t="s">
        <v>2226</v>
      </c>
      <c r="K3210" t="s">
        <v>93</v>
      </c>
      <c r="L3210" t="s">
        <v>96</v>
      </c>
      <c r="M3210" t="s">
        <v>73</v>
      </c>
      <c r="R3210" t="s">
        <v>12969</v>
      </c>
      <c r="S3210" t="s">
        <v>12970</v>
      </c>
      <c r="T3210" t="s">
        <v>91</v>
      </c>
      <c r="U3210" t="s">
        <v>74</v>
      </c>
      <c r="V3210" t="str">
        <f>"100654870"</f>
        <v>100654870</v>
      </c>
      <c r="AC3210" t="s">
        <v>76</v>
      </c>
      <c r="AD3210" t="s">
        <v>73</v>
      </c>
      <c r="AE3210" t="s">
        <v>97</v>
      </c>
      <c r="AF3210" t="s">
        <v>2254</v>
      </c>
      <c r="AG3210" t="s">
        <v>78</v>
      </c>
    </row>
    <row r="3211" spans="1:33" hidden="1" x14ac:dyDescent="0.25">
      <c r="A3211" t="str">
        <f>"1568825768"</f>
        <v>1568825768</v>
      </c>
      <c r="C3211" t="s">
        <v>12971</v>
      </c>
      <c r="G3211" t="s">
        <v>2224</v>
      </c>
      <c r="H3211" t="s">
        <v>2225</v>
      </c>
      <c r="J3211" t="s">
        <v>2226</v>
      </c>
      <c r="K3211" t="s">
        <v>93</v>
      </c>
      <c r="L3211" t="s">
        <v>96</v>
      </c>
      <c r="M3211" t="s">
        <v>73</v>
      </c>
      <c r="R3211" t="s">
        <v>12972</v>
      </c>
      <c r="S3211" t="s">
        <v>170</v>
      </c>
      <c r="T3211" t="s">
        <v>91</v>
      </c>
      <c r="U3211" t="s">
        <v>74</v>
      </c>
      <c r="V3211" t="str">
        <f>"100654870"</f>
        <v>100654870</v>
      </c>
      <c r="AC3211" t="s">
        <v>76</v>
      </c>
      <c r="AD3211" t="s">
        <v>73</v>
      </c>
      <c r="AE3211" t="s">
        <v>97</v>
      </c>
      <c r="AF3211" t="s">
        <v>2398</v>
      </c>
      <c r="AG3211" t="s">
        <v>78</v>
      </c>
    </row>
    <row r="3212" spans="1:33" hidden="1" x14ac:dyDescent="0.25">
      <c r="A3212" t="str">
        <f>"1770900813"</f>
        <v>1770900813</v>
      </c>
      <c r="C3212" t="s">
        <v>12973</v>
      </c>
      <c r="G3212" t="s">
        <v>2224</v>
      </c>
      <c r="H3212" t="s">
        <v>2225</v>
      </c>
      <c r="J3212" t="s">
        <v>2226</v>
      </c>
      <c r="K3212" t="s">
        <v>93</v>
      </c>
      <c r="L3212" t="s">
        <v>96</v>
      </c>
      <c r="M3212" t="s">
        <v>73</v>
      </c>
      <c r="R3212" t="s">
        <v>12974</v>
      </c>
      <c r="S3212" t="s">
        <v>167</v>
      </c>
      <c r="T3212" t="s">
        <v>91</v>
      </c>
      <c r="U3212" t="s">
        <v>74</v>
      </c>
      <c r="V3212" t="str">
        <f>"100323720"</f>
        <v>100323720</v>
      </c>
      <c r="AC3212" t="s">
        <v>76</v>
      </c>
      <c r="AD3212" t="s">
        <v>73</v>
      </c>
      <c r="AE3212" t="s">
        <v>97</v>
      </c>
      <c r="AF3212" t="s">
        <v>2254</v>
      </c>
      <c r="AG3212" t="s">
        <v>78</v>
      </c>
    </row>
    <row r="3213" spans="1:33" hidden="1" x14ac:dyDescent="0.25">
      <c r="A3213" t="str">
        <f>"1922460203"</f>
        <v>1922460203</v>
      </c>
      <c r="C3213" t="s">
        <v>12975</v>
      </c>
      <c r="G3213" t="s">
        <v>2224</v>
      </c>
      <c r="H3213" t="s">
        <v>2225</v>
      </c>
      <c r="J3213" t="s">
        <v>2226</v>
      </c>
      <c r="K3213" t="s">
        <v>93</v>
      </c>
      <c r="L3213" t="s">
        <v>96</v>
      </c>
      <c r="M3213" t="s">
        <v>73</v>
      </c>
      <c r="R3213" t="s">
        <v>12976</v>
      </c>
      <c r="S3213" t="s">
        <v>410</v>
      </c>
      <c r="T3213" t="s">
        <v>91</v>
      </c>
      <c r="U3213" t="s">
        <v>74</v>
      </c>
      <c r="V3213" t="str">
        <f>"100321559"</f>
        <v>100321559</v>
      </c>
      <c r="AC3213" t="s">
        <v>76</v>
      </c>
      <c r="AD3213" t="s">
        <v>73</v>
      </c>
      <c r="AE3213" t="s">
        <v>97</v>
      </c>
      <c r="AF3213" t="s">
        <v>2254</v>
      </c>
      <c r="AG3213" t="s">
        <v>78</v>
      </c>
    </row>
    <row r="3214" spans="1:33" hidden="1" x14ac:dyDescent="0.25">
      <c r="A3214" t="str">
        <f>"1922461672"</f>
        <v>1922461672</v>
      </c>
      <c r="C3214" t="s">
        <v>12977</v>
      </c>
      <c r="G3214" t="s">
        <v>2224</v>
      </c>
      <c r="H3214" t="s">
        <v>2225</v>
      </c>
      <c r="J3214" t="s">
        <v>2226</v>
      </c>
      <c r="K3214" t="s">
        <v>93</v>
      </c>
      <c r="L3214" t="s">
        <v>96</v>
      </c>
      <c r="M3214" t="s">
        <v>73</v>
      </c>
      <c r="R3214" t="s">
        <v>12978</v>
      </c>
      <c r="S3214" t="s">
        <v>167</v>
      </c>
      <c r="T3214" t="s">
        <v>91</v>
      </c>
      <c r="U3214" t="s">
        <v>74</v>
      </c>
      <c r="V3214" t="str">
        <f>"100323720"</f>
        <v>100323720</v>
      </c>
      <c r="AC3214" t="s">
        <v>76</v>
      </c>
      <c r="AD3214" t="s">
        <v>73</v>
      </c>
      <c r="AE3214" t="s">
        <v>97</v>
      </c>
      <c r="AF3214" t="s">
        <v>2254</v>
      </c>
      <c r="AG3214" t="s">
        <v>78</v>
      </c>
    </row>
    <row r="3215" spans="1:33" hidden="1" x14ac:dyDescent="0.25">
      <c r="A3215" t="str">
        <f>"1285097725"</f>
        <v>1285097725</v>
      </c>
      <c r="C3215" t="s">
        <v>12979</v>
      </c>
      <c r="G3215" t="s">
        <v>2224</v>
      </c>
      <c r="H3215" t="s">
        <v>2225</v>
      </c>
      <c r="J3215" t="s">
        <v>2226</v>
      </c>
      <c r="K3215" t="s">
        <v>93</v>
      </c>
      <c r="L3215" t="s">
        <v>96</v>
      </c>
      <c r="M3215" t="s">
        <v>73</v>
      </c>
      <c r="R3215" t="s">
        <v>12980</v>
      </c>
      <c r="S3215" t="s">
        <v>1745</v>
      </c>
      <c r="T3215" t="s">
        <v>91</v>
      </c>
      <c r="U3215" t="s">
        <v>74</v>
      </c>
      <c r="V3215" t="str">
        <f>"10021"</f>
        <v>10021</v>
      </c>
      <c r="AC3215" t="s">
        <v>76</v>
      </c>
      <c r="AD3215" t="s">
        <v>73</v>
      </c>
      <c r="AE3215" t="s">
        <v>97</v>
      </c>
      <c r="AF3215" t="s">
        <v>2398</v>
      </c>
      <c r="AG3215" t="s">
        <v>78</v>
      </c>
    </row>
    <row r="3216" spans="1:33" hidden="1" x14ac:dyDescent="0.25">
      <c r="A3216" t="str">
        <f>"1760836449"</f>
        <v>1760836449</v>
      </c>
      <c r="C3216" t="s">
        <v>12981</v>
      </c>
      <c r="G3216" t="s">
        <v>2224</v>
      </c>
      <c r="H3216" t="s">
        <v>2225</v>
      </c>
      <c r="J3216" t="s">
        <v>2226</v>
      </c>
      <c r="K3216" t="s">
        <v>93</v>
      </c>
      <c r="L3216" t="s">
        <v>96</v>
      </c>
      <c r="M3216" t="s">
        <v>73</v>
      </c>
      <c r="R3216" t="s">
        <v>12982</v>
      </c>
      <c r="S3216" t="s">
        <v>12958</v>
      </c>
      <c r="T3216" t="s">
        <v>91</v>
      </c>
      <c r="U3216" t="s">
        <v>74</v>
      </c>
      <c r="V3216" t="str">
        <f>"100654870"</f>
        <v>100654870</v>
      </c>
      <c r="AC3216" t="s">
        <v>76</v>
      </c>
      <c r="AD3216" t="s">
        <v>73</v>
      </c>
      <c r="AE3216" t="s">
        <v>97</v>
      </c>
      <c r="AF3216" t="s">
        <v>2398</v>
      </c>
      <c r="AG3216" t="s">
        <v>78</v>
      </c>
    </row>
    <row r="3217" spans="1:33" hidden="1" x14ac:dyDescent="0.25">
      <c r="A3217" t="str">
        <f>"1285029587"</f>
        <v>1285029587</v>
      </c>
      <c r="C3217" t="s">
        <v>12983</v>
      </c>
      <c r="G3217" t="s">
        <v>2224</v>
      </c>
      <c r="H3217" t="s">
        <v>2225</v>
      </c>
      <c r="J3217" t="s">
        <v>2226</v>
      </c>
      <c r="K3217" t="s">
        <v>93</v>
      </c>
      <c r="L3217" t="s">
        <v>96</v>
      </c>
      <c r="M3217" t="s">
        <v>73</v>
      </c>
      <c r="R3217" t="s">
        <v>12984</v>
      </c>
      <c r="S3217" t="s">
        <v>354</v>
      </c>
      <c r="T3217" t="s">
        <v>91</v>
      </c>
      <c r="U3217" t="s">
        <v>74</v>
      </c>
      <c r="V3217" t="str">
        <f>"100323725"</f>
        <v>100323725</v>
      </c>
      <c r="AC3217" t="s">
        <v>76</v>
      </c>
      <c r="AD3217" t="s">
        <v>73</v>
      </c>
      <c r="AE3217" t="s">
        <v>97</v>
      </c>
      <c r="AF3217" t="s">
        <v>2254</v>
      </c>
      <c r="AG3217" t="s">
        <v>78</v>
      </c>
    </row>
    <row r="3218" spans="1:33" hidden="1" x14ac:dyDescent="0.25">
      <c r="A3218" t="str">
        <f>"1104246032"</f>
        <v>1104246032</v>
      </c>
      <c r="C3218" t="s">
        <v>12985</v>
      </c>
      <c r="G3218" t="s">
        <v>2224</v>
      </c>
      <c r="H3218" t="s">
        <v>2225</v>
      </c>
      <c r="J3218" t="s">
        <v>2226</v>
      </c>
      <c r="K3218" t="s">
        <v>93</v>
      </c>
      <c r="L3218" t="s">
        <v>96</v>
      </c>
      <c r="M3218" t="s">
        <v>73</v>
      </c>
      <c r="R3218" t="s">
        <v>12986</v>
      </c>
      <c r="S3218" t="s">
        <v>354</v>
      </c>
      <c r="T3218" t="s">
        <v>91</v>
      </c>
      <c r="U3218" t="s">
        <v>74</v>
      </c>
      <c r="V3218" t="str">
        <f>"100323725"</f>
        <v>100323725</v>
      </c>
      <c r="AC3218" t="s">
        <v>76</v>
      </c>
      <c r="AD3218" t="s">
        <v>73</v>
      </c>
      <c r="AE3218" t="s">
        <v>97</v>
      </c>
      <c r="AF3218" t="s">
        <v>2254</v>
      </c>
      <c r="AG3218" t="s">
        <v>78</v>
      </c>
    </row>
    <row r="3219" spans="1:33" hidden="1" x14ac:dyDescent="0.25">
      <c r="A3219" t="str">
        <f>"1215390307"</f>
        <v>1215390307</v>
      </c>
      <c r="C3219" t="s">
        <v>12987</v>
      </c>
      <c r="G3219" t="s">
        <v>2224</v>
      </c>
      <c r="H3219" t="s">
        <v>2225</v>
      </c>
      <c r="J3219" t="s">
        <v>2226</v>
      </c>
      <c r="K3219" t="s">
        <v>93</v>
      </c>
      <c r="L3219" t="s">
        <v>96</v>
      </c>
      <c r="M3219" t="s">
        <v>73</v>
      </c>
      <c r="R3219" t="s">
        <v>12988</v>
      </c>
      <c r="S3219" t="s">
        <v>167</v>
      </c>
      <c r="T3219" t="s">
        <v>91</v>
      </c>
      <c r="U3219" t="s">
        <v>74</v>
      </c>
      <c r="V3219" t="str">
        <f>"100323720"</f>
        <v>100323720</v>
      </c>
      <c r="AC3219" t="s">
        <v>76</v>
      </c>
      <c r="AD3219" t="s">
        <v>73</v>
      </c>
      <c r="AE3219" t="s">
        <v>97</v>
      </c>
      <c r="AF3219" t="s">
        <v>2254</v>
      </c>
      <c r="AG3219" t="s">
        <v>78</v>
      </c>
    </row>
    <row r="3220" spans="1:33" hidden="1" x14ac:dyDescent="0.25">
      <c r="A3220" t="str">
        <f>"1194169987"</f>
        <v>1194169987</v>
      </c>
      <c r="C3220" t="s">
        <v>12989</v>
      </c>
      <c r="G3220" t="s">
        <v>2224</v>
      </c>
      <c r="H3220" t="s">
        <v>2225</v>
      </c>
      <c r="J3220" t="s">
        <v>2226</v>
      </c>
      <c r="K3220" t="s">
        <v>93</v>
      </c>
      <c r="L3220" t="s">
        <v>96</v>
      </c>
      <c r="M3220" t="s">
        <v>73</v>
      </c>
      <c r="R3220" t="s">
        <v>12990</v>
      </c>
      <c r="S3220" t="s">
        <v>167</v>
      </c>
      <c r="T3220" t="s">
        <v>91</v>
      </c>
      <c r="U3220" t="s">
        <v>74</v>
      </c>
      <c r="V3220" t="str">
        <f>"100323720"</f>
        <v>100323720</v>
      </c>
      <c r="AC3220" t="s">
        <v>76</v>
      </c>
      <c r="AD3220" t="s">
        <v>73</v>
      </c>
      <c r="AE3220" t="s">
        <v>97</v>
      </c>
      <c r="AF3220" t="s">
        <v>2254</v>
      </c>
      <c r="AG3220" t="s">
        <v>78</v>
      </c>
    </row>
    <row r="3221" spans="1:33" hidden="1" x14ac:dyDescent="0.25">
      <c r="A3221" t="str">
        <f>"1194144402"</f>
        <v>1194144402</v>
      </c>
      <c r="C3221" t="s">
        <v>12991</v>
      </c>
      <c r="G3221" t="s">
        <v>2224</v>
      </c>
      <c r="H3221" t="s">
        <v>2225</v>
      </c>
      <c r="J3221" t="s">
        <v>2226</v>
      </c>
      <c r="K3221" t="s">
        <v>93</v>
      </c>
      <c r="L3221" t="s">
        <v>96</v>
      </c>
      <c r="M3221" t="s">
        <v>73</v>
      </c>
      <c r="R3221" t="s">
        <v>12992</v>
      </c>
      <c r="S3221" t="s">
        <v>8015</v>
      </c>
      <c r="T3221" t="s">
        <v>91</v>
      </c>
      <c r="U3221" t="s">
        <v>74</v>
      </c>
      <c r="V3221" t="str">
        <f>"100323725"</f>
        <v>100323725</v>
      </c>
      <c r="AC3221" t="s">
        <v>76</v>
      </c>
      <c r="AD3221" t="s">
        <v>73</v>
      </c>
      <c r="AE3221" t="s">
        <v>97</v>
      </c>
      <c r="AF3221" t="s">
        <v>2254</v>
      </c>
      <c r="AG3221" t="s">
        <v>78</v>
      </c>
    </row>
    <row r="3222" spans="1:33" hidden="1" x14ac:dyDescent="0.25">
      <c r="A3222" t="str">
        <f>"1497117758"</f>
        <v>1497117758</v>
      </c>
      <c r="C3222" t="s">
        <v>12993</v>
      </c>
      <c r="G3222" t="s">
        <v>2224</v>
      </c>
      <c r="H3222" t="s">
        <v>2225</v>
      </c>
      <c r="J3222" t="s">
        <v>2226</v>
      </c>
      <c r="K3222" t="s">
        <v>93</v>
      </c>
      <c r="L3222" t="s">
        <v>96</v>
      </c>
      <c r="M3222" t="s">
        <v>73</v>
      </c>
      <c r="R3222" t="s">
        <v>12994</v>
      </c>
      <c r="S3222" t="s">
        <v>7459</v>
      </c>
      <c r="T3222" t="s">
        <v>91</v>
      </c>
      <c r="U3222" t="s">
        <v>74</v>
      </c>
      <c r="V3222" t="str">
        <f>"100214872"</f>
        <v>100214872</v>
      </c>
      <c r="AC3222" t="s">
        <v>76</v>
      </c>
      <c r="AD3222" t="s">
        <v>73</v>
      </c>
      <c r="AE3222" t="s">
        <v>97</v>
      </c>
      <c r="AF3222" t="s">
        <v>2398</v>
      </c>
      <c r="AG3222" t="s">
        <v>78</v>
      </c>
    </row>
    <row r="3223" spans="1:33" hidden="1" x14ac:dyDescent="0.25">
      <c r="A3223" t="str">
        <f>"1881089688"</f>
        <v>1881089688</v>
      </c>
      <c r="C3223" t="s">
        <v>12995</v>
      </c>
      <c r="G3223" t="s">
        <v>2224</v>
      </c>
      <c r="H3223" t="s">
        <v>2225</v>
      </c>
      <c r="J3223" t="s">
        <v>2226</v>
      </c>
      <c r="K3223" t="s">
        <v>93</v>
      </c>
      <c r="L3223" t="s">
        <v>96</v>
      </c>
      <c r="M3223" t="s">
        <v>73</v>
      </c>
      <c r="R3223" t="s">
        <v>12996</v>
      </c>
      <c r="S3223" t="s">
        <v>410</v>
      </c>
      <c r="T3223" t="s">
        <v>91</v>
      </c>
      <c r="U3223" t="s">
        <v>74</v>
      </c>
      <c r="V3223" t="str">
        <f>"100321559"</f>
        <v>100321559</v>
      </c>
      <c r="AC3223" t="s">
        <v>76</v>
      </c>
      <c r="AD3223" t="s">
        <v>73</v>
      </c>
      <c r="AE3223" t="s">
        <v>97</v>
      </c>
      <c r="AF3223" t="s">
        <v>2254</v>
      </c>
      <c r="AG3223" t="s">
        <v>78</v>
      </c>
    </row>
    <row r="3224" spans="1:33" hidden="1" x14ac:dyDescent="0.25">
      <c r="A3224" t="str">
        <f>"1700267986"</f>
        <v>1700267986</v>
      </c>
      <c r="C3224" t="s">
        <v>12997</v>
      </c>
      <c r="G3224" t="s">
        <v>2224</v>
      </c>
      <c r="H3224" t="s">
        <v>2225</v>
      </c>
      <c r="J3224" t="s">
        <v>2226</v>
      </c>
      <c r="K3224" t="s">
        <v>93</v>
      </c>
      <c r="L3224" t="s">
        <v>96</v>
      </c>
      <c r="M3224" t="s">
        <v>73</v>
      </c>
      <c r="R3224" t="s">
        <v>12998</v>
      </c>
      <c r="S3224" t="s">
        <v>2019</v>
      </c>
      <c r="T3224" t="s">
        <v>370</v>
      </c>
      <c r="U3224" t="s">
        <v>211</v>
      </c>
      <c r="V3224" t="str">
        <f>"631101003"</f>
        <v>631101003</v>
      </c>
      <c r="AC3224" t="s">
        <v>76</v>
      </c>
      <c r="AD3224" t="s">
        <v>73</v>
      </c>
      <c r="AE3224" t="s">
        <v>97</v>
      </c>
      <c r="AF3224" t="s">
        <v>2398</v>
      </c>
      <c r="AG3224" t="s">
        <v>78</v>
      </c>
    </row>
    <row r="3225" spans="1:33" hidden="1" x14ac:dyDescent="0.25">
      <c r="A3225" t="str">
        <f>"1942627955"</f>
        <v>1942627955</v>
      </c>
      <c r="C3225" t="s">
        <v>12999</v>
      </c>
      <c r="G3225" t="s">
        <v>2224</v>
      </c>
      <c r="H3225" t="s">
        <v>2225</v>
      </c>
      <c r="J3225" t="s">
        <v>2226</v>
      </c>
      <c r="K3225" t="s">
        <v>93</v>
      </c>
      <c r="L3225" t="s">
        <v>96</v>
      </c>
      <c r="M3225" t="s">
        <v>73</v>
      </c>
      <c r="R3225" t="s">
        <v>13000</v>
      </c>
      <c r="S3225" t="s">
        <v>410</v>
      </c>
      <c r="T3225" t="s">
        <v>91</v>
      </c>
      <c r="U3225" t="s">
        <v>74</v>
      </c>
      <c r="V3225" t="str">
        <f>"100321559"</f>
        <v>100321559</v>
      </c>
      <c r="AC3225" t="s">
        <v>76</v>
      </c>
      <c r="AD3225" t="s">
        <v>73</v>
      </c>
      <c r="AE3225" t="s">
        <v>97</v>
      </c>
      <c r="AF3225" t="s">
        <v>2254</v>
      </c>
      <c r="AG3225" t="s">
        <v>78</v>
      </c>
    </row>
    <row r="3226" spans="1:33" hidden="1" x14ac:dyDescent="0.25">
      <c r="A3226" t="str">
        <f>"1508251562"</f>
        <v>1508251562</v>
      </c>
      <c r="C3226" t="s">
        <v>13001</v>
      </c>
      <c r="G3226" t="s">
        <v>2224</v>
      </c>
      <c r="H3226" t="s">
        <v>2225</v>
      </c>
      <c r="J3226" t="s">
        <v>2226</v>
      </c>
      <c r="K3226" t="s">
        <v>93</v>
      </c>
      <c r="L3226" t="s">
        <v>96</v>
      </c>
      <c r="M3226" t="s">
        <v>73</v>
      </c>
      <c r="R3226" t="s">
        <v>13002</v>
      </c>
      <c r="S3226" t="s">
        <v>11608</v>
      </c>
      <c r="T3226" t="s">
        <v>91</v>
      </c>
      <c r="U3226" t="s">
        <v>74</v>
      </c>
      <c r="V3226" t="str">
        <f>"100654870"</f>
        <v>100654870</v>
      </c>
      <c r="AC3226" t="s">
        <v>76</v>
      </c>
      <c r="AD3226" t="s">
        <v>73</v>
      </c>
      <c r="AE3226" t="s">
        <v>97</v>
      </c>
      <c r="AF3226" t="s">
        <v>2398</v>
      </c>
      <c r="AG3226" t="s">
        <v>78</v>
      </c>
    </row>
    <row r="3227" spans="1:33" hidden="1" x14ac:dyDescent="0.25">
      <c r="A3227" t="str">
        <f>"1578959821"</f>
        <v>1578959821</v>
      </c>
      <c r="C3227" t="s">
        <v>13003</v>
      </c>
      <c r="G3227" t="s">
        <v>2224</v>
      </c>
      <c r="H3227" t="s">
        <v>2225</v>
      </c>
      <c r="J3227" t="s">
        <v>2226</v>
      </c>
      <c r="K3227" t="s">
        <v>93</v>
      </c>
      <c r="L3227" t="s">
        <v>96</v>
      </c>
      <c r="M3227" t="s">
        <v>73</v>
      </c>
      <c r="R3227" t="s">
        <v>13004</v>
      </c>
      <c r="S3227" t="s">
        <v>2115</v>
      </c>
      <c r="T3227" t="s">
        <v>91</v>
      </c>
      <c r="U3227" t="s">
        <v>74</v>
      </c>
      <c r="V3227" t="str">
        <f>"100327104"</f>
        <v>100327104</v>
      </c>
      <c r="AC3227" t="s">
        <v>76</v>
      </c>
      <c r="AD3227" t="s">
        <v>73</v>
      </c>
      <c r="AE3227" t="s">
        <v>97</v>
      </c>
      <c r="AF3227" t="s">
        <v>2254</v>
      </c>
      <c r="AG3227" t="s">
        <v>78</v>
      </c>
    </row>
    <row r="3228" spans="1:33" hidden="1" x14ac:dyDescent="0.25">
      <c r="A3228" t="str">
        <f>"1386039451"</f>
        <v>1386039451</v>
      </c>
      <c r="C3228" t="s">
        <v>13005</v>
      </c>
      <c r="G3228" t="s">
        <v>2224</v>
      </c>
      <c r="H3228" t="s">
        <v>2225</v>
      </c>
      <c r="J3228" t="s">
        <v>2226</v>
      </c>
      <c r="K3228" t="s">
        <v>93</v>
      </c>
      <c r="L3228" t="s">
        <v>96</v>
      </c>
      <c r="M3228" t="s">
        <v>73</v>
      </c>
      <c r="R3228" t="s">
        <v>13006</v>
      </c>
      <c r="S3228" t="s">
        <v>410</v>
      </c>
      <c r="T3228" t="s">
        <v>91</v>
      </c>
      <c r="U3228" t="s">
        <v>74</v>
      </c>
      <c r="V3228" t="str">
        <f>"100321559"</f>
        <v>100321559</v>
      </c>
      <c r="AC3228" t="s">
        <v>76</v>
      </c>
      <c r="AD3228" t="s">
        <v>73</v>
      </c>
      <c r="AE3228" t="s">
        <v>97</v>
      </c>
      <c r="AF3228" t="s">
        <v>2254</v>
      </c>
      <c r="AG3228" t="s">
        <v>78</v>
      </c>
    </row>
    <row r="3229" spans="1:33" hidden="1" x14ac:dyDescent="0.25">
      <c r="A3229" t="str">
        <f>"1215322094"</f>
        <v>1215322094</v>
      </c>
      <c r="C3229" t="s">
        <v>13007</v>
      </c>
      <c r="G3229" t="s">
        <v>2224</v>
      </c>
      <c r="H3229" t="s">
        <v>2225</v>
      </c>
      <c r="J3229" t="s">
        <v>2226</v>
      </c>
      <c r="K3229" t="s">
        <v>93</v>
      </c>
      <c r="L3229" t="s">
        <v>96</v>
      </c>
      <c r="M3229" t="s">
        <v>73</v>
      </c>
      <c r="R3229" t="s">
        <v>13008</v>
      </c>
      <c r="S3229" t="s">
        <v>410</v>
      </c>
      <c r="T3229" t="s">
        <v>91</v>
      </c>
      <c r="U3229" t="s">
        <v>74</v>
      </c>
      <c r="V3229" t="str">
        <f>"100321559"</f>
        <v>100321559</v>
      </c>
      <c r="AC3229" t="s">
        <v>76</v>
      </c>
      <c r="AD3229" t="s">
        <v>73</v>
      </c>
      <c r="AE3229" t="s">
        <v>97</v>
      </c>
      <c r="AF3229" t="s">
        <v>2254</v>
      </c>
      <c r="AG3229" t="s">
        <v>78</v>
      </c>
    </row>
    <row r="3230" spans="1:33" hidden="1" x14ac:dyDescent="0.25">
      <c r="A3230" t="str">
        <f>"1770978066"</f>
        <v>1770978066</v>
      </c>
      <c r="C3230" t="s">
        <v>13009</v>
      </c>
      <c r="G3230" t="s">
        <v>2224</v>
      </c>
      <c r="H3230" t="s">
        <v>2225</v>
      </c>
      <c r="J3230" t="s">
        <v>2226</v>
      </c>
      <c r="K3230" t="s">
        <v>93</v>
      </c>
      <c r="L3230" t="s">
        <v>96</v>
      </c>
      <c r="M3230" t="s">
        <v>73</v>
      </c>
      <c r="R3230" t="s">
        <v>13010</v>
      </c>
      <c r="S3230" t="s">
        <v>13011</v>
      </c>
      <c r="T3230" t="s">
        <v>91</v>
      </c>
      <c r="U3230" t="s">
        <v>74</v>
      </c>
      <c r="V3230" t="str">
        <f>"100323725"</f>
        <v>100323725</v>
      </c>
      <c r="AC3230" t="s">
        <v>76</v>
      </c>
      <c r="AD3230" t="s">
        <v>73</v>
      </c>
      <c r="AE3230" t="s">
        <v>97</v>
      </c>
      <c r="AF3230" t="s">
        <v>2254</v>
      </c>
      <c r="AG3230" t="s">
        <v>78</v>
      </c>
    </row>
    <row r="3231" spans="1:33" hidden="1" x14ac:dyDescent="0.25">
      <c r="A3231" t="str">
        <f>"1457771339"</f>
        <v>1457771339</v>
      </c>
      <c r="C3231" t="s">
        <v>13012</v>
      </c>
      <c r="G3231" t="s">
        <v>2224</v>
      </c>
      <c r="H3231" t="s">
        <v>2225</v>
      </c>
      <c r="J3231" t="s">
        <v>2226</v>
      </c>
      <c r="K3231" t="s">
        <v>93</v>
      </c>
      <c r="L3231" t="s">
        <v>96</v>
      </c>
      <c r="M3231" t="s">
        <v>73</v>
      </c>
      <c r="R3231" t="s">
        <v>13013</v>
      </c>
      <c r="S3231" t="s">
        <v>13014</v>
      </c>
      <c r="T3231" t="s">
        <v>91</v>
      </c>
      <c r="U3231" t="s">
        <v>74</v>
      </c>
      <c r="V3231" t="str">
        <f>"100654870"</f>
        <v>100654870</v>
      </c>
      <c r="AC3231" t="s">
        <v>76</v>
      </c>
      <c r="AD3231" t="s">
        <v>73</v>
      </c>
      <c r="AE3231" t="s">
        <v>97</v>
      </c>
      <c r="AF3231" t="s">
        <v>2398</v>
      </c>
      <c r="AG3231" t="s">
        <v>78</v>
      </c>
    </row>
    <row r="3232" spans="1:33" hidden="1" x14ac:dyDescent="0.25">
      <c r="A3232" t="str">
        <f>"1215390968"</f>
        <v>1215390968</v>
      </c>
      <c r="C3232" t="s">
        <v>13015</v>
      </c>
      <c r="G3232" t="s">
        <v>2224</v>
      </c>
      <c r="H3232" t="s">
        <v>2225</v>
      </c>
      <c r="J3232" t="s">
        <v>2226</v>
      </c>
      <c r="K3232" t="s">
        <v>93</v>
      </c>
      <c r="L3232" t="s">
        <v>96</v>
      </c>
      <c r="M3232" t="s">
        <v>73</v>
      </c>
      <c r="R3232" t="s">
        <v>13016</v>
      </c>
      <c r="S3232" t="s">
        <v>167</v>
      </c>
      <c r="T3232" t="s">
        <v>91</v>
      </c>
      <c r="U3232" t="s">
        <v>74</v>
      </c>
      <c r="V3232" t="str">
        <f>"100323720"</f>
        <v>100323720</v>
      </c>
      <c r="AC3232" t="s">
        <v>76</v>
      </c>
      <c r="AD3232" t="s">
        <v>73</v>
      </c>
      <c r="AE3232" t="s">
        <v>97</v>
      </c>
      <c r="AF3232" t="s">
        <v>2254</v>
      </c>
      <c r="AG3232" t="s">
        <v>78</v>
      </c>
    </row>
    <row r="3233" spans="1:33" hidden="1" x14ac:dyDescent="0.25">
      <c r="A3233" t="str">
        <f>"1740643766"</f>
        <v>1740643766</v>
      </c>
      <c r="C3233" t="s">
        <v>13017</v>
      </c>
      <c r="G3233" t="s">
        <v>2224</v>
      </c>
      <c r="H3233" t="s">
        <v>2225</v>
      </c>
      <c r="J3233" t="s">
        <v>2226</v>
      </c>
      <c r="K3233" t="s">
        <v>93</v>
      </c>
      <c r="L3233" t="s">
        <v>96</v>
      </c>
      <c r="M3233" t="s">
        <v>73</v>
      </c>
      <c r="R3233" t="s">
        <v>13018</v>
      </c>
      <c r="S3233" t="s">
        <v>410</v>
      </c>
      <c r="T3233" t="s">
        <v>91</v>
      </c>
      <c r="U3233" t="s">
        <v>74</v>
      </c>
      <c r="V3233" t="str">
        <f>"100321559"</f>
        <v>100321559</v>
      </c>
      <c r="AC3233" t="s">
        <v>76</v>
      </c>
      <c r="AD3233" t="s">
        <v>73</v>
      </c>
      <c r="AE3233" t="s">
        <v>97</v>
      </c>
      <c r="AF3233" t="s">
        <v>2254</v>
      </c>
      <c r="AG3233" t="s">
        <v>78</v>
      </c>
    </row>
    <row r="3234" spans="1:33" hidden="1" x14ac:dyDescent="0.25">
      <c r="A3234" t="str">
        <f>"1659766152"</f>
        <v>1659766152</v>
      </c>
      <c r="C3234" t="s">
        <v>13019</v>
      </c>
      <c r="G3234" t="s">
        <v>2224</v>
      </c>
      <c r="H3234" t="s">
        <v>2225</v>
      </c>
      <c r="J3234" t="s">
        <v>2226</v>
      </c>
      <c r="K3234" t="s">
        <v>93</v>
      </c>
      <c r="L3234" t="s">
        <v>96</v>
      </c>
      <c r="M3234" t="s">
        <v>73</v>
      </c>
      <c r="R3234" t="s">
        <v>13020</v>
      </c>
      <c r="S3234" t="s">
        <v>13021</v>
      </c>
      <c r="T3234" t="s">
        <v>91</v>
      </c>
      <c r="U3234" t="s">
        <v>74</v>
      </c>
      <c r="V3234" t="str">
        <f>"100323733"</f>
        <v>100323733</v>
      </c>
      <c r="AC3234" t="s">
        <v>76</v>
      </c>
      <c r="AD3234" t="s">
        <v>73</v>
      </c>
      <c r="AE3234" t="s">
        <v>97</v>
      </c>
      <c r="AF3234" t="s">
        <v>2254</v>
      </c>
      <c r="AG3234" t="s">
        <v>78</v>
      </c>
    </row>
    <row r="3235" spans="1:33" hidden="1" x14ac:dyDescent="0.25">
      <c r="A3235" t="str">
        <f>"1265894166"</f>
        <v>1265894166</v>
      </c>
      <c r="C3235" t="s">
        <v>13022</v>
      </c>
      <c r="G3235" t="s">
        <v>2224</v>
      </c>
      <c r="H3235" t="s">
        <v>2225</v>
      </c>
      <c r="J3235" t="s">
        <v>2226</v>
      </c>
      <c r="K3235" t="s">
        <v>93</v>
      </c>
      <c r="L3235" t="s">
        <v>96</v>
      </c>
      <c r="M3235" t="s">
        <v>73</v>
      </c>
      <c r="R3235" t="s">
        <v>13023</v>
      </c>
      <c r="S3235" t="s">
        <v>11608</v>
      </c>
      <c r="T3235" t="s">
        <v>91</v>
      </c>
      <c r="U3235" t="s">
        <v>74</v>
      </c>
      <c r="V3235" t="str">
        <f>"100654870"</f>
        <v>100654870</v>
      </c>
      <c r="AC3235" t="s">
        <v>76</v>
      </c>
      <c r="AD3235" t="s">
        <v>73</v>
      </c>
      <c r="AE3235" t="s">
        <v>97</v>
      </c>
      <c r="AF3235" t="s">
        <v>2398</v>
      </c>
      <c r="AG3235" t="s">
        <v>78</v>
      </c>
    </row>
    <row r="3236" spans="1:33" hidden="1" x14ac:dyDescent="0.25">
      <c r="A3236" t="str">
        <f>"1205281326"</f>
        <v>1205281326</v>
      </c>
      <c r="C3236" t="s">
        <v>13024</v>
      </c>
      <c r="G3236" t="s">
        <v>2224</v>
      </c>
      <c r="H3236" t="s">
        <v>2225</v>
      </c>
      <c r="J3236" t="s">
        <v>2226</v>
      </c>
      <c r="K3236" t="s">
        <v>93</v>
      </c>
      <c r="L3236" t="s">
        <v>96</v>
      </c>
      <c r="M3236" t="s">
        <v>73</v>
      </c>
      <c r="R3236" t="s">
        <v>13025</v>
      </c>
      <c r="S3236" t="s">
        <v>1745</v>
      </c>
      <c r="T3236" t="s">
        <v>91</v>
      </c>
      <c r="U3236" t="s">
        <v>74</v>
      </c>
      <c r="V3236" t="str">
        <f>"10021"</f>
        <v>10021</v>
      </c>
      <c r="AC3236" t="s">
        <v>76</v>
      </c>
      <c r="AD3236" t="s">
        <v>73</v>
      </c>
      <c r="AE3236" t="s">
        <v>97</v>
      </c>
      <c r="AF3236" t="s">
        <v>2398</v>
      </c>
      <c r="AG3236" t="s">
        <v>78</v>
      </c>
    </row>
    <row r="3237" spans="1:33" hidden="1" x14ac:dyDescent="0.25">
      <c r="A3237" t="str">
        <f>"1891119319"</f>
        <v>1891119319</v>
      </c>
      <c r="C3237" t="s">
        <v>13026</v>
      </c>
      <c r="G3237" t="s">
        <v>2224</v>
      </c>
      <c r="H3237" t="s">
        <v>2225</v>
      </c>
      <c r="J3237" t="s">
        <v>2226</v>
      </c>
      <c r="K3237" t="s">
        <v>93</v>
      </c>
      <c r="L3237" t="s">
        <v>96</v>
      </c>
      <c r="M3237" t="s">
        <v>73</v>
      </c>
      <c r="R3237" t="s">
        <v>13027</v>
      </c>
      <c r="S3237" t="s">
        <v>13028</v>
      </c>
      <c r="T3237" t="s">
        <v>598</v>
      </c>
      <c r="U3237" t="s">
        <v>599</v>
      </c>
      <c r="V3237" t="str">
        <f>"212872109"</f>
        <v>212872109</v>
      </c>
      <c r="AC3237" t="s">
        <v>76</v>
      </c>
      <c r="AD3237" t="s">
        <v>73</v>
      </c>
      <c r="AE3237" t="s">
        <v>97</v>
      </c>
      <c r="AF3237" t="s">
        <v>2254</v>
      </c>
      <c r="AG3237" t="s">
        <v>78</v>
      </c>
    </row>
    <row r="3238" spans="1:33" hidden="1" x14ac:dyDescent="0.25">
      <c r="A3238" t="str">
        <f>"1659629442"</f>
        <v>1659629442</v>
      </c>
      <c r="C3238" t="s">
        <v>13029</v>
      </c>
      <c r="G3238" t="s">
        <v>2224</v>
      </c>
      <c r="H3238" t="s">
        <v>2225</v>
      </c>
      <c r="J3238" t="s">
        <v>2226</v>
      </c>
      <c r="K3238" t="s">
        <v>93</v>
      </c>
      <c r="L3238" t="s">
        <v>96</v>
      </c>
      <c r="M3238" t="s">
        <v>73</v>
      </c>
      <c r="R3238" t="s">
        <v>13030</v>
      </c>
      <c r="S3238" t="s">
        <v>170</v>
      </c>
      <c r="T3238" t="s">
        <v>91</v>
      </c>
      <c r="U3238" t="s">
        <v>74</v>
      </c>
      <c r="V3238" t="str">
        <f>"100654870"</f>
        <v>100654870</v>
      </c>
      <c r="AC3238" t="s">
        <v>76</v>
      </c>
      <c r="AD3238" t="s">
        <v>73</v>
      </c>
      <c r="AE3238" t="s">
        <v>97</v>
      </c>
      <c r="AF3238" t="s">
        <v>2398</v>
      </c>
      <c r="AG3238" t="s">
        <v>78</v>
      </c>
    </row>
    <row r="3239" spans="1:33" hidden="1" x14ac:dyDescent="0.25">
      <c r="A3239" t="str">
        <f>"1215356530"</f>
        <v>1215356530</v>
      </c>
      <c r="C3239" t="s">
        <v>13031</v>
      </c>
      <c r="G3239" t="s">
        <v>2224</v>
      </c>
      <c r="H3239" t="s">
        <v>2225</v>
      </c>
      <c r="J3239" t="s">
        <v>2226</v>
      </c>
      <c r="K3239" t="s">
        <v>93</v>
      </c>
      <c r="L3239" t="s">
        <v>96</v>
      </c>
      <c r="M3239" t="s">
        <v>73</v>
      </c>
      <c r="R3239" t="s">
        <v>13032</v>
      </c>
      <c r="S3239" t="s">
        <v>13033</v>
      </c>
      <c r="T3239" t="s">
        <v>91</v>
      </c>
      <c r="U3239" t="s">
        <v>74</v>
      </c>
      <c r="V3239" t="str">
        <f>"100194584"</f>
        <v>100194584</v>
      </c>
      <c r="AC3239" t="s">
        <v>76</v>
      </c>
      <c r="AD3239" t="s">
        <v>73</v>
      </c>
      <c r="AE3239" t="s">
        <v>97</v>
      </c>
      <c r="AF3239" t="s">
        <v>2254</v>
      </c>
      <c r="AG3239" t="s">
        <v>78</v>
      </c>
    </row>
    <row r="3240" spans="1:33" hidden="1" x14ac:dyDescent="0.25">
      <c r="A3240" t="str">
        <f>"1245625078"</f>
        <v>1245625078</v>
      </c>
      <c r="C3240" t="s">
        <v>13034</v>
      </c>
      <c r="G3240" t="s">
        <v>2224</v>
      </c>
      <c r="H3240" t="s">
        <v>2225</v>
      </c>
      <c r="J3240" t="s">
        <v>2226</v>
      </c>
      <c r="K3240" t="s">
        <v>93</v>
      </c>
      <c r="L3240" t="s">
        <v>96</v>
      </c>
      <c r="M3240" t="s">
        <v>73</v>
      </c>
      <c r="R3240" t="s">
        <v>13035</v>
      </c>
      <c r="S3240" t="s">
        <v>410</v>
      </c>
      <c r="T3240" t="s">
        <v>91</v>
      </c>
      <c r="U3240" t="s">
        <v>74</v>
      </c>
      <c r="V3240" t="str">
        <f>"100321559"</f>
        <v>100321559</v>
      </c>
      <c r="AC3240" t="s">
        <v>76</v>
      </c>
      <c r="AD3240" t="s">
        <v>73</v>
      </c>
      <c r="AE3240" t="s">
        <v>97</v>
      </c>
      <c r="AF3240" t="s">
        <v>2254</v>
      </c>
      <c r="AG3240" t="s">
        <v>78</v>
      </c>
    </row>
    <row r="3241" spans="1:33" hidden="1" x14ac:dyDescent="0.25">
      <c r="A3241" t="str">
        <f>"1326466491"</f>
        <v>1326466491</v>
      </c>
      <c r="C3241" t="s">
        <v>13036</v>
      </c>
      <c r="G3241" t="s">
        <v>2224</v>
      </c>
      <c r="H3241" t="s">
        <v>2225</v>
      </c>
      <c r="J3241" t="s">
        <v>2226</v>
      </c>
      <c r="K3241" t="s">
        <v>93</v>
      </c>
      <c r="L3241" t="s">
        <v>96</v>
      </c>
      <c r="M3241" t="s">
        <v>73</v>
      </c>
      <c r="R3241" t="s">
        <v>13037</v>
      </c>
      <c r="S3241" t="s">
        <v>170</v>
      </c>
      <c r="T3241" t="s">
        <v>91</v>
      </c>
      <c r="U3241" t="s">
        <v>74</v>
      </c>
      <c r="V3241" t="str">
        <f>"100654870"</f>
        <v>100654870</v>
      </c>
      <c r="AC3241" t="s">
        <v>76</v>
      </c>
      <c r="AD3241" t="s">
        <v>73</v>
      </c>
      <c r="AE3241" t="s">
        <v>97</v>
      </c>
      <c r="AF3241" t="s">
        <v>2398</v>
      </c>
      <c r="AG3241" t="s">
        <v>78</v>
      </c>
    </row>
    <row r="3242" spans="1:33" hidden="1" x14ac:dyDescent="0.25">
      <c r="A3242" t="str">
        <f>"1861887184"</f>
        <v>1861887184</v>
      </c>
      <c r="C3242" t="s">
        <v>13038</v>
      </c>
      <c r="G3242" t="s">
        <v>2224</v>
      </c>
      <c r="H3242" t="s">
        <v>2225</v>
      </c>
      <c r="J3242" t="s">
        <v>2226</v>
      </c>
      <c r="K3242" t="s">
        <v>93</v>
      </c>
      <c r="L3242" t="s">
        <v>96</v>
      </c>
      <c r="M3242" t="s">
        <v>73</v>
      </c>
      <c r="R3242" t="s">
        <v>13039</v>
      </c>
      <c r="S3242" t="s">
        <v>12830</v>
      </c>
      <c r="T3242" t="s">
        <v>91</v>
      </c>
      <c r="U3242" t="s">
        <v>74</v>
      </c>
      <c r="V3242" t="str">
        <f>"100323720"</f>
        <v>100323720</v>
      </c>
      <c r="AC3242" t="s">
        <v>76</v>
      </c>
      <c r="AD3242" t="s">
        <v>73</v>
      </c>
      <c r="AE3242" t="s">
        <v>97</v>
      </c>
      <c r="AF3242" t="s">
        <v>2254</v>
      </c>
      <c r="AG3242" t="s">
        <v>78</v>
      </c>
    </row>
    <row r="3243" spans="1:33" hidden="1" x14ac:dyDescent="0.25">
      <c r="A3243" t="str">
        <f>"1942664230"</f>
        <v>1942664230</v>
      </c>
      <c r="C3243" t="s">
        <v>13040</v>
      </c>
      <c r="G3243" t="s">
        <v>2224</v>
      </c>
      <c r="H3243" t="s">
        <v>2225</v>
      </c>
      <c r="J3243" t="s">
        <v>2226</v>
      </c>
      <c r="K3243" t="s">
        <v>93</v>
      </c>
      <c r="L3243" t="s">
        <v>96</v>
      </c>
      <c r="M3243" t="s">
        <v>73</v>
      </c>
      <c r="R3243" t="s">
        <v>13041</v>
      </c>
      <c r="S3243" t="s">
        <v>1745</v>
      </c>
      <c r="T3243" t="s">
        <v>91</v>
      </c>
      <c r="U3243" t="s">
        <v>74</v>
      </c>
      <c r="V3243" t="str">
        <f>"10021"</f>
        <v>10021</v>
      </c>
      <c r="AC3243" t="s">
        <v>76</v>
      </c>
      <c r="AD3243" t="s">
        <v>73</v>
      </c>
      <c r="AE3243" t="s">
        <v>97</v>
      </c>
      <c r="AF3243" t="s">
        <v>2398</v>
      </c>
      <c r="AG3243" t="s">
        <v>78</v>
      </c>
    </row>
    <row r="3244" spans="1:33" hidden="1" x14ac:dyDescent="0.25">
      <c r="A3244" t="str">
        <f>"1417376799"</f>
        <v>1417376799</v>
      </c>
      <c r="C3244" t="s">
        <v>13042</v>
      </c>
      <c r="G3244" t="s">
        <v>2224</v>
      </c>
      <c r="H3244" t="s">
        <v>2225</v>
      </c>
      <c r="J3244" t="s">
        <v>2226</v>
      </c>
      <c r="K3244" t="s">
        <v>93</v>
      </c>
      <c r="L3244" t="s">
        <v>96</v>
      </c>
      <c r="M3244" t="s">
        <v>73</v>
      </c>
      <c r="R3244" t="s">
        <v>13043</v>
      </c>
      <c r="S3244" t="s">
        <v>12888</v>
      </c>
      <c r="T3244" t="s">
        <v>91</v>
      </c>
      <c r="U3244" t="s">
        <v>74</v>
      </c>
      <c r="V3244" t="str">
        <f>"100654870"</f>
        <v>100654870</v>
      </c>
      <c r="AC3244" t="s">
        <v>76</v>
      </c>
      <c r="AD3244" t="s">
        <v>73</v>
      </c>
      <c r="AE3244" t="s">
        <v>97</v>
      </c>
      <c r="AF3244" t="s">
        <v>2398</v>
      </c>
      <c r="AG3244" t="s">
        <v>78</v>
      </c>
    </row>
    <row r="3245" spans="1:33" hidden="1" x14ac:dyDescent="0.25">
      <c r="A3245" t="str">
        <f>"1578973459"</f>
        <v>1578973459</v>
      </c>
      <c r="C3245" t="s">
        <v>13044</v>
      </c>
      <c r="G3245" t="s">
        <v>2224</v>
      </c>
      <c r="H3245" t="s">
        <v>2225</v>
      </c>
      <c r="J3245" t="s">
        <v>2226</v>
      </c>
      <c r="K3245" t="s">
        <v>93</v>
      </c>
      <c r="L3245" t="s">
        <v>96</v>
      </c>
      <c r="M3245" t="s">
        <v>73</v>
      </c>
      <c r="R3245" t="s">
        <v>13045</v>
      </c>
      <c r="S3245" t="s">
        <v>410</v>
      </c>
      <c r="T3245" t="s">
        <v>91</v>
      </c>
      <c r="U3245" t="s">
        <v>74</v>
      </c>
      <c r="V3245" t="str">
        <f>"100321559"</f>
        <v>100321559</v>
      </c>
      <c r="AC3245" t="s">
        <v>76</v>
      </c>
      <c r="AD3245" t="s">
        <v>73</v>
      </c>
      <c r="AE3245" t="s">
        <v>97</v>
      </c>
      <c r="AF3245" t="s">
        <v>2254</v>
      </c>
      <c r="AG3245" t="s">
        <v>78</v>
      </c>
    </row>
    <row r="3246" spans="1:33" hidden="1" x14ac:dyDescent="0.25">
      <c r="A3246" t="str">
        <f>"1295120517"</f>
        <v>1295120517</v>
      </c>
      <c r="C3246" t="s">
        <v>13046</v>
      </c>
      <c r="G3246" t="s">
        <v>2224</v>
      </c>
      <c r="H3246" t="s">
        <v>2225</v>
      </c>
      <c r="J3246" t="s">
        <v>2226</v>
      </c>
      <c r="K3246" t="s">
        <v>93</v>
      </c>
      <c r="L3246" t="s">
        <v>96</v>
      </c>
      <c r="M3246" t="s">
        <v>73</v>
      </c>
      <c r="R3246" t="s">
        <v>13047</v>
      </c>
      <c r="S3246" t="s">
        <v>13048</v>
      </c>
      <c r="T3246" t="s">
        <v>91</v>
      </c>
      <c r="U3246" t="s">
        <v>74</v>
      </c>
      <c r="V3246" t="str">
        <f>"100323720"</f>
        <v>100323720</v>
      </c>
      <c r="AC3246" t="s">
        <v>76</v>
      </c>
      <c r="AD3246" t="s">
        <v>73</v>
      </c>
      <c r="AE3246" t="s">
        <v>97</v>
      </c>
      <c r="AF3246" t="s">
        <v>2254</v>
      </c>
      <c r="AG3246" t="s">
        <v>78</v>
      </c>
    </row>
    <row r="3247" spans="1:33" hidden="1" x14ac:dyDescent="0.25">
      <c r="A3247" t="str">
        <f>"1720428329"</f>
        <v>1720428329</v>
      </c>
      <c r="C3247" t="s">
        <v>13049</v>
      </c>
      <c r="G3247" t="s">
        <v>2224</v>
      </c>
      <c r="H3247" t="s">
        <v>2225</v>
      </c>
      <c r="J3247" t="s">
        <v>2226</v>
      </c>
      <c r="K3247" t="s">
        <v>93</v>
      </c>
      <c r="L3247" t="s">
        <v>96</v>
      </c>
      <c r="M3247" t="s">
        <v>73</v>
      </c>
      <c r="R3247" t="s">
        <v>13050</v>
      </c>
      <c r="S3247" t="s">
        <v>13051</v>
      </c>
      <c r="T3247" t="s">
        <v>529</v>
      </c>
      <c r="U3247" t="s">
        <v>1186</v>
      </c>
      <c r="V3247" t="str">
        <f>"301651625"</f>
        <v>301651625</v>
      </c>
      <c r="AC3247" t="s">
        <v>76</v>
      </c>
      <c r="AD3247" t="s">
        <v>73</v>
      </c>
      <c r="AE3247" t="s">
        <v>97</v>
      </c>
      <c r="AF3247" t="s">
        <v>2254</v>
      </c>
      <c r="AG3247" t="s">
        <v>78</v>
      </c>
    </row>
    <row r="3248" spans="1:33" hidden="1" x14ac:dyDescent="0.25">
      <c r="A3248" t="str">
        <f>"1467815456"</f>
        <v>1467815456</v>
      </c>
      <c r="C3248" t="s">
        <v>13052</v>
      </c>
      <c r="G3248" t="s">
        <v>2224</v>
      </c>
      <c r="H3248" t="s">
        <v>2225</v>
      </c>
      <c r="J3248" t="s">
        <v>2226</v>
      </c>
      <c r="K3248" t="s">
        <v>93</v>
      </c>
      <c r="L3248" t="s">
        <v>96</v>
      </c>
      <c r="M3248" t="s">
        <v>73</v>
      </c>
      <c r="R3248" t="s">
        <v>13053</v>
      </c>
      <c r="S3248" t="s">
        <v>167</v>
      </c>
      <c r="T3248" t="s">
        <v>91</v>
      </c>
      <c r="U3248" t="s">
        <v>74</v>
      </c>
      <c r="V3248" t="str">
        <f>"100323720"</f>
        <v>100323720</v>
      </c>
      <c r="AC3248" t="s">
        <v>76</v>
      </c>
      <c r="AD3248" t="s">
        <v>73</v>
      </c>
      <c r="AE3248" t="s">
        <v>97</v>
      </c>
      <c r="AF3248" t="s">
        <v>2254</v>
      </c>
      <c r="AG3248" t="s">
        <v>78</v>
      </c>
    </row>
    <row r="3249" spans="1:33" hidden="1" x14ac:dyDescent="0.25">
      <c r="A3249" t="str">
        <f>"1518352632"</f>
        <v>1518352632</v>
      </c>
      <c r="C3249" t="s">
        <v>13054</v>
      </c>
      <c r="G3249" t="s">
        <v>2224</v>
      </c>
      <c r="H3249" t="s">
        <v>2225</v>
      </c>
      <c r="J3249" t="s">
        <v>2226</v>
      </c>
      <c r="K3249" t="s">
        <v>93</v>
      </c>
      <c r="L3249" t="s">
        <v>96</v>
      </c>
      <c r="M3249" t="s">
        <v>73</v>
      </c>
      <c r="R3249" t="s">
        <v>13055</v>
      </c>
      <c r="S3249" t="s">
        <v>13048</v>
      </c>
      <c r="T3249" t="s">
        <v>91</v>
      </c>
      <c r="U3249" t="s">
        <v>74</v>
      </c>
      <c r="V3249" t="str">
        <f>"100323720"</f>
        <v>100323720</v>
      </c>
      <c r="AC3249" t="s">
        <v>76</v>
      </c>
      <c r="AD3249" t="s">
        <v>73</v>
      </c>
      <c r="AE3249" t="s">
        <v>97</v>
      </c>
      <c r="AF3249" t="s">
        <v>2254</v>
      </c>
      <c r="AG3249" t="s">
        <v>78</v>
      </c>
    </row>
    <row r="3250" spans="1:33" hidden="1" x14ac:dyDescent="0.25">
      <c r="A3250" t="str">
        <f>"1417310574"</f>
        <v>1417310574</v>
      </c>
      <c r="C3250" t="s">
        <v>13056</v>
      </c>
      <c r="G3250" t="s">
        <v>2224</v>
      </c>
      <c r="H3250" t="s">
        <v>2225</v>
      </c>
      <c r="J3250" t="s">
        <v>2226</v>
      </c>
      <c r="K3250" t="s">
        <v>93</v>
      </c>
      <c r="L3250" t="s">
        <v>96</v>
      </c>
      <c r="M3250" t="s">
        <v>73</v>
      </c>
      <c r="R3250" t="s">
        <v>13057</v>
      </c>
      <c r="S3250" t="s">
        <v>1745</v>
      </c>
      <c r="T3250" t="s">
        <v>91</v>
      </c>
      <c r="U3250" t="s">
        <v>74</v>
      </c>
      <c r="V3250" t="str">
        <f>"10021"</f>
        <v>10021</v>
      </c>
      <c r="AC3250" t="s">
        <v>76</v>
      </c>
      <c r="AD3250" t="s">
        <v>73</v>
      </c>
      <c r="AE3250" t="s">
        <v>97</v>
      </c>
      <c r="AF3250" t="s">
        <v>2398</v>
      </c>
      <c r="AG3250" t="s">
        <v>78</v>
      </c>
    </row>
    <row r="3251" spans="1:33" hidden="1" x14ac:dyDescent="0.25">
      <c r="A3251" t="str">
        <f>"1730533621"</f>
        <v>1730533621</v>
      </c>
      <c r="C3251" t="s">
        <v>13058</v>
      </c>
      <c r="G3251" t="s">
        <v>2224</v>
      </c>
      <c r="H3251" t="s">
        <v>2225</v>
      </c>
      <c r="J3251" t="s">
        <v>2226</v>
      </c>
      <c r="K3251" t="s">
        <v>93</v>
      </c>
      <c r="L3251" t="s">
        <v>96</v>
      </c>
      <c r="M3251" t="s">
        <v>73</v>
      </c>
      <c r="R3251" t="s">
        <v>13059</v>
      </c>
      <c r="S3251" t="s">
        <v>167</v>
      </c>
      <c r="T3251" t="s">
        <v>91</v>
      </c>
      <c r="U3251" t="s">
        <v>74</v>
      </c>
      <c r="V3251" t="str">
        <f>"100323720"</f>
        <v>100323720</v>
      </c>
      <c r="AC3251" t="s">
        <v>76</v>
      </c>
      <c r="AD3251" t="s">
        <v>73</v>
      </c>
      <c r="AE3251" t="s">
        <v>97</v>
      </c>
      <c r="AF3251" t="s">
        <v>2254</v>
      </c>
      <c r="AG3251" t="s">
        <v>78</v>
      </c>
    </row>
    <row r="3252" spans="1:33" hidden="1" x14ac:dyDescent="0.25">
      <c r="A3252" t="str">
        <f>"1881058600"</f>
        <v>1881058600</v>
      </c>
      <c r="C3252" t="s">
        <v>13060</v>
      </c>
      <c r="G3252" t="s">
        <v>2224</v>
      </c>
      <c r="H3252" t="s">
        <v>2225</v>
      </c>
      <c r="J3252" t="s">
        <v>2226</v>
      </c>
      <c r="K3252" t="s">
        <v>93</v>
      </c>
      <c r="L3252" t="s">
        <v>96</v>
      </c>
      <c r="M3252" t="s">
        <v>73</v>
      </c>
      <c r="R3252" t="s">
        <v>13061</v>
      </c>
      <c r="S3252" t="s">
        <v>170</v>
      </c>
      <c r="T3252" t="s">
        <v>91</v>
      </c>
      <c r="U3252" t="s">
        <v>74</v>
      </c>
      <c r="V3252" t="str">
        <f>"100654870"</f>
        <v>100654870</v>
      </c>
      <c r="AC3252" t="s">
        <v>76</v>
      </c>
      <c r="AD3252" t="s">
        <v>73</v>
      </c>
      <c r="AE3252" t="s">
        <v>97</v>
      </c>
      <c r="AF3252" t="s">
        <v>2398</v>
      </c>
      <c r="AG3252" t="s">
        <v>78</v>
      </c>
    </row>
    <row r="3253" spans="1:33" hidden="1" x14ac:dyDescent="0.25">
      <c r="A3253" t="str">
        <f>"1356579155"</f>
        <v>1356579155</v>
      </c>
      <c r="C3253" t="s">
        <v>13062</v>
      </c>
      <c r="G3253" t="s">
        <v>2224</v>
      </c>
      <c r="H3253" t="s">
        <v>2225</v>
      </c>
      <c r="J3253" t="s">
        <v>2226</v>
      </c>
      <c r="K3253" t="s">
        <v>93</v>
      </c>
      <c r="L3253" t="s">
        <v>96</v>
      </c>
      <c r="M3253" t="s">
        <v>73</v>
      </c>
      <c r="R3253" t="s">
        <v>13063</v>
      </c>
      <c r="S3253" t="s">
        <v>167</v>
      </c>
      <c r="T3253" t="s">
        <v>91</v>
      </c>
      <c r="U3253" t="s">
        <v>74</v>
      </c>
      <c r="V3253" t="str">
        <f>"100323720"</f>
        <v>100323720</v>
      </c>
      <c r="AC3253" t="s">
        <v>76</v>
      </c>
      <c r="AD3253" t="s">
        <v>73</v>
      </c>
      <c r="AE3253" t="s">
        <v>97</v>
      </c>
      <c r="AF3253" t="s">
        <v>2254</v>
      </c>
      <c r="AG3253" t="s">
        <v>78</v>
      </c>
    </row>
    <row r="3254" spans="1:33" hidden="1" x14ac:dyDescent="0.25">
      <c r="A3254" t="str">
        <f>"1649634734"</f>
        <v>1649634734</v>
      </c>
      <c r="C3254" t="s">
        <v>13064</v>
      </c>
      <c r="G3254" t="s">
        <v>2224</v>
      </c>
      <c r="H3254" t="s">
        <v>2225</v>
      </c>
      <c r="J3254" t="s">
        <v>2226</v>
      </c>
      <c r="K3254" t="s">
        <v>93</v>
      </c>
      <c r="L3254" t="s">
        <v>96</v>
      </c>
      <c r="M3254" t="s">
        <v>73</v>
      </c>
      <c r="R3254" t="s">
        <v>13065</v>
      </c>
      <c r="S3254" t="s">
        <v>167</v>
      </c>
      <c r="T3254" t="s">
        <v>91</v>
      </c>
      <c r="U3254" t="s">
        <v>74</v>
      </c>
      <c r="V3254" t="str">
        <f>"100323720"</f>
        <v>100323720</v>
      </c>
      <c r="AC3254" t="s">
        <v>76</v>
      </c>
      <c r="AD3254" t="s">
        <v>73</v>
      </c>
      <c r="AE3254" t="s">
        <v>97</v>
      </c>
      <c r="AF3254" t="s">
        <v>2254</v>
      </c>
      <c r="AG3254" t="s">
        <v>78</v>
      </c>
    </row>
    <row r="3255" spans="1:33" hidden="1" x14ac:dyDescent="0.25">
      <c r="A3255" t="str">
        <f>"1477915833"</f>
        <v>1477915833</v>
      </c>
      <c r="C3255" t="s">
        <v>13066</v>
      </c>
      <c r="G3255" t="s">
        <v>2224</v>
      </c>
      <c r="H3255" t="s">
        <v>2225</v>
      </c>
      <c r="J3255" t="s">
        <v>2226</v>
      </c>
      <c r="K3255" t="s">
        <v>93</v>
      </c>
      <c r="L3255" t="s">
        <v>96</v>
      </c>
      <c r="M3255" t="s">
        <v>73</v>
      </c>
      <c r="R3255" t="s">
        <v>13067</v>
      </c>
      <c r="S3255" t="s">
        <v>7459</v>
      </c>
      <c r="T3255" t="s">
        <v>91</v>
      </c>
      <c r="U3255" t="s">
        <v>74</v>
      </c>
      <c r="V3255" t="str">
        <f>"100214872"</f>
        <v>100214872</v>
      </c>
      <c r="AC3255" t="s">
        <v>76</v>
      </c>
      <c r="AD3255" t="s">
        <v>73</v>
      </c>
      <c r="AE3255" t="s">
        <v>97</v>
      </c>
      <c r="AF3255" t="s">
        <v>2398</v>
      </c>
      <c r="AG3255" t="s">
        <v>78</v>
      </c>
    </row>
    <row r="3256" spans="1:33" hidden="1" x14ac:dyDescent="0.25">
      <c r="A3256" t="str">
        <f>"1972997864"</f>
        <v>1972997864</v>
      </c>
      <c r="C3256" t="s">
        <v>13068</v>
      </c>
      <c r="G3256" t="s">
        <v>2224</v>
      </c>
      <c r="H3256" t="s">
        <v>2225</v>
      </c>
      <c r="J3256" t="s">
        <v>2226</v>
      </c>
      <c r="K3256" t="s">
        <v>93</v>
      </c>
      <c r="L3256" t="s">
        <v>96</v>
      </c>
      <c r="M3256" t="s">
        <v>73</v>
      </c>
      <c r="R3256" t="s">
        <v>13069</v>
      </c>
      <c r="S3256" t="s">
        <v>410</v>
      </c>
      <c r="T3256" t="s">
        <v>91</v>
      </c>
      <c r="U3256" t="s">
        <v>74</v>
      </c>
      <c r="V3256" t="str">
        <f>"100321559"</f>
        <v>100321559</v>
      </c>
      <c r="AC3256" t="s">
        <v>76</v>
      </c>
      <c r="AD3256" t="s">
        <v>73</v>
      </c>
      <c r="AE3256" t="s">
        <v>97</v>
      </c>
      <c r="AF3256" t="s">
        <v>2254</v>
      </c>
      <c r="AG3256" t="s">
        <v>78</v>
      </c>
    </row>
    <row r="3257" spans="1:33" hidden="1" x14ac:dyDescent="0.25">
      <c r="A3257" t="str">
        <f>"1326433749"</f>
        <v>1326433749</v>
      </c>
      <c r="C3257" t="s">
        <v>13070</v>
      </c>
      <c r="G3257" t="s">
        <v>2224</v>
      </c>
      <c r="H3257" t="s">
        <v>2225</v>
      </c>
      <c r="J3257" t="s">
        <v>2226</v>
      </c>
      <c r="K3257" t="s">
        <v>93</v>
      </c>
      <c r="L3257" t="s">
        <v>96</v>
      </c>
      <c r="M3257" t="s">
        <v>73</v>
      </c>
      <c r="R3257" t="s">
        <v>13071</v>
      </c>
      <c r="S3257" t="s">
        <v>12830</v>
      </c>
      <c r="T3257" t="s">
        <v>91</v>
      </c>
      <c r="U3257" t="s">
        <v>74</v>
      </c>
      <c r="V3257" t="str">
        <f>"100323720"</f>
        <v>100323720</v>
      </c>
      <c r="AC3257" t="s">
        <v>76</v>
      </c>
      <c r="AD3257" t="s">
        <v>73</v>
      </c>
      <c r="AE3257" t="s">
        <v>97</v>
      </c>
      <c r="AF3257" t="s">
        <v>2254</v>
      </c>
      <c r="AG3257" t="s">
        <v>78</v>
      </c>
    </row>
    <row r="3258" spans="1:33" hidden="1" x14ac:dyDescent="0.25">
      <c r="A3258" t="str">
        <f>"1124472071"</f>
        <v>1124472071</v>
      </c>
      <c r="C3258" t="s">
        <v>13072</v>
      </c>
      <c r="G3258" t="s">
        <v>2224</v>
      </c>
      <c r="H3258" t="s">
        <v>2225</v>
      </c>
      <c r="J3258" t="s">
        <v>2226</v>
      </c>
      <c r="K3258" t="s">
        <v>93</v>
      </c>
      <c r="L3258" t="s">
        <v>96</v>
      </c>
      <c r="M3258" t="s">
        <v>73</v>
      </c>
      <c r="R3258" t="s">
        <v>13073</v>
      </c>
      <c r="S3258" t="s">
        <v>13074</v>
      </c>
      <c r="T3258" t="s">
        <v>1772</v>
      </c>
      <c r="U3258" t="s">
        <v>139</v>
      </c>
      <c r="V3258" t="str">
        <f>"077268674"</f>
        <v>077268674</v>
      </c>
      <c r="AC3258" t="s">
        <v>76</v>
      </c>
      <c r="AD3258" t="s">
        <v>73</v>
      </c>
      <c r="AE3258" t="s">
        <v>97</v>
      </c>
      <c r="AF3258" t="s">
        <v>2398</v>
      </c>
      <c r="AG3258" t="s">
        <v>78</v>
      </c>
    </row>
    <row r="3259" spans="1:33" hidden="1" x14ac:dyDescent="0.25">
      <c r="A3259" t="str">
        <f>"1144640152"</f>
        <v>1144640152</v>
      </c>
      <c r="C3259" t="s">
        <v>13075</v>
      </c>
      <c r="G3259" t="s">
        <v>2224</v>
      </c>
      <c r="H3259" t="s">
        <v>2225</v>
      </c>
      <c r="J3259" t="s">
        <v>2226</v>
      </c>
      <c r="K3259" t="s">
        <v>93</v>
      </c>
      <c r="L3259" t="s">
        <v>96</v>
      </c>
      <c r="M3259" t="s">
        <v>73</v>
      </c>
      <c r="R3259" t="s">
        <v>13076</v>
      </c>
      <c r="S3259" t="s">
        <v>1430</v>
      </c>
      <c r="T3259" t="s">
        <v>598</v>
      </c>
      <c r="U3259" t="s">
        <v>599</v>
      </c>
      <c r="V3259" t="str">
        <f>"212870005"</f>
        <v>212870005</v>
      </c>
      <c r="AC3259" t="s">
        <v>76</v>
      </c>
      <c r="AD3259" t="s">
        <v>73</v>
      </c>
      <c r="AE3259" t="s">
        <v>97</v>
      </c>
      <c r="AF3259" t="s">
        <v>2398</v>
      </c>
      <c r="AG3259" t="s">
        <v>78</v>
      </c>
    </row>
    <row r="3260" spans="1:33" hidden="1" x14ac:dyDescent="0.25">
      <c r="A3260" t="str">
        <f>"1588081467"</f>
        <v>1588081467</v>
      </c>
      <c r="C3260" t="s">
        <v>13077</v>
      </c>
      <c r="G3260" t="s">
        <v>2224</v>
      </c>
      <c r="H3260" t="s">
        <v>2225</v>
      </c>
      <c r="J3260" t="s">
        <v>2226</v>
      </c>
      <c r="K3260" t="s">
        <v>93</v>
      </c>
      <c r="L3260" t="s">
        <v>96</v>
      </c>
      <c r="M3260" t="s">
        <v>73</v>
      </c>
      <c r="R3260" t="s">
        <v>13078</v>
      </c>
      <c r="S3260" t="s">
        <v>410</v>
      </c>
      <c r="T3260" t="s">
        <v>91</v>
      </c>
      <c r="U3260" t="s">
        <v>74</v>
      </c>
      <c r="V3260" t="str">
        <f>"100321559"</f>
        <v>100321559</v>
      </c>
      <c r="AC3260" t="s">
        <v>76</v>
      </c>
      <c r="AD3260" t="s">
        <v>73</v>
      </c>
      <c r="AE3260" t="s">
        <v>97</v>
      </c>
      <c r="AF3260" t="s">
        <v>2254</v>
      </c>
      <c r="AG3260" t="s">
        <v>78</v>
      </c>
    </row>
    <row r="3261" spans="1:33" hidden="1" x14ac:dyDescent="0.25">
      <c r="A3261" t="str">
        <f>"1073892907"</f>
        <v>1073892907</v>
      </c>
      <c r="C3261" t="s">
        <v>13079</v>
      </c>
      <c r="G3261" t="s">
        <v>2224</v>
      </c>
      <c r="H3261" t="s">
        <v>2225</v>
      </c>
      <c r="J3261" t="s">
        <v>2226</v>
      </c>
      <c r="K3261" t="s">
        <v>93</v>
      </c>
      <c r="L3261" t="s">
        <v>96</v>
      </c>
      <c r="M3261" t="s">
        <v>73</v>
      </c>
      <c r="R3261" t="s">
        <v>13080</v>
      </c>
      <c r="S3261" t="s">
        <v>167</v>
      </c>
      <c r="T3261" t="s">
        <v>91</v>
      </c>
      <c r="U3261" t="s">
        <v>74</v>
      </c>
      <c r="V3261" t="str">
        <f>"100323720"</f>
        <v>100323720</v>
      </c>
      <c r="AC3261" t="s">
        <v>76</v>
      </c>
      <c r="AD3261" t="s">
        <v>73</v>
      </c>
      <c r="AE3261" t="s">
        <v>97</v>
      </c>
      <c r="AF3261" t="s">
        <v>2254</v>
      </c>
      <c r="AG3261" t="s">
        <v>78</v>
      </c>
    </row>
    <row r="3262" spans="1:33" hidden="1" x14ac:dyDescent="0.25">
      <c r="A3262" t="str">
        <f>"1194187542"</f>
        <v>1194187542</v>
      </c>
      <c r="C3262" t="s">
        <v>13081</v>
      </c>
      <c r="G3262" t="s">
        <v>2224</v>
      </c>
      <c r="H3262" t="s">
        <v>2225</v>
      </c>
      <c r="J3262" t="s">
        <v>2226</v>
      </c>
      <c r="K3262" t="s">
        <v>93</v>
      </c>
      <c r="L3262" t="s">
        <v>96</v>
      </c>
      <c r="M3262" t="s">
        <v>73</v>
      </c>
      <c r="R3262" t="s">
        <v>13082</v>
      </c>
      <c r="S3262" t="s">
        <v>410</v>
      </c>
      <c r="T3262" t="s">
        <v>91</v>
      </c>
      <c r="U3262" t="s">
        <v>74</v>
      </c>
      <c r="V3262" t="str">
        <f>"100321559"</f>
        <v>100321559</v>
      </c>
      <c r="AC3262" t="s">
        <v>76</v>
      </c>
      <c r="AD3262" t="s">
        <v>73</v>
      </c>
      <c r="AE3262" t="s">
        <v>97</v>
      </c>
      <c r="AF3262" t="s">
        <v>2254</v>
      </c>
      <c r="AG3262" t="s">
        <v>78</v>
      </c>
    </row>
    <row r="3263" spans="1:33" hidden="1" x14ac:dyDescent="0.25">
      <c r="A3263" t="str">
        <f>"1427412600"</f>
        <v>1427412600</v>
      </c>
      <c r="C3263" t="s">
        <v>13083</v>
      </c>
      <c r="G3263" t="s">
        <v>2224</v>
      </c>
      <c r="H3263" t="s">
        <v>2225</v>
      </c>
      <c r="J3263" t="s">
        <v>2226</v>
      </c>
      <c r="K3263" t="s">
        <v>93</v>
      </c>
      <c r="L3263" t="s">
        <v>96</v>
      </c>
      <c r="M3263" t="s">
        <v>73</v>
      </c>
      <c r="R3263" t="s">
        <v>13084</v>
      </c>
      <c r="S3263" t="s">
        <v>2186</v>
      </c>
      <c r="T3263" t="s">
        <v>91</v>
      </c>
      <c r="U3263" t="s">
        <v>74</v>
      </c>
      <c r="V3263" t="str">
        <f>"100654805"</f>
        <v>100654805</v>
      </c>
      <c r="AC3263" t="s">
        <v>76</v>
      </c>
      <c r="AD3263" t="s">
        <v>73</v>
      </c>
      <c r="AE3263" t="s">
        <v>97</v>
      </c>
      <c r="AF3263" t="s">
        <v>2398</v>
      </c>
      <c r="AG3263" t="s">
        <v>78</v>
      </c>
    </row>
    <row r="3264" spans="1:33" hidden="1" x14ac:dyDescent="0.25">
      <c r="A3264" t="str">
        <f>"1265828925"</f>
        <v>1265828925</v>
      </c>
      <c r="C3264" t="s">
        <v>13085</v>
      </c>
      <c r="G3264" t="s">
        <v>2224</v>
      </c>
      <c r="H3264" t="s">
        <v>2225</v>
      </c>
      <c r="J3264" t="s">
        <v>2226</v>
      </c>
      <c r="K3264" t="s">
        <v>93</v>
      </c>
      <c r="L3264" t="s">
        <v>96</v>
      </c>
      <c r="M3264" t="s">
        <v>73</v>
      </c>
      <c r="R3264" t="s">
        <v>13086</v>
      </c>
      <c r="S3264" t="s">
        <v>13087</v>
      </c>
      <c r="T3264" t="s">
        <v>13088</v>
      </c>
      <c r="U3264" t="s">
        <v>1162</v>
      </c>
      <c r="V3264" t="str">
        <f>"857184645"</f>
        <v>857184645</v>
      </c>
      <c r="AC3264" t="s">
        <v>76</v>
      </c>
      <c r="AD3264" t="s">
        <v>73</v>
      </c>
      <c r="AE3264" t="s">
        <v>97</v>
      </c>
      <c r="AF3264" t="s">
        <v>2254</v>
      </c>
      <c r="AG3264" t="s">
        <v>78</v>
      </c>
    </row>
    <row r="3265" spans="1:33" hidden="1" x14ac:dyDescent="0.25">
      <c r="A3265" t="str">
        <f>"1881012789"</f>
        <v>1881012789</v>
      </c>
      <c r="C3265" t="s">
        <v>13089</v>
      </c>
      <c r="G3265" t="s">
        <v>2224</v>
      </c>
      <c r="H3265" t="s">
        <v>2225</v>
      </c>
      <c r="J3265" t="s">
        <v>2226</v>
      </c>
      <c r="K3265" t="s">
        <v>93</v>
      </c>
      <c r="L3265" t="s">
        <v>96</v>
      </c>
      <c r="M3265" t="s">
        <v>73</v>
      </c>
      <c r="R3265" t="s">
        <v>13090</v>
      </c>
      <c r="S3265" t="s">
        <v>13091</v>
      </c>
      <c r="T3265" t="s">
        <v>91</v>
      </c>
      <c r="U3265" t="s">
        <v>74</v>
      </c>
      <c r="V3265" t="str">
        <f>"100323720"</f>
        <v>100323720</v>
      </c>
      <c r="AC3265" t="s">
        <v>76</v>
      </c>
      <c r="AD3265" t="s">
        <v>73</v>
      </c>
      <c r="AE3265" t="s">
        <v>97</v>
      </c>
      <c r="AF3265" t="s">
        <v>2254</v>
      </c>
      <c r="AG3265" t="s">
        <v>78</v>
      </c>
    </row>
    <row r="3266" spans="1:33" hidden="1" x14ac:dyDescent="0.25">
      <c r="A3266" t="str">
        <f>"1578981684"</f>
        <v>1578981684</v>
      </c>
      <c r="C3266" t="s">
        <v>13092</v>
      </c>
      <c r="G3266" t="s">
        <v>2224</v>
      </c>
      <c r="H3266" t="s">
        <v>2225</v>
      </c>
      <c r="J3266" t="s">
        <v>2226</v>
      </c>
      <c r="K3266" t="s">
        <v>93</v>
      </c>
      <c r="L3266" t="s">
        <v>96</v>
      </c>
      <c r="M3266" t="s">
        <v>73</v>
      </c>
      <c r="R3266" t="s">
        <v>13093</v>
      </c>
      <c r="S3266" t="s">
        <v>13014</v>
      </c>
      <c r="T3266" t="s">
        <v>91</v>
      </c>
      <c r="U3266" t="s">
        <v>74</v>
      </c>
      <c r="V3266" t="str">
        <f>"100654870"</f>
        <v>100654870</v>
      </c>
      <c r="AC3266" t="s">
        <v>76</v>
      </c>
      <c r="AD3266" t="s">
        <v>73</v>
      </c>
      <c r="AE3266" t="s">
        <v>97</v>
      </c>
      <c r="AF3266" t="s">
        <v>2398</v>
      </c>
      <c r="AG3266" t="s">
        <v>78</v>
      </c>
    </row>
    <row r="3267" spans="1:33" hidden="1" x14ac:dyDescent="0.25">
      <c r="A3267" t="str">
        <f>"1053774687"</f>
        <v>1053774687</v>
      </c>
      <c r="C3267" t="s">
        <v>13094</v>
      </c>
      <c r="G3267" t="s">
        <v>2224</v>
      </c>
      <c r="H3267" t="s">
        <v>2225</v>
      </c>
      <c r="J3267" t="s">
        <v>2226</v>
      </c>
      <c r="K3267" t="s">
        <v>93</v>
      </c>
      <c r="L3267" t="s">
        <v>96</v>
      </c>
      <c r="M3267" t="s">
        <v>73</v>
      </c>
      <c r="R3267" t="s">
        <v>13095</v>
      </c>
      <c r="S3267" t="s">
        <v>167</v>
      </c>
      <c r="T3267" t="s">
        <v>91</v>
      </c>
      <c r="U3267" t="s">
        <v>74</v>
      </c>
      <c r="V3267" t="str">
        <f>"100323720"</f>
        <v>100323720</v>
      </c>
      <c r="AC3267" t="s">
        <v>76</v>
      </c>
      <c r="AD3267" t="s">
        <v>73</v>
      </c>
      <c r="AE3267" t="s">
        <v>97</v>
      </c>
      <c r="AF3267" t="s">
        <v>2254</v>
      </c>
      <c r="AG3267" t="s">
        <v>78</v>
      </c>
    </row>
    <row r="3268" spans="1:33" hidden="1" x14ac:dyDescent="0.25">
      <c r="A3268" t="str">
        <f>"1285097329"</f>
        <v>1285097329</v>
      </c>
      <c r="C3268" t="s">
        <v>13096</v>
      </c>
      <c r="G3268" t="s">
        <v>2224</v>
      </c>
      <c r="H3268" t="s">
        <v>2225</v>
      </c>
      <c r="J3268" t="s">
        <v>2226</v>
      </c>
      <c r="K3268" t="s">
        <v>93</v>
      </c>
      <c r="L3268" t="s">
        <v>96</v>
      </c>
      <c r="M3268" t="s">
        <v>73</v>
      </c>
      <c r="R3268" t="s">
        <v>13097</v>
      </c>
      <c r="S3268" t="s">
        <v>11663</v>
      </c>
      <c r="T3268" t="s">
        <v>91</v>
      </c>
      <c r="U3268" t="s">
        <v>74</v>
      </c>
      <c r="V3268" t="str">
        <f>"100654870"</f>
        <v>100654870</v>
      </c>
      <c r="AC3268" t="s">
        <v>76</v>
      </c>
      <c r="AD3268" t="s">
        <v>73</v>
      </c>
      <c r="AE3268" t="s">
        <v>97</v>
      </c>
      <c r="AF3268" t="s">
        <v>2398</v>
      </c>
      <c r="AG3268" t="s">
        <v>78</v>
      </c>
    </row>
    <row r="3269" spans="1:33" hidden="1" x14ac:dyDescent="0.25">
      <c r="A3269" t="str">
        <f>"1184087512"</f>
        <v>1184087512</v>
      </c>
      <c r="C3269" t="s">
        <v>13098</v>
      </c>
      <c r="G3269" t="s">
        <v>2224</v>
      </c>
      <c r="H3269" t="s">
        <v>2225</v>
      </c>
      <c r="J3269" t="s">
        <v>2226</v>
      </c>
      <c r="K3269" t="s">
        <v>93</v>
      </c>
      <c r="L3269" t="s">
        <v>96</v>
      </c>
      <c r="M3269" t="s">
        <v>73</v>
      </c>
      <c r="R3269" t="s">
        <v>13099</v>
      </c>
      <c r="S3269" t="s">
        <v>167</v>
      </c>
      <c r="T3269" t="s">
        <v>91</v>
      </c>
      <c r="U3269" t="s">
        <v>74</v>
      </c>
      <c r="V3269" t="str">
        <f>"100323720"</f>
        <v>100323720</v>
      </c>
      <c r="AC3269" t="s">
        <v>76</v>
      </c>
      <c r="AD3269" t="s">
        <v>73</v>
      </c>
      <c r="AE3269" t="s">
        <v>97</v>
      </c>
      <c r="AF3269" t="s">
        <v>2254</v>
      </c>
      <c r="AG3269" t="s">
        <v>78</v>
      </c>
    </row>
    <row r="3270" spans="1:33" hidden="1" x14ac:dyDescent="0.25">
      <c r="A3270" t="str">
        <f>"1275928574"</f>
        <v>1275928574</v>
      </c>
      <c r="C3270" t="s">
        <v>13100</v>
      </c>
      <c r="G3270" t="s">
        <v>2224</v>
      </c>
      <c r="H3270" t="s">
        <v>2225</v>
      </c>
      <c r="J3270" t="s">
        <v>2226</v>
      </c>
      <c r="K3270" t="s">
        <v>93</v>
      </c>
      <c r="L3270" t="s">
        <v>96</v>
      </c>
      <c r="M3270" t="s">
        <v>73</v>
      </c>
      <c r="R3270" t="s">
        <v>13101</v>
      </c>
      <c r="S3270" t="s">
        <v>13048</v>
      </c>
      <c r="T3270" t="s">
        <v>91</v>
      </c>
      <c r="U3270" t="s">
        <v>74</v>
      </c>
      <c r="V3270" t="str">
        <f>"100323720"</f>
        <v>100323720</v>
      </c>
      <c r="AC3270" t="s">
        <v>76</v>
      </c>
      <c r="AD3270" t="s">
        <v>73</v>
      </c>
      <c r="AE3270" t="s">
        <v>97</v>
      </c>
      <c r="AF3270" t="s">
        <v>2254</v>
      </c>
      <c r="AG3270" t="s">
        <v>78</v>
      </c>
    </row>
    <row r="3271" spans="1:33" hidden="1" x14ac:dyDescent="0.25">
      <c r="A3271" t="str">
        <f>"1639565195"</f>
        <v>1639565195</v>
      </c>
      <c r="C3271" t="s">
        <v>13102</v>
      </c>
      <c r="G3271" t="s">
        <v>2224</v>
      </c>
      <c r="H3271" t="s">
        <v>2225</v>
      </c>
      <c r="J3271" t="s">
        <v>2226</v>
      </c>
      <c r="K3271" t="s">
        <v>93</v>
      </c>
      <c r="L3271" t="s">
        <v>96</v>
      </c>
      <c r="M3271" t="s">
        <v>73</v>
      </c>
      <c r="R3271" t="s">
        <v>13103</v>
      </c>
      <c r="S3271" t="s">
        <v>170</v>
      </c>
      <c r="T3271" t="s">
        <v>91</v>
      </c>
      <c r="U3271" t="s">
        <v>74</v>
      </c>
      <c r="V3271" t="str">
        <f>"100654870"</f>
        <v>100654870</v>
      </c>
      <c r="AC3271" t="s">
        <v>76</v>
      </c>
      <c r="AD3271" t="s">
        <v>73</v>
      </c>
      <c r="AE3271" t="s">
        <v>97</v>
      </c>
      <c r="AF3271" t="s">
        <v>2398</v>
      </c>
      <c r="AG3271" t="s">
        <v>78</v>
      </c>
    </row>
    <row r="3272" spans="1:33" hidden="1" x14ac:dyDescent="0.25">
      <c r="A3272" t="str">
        <f>"1609294396"</f>
        <v>1609294396</v>
      </c>
      <c r="C3272" t="s">
        <v>13104</v>
      </c>
      <c r="G3272" t="s">
        <v>2224</v>
      </c>
      <c r="H3272" t="s">
        <v>2225</v>
      </c>
      <c r="J3272" t="s">
        <v>2226</v>
      </c>
      <c r="K3272" t="s">
        <v>93</v>
      </c>
      <c r="L3272" t="s">
        <v>96</v>
      </c>
      <c r="M3272" t="s">
        <v>73</v>
      </c>
      <c r="R3272" t="s">
        <v>13105</v>
      </c>
      <c r="S3272" t="s">
        <v>13106</v>
      </c>
      <c r="T3272" t="s">
        <v>91</v>
      </c>
      <c r="U3272" t="s">
        <v>74</v>
      </c>
      <c r="V3272" t="str">
        <f>"100323720"</f>
        <v>100323720</v>
      </c>
      <c r="AC3272" t="s">
        <v>76</v>
      </c>
      <c r="AD3272" t="s">
        <v>73</v>
      </c>
      <c r="AE3272" t="s">
        <v>97</v>
      </c>
      <c r="AF3272" t="s">
        <v>2254</v>
      </c>
      <c r="AG3272" t="s">
        <v>78</v>
      </c>
    </row>
    <row r="3273" spans="1:33" hidden="1" x14ac:dyDescent="0.25">
      <c r="A3273" t="str">
        <f>"1982081873"</f>
        <v>1982081873</v>
      </c>
      <c r="C3273" t="s">
        <v>13107</v>
      </c>
      <c r="G3273" t="s">
        <v>2224</v>
      </c>
      <c r="H3273" t="s">
        <v>2225</v>
      </c>
      <c r="J3273" t="s">
        <v>2226</v>
      </c>
      <c r="K3273" t="s">
        <v>93</v>
      </c>
      <c r="L3273" t="s">
        <v>96</v>
      </c>
      <c r="M3273" t="s">
        <v>73</v>
      </c>
      <c r="R3273" t="s">
        <v>13108</v>
      </c>
      <c r="S3273" t="s">
        <v>13109</v>
      </c>
      <c r="T3273" t="s">
        <v>91</v>
      </c>
      <c r="U3273" t="s">
        <v>74</v>
      </c>
      <c r="V3273" t="str">
        <f>"100323720"</f>
        <v>100323720</v>
      </c>
      <c r="AC3273" t="s">
        <v>76</v>
      </c>
      <c r="AD3273" t="s">
        <v>73</v>
      </c>
      <c r="AE3273" t="s">
        <v>97</v>
      </c>
      <c r="AF3273" t="s">
        <v>2254</v>
      </c>
      <c r="AG3273" t="s">
        <v>78</v>
      </c>
    </row>
    <row r="3274" spans="1:33" hidden="1" x14ac:dyDescent="0.25">
      <c r="A3274" t="str">
        <f>"1790103364"</f>
        <v>1790103364</v>
      </c>
      <c r="C3274" t="s">
        <v>13110</v>
      </c>
      <c r="G3274" t="s">
        <v>2224</v>
      </c>
      <c r="H3274" t="s">
        <v>2225</v>
      </c>
      <c r="J3274" t="s">
        <v>2226</v>
      </c>
      <c r="K3274" t="s">
        <v>93</v>
      </c>
      <c r="L3274" t="s">
        <v>96</v>
      </c>
      <c r="M3274" t="s">
        <v>73</v>
      </c>
      <c r="R3274" t="s">
        <v>13111</v>
      </c>
      <c r="S3274" t="s">
        <v>13112</v>
      </c>
      <c r="T3274" t="s">
        <v>91</v>
      </c>
      <c r="U3274" t="s">
        <v>74</v>
      </c>
      <c r="V3274" t="str">
        <f>"100323720"</f>
        <v>100323720</v>
      </c>
      <c r="AC3274" t="s">
        <v>76</v>
      </c>
      <c r="AD3274" t="s">
        <v>73</v>
      </c>
      <c r="AE3274" t="s">
        <v>97</v>
      </c>
      <c r="AF3274" t="s">
        <v>2254</v>
      </c>
      <c r="AG3274" t="s">
        <v>78</v>
      </c>
    </row>
    <row r="3275" spans="1:33" hidden="1" x14ac:dyDescent="0.25">
      <c r="A3275" t="str">
        <f>"1851755284"</f>
        <v>1851755284</v>
      </c>
      <c r="C3275" t="s">
        <v>13113</v>
      </c>
      <c r="G3275" t="s">
        <v>2224</v>
      </c>
      <c r="H3275" t="s">
        <v>2225</v>
      </c>
      <c r="J3275" t="s">
        <v>2226</v>
      </c>
      <c r="K3275" t="s">
        <v>93</v>
      </c>
      <c r="L3275" t="s">
        <v>96</v>
      </c>
      <c r="M3275" t="s">
        <v>73</v>
      </c>
      <c r="R3275" t="s">
        <v>13114</v>
      </c>
      <c r="S3275" t="s">
        <v>628</v>
      </c>
      <c r="T3275" t="s">
        <v>91</v>
      </c>
      <c r="U3275" t="s">
        <v>74</v>
      </c>
      <c r="V3275" t="str">
        <f>"100214872"</f>
        <v>100214872</v>
      </c>
      <c r="AC3275" t="s">
        <v>76</v>
      </c>
      <c r="AD3275" t="s">
        <v>73</v>
      </c>
      <c r="AE3275" t="s">
        <v>97</v>
      </c>
      <c r="AF3275" t="s">
        <v>2398</v>
      </c>
      <c r="AG3275" t="s">
        <v>78</v>
      </c>
    </row>
    <row r="3276" spans="1:33" hidden="1" x14ac:dyDescent="0.25">
      <c r="A3276" t="str">
        <f>"1164884383"</f>
        <v>1164884383</v>
      </c>
      <c r="C3276" t="s">
        <v>13115</v>
      </c>
      <c r="G3276" t="s">
        <v>2224</v>
      </c>
      <c r="H3276" t="s">
        <v>2225</v>
      </c>
      <c r="J3276" t="s">
        <v>2226</v>
      </c>
      <c r="K3276" t="s">
        <v>93</v>
      </c>
      <c r="L3276" t="s">
        <v>96</v>
      </c>
      <c r="M3276" t="s">
        <v>73</v>
      </c>
      <c r="R3276" t="s">
        <v>13116</v>
      </c>
      <c r="S3276" t="s">
        <v>7459</v>
      </c>
      <c r="T3276" t="s">
        <v>91</v>
      </c>
      <c r="U3276" t="s">
        <v>74</v>
      </c>
      <c r="V3276" t="str">
        <f>"100214872"</f>
        <v>100214872</v>
      </c>
      <c r="AC3276" t="s">
        <v>76</v>
      </c>
      <c r="AD3276" t="s">
        <v>73</v>
      </c>
      <c r="AE3276" t="s">
        <v>97</v>
      </c>
      <c r="AF3276" t="s">
        <v>2398</v>
      </c>
      <c r="AG3276" t="s">
        <v>78</v>
      </c>
    </row>
    <row r="3277" spans="1:33" hidden="1" x14ac:dyDescent="0.25">
      <c r="A3277" t="str">
        <f>"1235524752"</f>
        <v>1235524752</v>
      </c>
      <c r="C3277" t="s">
        <v>13117</v>
      </c>
      <c r="G3277" t="s">
        <v>2224</v>
      </c>
      <c r="H3277" t="s">
        <v>2225</v>
      </c>
      <c r="J3277" t="s">
        <v>2226</v>
      </c>
      <c r="K3277" t="s">
        <v>93</v>
      </c>
      <c r="L3277" t="s">
        <v>96</v>
      </c>
      <c r="M3277" t="s">
        <v>73</v>
      </c>
      <c r="R3277" t="s">
        <v>13118</v>
      </c>
      <c r="S3277" t="s">
        <v>12888</v>
      </c>
      <c r="T3277" t="s">
        <v>91</v>
      </c>
      <c r="U3277" t="s">
        <v>74</v>
      </c>
      <c r="V3277" t="str">
        <f>"100654870"</f>
        <v>100654870</v>
      </c>
      <c r="AC3277" t="s">
        <v>76</v>
      </c>
      <c r="AD3277" t="s">
        <v>73</v>
      </c>
      <c r="AE3277" t="s">
        <v>97</v>
      </c>
      <c r="AF3277" t="s">
        <v>2398</v>
      </c>
      <c r="AG3277" t="s">
        <v>78</v>
      </c>
    </row>
    <row r="3278" spans="1:33" hidden="1" x14ac:dyDescent="0.25">
      <c r="A3278" t="str">
        <f>"1851785760"</f>
        <v>1851785760</v>
      </c>
      <c r="C3278" t="s">
        <v>13119</v>
      </c>
      <c r="G3278" t="s">
        <v>2224</v>
      </c>
      <c r="H3278" t="s">
        <v>2225</v>
      </c>
      <c r="J3278" t="s">
        <v>2226</v>
      </c>
      <c r="K3278" t="s">
        <v>93</v>
      </c>
      <c r="L3278" t="s">
        <v>96</v>
      </c>
      <c r="M3278" t="s">
        <v>73</v>
      </c>
      <c r="R3278" t="s">
        <v>13120</v>
      </c>
      <c r="S3278" t="s">
        <v>410</v>
      </c>
      <c r="T3278" t="s">
        <v>91</v>
      </c>
      <c r="U3278" t="s">
        <v>74</v>
      </c>
      <c r="V3278" t="str">
        <f>"100321559"</f>
        <v>100321559</v>
      </c>
      <c r="AC3278" t="s">
        <v>76</v>
      </c>
      <c r="AD3278" t="s">
        <v>73</v>
      </c>
      <c r="AE3278" t="s">
        <v>97</v>
      </c>
      <c r="AF3278" t="s">
        <v>2254</v>
      </c>
      <c r="AG3278" t="s">
        <v>78</v>
      </c>
    </row>
    <row r="3279" spans="1:33" hidden="1" x14ac:dyDescent="0.25">
      <c r="A3279" t="str">
        <f>"1407218696"</f>
        <v>1407218696</v>
      </c>
      <c r="C3279" t="s">
        <v>13121</v>
      </c>
      <c r="G3279" t="s">
        <v>2224</v>
      </c>
      <c r="H3279" t="s">
        <v>2225</v>
      </c>
      <c r="J3279" t="s">
        <v>2226</v>
      </c>
      <c r="K3279" t="s">
        <v>93</v>
      </c>
      <c r="L3279" t="s">
        <v>96</v>
      </c>
      <c r="M3279" t="s">
        <v>73</v>
      </c>
      <c r="R3279" t="s">
        <v>13122</v>
      </c>
      <c r="S3279" t="s">
        <v>11608</v>
      </c>
      <c r="T3279" t="s">
        <v>91</v>
      </c>
      <c r="U3279" t="s">
        <v>74</v>
      </c>
      <c r="V3279" t="str">
        <f>"100654870"</f>
        <v>100654870</v>
      </c>
      <c r="AC3279" t="s">
        <v>76</v>
      </c>
      <c r="AD3279" t="s">
        <v>73</v>
      </c>
      <c r="AE3279" t="s">
        <v>97</v>
      </c>
      <c r="AF3279" t="s">
        <v>2398</v>
      </c>
      <c r="AG3279" t="s">
        <v>78</v>
      </c>
    </row>
    <row r="3280" spans="1:33" hidden="1" x14ac:dyDescent="0.25">
      <c r="A3280" t="str">
        <f>"1033572110"</f>
        <v>1033572110</v>
      </c>
      <c r="C3280" t="s">
        <v>13123</v>
      </c>
      <c r="G3280" t="s">
        <v>2224</v>
      </c>
      <c r="H3280" t="s">
        <v>2225</v>
      </c>
      <c r="J3280" t="s">
        <v>2226</v>
      </c>
      <c r="K3280" t="s">
        <v>93</v>
      </c>
      <c r="L3280" t="s">
        <v>96</v>
      </c>
      <c r="M3280" t="s">
        <v>73</v>
      </c>
      <c r="R3280" t="s">
        <v>13124</v>
      </c>
      <c r="S3280" t="s">
        <v>1745</v>
      </c>
      <c r="T3280" t="s">
        <v>91</v>
      </c>
      <c r="U3280" t="s">
        <v>74</v>
      </c>
      <c r="V3280" t="str">
        <f>"10021"</f>
        <v>10021</v>
      </c>
      <c r="AC3280" t="s">
        <v>76</v>
      </c>
      <c r="AD3280" t="s">
        <v>73</v>
      </c>
      <c r="AE3280" t="s">
        <v>97</v>
      </c>
      <c r="AF3280" t="s">
        <v>2398</v>
      </c>
      <c r="AG3280" t="s">
        <v>78</v>
      </c>
    </row>
    <row r="3281" spans="1:33" hidden="1" x14ac:dyDescent="0.25">
      <c r="A3281" t="str">
        <f>"1801213830"</f>
        <v>1801213830</v>
      </c>
      <c r="C3281" t="s">
        <v>13125</v>
      </c>
      <c r="G3281" t="s">
        <v>2224</v>
      </c>
      <c r="H3281" t="s">
        <v>2225</v>
      </c>
      <c r="J3281" t="s">
        <v>2226</v>
      </c>
      <c r="K3281" t="s">
        <v>93</v>
      </c>
      <c r="L3281" t="s">
        <v>96</v>
      </c>
      <c r="M3281" t="s">
        <v>73</v>
      </c>
      <c r="R3281" t="s">
        <v>13126</v>
      </c>
      <c r="S3281" t="s">
        <v>410</v>
      </c>
      <c r="T3281" t="s">
        <v>91</v>
      </c>
      <c r="U3281" t="s">
        <v>74</v>
      </c>
      <c r="V3281" t="str">
        <f>"100321559"</f>
        <v>100321559</v>
      </c>
      <c r="AC3281" t="s">
        <v>76</v>
      </c>
      <c r="AD3281" t="s">
        <v>73</v>
      </c>
      <c r="AE3281" t="s">
        <v>97</v>
      </c>
      <c r="AF3281" t="s">
        <v>2254</v>
      </c>
      <c r="AG3281" t="s">
        <v>78</v>
      </c>
    </row>
    <row r="3282" spans="1:33" hidden="1" x14ac:dyDescent="0.25">
      <c r="A3282" t="str">
        <f>"1487074423"</f>
        <v>1487074423</v>
      </c>
      <c r="C3282" t="s">
        <v>13127</v>
      </c>
      <c r="G3282" t="s">
        <v>2224</v>
      </c>
      <c r="H3282" t="s">
        <v>2225</v>
      </c>
      <c r="J3282" t="s">
        <v>2226</v>
      </c>
      <c r="K3282" t="s">
        <v>93</v>
      </c>
      <c r="L3282" t="s">
        <v>96</v>
      </c>
      <c r="M3282" t="s">
        <v>73</v>
      </c>
      <c r="R3282" t="s">
        <v>13128</v>
      </c>
      <c r="S3282" t="s">
        <v>1444</v>
      </c>
      <c r="T3282" t="s">
        <v>91</v>
      </c>
      <c r="U3282" t="s">
        <v>74</v>
      </c>
      <c r="V3282" t="str">
        <f>"100323733"</f>
        <v>100323733</v>
      </c>
      <c r="AC3282" t="s">
        <v>76</v>
      </c>
      <c r="AD3282" t="s">
        <v>73</v>
      </c>
      <c r="AE3282" t="s">
        <v>97</v>
      </c>
      <c r="AF3282" t="s">
        <v>2254</v>
      </c>
      <c r="AG3282" t="s">
        <v>78</v>
      </c>
    </row>
    <row r="3283" spans="1:33" hidden="1" x14ac:dyDescent="0.25">
      <c r="A3283" t="str">
        <f>"1093179848"</f>
        <v>1093179848</v>
      </c>
      <c r="C3283" t="s">
        <v>13129</v>
      </c>
      <c r="G3283" t="s">
        <v>2224</v>
      </c>
      <c r="H3283" t="s">
        <v>2225</v>
      </c>
      <c r="J3283" t="s">
        <v>2226</v>
      </c>
      <c r="K3283" t="s">
        <v>93</v>
      </c>
      <c r="L3283" t="s">
        <v>96</v>
      </c>
      <c r="M3283" t="s">
        <v>73</v>
      </c>
      <c r="R3283" t="s">
        <v>13130</v>
      </c>
      <c r="S3283" t="s">
        <v>167</v>
      </c>
      <c r="T3283" t="s">
        <v>91</v>
      </c>
      <c r="U3283" t="s">
        <v>74</v>
      </c>
      <c r="V3283" t="str">
        <f>"100323720"</f>
        <v>100323720</v>
      </c>
      <c r="AC3283" t="s">
        <v>76</v>
      </c>
      <c r="AD3283" t="s">
        <v>73</v>
      </c>
      <c r="AE3283" t="s">
        <v>97</v>
      </c>
      <c r="AF3283" t="s">
        <v>2254</v>
      </c>
      <c r="AG3283" t="s">
        <v>78</v>
      </c>
    </row>
    <row r="3284" spans="1:33" hidden="1" x14ac:dyDescent="0.25">
      <c r="A3284" t="str">
        <f>"1932527785"</f>
        <v>1932527785</v>
      </c>
      <c r="C3284" t="s">
        <v>13131</v>
      </c>
      <c r="G3284" t="s">
        <v>2224</v>
      </c>
      <c r="H3284" t="s">
        <v>2225</v>
      </c>
      <c r="J3284" t="s">
        <v>2226</v>
      </c>
      <c r="K3284" t="s">
        <v>93</v>
      </c>
      <c r="L3284" t="s">
        <v>96</v>
      </c>
      <c r="M3284" t="s">
        <v>73</v>
      </c>
      <c r="R3284" t="s">
        <v>13132</v>
      </c>
      <c r="S3284" t="s">
        <v>410</v>
      </c>
      <c r="T3284" t="s">
        <v>91</v>
      </c>
      <c r="U3284" t="s">
        <v>74</v>
      </c>
      <c r="V3284" t="str">
        <f>"100321559"</f>
        <v>100321559</v>
      </c>
      <c r="AC3284" t="s">
        <v>76</v>
      </c>
      <c r="AD3284" t="s">
        <v>73</v>
      </c>
      <c r="AE3284" t="s">
        <v>97</v>
      </c>
      <c r="AF3284" t="s">
        <v>2254</v>
      </c>
      <c r="AG3284" t="s">
        <v>78</v>
      </c>
    </row>
    <row r="3285" spans="1:33" hidden="1" x14ac:dyDescent="0.25">
      <c r="A3285" t="str">
        <f>"1285096651"</f>
        <v>1285096651</v>
      </c>
      <c r="C3285" t="s">
        <v>13133</v>
      </c>
      <c r="G3285" t="s">
        <v>2224</v>
      </c>
      <c r="H3285" t="s">
        <v>2225</v>
      </c>
      <c r="J3285" t="s">
        <v>2226</v>
      </c>
      <c r="K3285" t="s">
        <v>93</v>
      </c>
      <c r="L3285" t="s">
        <v>96</v>
      </c>
      <c r="M3285" t="s">
        <v>73</v>
      </c>
      <c r="R3285" t="s">
        <v>13134</v>
      </c>
      <c r="S3285" t="s">
        <v>410</v>
      </c>
      <c r="T3285" t="s">
        <v>91</v>
      </c>
      <c r="U3285" t="s">
        <v>74</v>
      </c>
      <c r="V3285" t="str">
        <f>"100321559"</f>
        <v>100321559</v>
      </c>
      <c r="AC3285" t="s">
        <v>76</v>
      </c>
      <c r="AD3285" t="s">
        <v>73</v>
      </c>
      <c r="AE3285" t="s">
        <v>97</v>
      </c>
      <c r="AF3285" t="s">
        <v>2254</v>
      </c>
      <c r="AG3285" t="s">
        <v>78</v>
      </c>
    </row>
    <row r="3286" spans="1:33" hidden="1" x14ac:dyDescent="0.25">
      <c r="A3286" t="str">
        <f>"1134514854"</f>
        <v>1134514854</v>
      </c>
      <c r="C3286" t="s">
        <v>13135</v>
      </c>
      <c r="G3286" t="s">
        <v>2224</v>
      </c>
      <c r="H3286" t="s">
        <v>2225</v>
      </c>
      <c r="J3286" t="s">
        <v>2226</v>
      </c>
      <c r="K3286" t="s">
        <v>93</v>
      </c>
      <c r="L3286" t="s">
        <v>96</v>
      </c>
      <c r="M3286" t="s">
        <v>73</v>
      </c>
      <c r="R3286" t="s">
        <v>13136</v>
      </c>
      <c r="S3286" t="s">
        <v>410</v>
      </c>
      <c r="T3286" t="s">
        <v>91</v>
      </c>
      <c r="U3286" t="s">
        <v>74</v>
      </c>
      <c r="V3286" t="str">
        <f>"100321559"</f>
        <v>100321559</v>
      </c>
      <c r="AC3286" t="s">
        <v>76</v>
      </c>
      <c r="AD3286" t="s">
        <v>73</v>
      </c>
      <c r="AE3286" t="s">
        <v>97</v>
      </c>
      <c r="AF3286" t="s">
        <v>2254</v>
      </c>
      <c r="AG3286" t="s">
        <v>78</v>
      </c>
    </row>
    <row r="3287" spans="1:33" hidden="1" x14ac:dyDescent="0.25">
      <c r="A3287" t="str">
        <f>"1457715567"</f>
        <v>1457715567</v>
      </c>
      <c r="C3287" t="s">
        <v>13137</v>
      </c>
      <c r="G3287" t="s">
        <v>2224</v>
      </c>
      <c r="H3287" t="s">
        <v>2225</v>
      </c>
      <c r="J3287" t="s">
        <v>2226</v>
      </c>
      <c r="K3287" t="s">
        <v>93</v>
      </c>
      <c r="L3287" t="s">
        <v>96</v>
      </c>
      <c r="M3287" t="s">
        <v>73</v>
      </c>
      <c r="R3287" t="s">
        <v>13138</v>
      </c>
      <c r="S3287" t="s">
        <v>13139</v>
      </c>
      <c r="T3287" t="s">
        <v>13140</v>
      </c>
      <c r="U3287" t="s">
        <v>139</v>
      </c>
      <c r="V3287" t="str">
        <f>"079501951"</f>
        <v>079501951</v>
      </c>
      <c r="AC3287" t="s">
        <v>76</v>
      </c>
      <c r="AD3287" t="s">
        <v>73</v>
      </c>
      <c r="AE3287" t="s">
        <v>97</v>
      </c>
      <c r="AF3287" t="s">
        <v>2398</v>
      </c>
      <c r="AG3287" t="s">
        <v>78</v>
      </c>
    </row>
    <row r="3288" spans="1:33" hidden="1" x14ac:dyDescent="0.25">
      <c r="A3288" t="str">
        <f>"1003201435"</f>
        <v>1003201435</v>
      </c>
      <c r="C3288" t="s">
        <v>13141</v>
      </c>
      <c r="G3288" t="s">
        <v>2224</v>
      </c>
      <c r="H3288" t="s">
        <v>2225</v>
      </c>
      <c r="J3288" t="s">
        <v>2226</v>
      </c>
      <c r="K3288" t="s">
        <v>93</v>
      </c>
      <c r="L3288" t="s">
        <v>96</v>
      </c>
      <c r="M3288" t="s">
        <v>73</v>
      </c>
      <c r="R3288" t="s">
        <v>13142</v>
      </c>
      <c r="S3288" t="s">
        <v>13048</v>
      </c>
      <c r="T3288" t="s">
        <v>91</v>
      </c>
      <c r="U3288" t="s">
        <v>74</v>
      </c>
      <c r="V3288" t="str">
        <f>"100323720"</f>
        <v>100323720</v>
      </c>
      <c r="AC3288" t="s">
        <v>76</v>
      </c>
      <c r="AD3288" t="s">
        <v>73</v>
      </c>
      <c r="AE3288" t="s">
        <v>97</v>
      </c>
      <c r="AF3288" t="s">
        <v>2254</v>
      </c>
      <c r="AG3288" t="s">
        <v>78</v>
      </c>
    </row>
    <row r="3289" spans="1:33" hidden="1" x14ac:dyDescent="0.25">
      <c r="A3289" t="str">
        <f>"1396130886"</f>
        <v>1396130886</v>
      </c>
      <c r="C3289" t="s">
        <v>13143</v>
      </c>
      <c r="G3289" t="s">
        <v>2224</v>
      </c>
      <c r="H3289" t="s">
        <v>2225</v>
      </c>
      <c r="J3289" t="s">
        <v>2226</v>
      </c>
      <c r="K3289" t="s">
        <v>93</v>
      </c>
      <c r="L3289" t="s">
        <v>96</v>
      </c>
      <c r="M3289" t="s">
        <v>73</v>
      </c>
      <c r="R3289" t="s">
        <v>13144</v>
      </c>
      <c r="S3289" t="s">
        <v>13145</v>
      </c>
      <c r="T3289" t="s">
        <v>91</v>
      </c>
      <c r="U3289" t="s">
        <v>74</v>
      </c>
      <c r="V3289" t="str">
        <f>"100323720"</f>
        <v>100323720</v>
      </c>
      <c r="AC3289" t="s">
        <v>76</v>
      </c>
      <c r="AD3289" t="s">
        <v>73</v>
      </c>
      <c r="AE3289" t="s">
        <v>97</v>
      </c>
      <c r="AF3289" t="s">
        <v>2254</v>
      </c>
      <c r="AG3289" t="s">
        <v>78</v>
      </c>
    </row>
    <row r="3290" spans="1:33" hidden="1" x14ac:dyDescent="0.25">
      <c r="A3290" t="str">
        <f>"1518321694"</f>
        <v>1518321694</v>
      </c>
      <c r="C3290" t="s">
        <v>13146</v>
      </c>
      <c r="G3290" t="s">
        <v>2224</v>
      </c>
      <c r="H3290" t="s">
        <v>2225</v>
      </c>
      <c r="J3290" t="s">
        <v>2226</v>
      </c>
      <c r="K3290" t="s">
        <v>93</v>
      </c>
      <c r="L3290" t="s">
        <v>96</v>
      </c>
      <c r="M3290" t="s">
        <v>73</v>
      </c>
      <c r="R3290" t="s">
        <v>13147</v>
      </c>
      <c r="S3290" t="s">
        <v>167</v>
      </c>
      <c r="T3290" t="s">
        <v>91</v>
      </c>
      <c r="U3290" t="s">
        <v>74</v>
      </c>
      <c r="V3290" t="str">
        <f>"100323720"</f>
        <v>100323720</v>
      </c>
      <c r="AC3290" t="s">
        <v>76</v>
      </c>
      <c r="AD3290" t="s">
        <v>73</v>
      </c>
      <c r="AE3290" t="s">
        <v>97</v>
      </c>
      <c r="AF3290" t="s">
        <v>2254</v>
      </c>
      <c r="AG3290" t="s">
        <v>78</v>
      </c>
    </row>
    <row r="3291" spans="1:33" hidden="1" x14ac:dyDescent="0.25">
      <c r="A3291" t="str">
        <f>"1982099297"</f>
        <v>1982099297</v>
      </c>
      <c r="C3291" t="s">
        <v>13148</v>
      </c>
      <c r="G3291" t="s">
        <v>2224</v>
      </c>
      <c r="H3291" t="s">
        <v>2225</v>
      </c>
      <c r="J3291" t="s">
        <v>2226</v>
      </c>
      <c r="K3291" t="s">
        <v>93</v>
      </c>
      <c r="L3291" t="s">
        <v>96</v>
      </c>
      <c r="M3291" t="s">
        <v>73</v>
      </c>
      <c r="R3291" t="s">
        <v>13149</v>
      </c>
      <c r="S3291" t="s">
        <v>13048</v>
      </c>
      <c r="T3291" t="s">
        <v>91</v>
      </c>
      <c r="U3291" t="s">
        <v>74</v>
      </c>
      <c r="V3291" t="str">
        <f>"100323720"</f>
        <v>100323720</v>
      </c>
      <c r="AC3291" t="s">
        <v>76</v>
      </c>
      <c r="AD3291" t="s">
        <v>73</v>
      </c>
      <c r="AE3291" t="s">
        <v>97</v>
      </c>
      <c r="AF3291" t="s">
        <v>2254</v>
      </c>
      <c r="AG3291" t="s">
        <v>78</v>
      </c>
    </row>
    <row r="3292" spans="1:33" hidden="1" x14ac:dyDescent="0.25">
      <c r="A3292" t="str">
        <f>"1043638489"</f>
        <v>1043638489</v>
      </c>
      <c r="C3292" t="s">
        <v>13150</v>
      </c>
      <c r="G3292" t="s">
        <v>2224</v>
      </c>
      <c r="H3292" t="s">
        <v>2225</v>
      </c>
      <c r="J3292" t="s">
        <v>2226</v>
      </c>
      <c r="K3292" t="s">
        <v>93</v>
      </c>
      <c r="L3292" t="s">
        <v>96</v>
      </c>
      <c r="M3292" t="s">
        <v>73</v>
      </c>
      <c r="R3292" t="s">
        <v>13151</v>
      </c>
      <c r="S3292" t="s">
        <v>13152</v>
      </c>
      <c r="T3292" t="s">
        <v>91</v>
      </c>
      <c r="U3292" t="s">
        <v>74</v>
      </c>
      <c r="V3292" t="str">
        <f>"100323720"</f>
        <v>100323720</v>
      </c>
      <c r="AC3292" t="s">
        <v>76</v>
      </c>
      <c r="AD3292" t="s">
        <v>73</v>
      </c>
      <c r="AE3292" t="s">
        <v>97</v>
      </c>
      <c r="AF3292" t="s">
        <v>2254</v>
      </c>
      <c r="AG3292" t="s">
        <v>78</v>
      </c>
    </row>
    <row r="3293" spans="1:33" hidden="1" x14ac:dyDescent="0.25">
      <c r="A3293" t="str">
        <f>"1871912741"</f>
        <v>1871912741</v>
      </c>
      <c r="C3293" t="s">
        <v>13153</v>
      </c>
      <c r="G3293" t="s">
        <v>2224</v>
      </c>
      <c r="H3293" t="s">
        <v>2225</v>
      </c>
      <c r="J3293" t="s">
        <v>2226</v>
      </c>
      <c r="K3293" t="s">
        <v>93</v>
      </c>
      <c r="L3293" t="s">
        <v>96</v>
      </c>
      <c r="M3293" t="s">
        <v>73</v>
      </c>
      <c r="R3293" t="s">
        <v>13154</v>
      </c>
      <c r="S3293" t="s">
        <v>410</v>
      </c>
      <c r="T3293" t="s">
        <v>91</v>
      </c>
      <c r="U3293" t="s">
        <v>74</v>
      </c>
      <c r="V3293" t="str">
        <f>"100321559"</f>
        <v>100321559</v>
      </c>
      <c r="AC3293" t="s">
        <v>76</v>
      </c>
      <c r="AD3293" t="s">
        <v>73</v>
      </c>
      <c r="AE3293" t="s">
        <v>97</v>
      </c>
      <c r="AF3293" t="s">
        <v>2254</v>
      </c>
      <c r="AG3293" t="s">
        <v>78</v>
      </c>
    </row>
    <row r="3294" spans="1:33" hidden="1" x14ac:dyDescent="0.25">
      <c r="A3294" t="str">
        <f>"1255751483"</f>
        <v>1255751483</v>
      </c>
      <c r="C3294" t="s">
        <v>13155</v>
      </c>
      <c r="G3294" t="s">
        <v>2224</v>
      </c>
      <c r="H3294" t="s">
        <v>2225</v>
      </c>
      <c r="J3294" t="s">
        <v>2226</v>
      </c>
      <c r="K3294" t="s">
        <v>93</v>
      </c>
      <c r="L3294" t="s">
        <v>96</v>
      </c>
      <c r="M3294" t="s">
        <v>73</v>
      </c>
      <c r="R3294" t="s">
        <v>13156</v>
      </c>
      <c r="S3294" t="s">
        <v>410</v>
      </c>
      <c r="T3294" t="s">
        <v>91</v>
      </c>
      <c r="U3294" t="s">
        <v>74</v>
      </c>
      <c r="V3294" t="str">
        <f>"100321559"</f>
        <v>100321559</v>
      </c>
      <c r="AC3294" t="s">
        <v>76</v>
      </c>
      <c r="AD3294" t="s">
        <v>73</v>
      </c>
      <c r="AE3294" t="s">
        <v>97</v>
      </c>
      <c r="AF3294" t="s">
        <v>2254</v>
      </c>
      <c r="AG3294" t="s">
        <v>78</v>
      </c>
    </row>
    <row r="3295" spans="1:33" hidden="1" x14ac:dyDescent="0.25">
      <c r="A3295" t="str">
        <f>"1770946006"</f>
        <v>1770946006</v>
      </c>
      <c r="C3295" t="s">
        <v>13157</v>
      </c>
      <c r="G3295" t="s">
        <v>2224</v>
      </c>
      <c r="H3295" t="s">
        <v>2225</v>
      </c>
      <c r="J3295" t="s">
        <v>2226</v>
      </c>
      <c r="K3295" t="s">
        <v>93</v>
      </c>
      <c r="L3295" t="s">
        <v>96</v>
      </c>
      <c r="M3295" t="s">
        <v>73</v>
      </c>
      <c r="R3295" t="s">
        <v>13158</v>
      </c>
      <c r="S3295" t="s">
        <v>167</v>
      </c>
      <c r="T3295" t="s">
        <v>91</v>
      </c>
      <c r="U3295" t="s">
        <v>74</v>
      </c>
      <c r="V3295" t="str">
        <f>"100323720"</f>
        <v>100323720</v>
      </c>
      <c r="AC3295" t="s">
        <v>76</v>
      </c>
      <c r="AD3295" t="s">
        <v>73</v>
      </c>
      <c r="AE3295" t="s">
        <v>97</v>
      </c>
      <c r="AF3295" t="s">
        <v>2254</v>
      </c>
      <c r="AG3295" t="s">
        <v>78</v>
      </c>
    </row>
    <row r="3296" spans="1:33" hidden="1" x14ac:dyDescent="0.25">
      <c r="A3296" t="str">
        <f>"1740642016"</f>
        <v>1740642016</v>
      </c>
      <c r="C3296" t="s">
        <v>13159</v>
      </c>
      <c r="G3296" t="s">
        <v>2224</v>
      </c>
      <c r="H3296" t="s">
        <v>2225</v>
      </c>
      <c r="J3296" t="s">
        <v>2226</v>
      </c>
      <c r="K3296" t="s">
        <v>93</v>
      </c>
      <c r="L3296" t="s">
        <v>96</v>
      </c>
      <c r="M3296" t="s">
        <v>73</v>
      </c>
      <c r="R3296" t="s">
        <v>13160</v>
      </c>
      <c r="S3296" t="s">
        <v>628</v>
      </c>
      <c r="T3296" t="s">
        <v>91</v>
      </c>
      <c r="U3296" t="s">
        <v>74</v>
      </c>
      <c r="V3296" t="str">
        <f>"100214872"</f>
        <v>100214872</v>
      </c>
      <c r="AC3296" t="s">
        <v>76</v>
      </c>
      <c r="AD3296" t="s">
        <v>73</v>
      </c>
      <c r="AE3296" t="s">
        <v>97</v>
      </c>
      <c r="AF3296" t="s">
        <v>2398</v>
      </c>
      <c r="AG3296" t="s">
        <v>78</v>
      </c>
    </row>
    <row r="3297" spans="1:33" hidden="1" x14ac:dyDescent="0.25">
      <c r="A3297" t="str">
        <f>"1801259569"</f>
        <v>1801259569</v>
      </c>
      <c r="C3297" t="s">
        <v>13161</v>
      </c>
      <c r="G3297" t="s">
        <v>2224</v>
      </c>
      <c r="H3297" t="s">
        <v>2225</v>
      </c>
      <c r="J3297" t="s">
        <v>2226</v>
      </c>
      <c r="K3297" t="s">
        <v>93</v>
      </c>
      <c r="L3297" t="s">
        <v>96</v>
      </c>
      <c r="M3297" t="s">
        <v>73</v>
      </c>
      <c r="R3297" t="s">
        <v>13162</v>
      </c>
      <c r="S3297" t="s">
        <v>167</v>
      </c>
      <c r="T3297" t="s">
        <v>91</v>
      </c>
      <c r="U3297" t="s">
        <v>74</v>
      </c>
      <c r="V3297" t="str">
        <f>"100323720"</f>
        <v>100323720</v>
      </c>
      <c r="AC3297" t="s">
        <v>76</v>
      </c>
      <c r="AD3297" t="s">
        <v>73</v>
      </c>
      <c r="AE3297" t="s">
        <v>97</v>
      </c>
      <c r="AF3297" t="s">
        <v>2254</v>
      </c>
      <c r="AG3297" t="s">
        <v>78</v>
      </c>
    </row>
    <row r="3298" spans="1:33" hidden="1" x14ac:dyDescent="0.25">
      <c r="A3298" t="str">
        <f>"1891157970"</f>
        <v>1891157970</v>
      </c>
      <c r="C3298" t="s">
        <v>13163</v>
      </c>
      <c r="G3298" t="s">
        <v>2224</v>
      </c>
      <c r="H3298" t="s">
        <v>2225</v>
      </c>
      <c r="J3298" t="s">
        <v>2226</v>
      </c>
      <c r="K3298" t="s">
        <v>93</v>
      </c>
      <c r="L3298" t="s">
        <v>96</v>
      </c>
      <c r="M3298" t="s">
        <v>73</v>
      </c>
      <c r="R3298" t="s">
        <v>13164</v>
      </c>
      <c r="S3298" t="s">
        <v>410</v>
      </c>
      <c r="T3298" t="s">
        <v>91</v>
      </c>
      <c r="U3298" t="s">
        <v>74</v>
      </c>
      <c r="V3298" t="str">
        <f>"100321559"</f>
        <v>100321559</v>
      </c>
      <c r="AC3298" t="s">
        <v>76</v>
      </c>
      <c r="AD3298" t="s">
        <v>73</v>
      </c>
      <c r="AE3298" t="s">
        <v>97</v>
      </c>
      <c r="AF3298" t="s">
        <v>2254</v>
      </c>
      <c r="AG3298" t="s">
        <v>78</v>
      </c>
    </row>
    <row r="3299" spans="1:33" hidden="1" x14ac:dyDescent="0.25">
      <c r="A3299" t="str">
        <f>"1467806000"</f>
        <v>1467806000</v>
      </c>
      <c r="C3299" t="s">
        <v>13165</v>
      </c>
      <c r="G3299" t="s">
        <v>2224</v>
      </c>
      <c r="H3299" t="s">
        <v>2225</v>
      </c>
      <c r="J3299" t="s">
        <v>2226</v>
      </c>
      <c r="K3299" t="s">
        <v>93</v>
      </c>
      <c r="L3299" t="s">
        <v>96</v>
      </c>
      <c r="M3299" t="s">
        <v>73</v>
      </c>
      <c r="R3299" t="s">
        <v>13166</v>
      </c>
      <c r="S3299" t="s">
        <v>410</v>
      </c>
      <c r="T3299" t="s">
        <v>91</v>
      </c>
      <c r="U3299" t="s">
        <v>74</v>
      </c>
      <c r="V3299" t="str">
        <f>"100321559"</f>
        <v>100321559</v>
      </c>
      <c r="AC3299" t="s">
        <v>76</v>
      </c>
      <c r="AD3299" t="s">
        <v>73</v>
      </c>
      <c r="AE3299" t="s">
        <v>97</v>
      </c>
      <c r="AF3299" t="s">
        <v>2254</v>
      </c>
      <c r="AG3299" t="s">
        <v>78</v>
      </c>
    </row>
    <row r="3300" spans="1:33" hidden="1" x14ac:dyDescent="0.25">
      <c r="A3300" t="str">
        <f>"1881013878"</f>
        <v>1881013878</v>
      </c>
      <c r="C3300" t="s">
        <v>13167</v>
      </c>
      <c r="G3300" t="s">
        <v>2224</v>
      </c>
      <c r="H3300" t="s">
        <v>2225</v>
      </c>
      <c r="J3300" t="s">
        <v>2226</v>
      </c>
      <c r="K3300" t="s">
        <v>93</v>
      </c>
      <c r="L3300" t="s">
        <v>96</v>
      </c>
      <c r="M3300" t="s">
        <v>73</v>
      </c>
      <c r="R3300" t="s">
        <v>13168</v>
      </c>
      <c r="S3300" t="s">
        <v>410</v>
      </c>
      <c r="T3300" t="s">
        <v>91</v>
      </c>
      <c r="U3300" t="s">
        <v>74</v>
      </c>
      <c r="V3300" t="str">
        <f>"100321559"</f>
        <v>100321559</v>
      </c>
      <c r="AC3300" t="s">
        <v>76</v>
      </c>
      <c r="AD3300" t="s">
        <v>73</v>
      </c>
      <c r="AE3300" t="s">
        <v>97</v>
      </c>
      <c r="AF3300" t="s">
        <v>2254</v>
      </c>
      <c r="AG3300" t="s">
        <v>78</v>
      </c>
    </row>
    <row r="3301" spans="1:33" hidden="1" x14ac:dyDescent="0.25">
      <c r="A3301" t="str">
        <f>"1033537642"</f>
        <v>1033537642</v>
      </c>
      <c r="C3301" t="s">
        <v>13169</v>
      </c>
      <c r="G3301" t="s">
        <v>2224</v>
      </c>
      <c r="H3301" t="s">
        <v>2225</v>
      </c>
      <c r="J3301" t="s">
        <v>2226</v>
      </c>
      <c r="K3301" t="s">
        <v>93</v>
      </c>
      <c r="L3301" t="s">
        <v>96</v>
      </c>
      <c r="M3301" t="s">
        <v>73</v>
      </c>
      <c r="R3301" t="s">
        <v>13170</v>
      </c>
      <c r="S3301" t="s">
        <v>8015</v>
      </c>
      <c r="T3301" t="s">
        <v>91</v>
      </c>
      <c r="U3301" t="s">
        <v>74</v>
      </c>
      <c r="V3301" t="str">
        <f>"100323725"</f>
        <v>100323725</v>
      </c>
      <c r="AC3301" t="s">
        <v>76</v>
      </c>
      <c r="AD3301" t="s">
        <v>73</v>
      </c>
      <c r="AE3301" t="s">
        <v>97</v>
      </c>
      <c r="AF3301" t="s">
        <v>2254</v>
      </c>
      <c r="AG3301" t="s">
        <v>78</v>
      </c>
    </row>
    <row r="3302" spans="1:33" hidden="1" x14ac:dyDescent="0.25">
      <c r="A3302" t="str">
        <f>"1104244102"</f>
        <v>1104244102</v>
      </c>
      <c r="C3302" t="s">
        <v>13171</v>
      </c>
      <c r="G3302" t="s">
        <v>2224</v>
      </c>
      <c r="H3302" t="s">
        <v>2225</v>
      </c>
      <c r="J3302" t="s">
        <v>2226</v>
      </c>
      <c r="K3302" t="s">
        <v>93</v>
      </c>
      <c r="L3302" t="s">
        <v>96</v>
      </c>
      <c r="M3302" t="s">
        <v>73</v>
      </c>
      <c r="R3302" t="s">
        <v>13172</v>
      </c>
      <c r="S3302" t="s">
        <v>354</v>
      </c>
      <c r="T3302" t="s">
        <v>91</v>
      </c>
      <c r="U3302" t="s">
        <v>74</v>
      </c>
      <c r="V3302" t="str">
        <f>"100323725"</f>
        <v>100323725</v>
      </c>
      <c r="AC3302" t="s">
        <v>76</v>
      </c>
      <c r="AD3302" t="s">
        <v>73</v>
      </c>
      <c r="AE3302" t="s">
        <v>97</v>
      </c>
      <c r="AF3302" t="s">
        <v>2254</v>
      </c>
      <c r="AG3302" t="s">
        <v>78</v>
      </c>
    </row>
    <row r="3303" spans="1:33" hidden="1" x14ac:dyDescent="0.25">
      <c r="A3303" t="str">
        <f>"1801206479"</f>
        <v>1801206479</v>
      </c>
      <c r="C3303" t="s">
        <v>13173</v>
      </c>
      <c r="G3303" t="s">
        <v>2224</v>
      </c>
      <c r="H3303" t="s">
        <v>2225</v>
      </c>
      <c r="J3303" t="s">
        <v>2226</v>
      </c>
      <c r="K3303" t="s">
        <v>93</v>
      </c>
      <c r="L3303" t="s">
        <v>96</v>
      </c>
      <c r="M3303" t="s">
        <v>73</v>
      </c>
      <c r="R3303" t="s">
        <v>13174</v>
      </c>
      <c r="S3303" t="s">
        <v>1958</v>
      </c>
      <c r="T3303" t="s">
        <v>91</v>
      </c>
      <c r="U3303" t="s">
        <v>74</v>
      </c>
      <c r="V3303" t="str">
        <f>"100323722"</f>
        <v>100323722</v>
      </c>
      <c r="AC3303" t="s">
        <v>76</v>
      </c>
      <c r="AD3303" t="s">
        <v>73</v>
      </c>
      <c r="AE3303" t="s">
        <v>97</v>
      </c>
      <c r="AF3303" t="s">
        <v>2398</v>
      </c>
      <c r="AG3303" t="s">
        <v>78</v>
      </c>
    </row>
    <row r="3304" spans="1:33" hidden="1" x14ac:dyDescent="0.25">
      <c r="A3304" t="str">
        <f>"1730542671"</f>
        <v>1730542671</v>
      </c>
      <c r="C3304" t="s">
        <v>13175</v>
      </c>
      <c r="G3304" t="s">
        <v>2224</v>
      </c>
      <c r="H3304" t="s">
        <v>2225</v>
      </c>
      <c r="J3304" t="s">
        <v>2226</v>
      </c>
      <c r="K3304" t="s">
        <v>93</v>
      </c>
      <c r="L3304" t="s">
        <v>96</v>
      </c>
      <c r="M3304" t="s">
        <v>73</v>
      </c>
      <c r="R3304" t="s">
        <v>13176</v>
      </c>
      <c r="S3304" t="s">
        <v>167</v>
      </c>
      <c r="T3304" t="s">
        <v>91</v>
      </c>
      <c r="U3304" t="s">
        <v>74</v>
      </c>
      <c r="V3304" t="str">
        <f>"100323720"</f>
        <v>100323720</v>
      </c>
      <c r="AC3304" t="s">
        <v>76</v>
      </c>
      <c r="AD3304" t="s">
        <v>73</v>
      </c>
      <c r="AE3304" t="s">
        <v>97</v>
      </c>
      <c r="AF3304" t="s">
        <v>2254</v>
      </c>
      <c r="AG3304" t="s">
        <v>78</v>
      </c>
    </row>
    <row r="3305" spans="1:33" hidden="1" x14ac:dyDescent="0.25">
      <c r="A3305" t="str">
        <f>"1235592353"</f>
        <v>1235592353</v>
      </c>
      <c r="C3305" t="s">
        <v>13177</v>
      </c>
      <c r="G3305" t="s">
        <v>2224</v>
      </c>
      <c r="H3305" t="s">
        <v>2225</v>
      </c>
      <c r="J3305" t="s">
        <v>2226</v>
      </c>
      <c r="K3305" t="s">
        <v>93</v>
      </c>
      <c r="L3305" t="s">
        <v>96</v>
      </c>
      <c r="M3305" t="s">
        <v>73</v>
      </c>
      <c r="R3305" t="s">
        <v>13178</v>
      </c>
      <c r="S3305" t="s">
        <v>167</v>
      </c>
      <c r="T3305" t="s">
        <v>91</v>
      </c>
      <c r="U3305" t="s">
        <v>74</v>
      </c>
      <c r="V3305" t="str">
        <f>"100323720"</f>
        <v>100323720</v>
      </c>
      <c r="AC3305" t="s">
        <v>76</v>
      </c>
      <c r="AD3305" t="s">
        <v>73</v>
      </c>
      <c r="AE3305" t="s">
        <v>97</v>
      </c>
      <c r="AF3305" t="s">
        <v>2254</v>
      </c>
      <c r="AG3305" t="s">
        <v>78</v>
      </c>
    </row>
    <row r="3306" spans="1:33" hidden="1" x14ac:dyDescent="0.25">
      <c r="A3306" t="str">
        <f>"1184019424"</f>
        <v>1184019424</v>
      </c>
      <c r="C3306" t="s">
        <v>13179</v>
      </c>
      <c r="G3306" t="s">
        <v>2224</v>
      </c>
      <c r="H3306" t="s">
        <v>2225</v>
      </c>
      <c r="J3306" t="s">
        <v>2226</v>
      </c>
      <c r="K3306" t="s">
        <v>93</v>
      </c>
      <c r="L3306" t="s">
        <v>96</v>
      </c>
      <c r="M3306" t="s">
        <v>73</v>
      </c>
      <c r="R3306" t="s">
        <v>13180</v>
      </c>
      <c r="S3306" t="s">
        <v>13048</v>
      </c>
      <c r="T3306" t="s">
        <v>91</v>
      </c>
      <c r="U3306" t="s">
        <v>74</v>
      </c>
      <c r="V3306" t="str">
        <f>"100323720"</f>
        <v>100323720</v>
      </c>
      <c r="AC3306" t="s">
        <v>76</v>
      </c>
      <c r="AD3306" t="s">
        <v>73</v>
      </c>
      <c r="AE3306" t="s">
        <v>97</v>
      </c>
      <c r="AF3306" t="s">
        <v>2254</v>
      </c>
      <c r="AG3306" t="s">
        <v>78</v>
      </c>
    </row>
    <row r="3307" spans="1:33" hidden="1" x14ac:dyDescent="0.25">
      <c r="A3307" t="str">
        <f>"1629495692"</f>
        <v>1629495692</v>
      </c>
      <c r="C3307" t="s">
        <v>13181</v>
      </c>
      <c r="G3307" t="s">
        <v>2224</v>
      </c>
      <c r="H3307" t="s">
        <v>2225</v>
      </c>
      <c r="J3307" t="s">
        <v>2226</v>
      </c>
      <c r="K3307" t="s">
        <v>93</v>
      </c>
      <c r="L3307" t="s">
        <v>96</v>
      </c>
      <c r="M3307" t="s">
        <v>73</v>
      </c>
      <c r="R3307" t="s">
        <v>13182</v>
      </c>
      <c r="S3307" t="s">
        <v>410</v>
      </c>
      <c r="T3307" t="s">
        <v>91</v>
      </c>
      <c r="U3307" t="s">
        <v>74</v>
      </c>
      <c r="V3307" t="str">
        <f>"100321559"</f>
        <v>100321559</v>
      </c>
      <c r="AC3307" t="s">
        <v>76</v>
      </c>
      <c r="AD3307" t="s">
        <v>73</v>
      </c>
      <c r="AE3307" t="s">
        <v>97</v>
      </c>
      <c r="AF3307" t="s">
        <v>2254</v>
      </c>
      <c r="AG3307" t="s">
        <v>78</v>
      </c>
    </row>
    <row r="3308" spans="1:33" hidden="1" x14ac:dyDescent="0.25">
      <c r="A3308" t="str">
        <f>"1467849356"</f>
        <v>1467849356</v>
      </c>
      <c r="C3308" t="s">
        <v>13183</v>
      </c>
      <c r="G3308" t="s">
        <v>2224</v>
      </c>
      <c r="H3308" t="s">
        <v>2225</v>
      </c>
      <c r="J3308" t="s">
        <v>2226</v>
      </c>
      <c r="K3308" t="s">
        <v>93</v>
      </c>
      <c r="L3308" t="s">
        <v>96</v>
      </c>
      <c r="M3308" t="s">
        <v>73</v>
      </c>
      <c r="R3308" t="s">
        <v>13184</v>
      </c>
      <c r="S3308" t="s">
        <v>13185</v>
      </c>
      <c r="T3308" t="s">
        <v>137</v>
      </c>
      <c r="U3308" t="s">
        <v>74</v>
      </c>
      <c r="V3308" t="str">
        <f>"126035414"</f>
        <v>126035414</v>
      </c>
      <c r="AC3308" t="s">
        <v>76</v>
      </c>
      <c r="AD3308" t="s">
        <v>73</v>
      </c>
      <c r="AE3308" t="s">
        <v>97</v>
      </c>
      <c r="AF3308" t="s">
        <v>2398</v>
      </c>
      <c r="AG3308" t="s">
        <v>78</v>
      </c>
    </row>
    <row r="3309" spans="1:33" hidden="1" x14ac:dyDescent="0.25">
      <c r="A3309" t="str">
        <f>"1467815688"</f>
        <v>1467815688</v>
      </c>
      <c r="C3309" t="s">
        <v>13186</v>
      </c>
      <c r="G3309" t="s">
        <v>2224</v>
      </c>
      <c r="H3309" t="s">
        <v>2225</v>
      </c>
      <c r="J3309" t="s">
        <v>2226</v>
      </c>
      <c r="K3309" t="s">
        <v>93</v>
      </c>
      <c r="L3309" t="s">
        <v>96</v>
      </c>
      <c r="M3309" t="s">
        <v>73</v>
      </c>
      <c r="R3309" t="s">
        <v>13187</v>
      </c>
      <c r="S3309" t="s">
        <v>167</v>
      </c>
      <c r="T3309" t="s">
        <v>91</v>
      </c>
      <c r="U3309" t="s">
        <v>74</v>
      </c>
      <c r="V3309" t="str">
        <f>"100323720"</f>
        <v>100323720</v>
      </c>
      <c r="AC3309" t="s">
        <v>76</v>
      </c>
      <c r="AD3309" t="s">
        <v>73</v>
      </c>
      <c r="AE3309" t="s">
        <v>97</v>
      </c>
      <c r="AF3309" t="s">
        <v>2254</v>
      </c>
      <c r="AG3309" t="s">
        <v>78</v>
      </c>
    </row>
    <row r="3310" spans="1:33" hidden="1" x14ac:dyDescent="0.25">
      <c r="A3310" t="str">
        <f>"1013379478"</f>
        <v>1013379478</v>
      </c>
      <c r="C3310" t="s">
        <v>13188</v>
      </c>
      <c r="G3310" t="s">
        <v>2224</v>
      </c>
      <c r="H3310" t="s">
        <v>2225</v>
      </c>
      <c r="J3310" t="s">
        <v>2226</v>
      </c>
      <c r="K3310" t="s">
        <v>93</v>
      </c>
      <c r="L3310" t="s">
        <v>96</v>
      </c>
      <c r="M3310" t="s">
        <v>73</v>
      </c>
      <c r="R3310" t="s">
        <v>13189</v>
      </c>
      <c r="S3310" t="s">
        <v>410</v>
      </c>
      <c r="T3310" t="s">
        <v>91</v>
      </c>
      <c r="U3310" t="s">
        <v>74</v>
      </c>
      <c r="V3310" t="str">
        <f>"100321559"</f>
        <v>100321559</v>
      </c>
      <c r="AC3310" t="s">
        <v>76</v>
      </c>
      <c r="AD3310" t="s">
        <v>73</v>
      </c>
      <c r="AE3310" t="s">
        <v>97</v>
      </c>
      <c r="AF3310" t="s">
        <v>2254</v>
      </c>
      <c r="AG3310" t="s">
        <v>78</v>
      </c>
    </row>
    <row r="3311" spans="1:33" hidden="1" x14ac:dyDescent="0.25">
      <c r="A3311" t="str">
        <f>"1144674334"</f>
        <v>1144674334</v>
      </c>
      <c r="C3311" t="s">
        <v>13190</v>
      </c>
      <c r="G3311" t="s">
        <v>2224</v>
      </c>
      <c r="H3311" t="s">
        <v>2225</v>
      </c>
      <c r="J3311" t="s">
        <v>2226</v>
      </c>
      <c r="K3311" t="s">
        <v>93</v>
      </c>
      <c r="L3311" t="s">
        <v>96</v>
      </c>
      <c r="M3311" t="s">
        <v>73</v>
      </c>
      <c r="R3311" t="s">
        <v>13191</v>
      </c>
      <c r="S3311" t="s">
        <v>167</v>
      </c>
      <c r="T3311" t="s">
        <v>91</v>
      </c>
      <c r="U3311" t="s">
        <v>74</v>
      </c>
      <c r="V3311" t="str">
        <f>"100323720"</f>
        <v>100323720</v>
      </c>
      <c r="AC3311" t="s">
        <v>76</v>
      </c>
      <c r="AD3311" t="s">
        <v>73</v>
      </c>
      <c r="AE3311" t="s">
        <v>97</v>
      </c>
      <c r="AF3311" t="s">
        <v>2254</v>
      </c>
      <c r="AG3311" t="s">
        <v>78</v>
      </c>
    </row>
    <row r="3312" spans="1:33" hidden="1" x14ac:dyDescent="0.25">
      <c r="A3312" t="str">
        <f>"1003201518"</f>
        <v>1003201518</v>
      </c>
      <c r="C3312" t="s">
        <v>13192</v>
      </c>
      <c r="G3312" t="s">
        <v>2224</v>
      </c>
      <c r="H3312" t="s">
        <v>2225</v>
      </c>
      <c r="J3312" t="s">
        <v>2226</v>
      </c>
      <c r="K3312" t="s">
        <v>93</v>
      </c>
      <c r="L3312" t="s">
        <v>96</v>
      </c>
      <c r="M3312" t="s">
        <v>73</v>
      </c>
      <c r="R3312" t="s">
        <v>13193</v>
      </c>
      <c r="S3312" t="s">
        <v>13194</v>
      </c>
      <c r="T3312" t="s">
        <v>91</v>
      </c>
      <c r="U3312" t="s">
        <v>74</v>
      </c>
      <c r="V3312" t="str">
        <f>"100323725"</f>
        <v>100323725</v>
      </c>
      <c r="AC3312" t="s">
        <v>76</v>
      </c>
      <c r="AD3312" t="s">
        <v>73</v>
      </c>
      <c r="AE3312" t="s">
        <v>97</v>
      </c>
      <c r="AF3312" t="s">
        <v>2254</v>
      </c>
      <c r="AG3312" t="s">
        <v>78</v>
      </c>
    </row>
    <row r="3313" spans="1:33" hidden="1" x14ac:dyDescent="0.25">
      <c r="A3313" t="str">
        <f>"1982067245"</f>
        <v>1982067245</v>
      </c>
      <c r="C3313" t="s">
        <v>13195</v>
      </c>
      <c r="G3313" t="s">
        <v>2224</v>
      </c>
      <c r="H3313" t="s">
        <v>2225</v>
      </c>
      <c r="J3313" t="s">
        <v>2226</v>
      </c>
      <c r="K3313" t="s">
        <v>93</v>
      </c>
      <c r="L3313" t="s">
        <v>96</v>
      </c>
      <c r="M3313" t="s">
        <v>73</v>
      </c>
      <c r="R3313" t="s">
        <v>13196</v>
      </c>
      <c r="S3313" t="s">
        <v>410</v>
      </c>
      <c r="T3313" t="s">
        <v>91</v>
      </c>
      <c r="U3313" t="s">
        <v>74</v>
      </c>
      <c r="V3313" t="str">
        <f>"100321559"</f>
        <v>100321559</v>
      </c>
      <c r="AC3313" t="s">
        <v>76</v>
      </c>
      <c r="AD3313" t="s">
        <v>73</v>
      </c>
      <c r="AE3313" t="s">
        <v>97</v>
      </c>
      <c r="AF3313" t="s">
        <v>2254</v>
      </c>
      <c r="AG3313" t="s">
        <v>78</v>
      </c>
    </row>
    <row r="3314" spans="1:33" hidden="1" x14ac:dyDescent="0.25">
      <c r="A3314" t="str">
        <f>"1699138263"</f>
        <v>1699138263</v>
      </c>
      <c r="C3314" t="s">
        <v>13197</v>
      </c>
      <c r="G3314" t="s">
        <v>2224</v>
      </c>
      <c r="H3314" t="s">
        <v>2225</v>
      </c>
      <c r="J3314" t="s">
        <v>2226</v>
      </c>
      <c r="K3314" t="s">
        <v>93</v>
      </c>
      <c r="L3314" t="s">
        <v>96</v>
      </c>
      <c r="M3314" t="s">
        <v>73</v>
      </c>
      <c r="R3314" t="s">
        <v>13198</v>
      </c>
      <c r="S3314" t="s">
        <v>167</v>
      </c>
      <c r="T3314" t="s">
        <v>91</v>
      </c>
      <c r="U3314" t="s">
        <v>74</v>
      </c>
      <c r="V3314" t="str">
        <f>"100323720"</f>
        <v>100323720</v>
      </c>
      <c r="AC3314" t="s">
        <v>76</v>
      </c>
      <c r="AD3314" t="s">
        <v>73</v>
      </c>
      <c r="AE3314" t="s">
        <v>97</v>
      </c>
      <c r="AF3314" t="s">
        <v>2254</v>
      </c>
      <c r="AG3314" t="s">
        <v>78</v>
      </c>
    </row>
    <row r="3315" spans="1:33" hidden="1" x14ac:dyDescent="0.25">
      <c r="A3315" t="str">
        <f>"1700248705"</f>
        <v>1700248705</v>
      </c>
      <c r="C3315" t="s">
        <v>13199</v>
      </c>
      <c r="G3315" t="s">
        <v>2224</v>
      </c>
      <c r="H3315" t="s">
        <v>2225</v>
      </c>
      <c r="J3315" t="s">
        <v>2226</v>
      </c>
      <c r="K3315" t="s">
        <v>93</v>
      </c>
      <c r="L3315" t="s">
        <v>96</v>
      </c>
      <c r="M3315" t="s">
        <v>73</v>
      </c>
      <c r="R3315" t="s">
        <v>13200</v>
      </c>
      <c r="S3315" t="s">
        <v>410</v>
      </c>
      <c r="T3315" t="s">
        <v>91</v>
      </c>
      <c r="U3315" t="s">
        <v>74</v>
      </c>
      <c r="V3315" t="str">
        <f>"100321559"</f>
        <v>100321559</v>
      </c>
      <c r="AC3315" t="s">
        <v>76</v>
      </c>
      <c r="AD3315" t="s">
        <v>73</v>
      </c>
      <c r="AE3315" t="s">
        <v>97</v>
      </c>
      <c r="AF3315" t="s">
        <v>2254</v>
      </c>
      <c r="AG3315" t="s">
        <v>78</v>
      </c>
    </row>
    <row r="3316" spans="1:33" hidden="1" x14ac:dyDescent="0.25">
      <c r="A3316" t="str">
        <f>"1023437357"</f>
        <v>1023437357</v>
      </c>
      <c r="C3316" t="s">
        <v>13201</v>
      </c>
      <c r="G3316" t="s">
        <v>2224</v>
      </c>
      <c r="H3316" t="s">
        <v>2225</v>
      </c>
      <c r="J3316" t="s">
        <v>2226</v>
      </c>
      <c r="K3316" t="s">
        <v>93</v>
      </c>
      <c r="L3316" t="s">
        <v>96</v>
      </c>
      <c r="M3316" t="s">
        <v>73</v>
      </c>
      <c r="R3316" t="s">
        <v>13202</v>
      </c>
      <c r="S3316" t="s">
        <v>13203</v>
      </c>
      <c r="T3316" t="s">
        <v>91</v>
      </c>
      <c r="U3316" t="s">
        <v>74</v>
      </c>
      <c r="V3316" t="str">
        <f>"100017106"</f>
        <v>100017106</v>
      </c>
      <c r="AC3316" t="s">
        <v>76</v>
      </c>
      <c r="AD3316" t="s">
        <v>73</v>
      </c>
      <c r="AE3316" t="s">
        <v>97</v>
      </c>
      <c r="AF3316" t="s">
        <v>2254</v>
      </c>
      <c r="AG3316" t="s">
        <v>78</v>
      </c>
    </row>
    <row r="3317" spans="1:33" hidden="1" x14ac:dyDescent="0.25">
      <c r="A3317" t="str">
        <f>"1861888786"</f>
        <v>1861888786</v>
      </c>
      <c r="C3317" t="s">
        <v>13204</v>
      </c>
      <c r="G3317" t="s">
        <v>2224</v>
      </c>
      <c r="H3317" t="s">
        <v>2225</v>
      </c>
      <c r="J3317" t="s">
        <v>2226</v>
      </c>
      <c r="K3317" t="s">
        <v>93</v>
      </c>
      <c r="L3317" t="s">
        <v>96</v>
      </c>
      <c r="M3317" t="s">
        <v>73</v>
      </c>
      <c r="R3317" t="s">
        <v>13205</v>
      </c>
      <c r="S3317" t="s">
        <v>410</v>
      </c>
      <c r="T3317" t="s">
        <v>91</v>
      </c>
      <c r="U3317" t="s">
        <v>74</v>
      </c>
      <c r="V3317" t="str">
        <f>"10032"</f>
        <v>10032</v>
      </c>
      <c r="AC3317" t="s">
        <v>76</v>
      </c>
      <c r="AD3317" t="s">
        <v>73</v>
      </c>
      <c r="AE3317" t="s">
        <v>97</v>
      </c>
      <c r="AF3317" t="s">
        <v>2254</v>
      </c>
      <c r="AG3317" t="s">
        <v>78</v>
      </c>
    </row>
    <row r="3318" spans="1:33" hidden="1" x14ac:dyDescent="0.25">
      <c r="A3318" t="str">
        <f>"1548655954"</f>
        <v>1548655954</v>
      </c>
      <c r="C3318" t="s">
        <v>13206</v>
      </c>
      <c r="G3318" t="s">
        <v>2224</v>
      </c>
      <c r="H3318" t="s">
        <v>2225</v>
      </c>
      <c r="J3318" t="s">
        <v>2226</v>
      </c>
      <c r="K3318" t="s">
        <v>93</v>
      </c>
      <c r="L3318" t="s">
        <v>96</v>
      </c>
      <c r="M3318" t="s">
        <v>73</v>
      </c>
      <c r="R3318" t="s">
        <v>13207</v>
      </c>
      <c r="S3318" t="s">
        <v>13048</v>
      </c>
      <c r="T3318" t="s">
        <v>91</v>
      </c>
      <c r="U3318" t="s">
        <v>74</v>
      </c>
      <c r="V3318" t="str">
        <f>"100323720"</f>
        <v>100323720</v>
      </c>
      <c r="AC3318" t="s">
        <v>76</v>
      </c>
      <c r="AD3318" t="s">
        <v>73</v>
      </c>
      <c r="AE3318" t="s">
        <v>97</v>
      </c>
      <c r="AF3318" t="s">
        <v>2254</v>
      </c>
      <c r="AG3318" t="s">
        <v>78</v>
      </c>
    </row>
    <row r="3319" spans="1:33" hidden="1" x14ac:dyDescent="0.25">
      <c r="A3319" t="str">
        <f>"1063808897"</f>
        <v>1063808897</v>
      </c>
      <c r="C3319" t="s">
        <v>13208</v>
      </c>
      <c r="G3319" t="s">
        <v>2224</v>
      </c>
      <c r="H3319" t="s">
        <v>2225</v>
      </c>
      <c r="J3319" t="s">
        <v>2226</v>
      </c>
      <c r="K3319" t="s">
        <v>93</v>
      </c>
      <c r="L3319" t="s">
        <v>96</v>
      </c>
      <c r="M3319" t="s">
        <v>73</v>
      </c>
      <c r="R3319" t="s">
        <v>13209</v>
      </c>
      <c r="S3319" t="s">
        <v>13048</v>
      </c>
      <c r="T3319" t="s">
        <v>91</v>
      </c>
      <c r="U3319" t="s">
        <v>74</v>
      </c>
      <c r="V3319" t="str">
        <f>"100323720"</f>
        <v>100323720</v>
      </c>
      <c r="AC3319" t="s">
        <v>76</v>
      </c>
      <c r="AD3319" t="s">
        <v>73</v>
      </c>
      <c r="AE3319" t="s">
        <v>97</v>
      </c>
      <c r="AF3319" t="s">
        <v>2254</v>
      </c>
      <c r="AG3319" t="s">
        <v>78</v>
      </c>
    </row>
    <row r="3320" spans="1:33" hidden="1" x14ac:dyDescent="0.25">
      <c r="A3320" t="str">
        <f>"1114381423"</f>
        <v>1114381423</v>
      </c>
      <c r="C3320" t="s">
        <v>13210</v>
      </c>
      <c r="G3320" t="s">
        <v>2224</v>
      </c>
      <c r="H3320" t="s">
        <v>2225</v>
      </c>
      <c r="J3320" t="s">
        <v>2226</v>
      </c>
      <c r="K3320" t="s">
        <v>93</v>
      </c>
      <c r="L3320" t="s">
        <v>96</v>
      </c>
      <c r="M3320" t="s">
        <v>73</v>
      </c>
      <c r="R3320" t="s">
        <v>13211</v>
      </c>
      <c r="S3320" t="s">
        <v>167</v>
      </c>
      <c r="T3320" t="s">
        <v>91</v>
      </c>
      <c r="U3320" t="s">
        <v>74</v>
      </c>
      <c r="V3320" t="str">
        <f>"100323720"</f>
        <v>100323720</v>
      </c>
      <c r="AC3320" t="s">
        <v>76</v>
      </c>
      <c r="AD3320" t="s">
        <v>73</v>
      </c>
      <c r="AE3320" t="s">
        <v>97</v>
      </c>
      <c r="AF3320" t="s">
        <v>2254</v>
      </c>
      <c r="AG3320" t="s">
        <v>78</v>
      </c>
    </row>
    <row r="3321" spans="1:33" hidden="1" x14ac:dyDescent="0.25">
      <c r="A3321" t="str">
        <f>"1679929814"</f>
        <v>1679929814</v>
      </c>
      <c r="C3321" t="s">
        <v>13212</v>
      </c>
      <c r="G3321" t="s">
        <v>2224</v>
      </c>
      <c r="H3321" t="s">
        <v>2225</v>
      </c>
      <c r="J3321" t="s">
        <v>2226</v>
      </c>
      <c r="K3321" t="s">
        <v>93</v>
      </c>
      <c r="L3321" t="s">
        <v>96</v>
      </c>
      <c r="M3321" t="s">
        <v>73</v>
      </c>
      <c r="S3321" t="s">
        <v>1745</v>
      </c>
      <c r="T3321" t="s">
        <v>91</v>
      </c>
      <c r="U3321" t="s">
        <v>74</v>
      </c>
      <c r="V3321" t="str">
        <f>"10021"</f>
        <v>10021</v>
      </c>
      <c r="AC3321" t="s">
        <v>76</v>
      </c>
      <c r="AD3321" t="s">
        <v>73</v>
      </c>
      <c r="AE3321" t="s">
        <v>97</v>
      </c>
      <c r="AF3321" t="s">
        <v>2398</v>
      </c>
      <c r="AG3321" t="s">
        <v>78</v>
      </c>
    </row>
    <row r="3322" spans="1:33" hidden="1" x14ac:dyDescent="0.25">
      <c r="A3322" t="str">
        <f>"1154716546"</f>
        <v>1154716546</v>
      </c>
      <c r="C3322" t="s">
        <v>13213</v>
      </c>
      <c r="G3322" t="s">
        <v>2224</v>
      </c>
      <c r="H3322" t="s">
        <v>2225</v>
      </c>
      <c r="J3322" t="s">
        <v>2226</v>
      </c>
      <c r="K3322" t="s">
        <v>93</v>
      </c>
      <c r="L3322" t="s">
        <v>96</v>
      </c>
      <c r="M3322" t="s">
        <v>73</v>
      </c>
      <c r="R3322" t="s">
        <v>13214</v>
      </c>
      <c r="S3322" t="s">
        <v>13048</v>
      </c>
      <c r="T3322" t="s">
        <v>91</v>
      </c>
      <c r="U3322" t="s">
        <v>74</v>
      </c>
      <c r="V3322" t="str">
        <f>"100323720"</f>
        <v>100323720</v>
      </c>
      <c r="AC3322" t="s">
        <v>76</v>
      </c>
      <c r="AD3322" t="s">
        <v>73</v>
      </c>
      <c r="AE3322" t="s">
        <v>97</v>
      </c>
      <c r="AF3322" t="s">
        <v>2254</v>
      </c>
      <c r="AG3322" t="s">
        <v>78</v>
      </c>
    </row>
    <row r="3323" spans="1:33" hidden="1" x14ac:dyDescent="0.25">
      <c r="A3323" t="str">
        <f>"1114381464"</f>
        <v>1114381464</v>
      </c>
      <c r="C3323" t="s">
        <v>13215</v>
      </c>
      <c r="G3323" t="s">
        <v>2224</v>
      </c>
      <c r="H3323" t="s">
        <v>2225</v>
      </c>
      <c r="J3323" t="s">
        <v>2226</v>
      </c>
      <c r="K3323" t="s">
        <v>93</v>
      </c>
      <c r="L3323" t="s">
        <v>96</v>
      </c>
      <c r="M3323" t="s">
        <v>73</v>
      </c>
      <c r="R3323" t="s">
        <v>13216</v>
      </c>
      <c r="S3323" t="s">
        <v>354</v>
      </c>
      <c r="T3323" t="s">
        <v>91</v>
      </c>
      <c r="U3323" t="s">
        <v>74</v>
      </c>
      <c r="V3323" t="str">
        <f>"100323725"</f>
        <v>100323725</v>
      </c>
      <c r="AC3323" t="s">
        <v>76</v>
      </c>
      <c r="AD3323" t="s">
        <v>73</v>
      </c>
      <c r="AE3323" t="s">
        <v>97</v>
      </c>
      <c r="AF3323" t="s">
        <v>2254</v>
      </c>
      <c r="AG3323" t="s">
        <v>78</v>
      </c>
    </row>
    <row r="3324" spans="1:33" hidden="1" x14ac:dyDescent="0.25">
      <c r="A3324" t="str">
        <f>"1588026793"</f>
        <v>1588026793</v>
      </c>
      <c r="C3324" t="s">
        <v>13217</v>
      </c>
      <c r="G3324" t="s">
        <v>2224</v>
      </c>
      <c r="H3324" t="s">
        <v>2225</v>
      </c>
      <c r="J3324" t="s">
        <v>2226</v>
      </c>
      <c r="K3324" t="s">
        <v>93</v>
      </c>
      <c r="L3324" t="s">
        <v>96</v>
      </c>
      <c r="M3324" t="s">
        <v>73</v>
      </c>
      <c r="R3324" t="s">
        <v>13218</v>
      </c>
      <c r="S3324" t="s">
        <v>13219</v>
      </c>
      <c r="T3324" t="s">
        <v>91</v>
      </c>
      <c r="U3324" t="s">
        <v>74</v>
      </c>
      <c r="V3324" t="str">
        <f>"100214872"</f>
        <v>100214872</v>
      </c>
      <c r="AC3324" t="s">
        <v>76</v>
      </c>
      <c r="AD3324" t="s">
        <v>73</v>
      </c>
      <c r="AE3324" t="s">
        <v>97</v>
      </c>
      <c r="AF3324" t="s">
        <v>2398</v>
      </c>
      <c r="AG3324" t="s">
        <v>78</v>
      </c>
    </row>
    <row r="3325" spans="1:33" hidden="1" x14ac:dyDescent="0.25">
      <c r="A3325" t="str">
        <f>"1912325804"</f>
        <v>1912325804</v>
      </c>
      <c r="C3325" t="s">
        <v>13220</v>
      </c>
      <c r="G3325" t="s">
        <v>2224</v>
      </c>
      <c r="H3325" t="s">
        <v>2225</v>
      </c>
      <c r="J3325" t="s">
        <v>2226</v>
      </c>
      <c r="K3325" t="s">
        <v>93</v>
      </c>
      <c r="L3325" t="s">
        <v>96</v>
      </c>
      <c r="M3325" t="s">
        <v>73</v>
      </c>
      <c r="R3325" t="s">
        <v>13221</v>
      </c>
      <c r="S3325" t="s">
        <v>8015</v>
      </c>
      <c r="T3325" t="s">
        <v>91</v>
      </c>
      <c r="U3325" t="s">
        <v>74</v>
      </c>
      <c r="V3325" t="str">
        <f>"100323725"</f>
        <v>100323725</v>
      </c>
      <c r="AC3325" t="s">
        <v>76</v>
      </c>
      <c r="AD3325" t="s">
        <v>73</v>
      </c>
      <c r="AE3325" t="s">
        <v>97</v>
      </c>
      <c r="AF3325" t="s">
        <v>2254</v>
      </c>
      <c r="AG3325" t="s">
        <v>78</v>
      </c>
    </row>
    <row r="3326" spans="1:33" hidden="1" x14ac:dyDescent="0.25">
      <c r="A3326" t="str">
        <f>"1134582554"</f>
        <v>1134582554</v>
      </c>
      <c r="C3326" t="s">
        <v>13222</v>
      </c>
      <c r="G3326" t="s">
        <v>2224</v>
      </c>
      <c r="H3326" t="s">
        <v>2225</v>
      </c>
      <c r="J3326" t="s">
        <v>2226</v>
      </c>
      <c r="K3326" t="s">
        <v>93</v>
      </c>
      <c r="L3326" t="s">
        <v>96</v>
      </c>
      <c r="M3326" t="s">
        <v>73</v>
      </c>
      <c r="R3326" t="s">
        <v>13223</v>
      </c>
      <c r="S3326" t="s">
        <v>167</v>
      </c>
      <c r="T3326" t="s">
        <v>91</v>
      </c>
      <c r="U3326" t="s">
        <v>74</v>
      </c>
      <c r="V3326" t="str">
        <f>"100323720"</f>
        <v>100323720</v>
      </c>
      <c r="AC3326" t="s">
        <v>76</v>
      </c>
      <c r="AD3326" t="s">
        <v>73</v>
      </c>
      <c r="AE3326" t="s">
        <v>97</v>
      </c>
      <c r="AF3326" t="s">
        <v>2254</v>
      </c>
      <c r="AG3326" t="s">
        <v>78</v>
      </c>
    </row>
    <row r="3327" spans="1:33" hidden="1" x14ac:dyDescent="0.25">
      <c r="A3327" t="str">
        <f>"1104245257"</f>
        <v>1104245257</v>
      </c>
      <c r="C3327" t="s">
        <v>13224</v>
      </c>
      <c r="G3327" t="s">
        <v>2224</v>
      </c>
      <c r="H3327" t="s">
        <v>2225</v>
      </c>
      <c r="J3327" t="s">
        <v>2226</v>
      </c>
      <c r="K3327" t="s">
        <v>93</v>
      </c>
      <c r="L3327" t="s">
        <v>96</v>
      </c>
      <c r="M3327" t="s">
        <v>73</v>
      </c>
      <c r="R3327" t="s">
        <v>13225</v>
      </c>
      <c r="S3327" t="s">
        <v>410</v>
      </c>
      <c r="T3327" t="s">
        <v>91</v>
      </c>
      <c r="U3327" t="s">
        <v>74</v>
      </c>
      <c r="V3327" t="str">
        <f>"100321559"</f>
        <v>100321559</v>
      </c>
      <c r="AC3327" t="s">
        <v>76</v>
      </c>
      <c r="AD3327" t="s">
        <v>73</v>
      </c>
      <c r="AE3327" t="s">
        <v>97</v>
      </c>
      <c r="AF3327" t="s">
        <v>2254</v>
      </c>
      <c r="AG3327" t="s">
        <v>78</v>
      </c>
    </row>
    <row r="3328" spans="1:33" hidden="1" x14ac:dyDescent="0.25">
      <c r="A3328" t="str">
        <f>"1093178659"</f>
        <v>1093178659</v>
      </c>
      <c r="C3328" t="s">
        <v>13226</v>
      </c>
      <c r="G3328" t="s">
        <v>2224</v>
      </c>
      <c r="H3328" t="s">
        <v>2225</v>
      </c>
      <c r="J3328" t="s">
        <v>2226</v>
      </c>
      <c r="K3328" t="s">
        <v>93</v>
      </c>
      <c r="L3328" t="s">
        <v>96</v>
      </c>
      <c r="M3328" t="s">
        <v>73</v>
      </c>
      <c r="R3328" t="s">
        <v>13227</v>
      </c>
      <c r="S3328" t="s">
        <v>167</v>
      </c>
      <c r="T3328" t="s">
        <v>91</v>
      </c>
      <c r="U3328" t="s">
        <v>74</v>
      </c>
      <c r="V3328" t="str">
        <f>"100323720"</f>
        <v>100323720</v>
      </c>
      <c r="AC3328" t="s">
        <v>76</v>
      </c>
      <c r="AD3328" t="s">
        <v>73</v>
      </c>
      <c r="AE3328" t="s">
        <v>97</v>
      </c>
      <c r="AF3328" t="s">
        <v>2254</v>
      </c>
      <c r="AG3328" t="s">
        <v>78</v>
      </c>
    </row>
    <row r="3329" spans="1:33" hidden="1" x14ac:dyDescent="0.25">
      <c r="A3329" t="str">
        <f>"1518386549"</f>
        <v>1518386549</v>
      </c>
      <c r="C3329" t="s">
        <v>13228</v>
      </c>
      <c r="G3329" t="s">
        <v>2224</v>
      </c>
      <c r="H3329" t="s">
        <v>2225</v>
      </c>
      <c r="J3329" t="s">
        <v>2226</v>
      </c>
      <c r="K3329" t="s">
        <v>93</v>
      </c>
      <c r="L3329" t="s">
        <v>96</v>
      </c>
      <c r="M3329" t="s">
        <v>73</v>
      </c>
      <c r="R3329" t="s">
        <v>13229</v>
      </c>
      <c r="S3329" t="s">
        <v>170</v>
      </c>
      <c r="T3329" t="s">
        <v>91</v>
      </c>
      <c r="U3329" t="s">
        <v>74</v>
      </c>
      <c r="V3329" t="str">
        <f>"100654870"</f>
        <v>100654870</v>
      </c>
      <c r="AC3329" t="s">
        <v>76</v>
      </c>
      <c r="AD3329" t="s">
        <v>73</v>
      </c>
      <c r="AE3329" t="s">
        <v>97</v>
      </c>
      <c r="AF3329" t="s">
        <v>2398</v>
      </c>
      <c r="AG3329" t="s">
        <v>78</v>
      </c>
    </row>
    <row r="3330" spans="1:33" hidden="1" x14ac:dyDescent="0.25">
      <c r="A3330" t="str">
        <f>"1407219918"</f>
        <v>1407219918</v>
      </c>
      <c r="C3330" t="s">
        <v>13230</v>
      </c>
      <c r="G3330" t="s">
        <v>2224</v>
      </c>
      <c r="H3330" t="s">
        <v>2225</v>
      </c>
      <c r="J3330" t="s">
        <v>2226</v>
      </c>
      <c r="K3330" t="s">
        <v>93</v>
      </c>
      <c r="L3330" t="s">
        <v>96</v>
      </c>
      <c r="M3330" t="s">
        <v>73</v>
      </c>
      <c r="R3330" t="s">
        <v>13231</v>
      </c>
      <c r="S3330" t="s">
        <v>10089</v>
      </c>
      <c r="T3330" t="s">
        <v>91</v>
      </c>
      <c r="U3330" t="s">
        <v>74</v>
      </c>
      <c r="V3330" t="str">
        <f>"100654870"</f>
        <v>100654870</v>
      </c>
      <c r="AC3330" t="s">
        <v>76</v>
      </c>
      <c r="AD3330" t="s">
        <v>73</v>
      </c>
      <c r="AE3330" t="s">
        <v>97</v>
      </c>
      <c r="AF3330" t="s">
        <v>2398</v>
      </c>
      <c r="AG3330" t="s">
        <v>78</v>
      </c>
    </row>
    <row r="3331" spans="1:33" hidden="1" x14ac:dyDescent="0.25">
      <c r="A3331" t="str">
        <f>"1023471315"</f>
        <v>1023471315</v>
      </c>
      <c r="C3331" t="s">
        <v>13232</v>
      </c>
      <c r="G3331" t="s">
        <v>2224</v>
      </c>
      <c r="H3331" t="s">
        <v>2225</v>
      </c>
      <c r="J3331" t="s">
        <v>2226</v>
      </c>
      <c r="K3331" t="s">
        <v>93</v>
      </c>
      <c r="L3331" t="s">
        <v>96</v>
      </c>
      <c r="M3331" t="s">
        <v>73</v>
      </c>
      <c r="R3331" t="s">
        <v>13233</v>
      </c>
      <c r="S3331" t="s">
        <v>410</v>
      </c>
      <c r="T3331" t="s">
        <v>91</v>
      </c>
      <c r="U3331" t="s">
        <v>74</v>
      </c>
      <c r="V3331" t="str">
        <f>"100321559"</f>
        <v>100321559</v>
      </c>
      <c r="AC3331" t="s">
        <v>76</v>
      </c>
      <c r="AD3331" t="s">
        <v>73</v>
      </c>
      <c r="AE3331" t="s">
        <v>97</v>
      </c>
      <c r="AF3331" t="s">
        <v>2254</v>
      </c>
      <c r="AG3331" t="s">
        <v>78</v>
      </c>
    </row>
    <row r="3332" spans="1:33" hidden="1" x14ac:dyDescent="0.25">
      <c r="A3332" t="str">
        <f>"1801281894"</f>
        <v>1801281894</v>
      </c>
      <c r="C3332" t="s">
        <v>13234</v>
      </c>
      <c r="G3332" t="s">
        <v>2224</v>
      </c>
      <c r="H3332" t="s">
        <v>2225</v>
      </c>
      <c r="J3332" t="s">
        <v>2226</v>
      </c>
      <c r="K3332" t="s">
        <v>93</v>
      </c>
      <c r="L3332" t="s">
        <v>96</v>
      </c>
      <c r="M3332" t="s">
        <v>73</v>
      </c>
      <c r="R3332" t="s">
        <v>13235</v>
      </c>
      <c r="S3332" t="s">
        <v>13236</v>
      </c>
      <c r="T3332" t="s">
        <v>91</v>
      </c>
      <c r="U3332" t="s">
        <v>74</v>
      </c>
      <c r="V3332" t="str">
        <f>"100323720"</f>
        <v>100323720</v>
      </c>
      <c r="AC3332" t="s">
        <v>76</v>
      </c>
      <c r="AD3332" t="s">
        <v>73</v>
      </c>
      <c r="AE3332" t="s">
        <v>97</v>
      </c>
      <c r="AF3332" t="s">
        <v>2254</v>
      </c>
      <c r="AG3332" t="s">
        <v>78</v>
      </c>
    </row>
    <row r="3333" spans="1:33" hidden="1" x14ac:dyDescent="0.25">
      <c r="A3333" t="str">
        <f>"1336534353"</f>
        <v>1336534353</v>
      </c>
      <c r="C3333" t="s">
        <v>13237</v>
      </c>
      <c r="G3333" t="s">
        <v>2224</v>
      </c>
      <c r="H3333" t="s">
        <v>2225</v>
      </c>
      <c r="J3333" t="s">
        <v>2226</v>
      </c>
      <c r="K3333" t="s">
        <v>93</v>
      </c>
      <c r="L3333" t="s">
        <v>96</v>
      </c>
      <c r="M3333" t="s">
        <v>73</v>
      </c>
      <c r="R3333" t="s">
        <v>13238</v>
      </c>
      <c r="S3333" t="s">
        <v>13048</v>
      </c>
      <c r="T3333" t="s">
        <v>91</v>
      </c>
      <c r="U3333" t="s">
        <v>74</v>
      </c>
      <c r="V3333" t="str">
        <f>"100323720"</f>
        <v>100323720</v>
      </c>
      <c r="AC3333" t="s">
        <v>76</v>
      </c>
      <c r="AD3333" t="s">
        <v>73</v>
      </c>
      <c r="AE3333" t="s">
        <v>97</v>
      </c>
      <c r="AF3333" t="s">
        <v>2254</v>
      </c>
      <c r="AG3333" t="s">
        <v>78</v>
      </c>
    </row>
    <row r="3334" spans="1:33" hidden="1" x14ac:dyDescent="0.25">
      <c r="A3334" t="str">
        <f>"1518356294"</f>
        <v>1518356294</v>
      </c>
      <c r="C3334" t="s">
        <v>13239</v>
      </c>
      <c r="G3334" t="s">
        <v>2224</v>
      </c>
      <c r="H3334" t="s">
        <v>2225</v>
      </c>
      <c r="J3334" t="s">
        <v>2226</v>
      </c>
      <c r="K3334" t="s">
        <v>93</v>
      </c>
      <c r="L3334" t="s">
        <v>96</v>
      </c>
      <c r="M3334" t="s">
        <v>73</v>
      </c>
      <c r="R3334" t="s">
        <v>13240</v>
      </c>
      <c r="S3334" t="s">
        <v>410</v>
      </c>
      <c r="T3334" t="s">
        <v>91</v>
      </c>
      <c r="U3334" t="s">
        <v>74</v>
      </c>
      <c r="V3334" t="str">
        <f>"100321559"</f>
        <v>100321559</v>
      </c>
      <c r="AC3334" t="s">
        <v>76</v>
      </c>
      <c r="AD3334" t="s">
        <v>73</v>
      </c>
      <c r="AE3334" t="s">
        <v>97</v>
      </c>
      <c r="AF3334" t="s">
        <v>2254</v>
      </c>
      <c r="AG3334" t="s">
        <v>78</v>
      </c>
    </row>
    <row r="3335" spans="1:33" hidden="1" x14ac:dyDescent="0.25">
      <c r="A3335" t="str">
        <f>"1619367935"</f>
        <v>1619367935</v>
      </c>
      <c r="C3335" t="s">
        <v>13241</v>
      </c>
      <c r="G3335" t="s">
        <v>2224</v>
      </c>
      <c r="H3335" t="s">
        <v>2225</v>
      </c>
      <c r="J3335" t="s">
        <v>2226</v>
      </c>
      <c r="K3335" t="s">
        <v>93</v>
      </c>
      <c r="L3335" t="s">
        <v>96</v>
      </c>
      <c r="M3335" t="s">
        <v>73</v>
      </c>
      <c r="R3335" t="s">
        <v>13242</v>
      </c>
      <c r="S3335" t="s">
        <v>410</v>
      </c>
      <c r="T3335" t="s">
        <v>91</v>
      </c>
      <c r="U3335" t="s">
        <v>74</v>
      </c>
      <c r="V3335" t="str">
        <f>"100321559"</f>
        <v>100321559</v>
      </c>
      <c r="AC3335" t="s">
        <v>76</v>
      </c>
      <c r="AD3335" t="s">
        <v>73</v>
      </c>
      <c r="AE3335" t="s">
        <v>97</v>
      </c>
      <c r="AF3335" t="s">
        <v>2254</v>
      </c>
      <c r="AG3335" t="s">
        <v>78</v>
      </c>
    </row>
    <row r="3336" spans="1:33" hidden="1" x14ac:dyDescent="0.25">
      <c r="A3336" t="str">
        <f>"1477915247"</f>
        <v>1477915247</v>
      </c>
      <c r="C3336" t="s">
        <v>13243</v>
      </c>
      <c r="G3336" t="s">
        <v>2224</v>
      </c>
      <c r="H3336" t="s">
        <v>2225</v>
      </c>
      <c r="J3336" t="s">
        <v>2226</v>
      </c>
      <c r="K3336" t="s">
        <v>93</v>
      </c>
      <c r="L3336" t="s">
        <v>96</v>
      </c>
      <c r="M3336" t="s">
        <v>73</v>
      </c>
      <c r="R3336" t="s">
        <v>13244</v>
      </c>
      <c r="S3336" t="s">
        <v>13245</v>
      </c>
      <c r="T3336" t="s">
        <v>91</v>
      </c>
      <c r="U3336" t="s">
        <v>74</v>
      </c>
      <c r="V3336" t="str">
        <f>"100214872"</f>
        <v>100214872</v>
      </c>
      <c r="AC3336" t="s">
        <v>76</v>
      </c>
      <c r="AD3336" t="s">
        <v>73</v>
      </c>
      <c r="AE3336" t="s">
        <v>97</v>
      </c>
      <c r="AF3336" t="s">
        <v>2398</v>
      </c>
      <c r="AG3336" t="s">
        <v>78</v>
      </c>
    </row>
    <row r="3337" spans="1:33" hidden="1" x14ac:dyDescent="0.25">
      <c r="A3337" t="str">
        <f>"1982067138"</f>
        <v>1982067138</v>
      </c>
      <c r="C3337" t="s">
        <v>13246</v>
      </c>
      <c r="G3337" t="s">
        <v>2224</v>
      </c>
      <c r="H3337" t="s">
        <v>2225</v>
      </c>
      <c r="J3337" t="s">
        <v>2226</v>
      </c>
      <c r="K3337" t="s">
        <v>93</v>
      </c>
      <c r="L3337" t="s">
        <v>96</v>
      </c>
      <c r="M3337" t="s">
        <v>73</v>
      </c>
      <c r="R3337" t="s">
        <v>13247</v>
      </c>
      <c r="S3337" t="s">
        <v>1745</v>
      </c>
      <c r="T3337" t="s">
        <v>91</v>
      </c>
      <c r="U3337" t="s">
        <v>74</v>
      </c>
      <c r="V3337" t="str">
        <f>"10021"</f>
        <v>10021</v>
      </c>
      <c r="AC3337" t="s">
        <v>76</v>
      </c>
      <c r="AD3337" t="s">
        <v>73</v>
      </c>
      <c r="AE3337" t="s">
        <v>97</v>
      </c>
      <c r="AF3337" t="s">
        <v>2398</v>
      </c>
      <c r="AG3337" t="s">
        <v>78</v>
      </c>
    </row>
    <row r="3338" spans="1:33" hidden="1" x14ac:dyDescent="0.25">
      <c r="A3338" t="str">
        <f>"1881089399"</f>
        <v>1881089399</v>
      </c>
      <c r="C3338" t="s">
        <v>13248</v>
      </c>
      <c r="G3338" t="s">
        <v>2224</v>
      </c>
      <c r="H3338" t="s">
        <v>2225</v>
      </c>
      <c r="J3338" t="s">
        <v>2226</v>
      </c>
      <c r="K3338" t="s">
        <v>93</v>
      </c>
      <c r="L3338" t="s">
        <v>96</v>
      </c>
      <c r="M3338" t="s">
        <v>73</v>
      </c>
      <c r="R3338" t="s">
        <v>13249</v>
      </c>
      <c r="S3338" t="s">
        <v>13250</v>
      </c>
      <c r="T3338" t="s">
        <v>91</v>
      </c>
      <c r="U3338" t="s">
        <v>74</v>
      </c>
      <c r="V3338" t="str">
        <f>"100654870"</f>
        <v>100654870</v>
      </c>
      <c r="AC3338" t="s">
        <v>76</v>
      </c>
      <c r="AD3338" t="s">
        <v>73</v>
      </c>
      <c r="AE3338" t="s">
        <v>97</v>
      </c>
      <c r="AF3338" t="s">
        <v>2254</v>
      </c>
      <c r="AG3338" t="s">
        <v>78</v>
      </c>
    </row>
    <row r="3339" spans="1:33" hidden="1" x14ac:dyDescent="0.25">
      <c r="A3339" t="str">
        <f>"1588059463"</f>
        <v>1588059463</v>
      </c>
      <c r="C3339" t="s">
        <v>13251</v>
      </c>
      <c r="G3339" t="s">
        <v>2224</v>
      </c>
      <c r="H3339" t="s">
        <v>2225</v>
      </c>
      <c r="J3339" t="s">
        <v>2226</v>
      </c>
      <c r="K3339" t="s">
        <v>93</v>
      </c>
      <c r="L3339" t="s">
        <v>96</v>
      </c>
      <c r="M3339" t="s">
        <v>73</v>
      </c>
      <c r="R3339" t="s">
        <v>13252</v>
      </c>
      <c r="S3339" t="s">
        <v>410</v>
      </c>
      <c r="T3339" t="s">
        <v>91</v>
      </c>
      <c r="U3339" t="s">
        <v>74</v>
      </c>
      <c r="V3339" t="str">
        <f>"100321559"</f>
        <v>100321559</v>
      </c>
      <c r="AC3339" t="s">
        <v>76</v>
      </c>
      <c r="AD3339" t="s">
        <v>73</v>
      </c>
      <c r="AE3339" t="s">
        <v>97</v>
      </c>
      <c r="AF3339" t="s">
        <v>2254</v>
      </c>
      <c r="AG3339" t="s">
        <v>78</v>
      </c>
    </row>
    <row r="3340" spans="1:33" hidden="1" x14ac:dyDescent="0.25">
      <c r="A3340" t="str">
        <f>"1760844104"</f>
        <v>1760844104</v>
      </c>
      <c r="C3340" t="s">
        <v>13253</v>
      </c>
      <c r="G3340" t="s">
        <v>2224</v>
      </c>
      <c r="H3340" t="s">
        <v>2225</v>
      </c>
      <c r="J3340" t="s">
        <v>2226</v>
      </c>
      <c r="K3340" t="s">
        <v>93</v>
      </c>
      <c r="L3340" t="s">
        <v>96</v>
      </c>
      <c r="M3340" t="s">
        <v>73</v>
      </c>
      <c r="R3340" t="s">
        <v>13254</v>
      </c>
      <c r="S3340" t="s">
        <v>410</v>
      </c>
      <c r="T3340" t="s">
        <v>91</v>
      </c>
      <c r="U3340" t="s">
        <v>74</v>
      </c>
      <c r="V3340" t="str">
        <f>"100321559"</f>
        <v>100321559</v>
      </c>
      <c r="AC3340" t="s">
        <v>76</v>
      </c>
      <c r="AD3340" t="s">
        <v>73</v>
      </c>
      <c r="AE3340" t="s">
        <v>97</v>
      </c>
      <c r="AF3340" t="s">
        <v>2254</v>
      </c>
      <c r="AG3340" t="s">
        <v>78</v>
      </c>
    </row>
    <row r="3341" spans="1:33" hidden="1" x14ac:dyDescent="0.25">
      <c r="A3341" t="str">
        <f>"1427443233"</f>
        <v>1427443233</v>
      </c>
      <c r="C3341" t="s">
        <v>13255</v>
      </c>
      <c r="G3341" t="s">
        <v>2224</v>
      </c>
      <c r="H3341" t="s">
        <v>2225</v>
      </c>
      <c r="J3341" t="s">
        <v>2226</v>
      </c>
      <c r="K3341" t="s">
        <v>93</v>
      </c>
      <c r="L3341" t="s">
        <v>96</v>
      </c>
      <c r="M3341" t="s">
        <v>73</v>
      </c>
      <c r="R3341" t="s">
        <v>13256</v>
      </c>
      <c r="S3341" t="s">
        <v>410</v>
      </c>
      <c r="T3341" t="s">
        <v>91</v>
      </c>
      <c r="U3341" t="s">
        <v>74</v>
      </c>
      <c r="V3341" t="str">
        <f>"100321559"</f>
        <v>100321559</v>
      </c>
      <c r="AC3341" t="s">
        <v>76</v>
      </c>
      <c r="AD3341" t="s">
        <v>73</v>
      </c>
      <c r="AE3341" t="s">
        <v>97</v>
      </c>
      <c r="AF3341" t="s">
        <v>2254</v>
      </c>
      <c r="AG3341" t="s">
        <v>78</v>
      </c>
    </row>
    <row r="3342" spans="1:33" hidden="1" x14ac:dyDescent="0.25">
      <c r="A3342" t="str">
        <f>"1669891354"</f>
        <v>1669891354</v>
      </c>
      <c r="C3342" t="s">
        <v>13257</v>
      </c>
      <c r="G3342" t="s">
        <v>2224</v>
      </c>
      <c r="H3342" t="s">
        <v>2225</v>
      </c>
      <c r="J3342" t="s">
        <v>2226</v>
      </c>
      <c r="K3342" t="s">
        <v>93</v>
      </c>
      <c r="L3342" t="s">
        <v>96</v>
      </c>
      <c r="M3342" t="s">
        <v>73</v>
      </c>
      <c r="R3342" t="s">
        <v>13258</v>
      </c>
      <c r="S3342" t="s">
        <v>12958</v>
      </c>
      <c r="T3342" t="s">
        <v>91</v>
      </c>
      <c r="U3342" t="s">
        <v>74</v>
      </c>
      <c r="V3342" t="str">
        <f>"100654870"</f>
        <v>100654870</v>
      </c>
      <c r="AC3342" t="s">
        <v>76</v>
      </c>
      <c r="AD3342" t="s">
        <v>73</v>
      </c>
      <c r="AE3342" t="s">
        <v>97</v>
      </c>
      <c r="AF3342" t="s">
        <v>2398</v>
      </c>
      <c r="AG3342" t="s">
        <v>78</v>
      </c>
    </row>
    <row r="3343" spans="1:33" hidden="1" x14ac:dyDescent="0.25">
      <c r="A3343" t="str">
        <f>"1225425663"</f>
        <v>1225425663</v>
      </c>
      <c r="C3343" t="s">
        <v>13259</v>
      </c>
      <c r="G3343" t="s">
        <v>2224</v>
      </c>
      <c r="H3343" t="s">
        <v>2225</v>
      </c>
      <c r="J3343" t="s">
        <v>2226</v>
      </c>
      <c r="K3343" t="s">
        <v>93</v>
      </c>
      <c r="L3343" t="s">
        <v>96</v>
      </c>
      <c r="M3343" t="s">
        <v>73</v>
      </c>
      <c r="R3343" t="s">
        <v>13260</v>
      </c>
      <c r="S3343" t="s">
        <v>2115</v>
      </c>
      <c r="T3343" t="s">
        <v>91</v>
      </c>
      <c r="U3343" t="s">
        <v>74</v>
      </c>
      <c r="V3343" t="str">
        <f>"100327104"</f>
        <v>100327104</v>
      </c>
      <c r="AC3343" t="s">
        <v>76</v>
      </c>
      <c r="AD3343" t="s">
        <v>73</v>
      </c>
      <c r="AE3343" t="s">
        <v>97</v>
      </c>
      <c r="AF3343" t="s">
        <v>2254</v>
      </c>
      <c r="AG3343" t="s">
        <v>78</v>
      </c>
    </row>
    <row r="3344" spans="1:33" hidden="1" x14ac:dyDescent="0.25">
      <c r="A3344" t="str">
        <f>"1902268139"</f>
        <v>1902268139</v>
      </c>
      <c r="C3344" t="s">
        <v>13261</v>
      </c>
      <c r="G3344" t="s">
        <v>2224</v>
      </c>
      <c r="H3344" t="s">
        <v>2225</v>
      </c>
      <c r="J3344" t="s">
        <v>2226</v>
      </c>
      <c r="K3344" t="s">
        <v>93</v>
      </c>
      <c r="L3344" t="s">
        <v>96</v>
      </c>
      <c r="M3344" t="s">
        <v>73</v>
      </c>
      <c r="R3344" t="s">
        <v>13262</v>
      </c>
      <c r="S3344" t="s">
        <v>410</v>
      </c>
      <c r="T3344" t="s">
        <v>91</v>
      </c>
      <c r="U3344" t="s">
        <v>74</v>
      </c>
      <c r="V3344" t="str">
        <f>"100321559"</f>
        <v>100321559</v>
      </c>
      <c r="AC3344" t="s">
        <v>76</v>
      </c>
      <c r="AD3344" t="s">
        <v>73</v>
      </c>
      <c r="AE3344" t="s">
        <v>97</v>
      </c>
      <c r="AF3344" t="s">
        <v>2254</v>
      </c>
      <c r="AG3344" t="s">
        <v>78</v>
      </c>
    </row>
    <row r="3345" spans="1:33" hidden="1" x14ac:dyDescent="0.25">
      <c r="A3345" t="str">
        <f>"1871937565"</f>
        <v>1871937565</v>
      </c>
      <c r="C3345" t="s">
        <v>13263</v>
      </c>
      <c r="G3345" t="s">
        <v>2224</v>
      </c>
      <c r="H3345" t="s">
        <v>2225</v>
      </c>
      <c r="J3345" t="s">
        <v>2226</v>
      </c>
      <c r="K3345" t="s">
        <v>93</v>
      </c>
      <c r="L3345" t="s">
        <v>96</v>
      </c>
      <c r="M3345" t="s">
        <v>73</v>
      </c>
      <c r="R3345" t="s">
        <v>13264</v>
      </c>
      <c r="S3345" t="s">
        <v>10378</v>
      </c>
      <c r="T3345" t="s">
        <v>91</v>
      </c>
      <c r="U3345" t="s">
        <v>74</v>
      </c>
      <c r="V3345" t="str">
        <f>"100323720"</f>
        <v>100323720</v>
      </c>
      <c r="AC3345" t="s">
        <v>76</v>
      </c>
      <c r="AD3345" t="s">
        <v>73</v>
      </c>
      <c r="AE3345" t="s">
        <v>97</v>
      </c>
      <c r="AF3345" t="s">
        <v>2254</v>
      </c>
      <c r="AG3345" t="s">
        <v>78</v>
      </c>
    </row>
    <row r="3346" spans="1:33" hidden="1" x14ac:dyDescent="0.25">
      <c r="A3346" t="str">
        <f>"1902268915"</f>
        <v>1902268915</v>
      </c>
      <c r="C3346" t="s">
        <v>13265</v>
      </c>
      <c r="G3346" t="s">
        <v>2224</v>
      </c>
      <c r="H3346" t="s">
        <v>2225</v>
      </c>
      <c r="J3346" t="s">
        <v>2226</v>
      </c>
      <c r="K3346" t="s">
        <v>93</v>
      </c>
      <c r="L3346" t="s">
        <v>96</v>
      </c>
      <c r="M3346" t="s">
        <v>73</v>
      </c>
      <c r="R3346" t="s">
        <v>13266</v>
      </c>
      <c r="S3346" t="s">
        <v>7459</v>
      </c>
      <c r="T3346" t="s">
        <v>91</v>
      </c>
      <c r="U3346" t="s">
        <v>74</v>
      </c>
      <c r="V3346" t="str">
        <f>"100214872"</f>
        <v>100214872</v>
      </c>
      <c r="AC3346" t="s">
        <v>76</v>
      </c>
      <c r="AD3346" t="s">
        <v>73</v>
      </c>
      <c r="AE3346" t="s">
        <v>97</v>
      </c>
      <c r="AF3346" t="s">
        <v>2398</v>
      </c>
      <c r="AG3346" t="s">
        <v>78</v>
      </c>
    </row>
    <row r="3347" spans="1:33" hidden="1" x14ac:dyDescent="0.25">
      <c r="A3347" t="str">
        <f>"1770945941"</f>
        <v>1770945941</v>
      </c>
      <c r="C3347" t="s">
        <v>13267</v>
      </c>
      <c r="G3347" t="s">
        <v>2224</v>
      </c>
      <c r="H3347" t="s">
        <v>2225</v>
      </c>
      <c r="J3347" t="s">
        <v>2226</v>
      </c>
      <c r="K3347" t="s">
        <v>93</v>
      </c>
      <c r="L3347" t="s">
        <v>96</v>
      </c>
      <c r="M3347" t="s">
        <v>73</v>
      </c>
      <c r="R3347" t="s">
        <v>13268</v>
      </c>
      <c r="S3347" t="s">
        <v>13269</v>
      </c>
      <c r="T3347" t="s">
        <v>91</v>
      </c>
      <c r="U3347" t="s">
        <v>74</v>
      </c>
      <c r="V3347" t="str">
        <f>"101281136"</f>
        <v>101281136</v>
      </c>
      <c r="AC3347" t="s">
        <v>76</v>
      </c>
      <c r="AD3347" t="s">
        <v>73</v>
      </c>
      <c r="AE3347" t="s">
        <v>97</v>
      </c>
      <c r="AF3347" t="s">
        <v>2254</v>
      </c>
      <c r="AG3347" t="s">
        <v>78</v>
      </c>
    </row>
    <row r="3348" spans="1:33" hidden="1" x14ac:dyDescent="0.25">
      <c r="A3348" t="str">
        <f>"1194170209"</f>
        <v>1194170209</v>
      </c>
      <c r="C3348" t="s">
        <v>13270</v>
      </c>
      <c r="G3348" t="s">
        <v>2224</v>
      </c>
      <c r="H3348" t="s">
        <v>2225</v>
      </c>
      <c r="J3348" t="s">
        <v>2226</v>
      </c>
      <c r="K3348" t="s">
        <v>93</v>
      </c>
      <c r="L3348" t="s">
        <v>96</v>
      </c>
      <c r="M3348" t="s">
        <v>73</v>
      </c>
      <c r="R3348" t="s">
        <v>13271</v>
      </c>
      <c r="S3348" t="s">
        <v>13272</v>
      </c>
      <c r="T3348" t="s">
        <v>13273</v>
      </c>
      <c r="U3348" t="s">
        <v>519</v>
      </c>
      <c r="V3348" t="str">
        <f>"194223257"</f>
        <v>194223257</v>
      </c>
      <c r="AC3348" t="s">
        <v>76</v>
      </c>
      <c r="AD3348" t="s">
        <v>73</v>
      </c>
      <c r="AE3348" t="s">
        <v>97</v>
      </c>
      <c r="AF3348" t="s">
        <v>2398</v>
      </c>
      <c r="AG3348" t="s">
        <v>78</v>
      </c>
    </row>
    <row r="3349" spans="1:33" hidden="1" x14ac:dyDescent="0.25">
      <c r="A3349" t="str">
        <f>"1356761969"</f>
        <v>1356761969</v>
      </c>
      <c r="C3349" t="s">
        <v>13274</v>
      </c>
      <c r="G3349" t="s">
        <v>2224</v>
      </c>
      <c r="H3349" t="s">
        <v>2225</v>
      </c>
      <c r="J3349" t="s">
        <v>2226</v>
      </c>
      <c r="K3349" t="s">
        <v>93</v>
      </c>
      <c r="L3349" t="s">
        <v>96</v>
      </c>
      <c r="M3349" t="s">
        <v>73</v>
      </c>
      <c r="R3349" t="s">
        <v>13275</v>
      </c>
      <c r="S3349" t="s">
        <v>2115</v>
      </c>
      <c r="T3349" t="s">
        <v>91</v>
      </c>
      <c r="U3349" t="s">
        <v>74</v>
      </c>
      <c r="V3349" t="str">
        <f>"100327104"</f>
        <v>100327104</v>
      </c>
      <c r="AC3349" t="s">
        <v>76</v>
      </c>
      <c r="AD3349" t="s">
        <v>73</v>
      </c>
      <c r="AE3349" t="s">
        <v>97</v>
      </c>
      <c r="AF3349" t="s">
        <v>2254</v>
      </c>
      <c r="AG3349" t="s">
        <v>78</v>
      </c>
    </row>
    <row r="3350" spans="1:33" hidden="1" x14ac:dyDescent="0.25">
      <c r="A3350" t="str">
        <f>"1376905620"</f>
        <v>1376905620</v>
      </c>
      <c r="C3350" t="s">
        <v>13276</v>
      </c>
      <c r="G3350" t="s">
        <v>2224</v>
      </c>
      <c r="H3350" t="s">
        <v>2225</v>
      </c>
      <c r="J3350" t="s">
        <v>2226</v>
      </c>
      <c r="K3350" t="s">
        <v>93</v>
      </c>
      <c r="L3350" t="s">
        <v>96</v>
      </c>
      <c r="M3350" t="s">
        <v>73</v>
      </c>
      <c r="R3350" t="s">
        <v>13277</v>
      </c>
      <c r="S3350" t="s">
        <v>12888</v>
      </c>
      <c r="T3350" t="s">
        <v>91</v>
      </c>
      <c r="U3350" t="s">
        <v>74</v>
      </c>
      <c r="V3350" t="str">
        <f>"100654870"</f>
        <v>100654870</v>
      </c>
      <c r="AC3350" t="s">
        <v>76</v>
      </c>
      <c r="AD3350" t="s">
        <v>73</v>
      </c>
      <c r="AE3350" t="s">
        <v>97</v>
      </c>
      <c r="AF3350" t="s">
        <v>2398</v>
      </c>
      <c r="AG3350" t="s">
        <v>78</v>
      </c>
    </row>
    <row r="3351" spans="1:33" hidden="1" x14ac:dyDescent="0.25">
      <c r="A3351" t="str">
        <f>"1609296334"</f>
        <v>1609296334</v>
      </c>
      <c r="C3351" t="s">
        <v>13278</v>
      </c>
      <c r="G3351" t="s">
        <v>2224</v>
      </c>
      <c r="H3351" t="s">
        <v>2225</v>
      </c>
      <c r="J3351" t="s">
        <v>2226</v>
      </c>
      <c r="K3351" t="s">
        <v>93</v>
      </c>
      <c r="L3351" t="s">
        <v>96</v>
      </c>
      <c r="M3351" t="s">
        <v>73</v>
      </c>
      <c r="R3351" t="s">
        <v>13279</v>
      </c>
      <c r="S3351" t="s">
        <v>167</v>
      </c>
      <c r="T3351" t="s">
        <v>91</v>
      </c>
      <c r="U3351" t="s">
        <v>74</v>
      </c>
      <c r="V3351" t="str">
        <f>"100323720"</f>
        <v>100323720</v>
      </c>
      <c r="AC3351" t="s">
        <v>76</v>
      </c>
      <c r="AD3351" t="s">
        <v>73</v>
      </c>
      <c r="AE3351" t="s">
        <v>97</v>
      </c>
      <c r="AF3351" t="s">
        <v>2254</v>
      </c>
      <c r="AG3351" t="s">
        <v>78</v>
      </c>
    </row>
    <row r="3352" spans="1:33" hidden="1" x14ac:dyDescent="0.25">
      <c r="A3352" t="str">
        <f>"1487016705"</f>
        <v>1487016705</v>
      </c>
      <c r="C3352" t="s">
        <v>13280</v>
      </c>
      <c r="G3352" t="s">
        <v>2224</v>
      </c>
      <c r="H3352" t="s">
        <v>2225</v>
      </c>
      <c r="J3352" t="s">
        <v>2226</v>
      </c>
      <c r="K3352" t="s">
        <v>93</v>
      </c>
      <c r="L3352" t="s">
        <v>96</v>
      </c>
      <c r="M3352" t="s">
        <v>73</v>
      </c>
      <c r="R3352" t="s">
        <v>13281</v>
      </c>
      <c r="S3352" t="s">
        <v>167</v>
      </c>
      <c r="T3352" t="s">
        <v>91</v>
      </c>
      <c r="U3352" t="s">
        <v>74</v>
      </c>
      <c r="V3352" t="str">
        <f>"100323720"</f>
        <v>100323720</v>
      </c>
      <c r="AC3352" t="s">
        <v>76</v>
      </c>
      <c r="AD3352" t="s">
        <v>73</v>
      </c>
      <c r="AE3352" t="s">
        <v>97</v>
      </c>
      <c r="AF3352" t="s">
        <v>2254</v>
      </c>
      <c r="AG3352" t="s">
        <v>78</v>
      </c>
    </row>
    <row r="3353" spans="1:33" hidden="1" x14ac:dyDescent="0.25">
      <c r="A3353" t="str">
        <f>"1154783306"</f>
        <v>1154783306</v>
      </c>
      <c r="C3353" t="s">
        <v>13282</v>
      </c>
      <c r="G3353" t="s">
        <v>2224</v>
      </c>
      <c r="H3353" t="s">
        <v>2225</v>
      </c>
      <c r="J3353" t="s">
        <v>2226</v>
      </c>
      <c r="K3353" t="s">
        <v>93</v>
      </c>
      <c r="L3353" t="s">
        <v>96</v>
      </c>
      <c r="M3353" t="s">
        <v>73</v>
      </c>
      <c r="R3353" t="s">
        <v>13283</v>
      </c>
      <c r="S3353" t="s">
        <v>410</v>
      </c>
      <c r="T3353" t="s">
        <v>91</v>
      </c>
      <c r="U3353" t="s">
        <v>74</v>
      </c>
      <c r="V3353" t="str">
        <f>"100321559"</f>
        <v>100321559</v>
      </c>
      <c r="AC3353" t="s">
        <v>76</v>
      </c>
      <c r="AD3353" t="s">
        <v>73</v>
      </c>
      <c r="AE3353" t="s">
        <v>97</v>
      </c>
      <c r="AF3353" t="s">
        <v>2254</v>
      </c>
      <c r="AG3353" t="s">
        <v>78</v>
      </c>
    </row>
    <row r="3354" spans="1:33" hidden="1" x14ac:dyDescent="0.25">
      <c r="A3354" t="str">
        <f>"1174987739"</f>
        <v>1174987739</v>
      </c>
      <c r="C3354" t="s">
        <v>13284</v>
      </c>
      <c r="G3354" t="s">
        <v>2224</v>
      </c>
      <c r="H3354" t="s">
        <v>2225</v>
      </c>
      <c r="J3354" t="s">
        <v>2226</v>
      </c>
      <c r="K3354" t="s">
        <v>93</v>
      </c>
      <c r="L3354" t="s">
        <v>96</v>
      </c>
      <c r="M3354" t="s">
        <v>73</v>
      </c>
      <c r="R3354" t="s">
        <v>13285</v>
      </c>
      <c r="S3354" t="s">
        <v>1745</v>
      </c>
      <c r="T3354" t="s">
        <v>91</v>
      </c>
      <c r="U3354" t="s">
        <v>74</v>
      </c>
      <c r="V3354" t="str">
        <f>"10021"</f>
        <v>10021</v>
      </c>
      <c r="AC3354" t="s">
        <v>76</v>
      </c>
      <c r="AD3354" t="s">
        <v>73</v>
      </c>
      <c r="AE3354" t="s">
        <v>97</v>
      </c>
      <c r="AF3354" t="s">
        <v>2398</v>
      </c>
      <c r="AG3354" t="s">
        <v>78</v>
      </c>
    </row>
    <row r="3355" spans="1:33" hidden="1" x14ac:dyDescent="0.25">
      <c r="A3355" t="str">
        <f>"1346660040"</f>
        <v>1346660040</v>
      </c>
      <c r="C3355" t="s">
        <v>13286</v>
      </c>
      <c r="G3355" t="s">
        <v>2224</v>
      </c>
      <c r="H3355" t="s">
        <v>2225</v>
      </c>
      <c r="J3355" t="s">
        <v>2226</v>
      </c>
      <c r="K3355" t="s">
        <v>93</v>
      </c>
      <c r="L3355" t="s">
        <v>96</v>
      </c>
      <c r="M3355" t="s">
        <v>73</v>
      </c>
      <c r="R3355" t="s">
        <v>13287</v>
      </c>
      <c r="S3355" t="s">
        <v>2115</v>
      </c>
      <c r="T3355" t="s">
        <v>91</v>
      </c>
      <c r="U3355" t="s">
        <v>74</v>
      </c>
      <c r="V3355" t="str">
        <f>"100327104"</f>
        <v>100327104</v>
      </c>
      <c r="AC3355" t="s">
        <v>76</v>
      </c>
      <c r="AD3355" t="s">
        <v>73</v>
      </c>
      <c r="AE3355" t="s">
        <v>97</v>
      </c>
      <c r="AF3355" t="s">
        <v>2254</v>
      </c>
      <c r="AG3355" t="s">
        <v>78</v>
      </c>
    </row>
    <row r="3356" spans="1:33" hidden="1" x14ac:dyDescent="0.25">
      <c r="A3356" t="str">
        <f>"1144647058"</f>
        <v>1144647058</v>
      </c>
      <c r="C3356" t="s">
        <v>13288</v>
      </c>
      <c r="G3356" t="s">
        <v>2224</v>
      </c>
      <c r="H3356" t="s">
        <v>2225</v>
      </c>
      <c r="J3356" t="s">
        <v>2226</v>
      </c>
      <c r="K3356" t="s">
        <v>93</v>
      </c>
      <c r="L3356" t="s">
        <v>96</v>
      </c>
      <c r="M3356" t="s">
        <v>73</v>
      </c>
      <c r="R3356" t="s">
        <v>13289</v>
      </c>
      <c r="S3356" t="s">
        <v>11608</v>
      </c>
      <c r="T3356" t="s">
        <v>91</v>
      </c>
      <c r="U3356" t="s">
        <v>74</v>
      </c>
      <c r="V3356" t="str">
        <f>"100654870"</f>
        <v>100654870</v>
      </c>
      <c r="AC3356" t="s">
        <v>76</v>
      </c>
      <c r="AD3356" t="s">
        <v>73</v>
      </c>
      <c r="AE3356" t="s">
        <v>97</v>
      </c>
      <c r="AF3356" t="s">
        <v>2398</v>
      </c>
      <c r="AG3356" t="s">
        <v>78</v>
      </c>
    </row>
    <row r="3357" spans="1:33" hidden="1" x14ac:dyDescent="0.25">
      <c r="A3357" t="str">
        <f>"1184071441"</f>
        <v>1184071441</v>
      </c>
      <c r="C3357" t="s">
        <v>13290</v>
      </c>
      <c r="G3357" t="s">
        <v>2224</v>
      </c>
      <c r="H3357" t="s">
        <v>2225</v>
      </c>
      <c r="J3357" t="s">
        <v>2226</v>
      </c>
      <c r="K3357" t="s">
        <v>93</v>
      </c>
      <c r="L3357" t="s">
        <v>96</v>
      </c>
      <c r="M3357" t="s">
        <v>73</v>
      </c>
      <c r="R3357" t="s">
        <v>13291</v>
      </c>
      <c r="S3357" t="s">
        <v>13292</v>
      </c>
      <c r="T3357" t="s">
        <v>91</v>
      </c>
      <c r="U3357" t="s">
        <v>74</v>
      </c>
      <c r="V3357" t="str">
        <f>"10021"</f>
        <v>10021</v>
      </c>
      <c r="AC3357" t="s">
        <v>76</v>
      </c>
      <c r="AD3357" t="s">
        <v>73</v>
      </c>
      <c r="AE3357" t="s">
        <v>97</v>
      </c>
      <c r="AF3357" t="s">
        <v>2398</v>
      </c>
      <c r="AG3357" t="s">
        <v>78</v>
      </c>
    </row>
    <row r="3358" spans="1:33" hidden="1" x14ac:dyDescent="0.25">
      <c r="A3358" t="str">
        <f>"1952643355"</f>
        <v>1952643355</v>
      </c>
      <c r="C3358" t="s">
        <v>13293</v>
      </c>
      <c r="G3358" t="s">
        <v>2224</v>
      </c>
      <c r="H3358" t="s">
        <v>2225</v>
      </c>
      <c r="J3358" t="s">
        <v>2226</v>
      </c>
      <c r="K3358" t="s">
        <v>93</v>
      </c>
      <c r="L3358" t="s">
        <v>96</v>
      </c>
      <c r="M3358" t="s">
        <v>73</v>
      </c>
      <c r="R3358" t="s">
        <v>13294</v>
      </c>
      <c r="S3358" t="s">
        <v>12888</v>
      </c>
      <c r="T3358" t="s">
        <v>91</v>
      </c>
      <c r="U3358" t="s">
        <v>74</v>
      </c>
      <c r="V3358" t="str">
        <f>"100654870"</f>
        <v>100654870</v>
      </c>
      <c r="AC3358" t="s">
        <v>76</v>
      </c>
      <c r="AD3358" t="s">
        <v>73</v>
      </c>
      <c r="AE3358" t="s">
        <v>97</v>
      </c>
      <c r="AF3358" t="s">
        <v>2398</v>
      </c>
      <c r="AG3358" t="s">
        <v>78</v>
      </c>
    </row>
    <row r="3359" spans="1:33" hidden="1" x14ac:dyDescent="0.25">
      <c r="A3359" t="str">
        <f>"1063755163"</f>
        <v>1063755163</v>
      </c>
      <c r="C3359" t="s">
        <v>13295</v>
      </c>
      <c r="G3359" t="s">
        <v>2224</v>
      </c>
      <c r="H3359" t="s">
        <v>2225</v>
      </c>
      <c r="J3359" t="s">
        <v>2226</v>
      </c>
      <c r="K3359" t="s">
        <v>93</v>
      </c>
      <c r="L3359" t="s">
        <v>96</v>
      </c>
      <c r="M3359" t="s">
        <v>73</v>
      </c>
      <c r="R3359" t="s">
        <v>13296</v>
      </c>
      <c r="S3359" t="s">
        <v>13152</v>
      </c>
      <c r="T3359" t="s">
        <v>91</v>
      </c>
      <c r="U3359" t="s">
        <v>74</v>
      </c>
      <c r="V3359" t="str">
        <f>"100323720"</f>
        <v>100323720</v>
      </c>
      <c r="AC3359" t="s">
        <v>76</v>
      </c>
      <c r="AD3359" t="s">
        <v>73</v>
      </c>
      <c r="AE3359" t="s">
        <v>97</v>
      </c>
      <c r="AF3359" t="s">
        <v>2254</v>
      </c>
      <c r="AG3359" t="s">
        <v>78</v>
      </c>
    </row>
    <row r="3360" spans="1:33" hidden="1" x14ac:dyDescent="0.25">
      <c r="A3360" t="str">
        <f>"1700248150"</f>
        <v>1700248150</v>
      </c>
      <c r="C3360" t="s">
        <v>13297</v>
      </c>
      <c r="G3360" t="s">
        <v>2224</v>
      </c>
      <c r="H3360" t="s">
        <v>2225</v>
      </c>
      <c r="J3360" t="s">
        <v>2226</v>
      </c>
      <c r="K3360" t="s">
        <v>93</v>
      </c>
      <c r="L3360" t="s">
        <v>96</v>
      </c>
      <c r="M3360" t="s">
        <v>73</v>
      </c>
      <c r="R3360" t="s">
        <v>13298</v>
      </c>
      <c r="S3360" t="s">
        <v>410</v>
      </c>
      <c r="T3360" t="s">
        <v>91</v>
      </c>
      <c r="U3360" t="s">
        <v>74</v>
      </c>
      <c r="V3360" t="str">
        <f>"100321559"</f>
        <v>100321559</v>
      </c>
      <c r="AC3360" t="s">
        <v>76</v>
      </c>
      <c r="AD3360" t="s">
        <v>73</v>
      </c>
      <c r="AE3360" t="s">
        <v>97</v>
      </c>
      <c r="AF3360" t="s">
        <v>2254</v>
      </c>
      <c r="AG3360" t="s">
        <v>78</v>
      </c>
    </row>
    <row r="3361" spans="1:33" hidden="1" x14ac:dyDescent="0.25">
      <c r="A3361" t="str">
        <f>"1366805640"</f>
        <v>1366805640</v>
      </c>
      <c r="C3361" t="s">
        <v>13299</v>
      </c>
      <c r="G3361" t="s">
        <v>2224</v>
      </c>
      <c r="H3361" t="s">
        <v>2225</v>
      </c>
      <c r="J3361" t="s">
        <v>2226</v>
      </c>
      <c r="K3361" t="s">
        <v>93</v>
      </c>
      <c r="L3361" t="s">
        <v>96</v>
      </c>
      <c r="M3361" t="s">
        <v>73</v>
      </c>
      <c r="R3361" t="s">
        <v>13300</v>
      </c>
      <c r="S3361" t="s">
        <v>167</v>
      </c>
      <c r="T3361" t="s">
        <v>91</v>
      </c>
      <c r="U3361" t="s">
        <v>74</v>
      </c>
      <c r="V3361" t="str">
        <f>"100323720"</f>
        <v>100323720</v>
      </c>
      <c r="AC3361" t="s">
        <v>76</v>
      </c>
      <c r="AD3361" t="s">
        <v>73</v>
      </c>
      <c r="AE3361" t="s">
        <v>97</v>
      </c>
      <c r="AF3361" t="s">
        <v>2254</v>
      </c>
      <c r="AG3361" t="s">
        <v>78</v>
      </c>
    </row>
    <row r="3362" spans="1:33" hidden="1" x14ac:dyDescent="0.25">
      <c r="A3362" t="str">
        <f>"1972946150"</f>
        <v>1972946150</v>
      </c>
      <c r="C3362" t="s">
        <v>13301</v>
      </c>
      <c r="G3362" t="s">
        <v>2224</v>
      </c>
      <c r="H3362" t="s">
        <v>2225</v>
      </c>
      <c r="J3362" t="s">
        <v>2226</v>
      </c>
      <c r="K3362" t="s">
        <v>93</v>
      </c>
      <c r="L3362" t="s">
        <v>96</v>
      </c>
      <c r="M3362" t="s">
        <v>73</v>
      </c>
      <c r="R3362" t="s">
        <v>13302</v>
      </c>
      <c r="S3362" t="s">
        <v>13303</v>
      </c>
      <c r="T3362" t="s">
        <v>91</v>
      </c>
      <c r="U3362" t="s">
        <v>74</v>
      </c>
      <c r="V3362" t="str">
        <f>"100322622"</f>
        <v>100322622</v>
      </c>
      <c r="AC3362" t="s">
        <v>76</v>
      </c>
      <c r="AD3362" t="s">
        <v>73</v>
      </c>
      <c r="AE3362" t="s">
        <v>97</v>
      </c>
      <c r="AF3362" t="s">
        <v>2254</v>
      </c>
      <c r="AG3362" t="s">
        <v>78</v>
      </c>
    </row>
    <row r="3363" spans="1:33" hidden="1" x14ac:dyDescent="0.25">
      <c r="A3363" t="str">
        <f>"1801216742"</f>
        <v>1801216742</v>
      </c>
      <c r="C3363" t="s">
        <v>13304</v>
      </c>
      <c r="G3363" t="s">
        <v>2224</v>
      </c>
      <c r="H3363" t="s">
        <v>2225</v>
      </c>
      <c r="J3363" t="s">
        <v>2226</v>
      </c>
      <c r="K3363" t="s">
        <v>93</v>
      </c>
      <c r="L3363" t="s">
        <v>96</v>
      </c>
      <c r="M3363" t="s">
        <v>73</v>
      </c>
      <c r="R3363" t="s">
        <v>13305</v>
      </c>
      <c r="S3363" t="s">
        <v>13306</v>
      </c>
      <c r="T3363" t="s">
        <v>1174</v>
      </c>
      <c r="U3363" t="s">
        <v>929</v>
      </c>
      <c r="V3363" t="str">
        <f>"752041255"</f>
        <v>752041255</v>
      </c>
      <c r="AC3363" t="s">
        <v>76</v>
      </c>
      <c r="AD3363" t="s">
        <v>73</v>
      </c>
      <c r="AE3363" t="s">
        <v>97</v>
      </c>
      <c r="AF3363" t="s">
        <v>2398</v>
      </c>
      <c r="AG3363" t="s">
        <v>78</v>
      </c>
    </row>
    <row r="3364" spans="1:33" hidden="1" x14ac:dyDescent="0.25">
      <c r="A3364" t="str">
        <f>"1063830453"</f>
        <v>1063830453</v>
      </c>
      <c r="C3364" t="s">
        <v>13307</v>
      </c>
      <c r="G3364" t="s">
        <v>2224</v>
      </c>
      <c r="H3364" t="s">
        <v>2225</v>
      </c>
      <c r="J3364" t="s">
        <v>2226</v>
      </c>
      <c r="K3364" t="s">
        <v>93</v>
      </c>
      <c r="L3364" t="s">
        <v>96</v>
      </c>
      <c r="M3364" t="s">
        <v>73</v>
      </c>
      <c r="R3364" t="s">
        <v>13308</v>
      </c>
      <c r="S3364" t="s">
        <v>12557</v>
      </c>
      <c r="T3364" t="s">
        <v>91</v>
      </c>
      <c r="U3364" t="s">
        <v>74</v>
      </c>
      <c r="V3364" t="str">
        <f>"100323720"</f>
        <v>100323720</v>
      </c>
      <c r="AC3364" t="s">
        <v>76</v>
      </c>
      <c r="AD3364" t="s">
        <v>73</v>
      </c>
      <c r="AE3364" t="s">
        <v>97</v>
      </c>
      <c r="AF3364" t="s">
        <v>2254</v>
      </c>
      <c r="AG3364" t="s">
        <v>78</v>
      </c>
    </row>
    <row r="3365" spans="1:33" hidden="1" x14ac:dyDescent="0.25">
      <c r="A3365" t="str">
        <f>"1356760292"</f>
        <v>1356760292</v>
      </c>
      <c r="C3365" t="s">
        <v>13309</v>
      </c>
      <c r="G3365" t="s">
        <v>2224</v>
      </c>
      <c r="H3365" t="s">
        <v>2225</v>
      </c>
      <c r="J3365" t="s">
        <v>2226</v>
      </c>
      <c r="K3365" t="s">
        <v>93</v>
      </c>
      <c r="L3365" t="s">
        <v>96</v>
      </c>
      <c r="M3365" t="s">
        <v>73</v>
      </c>
      <c r="R3365" t="s">
        <v>13310</v>
      </c>
      <c r="S3365" t="s">
        <v>410</v>
      </c>
      <c r="T3365" t="s">
        <v>91</v>
      </c>
      <c r="U3365" t="s">
        <v>74</v>
      </c>
      <c r="V3365" t="str">
        <f>"100321559"</f>
        <v>100321559</v>
      </c>
      <c r="AC3365" t="s">
        <v>76</v>
      </c>
      <c r="AD3365" t="s">
        <v>73</v>
      </c>
      <c r="AE3365" t="s">
        <v>97</v>
      </c>
      <c r="AF3365" t="s">
        <v>2254</v>
      </c>
      <c r="AG3365" t="s">
        <v>78</v>
      </c>
    </row>
    <row r="3366" spans="1:33" hidden="1" x14ac:dyDescent="0.25">
      <c r="A3366" t="str">
        <f>"1639532039"</f>
        <v>1639532039</v>
      </c>
      <c r="C3366" t="s">
        <v>13311</v>
      </c>
      <c r="G3366" t="s">
        <v>2224</v>
      </c>
      <c r="H3366" t="s">
        <v>2225</v>
      </c>
      <c r="J3366" t="s">
        <v>2226</v>
      </c>
      <c r="K3366" t="s">
        <v>93</v>
      </c>
      <c r="L3366" t="s">
        <v>96</v>
      </c>
      <c r="M3366" t="s">
        <v>73</v>
      </c>
      <c r="R3366" t="s">
        <v>13312</v>
      </c>
      <c r="S3366" t="s">
        <v>167</v>
      </c>
      <c r="T3366" t="s">
        <v>91</v>
      </c>
      <c r="U3366" t="s">
        <v>74</v>
      </c>
      <c r="V3366" t="str">
        <f>"100323720"</f>
        <v>100323720</v>
      </c>
      <c r="AC3366" t="s">
        <v>76</v>
      </c>
      <c r="AD3366" t="s">
        <v>73</v>
      </c>
      <c r="AE3366" t="s">
        <v>97</v>
      </c>
      <c r="AF3366" t="s">
        <v>2254</v>
      </c>
      <c r="AG3366" t="s">
        <v>78</v>
      </c>
    </row>
    <row r="3367" spans="1:33" hidden="1" x14ac:dyDescent="0.25">
      <c r="A3367" t="str">
        <f>"1093100471"</f>
        <v>1093100471</v>
      </c>
      <c r="C3367" t="s">
        <v>13313</v>
      </c>
      <c r="G3367" t="s">
        <v>2224</v>
      </c>
      <c r="H3367" t="s">
        <v>2225</v>
      </c>
      <c r="J3367" t="s">
        <v>2226</v>
      </c>
      <c r="K3367" t="s">
        <v>93</v>
      </c>
      <c r="L3367" t="s">
        <v>96</v>
      </c>
      <c r="M3367" t="s">
        <v>73</v>
      </c>
      <c r="R3367" t="s">
        <v>13314</v>
      </c>
      <c r="S3367" t="s">
        <v>13048</v>
      </c>
      <c r="T3367" t="s">
        <v>91</v>
      </c>
      <c r="U3367" t="s">
        <v>74</v>
      </c>
      <c r="V3367" t="str">
        <f>"100323720"</f>
        <v>100323720</v>
      </c>
      <c r="AC3367" t="s">
        <v>76</v>
      </c>
      <c r="AD3367" t="s">
        <v>73</v>
      </c>
      <c r="AE3367" t="s">
        <v>97</v>
      </c>
      <c r="AF3367" t="s">
        <v>2254</v>
      </c>
      <c r="AG3367" t="s">
        <v>78</v>
      </c>
    </row>
    <row r="3368" spans="1:33" hidden="1" x14ac:dyDescent="0.25">
      <c r="A3368" t="str">
        <f>"1104289586"</f>
        <v>1104289586</v>
      </c>
      <c r="C3368" t="s">
        <v>13315</v>
      </c>
      <c r="G3368" t="s">
        <v>2224</v>
      </c>
      <c r="H3368" t="s">
        <v>2225</v>
      </c>
      <c r="J3368" t="s">
        <v>2226</v>
      </c>
      <c r="K3368" t="s">
        <v>93</v>
      </c>
      <c r="L3368" t="s">
        <v>96</v>
      </c>
      <c r="M3368" t="s">
        <v>73</v>
      </c>
      <c r="R3368" t="s">
        <v>13316</v>
      </c>
      <c r="S3368" t="s">
        <v>7459</v>
      </c>
      <c r="T3368" t="s">
        <v>91</v>
      </c>
      <c r="U3368" t="s">
        <v>74</v>
      </c>
      <c r="V3368" t="str">
        <f>"100214872"</f>
        <v>100214872</v>
      </c>
      <c r="AC3368" t="s">
        <v>76</v>
      </c>
      <c r="AD3368" t="s">
        <v>73</v>
      </c>
      <c r="AE3368" t="s">
        <v>97</v>
      </c>
      <c r="AF3368" t="s">
        <v>2398</v>
      </c>
      <c r="AG3368" t="s">
        <v>78</v>
      </c>
    </row>
    <row r="3369" spans="1:33" hidden="1" x14ac:dyDescent="0.25">
      <c r="A3369" t="str">
        <f>"1780047597"</f>
        <v>1780047597</v>
      </c>
      <c r="C3369" t="s">
        <v>13317</v>
      </c>
      <c r="G3369" t="s">
        <v>2224</v>
      </c>
      <c r="H3369" t="s">
        <v>2225</v>
      </c>
      <c r="J3369" t="s">
        <v>2226</v>
      </c>
      <c r="K3369" t="s">
        <v>93</v>
      </c>
      <c r="L3369" t="s">
        <v>96</v>
      </c>
      <c r="M3369" t="s">
        <v>73</v>
      </c>
      <c r="R3369" t="s">
        <v>13318</v>
      </c>
      <c r="S3369" t="s">
        <v>167</v>
      </c>
      <c r="T3369" t="s">
        <v>91</v>
      </c>
      <c r="U3369" t="s">
        <v>74</v>
      </c>
      <c r="V3369" t="str">
        <f>"100323720"</f>
        <v>100323720</v>
      </c>
      <c r="AC3369" t="s">
        <v>76</v>
      </c>
      <c r="AD3369" t="s">
        <v>73</v>
      </c>
      <c r="AE3369" t="s">
        <v>97</v>
      </c>
      <c r="AF3369" t="s">
        <v>2254</v>
      </c>
      <c r="AG3369" t="s">
        <v>78</v>
      </c>
    </row>
    <row r="3370" spans="1:33" hidden="1" x14ac:dyDescent="0.25">
      <c r="A3370" t="str">
        <f>"1891114930"</f>
        <v>1891114930</v>
      </c>
      <c r="C3370" t="s">
        <v>13319</v>
      </c>
      <c r="G3370" t="s">
        <v>2224</v>
      </c>
      <c r="H3370" t="s">
        <v>2225</v>
      </c>
      <c r="J3370" t="s">
        <v>2226</v>
      </c>
      <c r="K3370" t="s">
        <v>93</v>
      </c>
      <c r="L3370" t="s">
        <v>96</v>
      </c>
      <c r="M3370" t="s">
        <v>73</v>
      </c>
      <c r="R3370" t="s">
        <v>13320</v>
      </c>
      <c r="S3370" t="s">
        <v>2115</v>
      </c>
      <c r="T3370" t="s">
        <v>91</v>
      </c>
      <c r="U3370" t="s">
        <v>74</v>
      </c>
      <c r="V3370" t="str">
        <f>"100327104"</f>
        <v>100327104</v>
      </c>
      <c r="AC3370" t="s">
        <v>76</v>
      </c>
      <c r="AD3370" t="s">
        <v>73</v>
      </c>
      <c r="AE3370" t="s">
        <v>97</v>
      </c>
      <c r="AF3370" t="s">
        <v>2254</v>
      </c>
      <c r="AG3370" t="s">
        <v>78</v>
      </c>
    </row>
    <row r="3371" spans="1:33" hidden="1" x14ac:dyDescent="0.25">
      <c r="A3371" t="str">
        <f>"1770901944"</f>
        <v>1770901944</v>
      </c>
      <c r="C3371" t="s">
        <v>13321</v>
      </c>
      <c r="G3371" t="s">
        <v>2224</v>
      </c>
      <c r="H3371" t="s">
        <v>2225</v>
      </c>
      <c r="J3371" t="s">
        <v>2226</v>
      </c>
      <c r="K3371" t="s">
        <v>93</v>
      </c>
      <c r="L3371" t="s">
        <v>96</v>
      </c>
      <c r="M3371" t="s">
        <v>73</v>
      </c>
      <c r="R3371" t="s">
        <v>13322</v>
      </c>
      <c r="S3371" t="s">
        <v>11608</v>
      </c>
      <c r="T3371" t="s">
        <v>91</v>
      </c>
      <c r="U3371" t="s">
        <v>74</v>
      </c>
      <c r="V3371" t="str">
        <f>"100654870"</f>
        <v>100654870</v>
      </c>
      <c r="AC3371" t="s">
        <v>76</v>
      </c>
      <c r="AD3371" t="s">
        <v>73</v>
      </c>
      <c r="AE3371" t="s">
        <v>97</v>
      </c>
      <c r="AF3371" t="s">
        <v>2398</v>
      </c>
      <c r="AG3371" t="s">
        <v>78</v>
      </c>
    </row>
    <row r="3372" spans="1:33" hidden="1" x14ac:dyDescent="0.25">
      <c r="A3372" t="str">
        <f>"1740675602"</f>
        <v>1740675602</v>
      </c>
      <c r="C3372" t="s">
        <v>13323</v>
      </c>
      <c r="G3372" t="s">
        <v>2224</v>
      </c>
      <c r="H3372" t="s">
        <v>2225</v>
      </c>
      <c r="J3372" t="s">
        <v>2226</v>
      </c>
      <c r="K3372" t="s">
        <v>93</v>
      </c>
      <c r="L3372" t="s">
        <v>96</v>
      </c>
      <c r="M3372" t="s">
        <v>73</v>
      </c>
      <c r="R3372" t="s">
        <v>593</v>
      </c>
      <c r="S3372" t="s">
        <v>410</v>
      </c>
      <c r="T3372" t="s">
        <v>91</v>
      </c>
      <c r="U3372" t="s">
        <v>74</v>
      </c>
      <c r="V3372" t="str">
        <f>"100321559"</f>
        <v>100321559</v>
      </c>
      <c r="AC3372" t="s">
        <v>76</v>
      </c>
      <c r="AD3372" t="s">
        <v>73</v>
      </c>
      <c r="AE3372" t="s">
        <v>97</v>
      </c>
      <c r="AF3372" t="s">
        <v>2254</v>
      </c>
      <c r="AG3372" t="s">
        <v>78</v>
      </c>
    </row>
    <row r="3373" spans="1:33" hidden="1" x14ac:dyDescent="0.25">
      <c r="A3373" t="str">
        <f>"1518321264"</f>
        <v>1518321264</v>
      </c>
      <c r="C3373" t="s">
        <v>13324</v>
      </c>
      <c r="G3373" t="s">
        <v>2224</v>
      </c>
      <c r="H3373" t="s">
        <v>2225</v>
      </c>
      <c r="J3373" t="s">
        <v>2226</v>
      </c>
      <c r="K3373" t="s">
        <v>93</v>
      </c>
      <c r="L3373" t="s">
        <v>96</v>
      </c>
      <c r="M3373" t="s">
        <v>73</v>
      </c>
      <c r="R3373" t="s">
        <v>13325</v>
      </c>
      <c r="S3373" t="s">
        <v>167</v>
      </c>
      <c r="T3373" t="s">
        <v>91</v>
      </c>
      <c r="U3373" t="s">
        <v>74</v>
      </c>
      <c r="V3373" t="str">
        <f>"100323720"</f>
        <v>100323720</v>
      </c>
      <c r="AC3373" t="s">
        <v>76</v>
      </c>
      <c r="AD3373" t="s">
        <v>73</v>
      </c>
      <c r="AE3373" t="s">
        <v>97</v>
      </c>
      <c r="AF3373" t="s">
        <v>2254</v>
      </c>
      <c r="AG3373" t="s">
        <v>78</v>
      </c>
    </row>
    <row r="3374" spans="1:33" hidden="1" x14ac:dyDescent="0.25">
      <c r="A3374" t="str">
        <f>"1689094815"</f>
        <v>1689094815</v>
      </c>
      <c r="C3374" t="s">
        <v>13326</v>
      </c>
      <c r="G3374" t="s">
        <v>2224</v>
      </c>
      <c r="H3374" t="s">
        <v>2225</v>
      </c>
      <c r="J3374" t="s">
        <v>2226</v>
      </c>
      <c r="K3374" t="s">
        <v>93</v>
      </c>
      <c r="L3374" t="s">
        <v>96</v>
      </c>
      <c r="M3374" t="s">
        <v>73</v>
      </c>
      <c r="R3374" t="s">
        <v>13327</v>
      </c>
      <c r="S3374" t="s">
        <v>410</v>
      </c>
      <c r="T3374" t="s">
        <v>91</v>
      </c>
      <c r="U3374" t="s">
        <v>74</v>
      </c>
      <c r="V3374" t="str">
        <f>"100321559"</f>
        <v>100321559</v>
      </c>
      <c r="AC3374" t="s">
        <v>76</v>
      </c>
      <c r="AD3374" t="s">
        <v>73</v>
      </c>
      <c r="AE3374" t="s">
        <v>97</v>
      </c>
      <c r="AF3374" t="s">
        <v>2254</v>
      </c>
      <c r="AG3374" t="s">
        <v>78</v>
      </c>
    </row>
    <row r="3375" spans="1:33" hidden="1" x14ac:dyDescent="0.25">
      <c r="A3375" t="str">
        <f>"1598184822"</f>
        <v>1598184822</v>
      </c>
      <c r="C3375" t="s">
        <v>13328</v>
      </c>
      <c r="G3375" t="s">
        <v>2224</v>
      </c>
      <c r="H3375" t="s">
        <v>2225</v>
      </c>
      <c r="J3375" t="s">
        <v>2226</v>
      </c>
      <c r="K3375" t="s">
        <v>93</v>
      </c>
      <c r="L3375" t="s">
        <v>96</v>
      </c>
      <c r="M3375" t="s">
        <v>73</v>
      </c>
      <c r="R3375" t="s">
        <v>13329</v>
      </c>
      <c r="S3375" t="s">
        <v>167</v>
      </c>
      <c r="T3375" t="s">
        <v>91</v>
      </c>
      <c r="U3375" t="s">
        <v>74</v>
      </c>
      <c r="V3375" t="str">
        <f>"100323720"</f>
        <v>100323720</v>
      </c>
      <c r="AC3375" t="s">
        <v>76</v>
      </c>
      <c r="AD3375" t="s">
        <v>73</v>
      </c>
      <c r="AE3375" t="s">
        <v>97</v>
      </c>
      <c r="AF3375" t="s">
        <v>2254</v>
      </c>
      <c r="AG3375" t="s">
        <v>78</v>
      </c>
    </row>
    <row r="3376" spans="1:33" hidden="1" x14ac:dyDescent="0.25">
      <c r="A3376" t="str">
        <f>"1790105609"</f>
        <v>1790105609</v>
      </c>
      <c r="C3376" t="s">
        <v>13330</v>
      </c>
      <c r="G3376" t="s">
        <v>2224</v>
      </c>
      <c r="H3376" t="s">
        <v>2225</v>
      </c>
      <c r="J3376" t="s">
        <v>2226</v>
      </c>
      <c r="K3376" t="s">
        <v>93</v>
      </c>
      <c r="L3376" t="s">
        <v>96</v>
      </c>
      <c r="M3376" t="s">
        <v>73</v>
      </c>
      <c r="R3376" t="s">
        <v>13331</v>
      </c>
      <c r="S3376" t="s">
        <v>10378</v>
      </c>
      <c r="T3376" t="s">
        <v>91</v>
      </c>
      <c r="U3376" t="s">
        <v>74</v>
      </c>
      <c r="V3376" t="str">
        <f>"100323720"</f>
        <v>100323720</v>
      </c>
      <c r="AC3376" t="s">
        <v>76</v>
      </c>
      <c r="AD3376" t="s">
        <v>73</v>
      </c>
      <c r="AE3376" t="s">
        <v>97</v>
      </c>
      <c r="AF3376" t="s">
        <v>2254</v>
      </c>
      <c r="AG3376" t="s">
        <v>78</v>
      </c>
    </row>
    <row r="3377" spans="1:33" hidden="1" x14ac:dyDescent="0.25">
      <c r="A3377" t="str">
        <f>"1750778866"</f>
        <v>1750778866</v>
      </c>
      <c r="C3377" t="s">
        <v>13332</v>
      </c>
      <c r="G3377" t="s">
        <v>2224</v>
      </c>
      <c r="H3377" t="s">
        <v>2225</v>
      </c>
      <c r="J3377" t="s">
        <v>2226</v>
      </c>
      <c r="K3377" t="s">
        <v>93</v>
      </c>
      <c r="L3377" t="s">
        <v>96</v>
      </c>
      <c r="M3377" t="s">
        <v>73</v>
      </c>
      <c r="R3377" t="s">
        <v>13333</v>
      </c>
      <c r="S3377" t="s">
        <v>170</v>
      </c>
      <c r="T3377" t="s">
        <v>91</v>
      </c>
      <c r="U3377" t="s">
        <v>74</v>
      </c>
      <c r="V3377" t="str">
        <f>"100654870"</f>
        <v>100654870</v>
      </c>
      <c r="AC3377" t="s">
        <v>76</v>
      </c>
      <c r="AD3377" t="s">
        <v>73</v>
      </c>
      <c r="AE3377" t="s">
        <v>97</v>
      </c>
      <c r="AF3377" t="s">
        <v>2398</v>
      </c>
      <c r="AG3377" t="s">
        <v>78</v>
      </c>
    </row>
    <row r="3378" spans="1:33" hidden="1" x14ac:dyDescent="0.25">
      <c r="A3378" t="str">
        <f>"1629497136"</f>
        <v>1629497136</v>
      </c>
      <c r="C3378" t="s">
        <v>13334</v>
      </c>
      <c r="G3378" t="s">
        <v>2224</v>
      </c>
      <c r="H3378" t="s">
        <v>2225</v>
      </c>
      <c r="J3378" t="s">
        <v>2226</v>
      </c>
      <c r="K3378" t="s">
        <v>93</v>
      </c>
      <c r="L3378" t="s">
        <v>96</v>
      </c>
      <c r="M3378" t="s">
        <v>73</v>
      </c>
      <c r="R3378" t="s">
        <v>13335</v>
      </c>
      <c r="S3378" t="s">
        <v>1444</v>
      </c>
      <c r="T3378" t="s">
        <v>91</v>
      </c>
      <c r="U3378" t="s">
        <v>74</v>
      </c>
      <c r="V3378" t="str">
        <f>"100323733"</f>
        <v>100323733</v>
      </c>
      <c r="AC3378" t="s">
        <v>76</v>
      </c>
      <c r="AD3378" t="s">
        <v>73</v>
      </c>
      <c r="AE3378" t="s">
        <v>97</v>
      </c>
      <c r="AF3378" t="s">
        <v>2254</v>
      </c>
      <c r="AG3378" t="s">
        <v>78</v>
      </c>
    </row>
    <row r="3379" spans="1:33" hidden="1" x14ac:dyDescent="0.25">
      <c r="A3379" t="str">
        <f>"1710307483"</f>
        <v>1710307483</v>
      </c>
      <c r="C3379" t="s">
        <v>13336</v>
      </c>
      <c r="G3379" t="s">
        <v>2224</v>
      </c>
      <c r="H3379" t="s">
        <v>2225</v>
      </c>
      <c r="J3379" t="s">
        <v>2226</v>
      </c>
      <c r="K3379" t="s">
        <v>93</v>
      </c>
      <c r="L3379" t="s">
        <v>96</v>
      </c>
      <c r="M3379" t="s">
        <v>73</v>
      </c>
      <c r="R3379" t="s">
        <v>13337</v>
      </c>
      <c r="S3379" t="s">
        <v>11608</v>
      </c>
      <c r="T3379" t="s">
        <v>91</v>
      </c>
      <c r="U3379" t="s">
        <v>74</v>
      </c>
      <c r="V3379" t="str">
        <f>"100654870"</f>
        <v>100654870</v>
      </c>
      <c r="AC3379" t="s">
        <v>76</v>
      </c>
      <c r="AD3379" t="s">
        <v>73</v>
      </c>
      <c r="AE3379" t="s">
        <v>97</v>
      </c>
      <c r="AF3379" t="s">
        <v>2398</v>
      </c>
      <c r="AG3379" t="s">
        <v>78</v>
      </c>
    </row>
    <row r="3380" spans="1:33" hidden="1" x14ac:dyDescent="0.25">
      <c r="A3380" t="str">
        <f>"1174918130"</f>
        <v>1174918130</v>
      </c>
      <c r="C3380" t="s">
        <v>13338</v>
      </c>
      <c r="G3380" t="s">
        <v>2224</v>
      </c>
      <c r="H3380" t="s">
        <v>2225</v>
      </c>
      <c r="J3380" t="s">
        <v>2226</v>
      </c>
      <c r="K3380" t="s">
        <v>93</v>
      </c>
      <c r="L3380" t="s">
        <v>96</v>
      </c>
      <c r="M3380" t="s">
        <v>73</v>
      </c>
      <c r="R3380" t="s">
        <v>13339</v>
      </c>
      <c r="S3380" t="s">
        <v>410</v>
      </c>
      <c r="T3380" t="s">
        <v>91</v>
      </c>
      <c r="U3380" t="s">
        <v>74</v>
      </c>
      <c r="V3380" t="str">
        <f>"100321559"</f>
        <v>100321559</v>
      </c>
      <c r="AC3380" t="s">
        <v>76</v>
      </c>
      <c r="AD3380" t="s">
        <v>73</v>
      </c>
      <c r="AE3380" t="s">
        <v>97</v>
      </c>
      <c r="AF3380" t="s">
        <v>2254</v>
      </c>
      <c r="AG3380" t="s">
        <v>78</v>
      </c>
    </row>
    <row r="3381" spans="1:33" hidden="1" x14ac:dyDescent="0.25">
      <c r="A3381" t="str">
        <f>"1821452822"</f>
        <v>1821452822</v>
      </c>
      <c r="C3381" t="s">
        <v>13340</v>
      </c>
      <c r="G3381" t="s">
        <v>2224</v>
      </c>
      <c r="H3381" t="s">
        <v>2225</v>
      </c>
      <c r="J3381" t="s">
        <v>2226</v>
      </c>
      <c r="K3381" t="s">
        <v>93</v>
      </c>
      <c r="L3381" t="s">
        <v>96</v>
      </c>
      <c r="M3381" t="s">
        <v>73</v>
      </c>
      <c r="R3381" t="s">
        <v>13341</v>
      </c>
      <c r="S3381" t="s">
        <v>167</v>
      </c>
      <c r="T3381" t="s">
        <v>91</v>
      </c>
      <c r="U3381" t="s">
        <v>74</v>
      </c>
      <c r="V3381" t="str">
        <f>"100323720"</f>
        <v>100323720</v>
      </c>
      <c r="AC3381" t="s">
        <v>76</v>
      </c>
      <c r="AD3381" t="s">
        <v>73</v>
      </c>
      <c r="AE3381" t="s">
        <v>97</v>
      </c>
      <c r="AF3381" t="s">
        <v>2254</v>
      </c>
      <c r="AG3381" t="s">
        <v>78</v>
      </c>
    </row>
    <row r="3382" spans="1:33" hidden="1" x14ac:dyDescent="0.25">
      <c r="A3382" t="str">
        <f>"1871913244"</f>
        <v>1871913244</v>
      </c>
      <c r="C3382" t="s">
        <v>13342</v>
      </c>
      <c r="G3382" t="s">
        <v>2224</v>
      </c>
      <c r="H3382" t="s">
        <v>2225</v>
      </c>
      <c r="J3382" t="s">
        <v>2226</v>
      </c>
      <c r="K3382" t="s">
        <v>93</v>
      </c>
      <c r="L3382" t="s">
        <v>96</v>
      </c>
      <c r="M3382" t="s">
        <v>73</v>
      </c>
      <c r="R3382" t="s">
        <v>13343</v>
      </c>
      <c r="S3382" t="s">
        <v>1444</v>
      </c>
      <c r="T3382" t="s">
        <v>91</v>
      </c>
      <c r="U3382" t="s">
        <v>74</v>
      </c>
      <c r="V3382" t="str">
        <f>"100323733"</f>
        <v>100323733</v>
      </c>
      <c r="AC3382" t="s">
        <v>76</v>
      </c>
      <c r="AD3382" t="s">
        <v>73</v>
      </c>
      <c r="AE3382" t="s">
        <v>97</v>
      </c>
      <c r="AF3382" t="s">
        <v>2254</v>
      </c>
      <c r="AG3382" t="s">
        <v>78</v>
      </c>
    </row>
    <row r="3383" spans="1:33" hidden="1" x14ac:dyDescent="0.25">
      <c r="A3383" t="str">
        <f>"1750745493"</f>
        <v>1750745493</v>
      </c>
      <c r="C3383" t="s">
        <v>13344</v>
      </c>
      <c r="G3383" t="s">
        <v>2224</v>
      </c>
      <c r="H3383" t="s">
        <v>2225</v>
      </c>
      <c r="J3383" t="s">
        <v>2226</v>
      </c>
      <c r="K3383" t="s">
        <v>93</v>
      </c>
      <c r="L3383" t="s">
        <v>96</v>
      </c>
      <c r="M3383" t="s">
        <v>73</v>
      </c>
      <c r="R3383" t="s">
        <v>13345</v>
      </c>
      <c r="S3383" t="s">
        <v>410</v>
      </c>
      <c r="T3383" t="s">
        <v>91</v>
      </c>
      <c r="U3383" t="s">
        <v>74</v>
      </c>
      <c r="V3383" t="str">
        <f>"100321559"</f>
        <v>100321559</v>
      </c>
      <c r="AC3383" t="s">
        <v>76</v>
      </c>
      <c r="AD3383" t="s">
        <v>73</v>
      </c>
      <c r="AE3383" t="s">
        <v>97</v>
      </c>
      <c r="AF3383" t="s">
        <v>2254</v>
      </c>
      <c r="AG3383" t="s">
        <v>78</v>
      </c>
    </row>
    <row r="3384" spans="1:33" hidden="1" x14ac:dyDescent="0.25">
      <c r="A3384" t="str">
        <f>"1972958163"</f>
        <v>1972958163</v>
      </c>
      <c r="C3384" t="s">
        <v>13346</v>
      </c>
      <c r="G3384" t="s">
        <v>2224</v>
      </c>
      <c r="H3384" t="s">
        <v>2225</v>
      </c>
      <c r="J3384" t="s">
        <v>2226</v>
      </c>
      <c r="K3384" t="s">
        <v>93</v>
      </c>
      <c r="L3384" t="s">
        <v>96</v>
      </c>
      <c r="M3384" t="s">
        <v>73</v>
      </c>
      <c r="R3384" t="s">
        <v>13347</v>
      </c>
      <c r="S3384" t="s">
        <v>167</v>
      </c>
      <c r="T3384" t="s">
        <v>91</v>
      </c>
      <c r="U3384" t="s">
        <v>74</v>
      </c>
      <c r="V3384" t="str">
        <f>"100323720"</f>
        <v>100323720</v>
      </c>
      <c r="AC3384" t="s">
        <v>76</v>
      </c>
      <c r="AD3384" t="s">
        <v>73</v>
      </c>
      <c r="AE3384" t="s">
        <v>97</v>
      </c>
      <c r="AF3384" t="s">
        <v>2254</v>
      </c>
      <c r="AG3384" t="s">
        <v>78</v>
      </c>
    </row>
    <row r="3385" spans="1:33" hidden="1" x14ac:dyDescent="0.25">
      <c r="A3385" t="str">
        <f>"1700275427"</f>
        <v>1700275427</v>
      </c>
      <c r="C3385" t="s">
        <v>13348</v>
      </c>
      <c r="G3385" t="s">
        <v>2224</v>
      </c>
      <c r="H3385" t="s">
        <v>2225</v>
      </c>
      <c r="J3385" t="s">
        <v>2226</v>
      </c>
      <c r="K3385" t="s">
        <v>93</v>
      </c>
      <c r="L3385" t="s">
        <v>96</v>
      </c>
      <c r="M3385" t="s">
        <v>73</v>
      </c>
      <c r="R3385" t="s">
        <v>13349</v>
      </c>
      <c r="S3385" t="s">
        <v>13152</v>
      </c>
      <c r="T3385" t="s">
        <v>91</v>
      </c>
      <c r="U3385" t="s">
        <v>74</v>
      </c>
      <c r="V3385" t="str">
        <f>"100323720"</f>
        <v>100323720</v>
      </c>
      <c r="AC3385" t="s">
        <v>76</v>
      </c>
      <c r="AD3385" t="s">
        <v>73</v>
      </c>
      <c r="AE3385" t="s">
        <v>97</v>
      </c>
      <c r="AF3385" t="s">
        <v>2254</v>
      </c>
      <c r="AG3385" t="s">
        <v>78</v>
      </c>
    </row>
    <row r="3386" spans="1:33" hidden="1" x14ac:dyDescent="0.25">
      <c r="A3386" t="str">
        <f>"1619395902"</f>
        <v>1619395902</v>
      </c>
      <c r="C3386" t="s">
        <v>13350</v>
      </c>
      <c r="G3386" t="s">
        <v>2224</v>
      </c>
      <c r="H3386" t="s">
        <v>2225</v>
      </c>
      <c r="J3386" t="s">
        <v>2226</v>
      </c>
      <c r="K3386" t="s">
        <v>93</v>
      </c>
      <c r="L3386" t="s">
        <v>96</v>
      </c>
      <c r="M3386" t="s">
        <v>73</v>
      </c>
      <c r="R3386" t="s">
        <v>13351</v>
      </c>
      <c r="S3386" t="s">
        <v>1444</v>
      </c>
      <c r="T3386" t="s">
        <v>91</v>
      </c>
      <c r="U3386" t="s">
        <v>74</v>
      </c>
      <c r="V3386" t="str">
        <f>"100323733"</f>
        <v>100323733</v>
      </c>
      <c r="AC3386" t="s">
        <v>76</v>
      </c>
      <c r="AD3386" t="s">
        <v>73</v>
      </c>
      <c r="AE3386" t="s">
        <v>97</v>
      </c>
      <c r="AF3386" t="s">
        <v>2254</v>
      </c>
      <c r="AG3386" t="s">
        <v>78</v>
      </c>
    </row>
    <row r="3387" spans="1:33" hidden="1" x14ac:dyDescent="0.25">
      <c r="A3387" t="str">
        <f>"1346694064"</f>
        <v>1346694064</v>
      </c>
      <c r="C3387" t="s">
        <v>13352</v>
      </c>
      <c r="G3387" t="s">
        <v>2224</v>
      </c>
      <c r="H3387" t="s">
        <v>2225</v>
      </c>
      <c r="J3387" t="s">
        <v>2226</v>
      </c>
      <c r="K3387" t="s">
        <v>93</v>
      </c>
      <c r="L3387" t="s">
        <v>96</v>
      </c>
      <c r="M3387" t="s">
        <v>73</v>
      </c>
      <c r="R3387" t="s">
        <v>13353</v>
      </c>
      <c r="S3387" t="s">
        <v>167</v>
      </c>
      <c r="T3387" t="s">
        <v>91</v>
      </c>
      <c r="U3387" t="s">
        <v>74</v>
      </c>
      <c r="V3387" t="str">
        <f>"100323720"</f>
        <v>100323720</v>
      </c>
      <c r="AC3387" t="s">
        <v>76</v>
      </c>
      <c r="AD3387" t="s">
        <v>73</v>
      </c>
      <c r="AE3387" t="s">
        <v>97</v>
      </c>
      <c r="AF3387" t="s">
        <v>2254</v>
      </c>
      <c r="AG3387" t="s">
        <v>78</v>
      </c>
    </row>
    <row r="3388" spans="1:33" hidden="1" x14ac:dyDescent="0.25">
      <c r="A3388" t="str">
        <f>"1801258975"</f>
        <v>1801258975</v>
      </c>
      <c r="C3388" t="s">
        <v>13354</v>
      </c>
      <c r="G3388" t="s">
        <v>2224</v>
      </c>
      <c r="H3388" t="s">
        <v>2225</v>
      </c>
      <c r="J3388" t="s">
        <v>2226</v>
      </c>
      <c r="K3388" t="s">
        <v>93</v>
      </c>
      <c r="L3388" t="s">
        <v>96</v>
      </c>
      <c r="M3388" t="s">
        <v>73</v>
      </c>
      <c r="R3388" t="s">
        <v>13355</v>
      </c>
      <c r="S3388" t="s">
        <v>628</v>
      </c>
      <c r="T3388" t="s">
        <v>91</v>
      </c>
      <c r="U3388" t="s">
        <v>74</v>
      </c>
      <c r="V3388" t="str">
        <f>"100214872"</f>
        <v>100214872</v>
      </c>
      <c r="AC3388" t="s">
        <v>76</v>
      </c>
      <c r="AD3388" t="s">
        <v>73</v>
      </c>
      <c r="AE3388" t="s">
        <v>97</v>
      </c>
      <c r="AF3388" t="s">
        <v>2398</v>
      </c>
      <c r="AG3388" t="s">
        <v>78</v>
      </c>
    </row>
    <row r="3389" spans="1:33" hidden="1" x14ac:dyDescent="0.25">
      <c r="A3389" t="str">
        <f>"1003200387"</f>
        <v>1003200387</v>
      </c>
      <c r="C3389" t="s">
        <v>13356</v>
      </c>
      <c r="G3389" t="s">
        <v>2224</v>
      </c>
      <c r="H3389" t="s">
        <v>2225</v>
      </c>
      <c r="J3389" t="s">
        <v>2226</v>
      </c>
      <c r="K3389" t="s">
        <v>93</v>
      </c>
      <c r="L3389" t="s">
        <v>96</v>
      </c>
      <c r="M3389" t="s">
        <v>73</v>
      </c>
      <c r="R3389" t="s">
        <v>13357</v>
      </c>
      <c r="S3389" t="s">
        <v>11608</v>
      </c>
      <c r="T3389" t="s">
        <v>91</v>
      </c>
      <c r="U3389" t="s">
        <v>74</v>
      </c>
      <c r="V3389" t="str">
        <f>"100654870"</f>
        <v>100654870</v>
      </c>
      <c r="AC3389" t="s">
        <v>76</v>
      </c>
      <c r="AD3389" t="s">
        <v>73</v>
      </c>
      <c r="AE3389" t="s">
        <v>97</v>
      </c>
      <c r="AF3389" t="s">
        <v>2398</v>
      </c>
      <c r="AG3389" t="s">
        <v>78</v>
      </c>
    </row>
    <row r="3390" spans="1:33" hidden="1" x14ac:dyDescent="0.25">
      <c r="A3390" t="str">
        <f>"1548622392"</f>
        <v>1548622392</v>
      </c>
      <c r="C3390" t="s">
        <v>13358</v>
      </c>
      <c r="G3390" t="s">
        <v>2224</v>
      </c>
      <c r="H3390" t="s">
        <v>2225</v>
      </c>
      <c r="J3390" t="s">
        <v>2226</v>
      </c>
      <c r="K3390" t="s">
        <v>93</v>
      </c>
      <c r="L3390" t="s">
        <v>96</v>
      </c>
      <c r="M3390" t="s">
        <v>73</v>
      </c>
      <c r="R3390" t="s">
        <v>13359</v>
      </c>
      <c r="S3390" t="s">
        <v>7459</v>
      </c>
      <c r="T3390" t="s">
        <v>91</v>
      </c>
      <c r="U3390" t="s">
        <v>74</v>
      </c>
      <c r="V3390" t="str">
        <f>"100214872"</f>
        <v>100214872</v>
      </c>
      <c r="AC3390" t="s">
        <v>76</v>
      </c>
      <c r="AD3390" t="s">
        <v>73</v>
      </c>
      <c r="AE3390" t="s">
        <v>97</v>
      </c>
      <c r="AF3390" t="s">
        <v>2398</v>
      </c>
      <c r="AG3390" t="s">
        <v>78</v>
      </c>
    </row>
    <row r="3391" spans="1:33" hidden="1" x14ac:dyDescent="0.25">
      <c r="A3391" t="str">
        <f>"1023462462"</f>
        <v>1023462462</v>
      </c>
      <c r="C3391" t="s">
        <v>13360</v>
      </c>
      <c r="G3391" t="s">
        <v>2224</v>
      </c>
      <c r="H3391" t="s">
        <v>2225</v>
      </c>
      <c r="J3391" t="s">
        <v>2226</v>
      </c>
      <c r="K3391" t="s">
        <v>93</v>
      </c>
      <c r="L3391" t="s">
        <v>96</v>
      </c>
      <c r="M3391" t="s">
        <v>73</v>
      </c>
      <c r="R3391" t="s">
        <v>13361</v>
      </c>
      <c r="S3391" t="s">
        <v>1745</v>
      </c>
      <c r="T3391" t="s">
        <v>91</v>
      </c>
      <c r="U3391" t="s">
        <v>74</v>
      </c>
      <c r="V3391" t="str">
        <f>"10021"</f>
        <v>10021</v>
      </c>
      <c r="AC3391" t="s">
        <v>76</v>
      </c>
      <c r="AD3391" t="s">
        <v>73</v>
      </c>
      <c r="AE3391" t="s">
        <v>97</v>
      </c>
      <c r="AF3391" t="s">
        <v>2398</v>
      </c>
      <c r="AG3391" t="s">
        <v>78</v>
      </c>
    </row>
    <row r="3392" spans="1:33" hidden="1" x14ac:dyDescent="0.25">
      <c r="A3392" t="str">
        <f>"1548689821"</f>
        <v>1548689821</v>
      </c>
      <c r="C3392" t="s">
        <v>13362</v>
      </c>
      <c r="G3392" t="s">
        <v>2224</v>
      </c>
      <c r="H3392" t="s">
        <v>2225</v>
      </c>
      <c r="J3392" t="s">
        <v>2226</v>
      </c>
      <c r="K3392" t="s">
        <v>93</v>
      </c>
      <c r="L3392" t="s">
        <v>96</v>
      </c>
      <c r="M3392" t="s">
        <v>73</v>
      </c>
      <c r="R3392" t="s">
        <v>13363</v>
      </c>
      <c r="S3392" t="s">
        <v>167</v>
      </c>
      <c r="T3392" t="s">
        <v>91</v>
      </c>
      <c r="U3392" t="s">
        <v>74</v>
      </c>
      <c r="V3392" t="str">
        <f>"100323720"</f>
        <v>100323720</v>
      </c>
      <c r="AC3392" t="s">
        <v>76</v>
      </c>
      <c r="AD3392" t="s">
        <v>73</v>
      </c>
      <c r="AE3392" t="s">
        <v>97</v>
      </c>
      <c r="AF3392" t="s">
        <v>2254</v>
      </c>
      <c r="AG3392" t="s">
        <v>78</v>
      </c>
    </row>
    <row r="3393" spans="1:33" hidden="1" x14ac:dyDescent="0.25">
      <c r="A3393" t="str">
        <f>"1649632092"</f>
        <v>1649632092</v>
      </c>
      <c r="C3393" t="s">
        <v>13364</v>
      </c>
      <c r="G3393" t="s">
        <v>2224</v>
      </c>
      <c r="H3393" t="s">
        <v>2225</v>
      </c>
      <c r="J3393" t="s">
        <v>2226</v>
      </c>
      <c r="K3393" t="s">
        <v>93</v>
      </c>
      <c r="L3393" t="s">
        <v>96</v>
      </c>
      <c r="M3393" t="s">
        <v>73</v>
      </c>
      <c r="R3393" t="s">
        <v>13365</v>
      </c>
      <c r="S3393" t="s">
        <v>410</v>
      </c>
      <c r="T3393" t="s">
        <v>91</v>
      </c>
      <c r="U3393" t="s">
        <v>74</v>
      </c>
      <c r="V3393" t="str">
        <f>"100321559"</f>
        <v>100321559</v>
      </c>
      <c r="AC3393" t="s">
        <v>76</v>
      </c>
      <c r="AD3393" t="s">
        <v>73</v>
      </c>
      <c r="AE3393" t="s">
        <v>97</v>
      </c>
      <c r="AF3393" t="s">
        <v>2254</v>
      </c>
      <c r="AG3393" t="s">
        <v>78</v>
      </c>
    </row>
    <row r="3394" spans="1:33" hidden="1" x14ac:dyDescent="0.25">
      <c r="A3394" t="str">
        <f>"1801215835"</f>
        <v>1801215835</v>
      </c>
      <c r="C3394" t="s">
        <v>13366</v>
      </c>
      <c r="G3394" t="s">
        <v>2224</v>
      </c>
      <c r="H3394" t="s">
        <v>2225</v>
      </c>
      <c r="J3394" t="s">
        <v>2226</v>
      </c>
      <c r="K3394" t="s">
        <v>93</v>
      </c>
      <c r="L3394" t="s">
        <v>96</v>
      </c>
      <c r="M3394" t="s">
        <v>73</v>
      </c>
      <c r="R3394" t="s">
        <v>13367</v>
      </c>
      <c r="S3394" t="s">
        <v>1444</v>
      </c>
      <c r="T3394" t="s">
        <v>91</v>
      </c>
      <c r="U3394" t="s">
        <v>74</v>
      </c>
      <c r="V3394" t="str">
        <f>"100323733"</f>
        <v>100323733</v>
      </c>
      <c r="AC3394" t="s">
        <v>76</v>
      </c>
      <c r="AD3394" t="s">
        <v>73</v>
      </c>
      <c r="AE3394" t="s">
        <v>97</v>
      </c>
      <c r="AF3394" t="s">
        <v>2254</v>
      </c>
      <c r="AG3394" t="s">
        <v>78</v>
      </c>
    </row>
    <row r="3395" spans="1:33" hidden="1" x14ac:dyDescent="0.25">
      <c r="A3395" t="str">
        <f>"1295120426"</f>
        <v>1295120426</v>
      </c>
      <c r="C3395" t="s">
        <v>13368</v>
      </c>
      <c r="G3395" t="s">
        <v>2224</v>
      </c>
      <c r="H3395" t="s">
        <v>2225</v>
      </c>
      <c r="J3395" t="s">
        <v>2226</v>
      </c>
      <c r="K3395" t="s">
        <v>93</v>
      </c>
      <c r="L3395" t="s">
        <v>96</v>
      </c>
      <c r="M3395" t="s">
        <v>73</v>
      </c>
      <c r="R3395" t="s">
        <v>2137</v>
      </c>
      <c r="S3395" t="s">
        <v>167</v>
      </c>
      <c r="T3395" t="s">
        <v>91</v>
      </c>
      <c r="U3395" t="s">
        <v>74</v>
      </c>
      <c r="V3395" t="str">
        <f>"100323720"</f>
        <v>100323720</v>
      </c>
      <c r="AC3395" t="s">
        <v>76</v>
      </c>
      <c r="AD3395" t="s">
        <v>73</v>
      </c>
      <c r="AE3395" t="s">
        <v>97</v>
      </c>
      <c r="AF3395" t="s">
        <v>2254</v>
      </c>
      <c r="AG3395" t="s">
        <v>78</v>
      </c>
    </row>
    <row r="3396" spans="1:33" hidden="1" x14ac:dyDescent="0.25">
      <c r="A3396" t="str">
        <f>"1578958005"</f>
        <v>1578958005</v>
      </c>
      <c r="C3396" t="s">
        <v>13369</v>
      </c>
      <c r="G3396" t="s">
        <v>2224</v>
      </c>
      <c r="H3396" t="s">
        <v>2225</v>
      </c>
      <c r="J3396" t="s">
        <v>2226</v>
      </c>
      <c r="K3396" t="s">
        <v>93</v>
      </c>
      <c r="L3396" t="s">
        <v>96</v>
      </c>
      <c r="M3396" t="s">
        <v>73</v>
      </c>
      <c r="R3396" t="s">
        <v>13370</v>
      </c>
      <c r="S3396" t="s">
        <v>12830</v>
      </c>
      <c r="T3396" t="s">
        <v>91</v>
      </c>
      <c r="U3396" t="s">
        <v>74</v>
      </c>
      <c r="V3396" t="str">
        <f>"100323720"</f>
        <v>100323720</v>
      </c>
      <c r="AC3396" t="s">
        <v>76</v>
      </c>
      <c r="AD3396" t="s">
        <v>73</v>
      </c>
      <c r="AE3396" t="s">
        <v>97</v>
      </c>
      <c r="AF3396" t="s">
        <v>2254</v>
      </c>
      <c r="AG3396" t="s">
        <v>78</v>
      </c>
    </row>
    <row r="3397" spans="1:33" hidden="1" x14ac:dyDescent="0.25">
      <c r="A3397" t="str">
        <f>"1992190581"</f>
        <v>1992190581</v>
      </c>
      <c r="C3397" t="s">
        <v>13371</v>
      </c>
      <c r="G3397" t="s">
        <v>2224</v>
      </c>
      <c r="H3397" t="s">
        <v>2225</v>
      </c>
      <c r="J3397" t="s">
        <v>2226</v>
      </c>
      <c r="K3397" t="s">
        <v>93</v>
      </c>
      <c r="L3397" t="s">
        <v>96</v>
      </c>
      <c r="M3397" t="s">
        <v>73</v>
      </c>
      <c r="R3397" t="s">
        <v>13372</v>
      </c>
      <c r="S3397" t="s">
        <v>10378</v>
      </c>
      <c r="T3397" t="s">
        <v>91</v>
      </c>
      <c r="U3397" t="s">
        <v>74</v>
      </c>
      <c r="V3397" t="str">
        <f>"100323720"</f>
        <v>100323720</v>
      </c>
      <c r="AC3397" t="s">
        <v>76</v>
      </c>
      <c r="AD3397" t="s">
        <v>73</v>
      </c>
      <c r="AE3397" t="s">
        <v>97</v>
      </c>
      <c r="AF3397" t="s">
        <v>2254</v>
      </c>
      <c r="AG3397" t="s">
        <v>78</v>
      </c>
    </row>
    <row r="3398" spans="1:33" hidden="1" x14ac:dyDescent="0.25">
      <c r="A3398" t="str">
        <f>"1942664172"</f>
        <v>1942664172</v>
      </c>
      <c r="C3398" t="s">
        <v>13373</v>
      </c>
      <c r="G3398" t="s">
        <v>2224</v>
      </c>
      <c r="H3398" t="s">
        <v>2225</v>
      </c>
      <c r="J3398" t="s">
        <v>2226</v>
      </c>
      <c r="K3398" t="s">
        <v>93</v>
      </c>
      <c r="L3398" t="s">
        <v>96</v>
      </c>
      <c r="M3398" t="s">
        <v>73</v>
      </c>
      <c r="R3398" t="s">
        <v>13374</v>
      </c>
      <c r="S3398" t="s">
        <v>13375</v>
      </c>
      <c r="T3398" t="s">
        <v>91</v>
      </c>
      <c r="U3398" t="s">
        <v>74</v>
      </c>
      <c r="V3398" t="str">
        <f>"100214872"</f>
        <v>100214872</v>
      </c>
      <c r="AC3398" t="s">
        <v>76</v>
      </c>
      <c r="AD3398" t="s">
        <v>73</v>
      </c>
      <c r="AE3398" t="s">
        <v>97</v>
      </c>
      <c r="AF3398" t="s">
        <v>2398</v>
      </c>
      <c r="AG3398" t="s">
        <v>78</v>
      </c>
    </row>
    <row r="3399" spans="1:33" hidden="1" x14ac:dyDescent="0.25">
      <c r="A3399" t="str">
        <f>"1487071502"</f>
        <v>1487071502</v>
      </c>
      <c r="C3399" t="s">
        <v>13376</v>
      </c>
      <c r="G3399" t="s">
        <v>2224</v>
      </c>
      <c r="H3399" t="s">
        <v>2225</v>
      </c>
      <c r="J3399" t="s">
        <v>2226</v>
      </c>
      <c r="K3399" t="s">
        <v>93</v>
      </c>
      <c r="L3399" t="s">
        <v>96</v>
      </c>
      <c r="M3399" t="s">
        <v>73</v>
      </c>
      <c r="R3399" t="s">
        <v>13377</v>
      </c>
      <c r="S3399" t="s">
        <v>170</v>
      </c>
      <c r="T3399" t="s">
        <v>91</v>
      </c>
      <c r="U3399" t="s">
        <v>74</v>
      </c>
      <c r="V3399" t="str">
        <f>"100654870"</f>
        <v>100654870</v>
      </c>
      <c r="AC3399" t="s">
        <v>76</v>
      </c>
      <c r="AD3399" t="s">
        <v>73</v>
      </c>
      <c r="AE3399" t="s">
        <v>97</v>
      </c>
      <c r="AF3399" t="s">
        <v>2398</v>
      </c>
      <c r="AG3399" t="s">
        <v>78</v>
      </c>
    </row>
    <row r="3400" spans="1:33" hidden="1" x14ac:dyDescent="0.25">
      <c r="A3400" t="str">
        <f>"1467847392"</f>
        <v>1467847392</v>
      </c>
      <c r="C3400" t="s">
        <v>13378</v>
      </c>
      <c r="G3400" t="s">
        <v>2224</v>
      </c>
      <c r="H3400" t="s">
        <v>2225</v>
      </c>
      <c r="J3400" t="s">
        <v>2226</v>
      </c>
      <c r="K3400" t="s">
        <v>93</v>
      </c>
      <c r="L3400" t="s">
        <v>96</v>
      </c>
      <c r="M3400" t="s">
        <v>73</v>
      </c>
      <c r="R3400" t="s">
        <v>13379</v>
      </c>
      <c r="S3400" t="s">
        <v>410</v>
      </c>
      <c r="T3400" t="s">
        <v>91</v>
      </c>
      <c r="U3400" t="s">
        <v>74</v>
      </c>
      <c r="V3400" t="str">
        <f>"100321559"</f>
        <v>100321559</v>
      </c>
      <c r="AC3400" t="s">
        <v>76</v>
      </c>
      <c r="AD3400" t="s">
        <v>73</v>
      </c>
      <c r="AE3400" t="s">
        <v>97</v>
      </c>
      <c r="AF3400" t="s">
        <v>2254</v>
      </c>
      <c r="AG3400" t="s">
        <v>78</v>
      </c>
    </row>
    <row r="3401" spans="1:33" hidden="1" x14ac:dyDescent="0.25">
      <c r="A3401" t="str">
        <f>"1780047423"</f>
        <v>1780047423</v>
      </c>
      <c r="C3401" t="s">
        <v>13380</v>
      </c>
      <c r="G3401" t="s">
        <v>2224</v>
      </c>
      <c r="H3401" t="s">
        <v>2225</v>
      </c>
      <c r="J3401" t="s">
        <v>2226</v>
      </c>
      <c r="K3401" t="s">
        <v>93</v>
      </c>
      <c r="L3401" t="s">
        <v>96</v>
      </c>
      <c r="M3401" t="s">
        <v>73</v>
      </c>
      <c r="R3401" t="s">
        <v>13381</v>
      </c>
      <c r="S3401" t="s">
        <v>167</v>
      </c>
      <c r="T3401" t="s">
        <v>91</v>
      </c>
      <c r="U3401" t="s">
        <v>74</v>
      </c>
      <c r="V3401" t="str">
        <f>"100323720"</f>
        <v>100323720</v>
      </c>
      <c r="AC3401" t="s">
        <v>76</v>
      </c>
      <c r="AD3401" t="s">
        <v>73</v>
      </c>
      <c r="AE3401" t="s">
        <v>97</v>
      </c>
      <c r="AF3401" t="s">
        <v>2254</v>
      </c>
      <c r="AG3401" t="s">
        <v>78</v>
      </c>
    </row>
    <row r="3402" spans="1:33" hidden="1" x14ac:dyDescent="0.25">
      <c r="A3402" t="str">
        <f>"1861886723"</f>
        <v>1861886723</v>
      </c>
      <c r="C3402" t="s">
        <v>13382</v>
      </c>
      <c r="G3402" t="s">
        <v>2224</v>
      </c>
      <c r="H3402" t="s">
        <v>2225</v>
      </c>
      <c r="J3402" t="s">
        <v>2226</v>
      </c>
      <c r="K3402" t="s">
        <v>93</v>
      </c>
      <c r="L3402" t="s">
        <v>96</v>
      </c>
      <c r="M3402" t="s">
        <v>73</v>
      </c>
      <c r="R3402" t="s">
        <v>13383</v>
      </c>
      <c r="S3402" t="s">
        <v>13384</v>
      </c>
      <c r="T3402" t="s">
        <v>91</v>
      </c>
      <c r="U3402" t="s">
        <v>74</v>
      </c>
      <c r="V3402" t="str">
        <f>"100323725"</f>
        <v>100323725</v>
      </c>
      <c r="AC3402" t="s">
        <v>76</v>
      </c>
      <c r="AD3402" t="s">
        <v>73</v>
      </c>
      <c r="AE3402" t="s">
        <v>97</v>
      </c>
      <c r="AF3402" t="s">
        <v>2254</v>
      </c>
      <c r="AG3402" t="s">
        <v>78</v>
      </c>
    </row>
    <row r="3403" spans="1:33" hidden="1" x14ac:dyDescent="0.25">
      <c r="A3403" t="str">
        <f>"1376938589"</f>
        <v>1376938589</v>
      </c>
      <c r="C3403" t="s">
        <v>13385</v>
      </c>
      <c r="G3403" t="s">
        <v>2224</v>
      </c>
      <c r="H3403" t="s">
        <v>2225</v>
      </c>
      <c r="J3403" t="s">
        <v>2226</v>
      </c>
      <c r="K3403" t="s">
        <v>93</v>
      </c>
      <c r="L3403" t="s">
        <v>96</v>
      </c>
      <c r="M3403" t="s">
        <v>73</v>
      </c>
      <c r="R3403" t="s">
        <v>13386</v>
      </c>
      <c r="S3403" t="s">
        <v>354</v>
      </c>
      <c r="T3403" t="s">
        <v>91</v>
      </c>
      <c r="U3403" t="s">
        <v>74</v>
      </c>
      <c r="V3403" t="str">
        <f>"100323725"</f>
        <v>100323725</v>
      </c>
      <c r="AC3403" t="s">
        <v>76</v>
      </c>
      <c r="AD3403" t="s">
        <v>73</v>
      </c>
      <c r="AE3403" t="s">
        <v>97</v>
      </c>
      <c r="AF3403" t="s">
        <v>2254</v>
      </c>
      <c r="AG3403" t="s">
        <v>78</v>
      </c>
    </row>
    <row r="3404" spans="1:33" hidden="1" x14ac:dyDescent="0.25">
      <c r="A3404" t="str">
        <f>"1104244532"</f>
        <v>1104244532</v>
      </c>
      <c r="C3404" t="s">
        <v>13387</v>
      </c>
      <c r="G3404" t="s">
        <v>2224</v>
      </c>
      <c r="H3404" t="s">
        <v>2225</v>
      </c>
      <c r="J3404" t="s">
        <v>2226</v>
      </c>
      <c r="K3404" t="s">
        <v>93</v>
      </c>
      <c r="L3404" t="s">
        <v>96</v>
      </c>
      <c r="M3404" t="s">
        <v>73</v>
      </c>
      <c r="R3404" t="s">
        <v>13388</v>
      </c>
      <c r="S3404" t="s">
        <v>354</v>
      </c>
      <c r="T3404" t="s">
        <v>91</v>
      </c>
      <c r="U3404" t="s">
        <v>74</v>
      </c>
      <c r="V3404" t="str">
        <f>"100323725"</f>
        <v>100323725</v>
      </c>
      <c r="AC3404" t="s">
        <v>76</v>
      </c>
      <c r="AD3404" t="s">
        <v>73</v>
      </c>
      <c r="AE3404" t="s">
        <v>97</v>
      </c>
      <c r="AF3404" t="s">
        <v>2254</v>
      </c>
      <c r="AG3404" t="s">
        <v>78</v>
      </c>
    </row>
    <row r="3405" spans="1:33" hidden="1" x14ac:dyDescent="0.25">
      <c r="A3405" t="str">
        <f>"1639597388"</f>
        <v>1639597388</v>
      </c>
      <c r="C3405" t="s">
        <v>13389</v>
      </c>
      <c r="G3405" t="s">
        <v>2224</v>
      </c>
      <c r="H3405" t="s">
        <v>2225</v>
      </c>
      <c r="J3405" t="s">
        <v>2226</v>
      </c>
      <c r="K3405" t="s">
        <v>93</v>
      </c>
      <c r="L3405" t="s">
        <v>96</v>
      </c>
      <c r="M3405" t="s">
        <v>73</v>
      </c>
      <c r="R3405" t="s">
        <v>13390</v>
      </c>
      <c r="S3405" t="s">
        <v>13391</v>
      </c>
      <c r="T3405" t="s">
        <v>91</v>
      </c>
      <c r="U3405" t="s">
        <v>74</v>
      </c>
      <c r="V3405" t="str">
        <f>"10032"</f>
        <v>10032</v>
      </c>
      <c r="AC3405" t="s">
        <v>76</v>
      </c>
      <c r="AD3405" t="s">
        <v>73</v>
      </c>
      <c r="AE3405" t="s">
        <v>97</v>
      </c>
      <c r="AF3405" t="s">
        <v>2254</v>
      </c>
      <c r="AG3405" t="s">
        <v>78</v>
      </c>
    </row>
    <row r="3406" spans="1:33" hidden="1" x14ac:dyDescent="0.25">
      <c r="A3406" t="str">
        <f>"1679991806"</f>
        <v>1679991806</v>
      </c>
      <c r="C3406" t="s">
        <v>13392</v>
      </c>
      <c r="G3406" t="s">
        <v>2224</v>
      </c>
      <c r="H3406" t="s">
        <v>2225</v>
      </c>
      <c r="J3406" t="s">
        <v>2226</v>
      </c>
      <c r="K3406" t="s">
        <v>93</v>
      </c>
      <c r="L3406" t="s">
        <v>96</v>
      </c>
      <c r="M3406" t="s">
        <v>73</v>
      </c>
      <c r="R3406" t="s">
        <v>13393</v>
      </c>
      <c r="S3406" t="s">
        <v>1373</v>
      </c>
      <c r="T3406" t="s">
        <v>91</v>
      </c>
      <c r="U3406" t="s">
        <v>74</v>
      </c>
      <c r="V3406" t="str">
        <f>"100323727"</f>
        <v>100323727</v>
      </c>
      <c r="AC3406" t="s">
        <v>76</v>
      </c>
      <c r="AD3406" t="s">
        <v>73</v>
      </c>
      <c r="AE3406" t="s">
        <v>97</v>
      </c>
      <c r="AF3406" t="s">
        <v>2254</v>
      </c>
      <c r="AG3406" t="s">
        <v>78</v>
      </c>
    </row>
    <row r="3407" spans="1:33" hidden="1" x14ac:dyDescent="0.25">
      <c r="A3407" t="str">
        <f>"1578958658"</f>
        <v>1578958658</v>
      </c>
      <c r="C3407" t="s">
        <v>13394</v>
      </c>
      <c r="G3407" t="s">
        <v>2224</v>
      </c>
      <c r="H3407" t="s">
        <v>2225</v>
      </c>
      <c r="J3407" t="s">
        <v>2226</v>
      </c>
      <c r="K3407" t="s">
        <v>93</v>
      </c>
      <c r="L3407" t="s">
        <v>96</v>
      </c>
      <c r="M3407" t="s">
        <v>73</v>
      </c>
      <c r="R3407" t="s">
        <v>13395</v>
      </c>
      <c r="S3407" t="s">
        <v>410</v>
      </c>
      <c r="T3407" t="s">
        <v>91</v>
      </c>
      <c r="U3407" t="s">
        <v>74</v>
      </c>
      <c r="V3407" t="str">
        <f>"100321559"</f>
        <v>100321559</v>
      </c>
      <c r="AC3407" t="s">
        <v>76</v>
      </c>
      <c r="AD3407" t="s">
        <v>73</v>
      </c>
      <c r="AE3407" t="s">
        <v>97</v>
      </c>
      <c r="AF3407" t="s">
        <v>2254</v>
      </c>
      <c r="AG3407" t="s">
        <v>78</v>
      </c>
    </row>
    <row r="3408" spans="1:33" hidden="1" x14ac:dyDescent="0.25">
      <c r="A3408" t="str">
        <f>"1508251752"</f>
        <v>1508251752</v>
      </c>
      <c r="C3408" t="s">
        <v>13396</v>
      </c>
      <c r="G3408" t="s">
        <v>2224</v>
      </c>
      <c r="H3408" t="s">
        <v>2225</v>
      </c>
      <c r="J3408" t="s">
        <v>2226</v>
      </c>
      <c r="K3408" t="s">
        <v>93</v>
      </c>
      <c r="L3408" t="s">
        <v>96</v>
      </c>
      <c r="M3408" t="s">
        <v>73</v>
      </c>
      <c r="R3408" t="s">
        <v>13397</v>
      </c>
      <c r="S3408" t="s">
        <v>11608</v>
      </c>
      <c r="T3408" t="s">
        <v>91</v>
      </c>
      <c r="U3408" t="s">
        <v>74</v>
      </c>
      <c r="V3408" t="str">
        <f>"100654870"</f>
        <v>100654870</v>
      </c>
      <c r="AC3408" t="s">
        <v>76</v>
      </c>
      <c r="AD3408" t="s">
        <v>73</v>
      </c>
      <c r="AE3408" t="s">
        <v>97</v>
      </c>
      <c r="AF3408" t="s">
        <v>2398</v>
      </c>
      <c r="AG3408" t="s">
        <v>78</v>
      </c>
    </row>
    <row r="3409" spans="1:33" hidden="1" x14ac:dyDescent="0.25">
      <c r="A3409" t="str">
        <f>"1295155216"</f>
        <v>1295155216</v>
      </c>
      <c r="C3409" t="s">
        <v>13398</v>
      </c>
      <c r="G3409" t="s">
        <v>2224</v>
      </c>
      <c r="H3409" t="s">
        <v>2225</v>
      </c>
      <c r="J3409" t="s">
        <v>2226</v>
      </c>
      <c r="K3409" t="s">
        <v>93</v>
      </c>
      <c r="L3409" t="s">
        <v>96</v>
      </c>
      <c r="M3409" t="s">
        <v>73</v>
      </c>
      <c r="R3409" t="s">
        <v>13399</v>
      </c>
      <c r="S3409" t="s">
        <v>410</v>
      </c>
      <c r="T3409" t="s">
        <v>91</v>
      </c>
      <c r="U3409" t="s">
        <v>74</v>
      </c>
      <c r="V3409" t="str">
        <f>"100321559"</f>
        <v>100321559</v>
      </c>
      <c r="AC3409" t="s">
        <v>76</v>
      </c>
      <c r="AD3409" t="s">
        <v>73</v>
      </c>
      <c r="AE3409" t="s">
        <v>97</v>
      </c>
      <c r="AF3409" t="s">
        <v>2254</v>
      </c>
      <c r="AG3409" t="s">
        <v>78</v>
      </c>
    </row>
    <row r="3410" spans="1:33" hidden="1" x14ac:dyDescent="0.25">
      <c r="A3410" t="str">
        <f>"1205255619"</f>
        <v>1205255619</v>
      </c>
      <c r="C3410" t="s">
        <v>13400</v>
      </c>
      <c r="G3410" t="s">
        <v>2224</v>
      </c>
      <c r="H3410" t="s">
        <v>2225</v>
      </c>
      <c r="J3410" t="s">
        <v>2226</v>
      </c>
      <c r="K3410" t="s">
        <v>93</v>
      </c>
      <c r="L3410" t="s">
        <v>96</v>
      </c>
      <c r="M3410" t="s">
        <v>73</v>
      </c>
      <c r="R3410" t="s">
        <v>13401</v>
      </c>
      <c r="S3410" t="s">
        <v>354</v>
      </c>
      <c r="T3410" t="s">
        <v>91</v>
      </c>
      <c r="U3410" t="s">
        <v>74</v>
      </c>
      <c r="V3410" t="str">
        <f>"100323725"</f>
        <v>100323725</v>
      </c>
      <c r="AC3410" t="s">
        <v>76</v>
      </c>
      <c r="AD3410" t="s">
        <v>73</v>
      </c>
      <c r="AE3410" t="s">
        <v>97</v>
      </c>
      <c r="AF3410" t="s">
        <v>2254</v>
      </c>
      <c r="AG3410" t="s">
        <v>78</v>
      </c>
    </row>
    <row r="3411" spans="1:33" hidden="1" x14ac:dyDescent="0.25">
      <c r="A3411" t="str">
        <f>"1730574252"</f>
        <v>1730574252</v>
      </c>
      <c r="C3411" t="s">
        <v>13402</v>
      </c>
      <c r="G3411" t="s">
        <v>2224</v>
      </c>
      <c r="H3411" t="s">
        <v>2225</v>
      </c>
      <c r="J3411" t="s">
        <v>2226</v>
      </c>
      <c r="K3411" t="s">
        <v>93</v>
      </c>
      <c r="L3411" t="s">
        <v>96</v>
      </c>
      <c r="M3411" t="s">
        <v>73</v>
      </c>
      <c r="R3411" t="s">
        <v>13403</v>
      </c>
      <c r="S3411" t="s">
        <v>167</v>
      </c>
      <c r="T3411" t="s">
        <v>91</v>
      </c>
      <c r="U3411" t="s">
        <v>74</v>
      </c>
      <c r="V3411" t="str">
        <f>"100323720"</f>
        <v>100323720</v>
      </c>
      <c r="AC3411" t="s">
        <v>76</v>
      </c>
      <c r="AD3411" t="s">
        <v>73</v>
      </c>
      <c r="AE3411" t="s">
        <v>97</v>
      </c>
      <c r="AF3411" t="s">
        <v>2254</v>
      </c>
      <c r="AG3411" t="s">
        <v>78</v>
      </c>
    </row>
    <row r="3412" spans="1:33" hidden="1" x14ac:dyDescent="0.25">
      <c r="A3412" t="str">
        <f>"1861888018"</f>
        <v>1861888018</v>
      </c>
      <c r="C3412" t="s">
        <v>13404</v>
      </c>
      <c r="G3412" t="s">
        <v>2224</v>
      </c>
      <c r="H3412" t="s">
        <v>2225</v>
      </c>
      <c r="J3412" t="s">
        <v>2226</v>
      </c>
      <c r="K3412" t="s">
        <v>93</v>
      </c>
      <c r="L3412" t="s">
        <v>96</v>
      </c>
      <c r="M3412" t="s">
        <v>73</v>
      </c>
      <c r="R3412" t="s">
        <v>13405</v>
      </c>
      <c r="S3412" t="s">
        <v>2115</v>
      </c>
      <c r="T3412" t="s">
        <v>91</v>
      </c>
      <c r="U3412" t="s">
        <v>74</v>
      </c>
      <c r="V3412" t="str">
        <f>"100327104"</f>
        <v>100327104</v>
      </c>
      <c r="AC3412" t="s">
        <v>76</v>
      </c>
      <c r="AD3412" t="s">
        <v>73</v>
      </c>
      <c r="AE3412" t="s">
        <v>97</v>
      </c>
      <c r="AF3412" t="s">
        <v>2254</v>
      </c>
      <c r="AG3412" t="s">
        <v>78</v>
      </c>
    </row>
    <row r="3413" spans="1:33" hidden="1" x14ac:dyDescent="0.25">
      <c r="A3413" t="str">
        <f>"1144682568"</f>
        <v>1144682568</v>
      </c>
      <c r="C3413" t="s">
        <v>13406</v>
      </c>
      <c r="G3413" t="s">
        <v>2224</v>
      </c>
      <c r="H3413" t="s">
        <v>2225</v>
      </c>
      <c r="J3413" t="s">
        <v>2226</v>
      </c>
      <c r="K3413" t="s">
        <v>93</v>
      </c>
      <c r="L3413" t="s">
        <v>96</v>
      </c>
      <c r="M3413" t="s">
        <v>73</v>
      </c>
      <c r="R3413" t="s">
        <v>13407</v>
      </c>
      <c r="S3413" t="s">
        <v>628</v>
      </c>
      <c r="T3413" t="s">
        <v>91</v>
      </c>
      <c r="U3413" t="s">
        <v>74</v>
      </c>
      <c r="V3413" t="str">
        <f>"100214872"</f>
        <v>100214872</v>
      </c>
      <c r="AC3413" t="s">
        <v>76</v>
      </c>
      <c r="AD3413" t="s">
        <v>73</v>
      </c>
      <c r="AE3413" t="s">
        <v>97</v>
      </c>
      <c r="AF3413" t="s">
        <v>2398</v>
      </c>
      <c r="AG3413" t="s">
        <v>78</v>
      </c>
    </row>
    <row r="3414" spans="1:33" hidden="1" x14ac:dyDescent="0.25">
      <c r="A3414" t="str">
        <f>"1982023347"</f>
        <v>1982023347</v>
      </c>
      <c r="C3414" t="s">
        <v>13408</v>
      </c>
      <c r="G3414" t="s">
        <v>2224</v>
      </c>
      <c r="H3414" t="s">
        <v>2225</v>
      </c>
      <c r="J3414" t="s">
        <v>2226</v>
      </c>
      <c r="K3414" t="s">
        <v>93</v>
      </c>
      <c r="L3414" t="s">
        <v>96</v>
      </c>
      <c r="M3414" t="s">
        <v>73</v>
      </c>
      <c r="R3414" t="s">
        <v>13409</v>
      </c>
      <c r="S3414" t="s">
        <v>167</v>
      </c>
      <c r="T3414" t="s">
        <v>91</v>
      </c>
      <c r="U3414" t="s">
        <v>74</v>
      </c>
      <c r="V3414" t="str">
        <f>"100323720"</f>
        <v>100323720</v>
      </c>
      <c r="AC3414" t="s">
        <v>76</v>
      </c>
      <c r="AD3414" t="s">
        <v>73</v>
      </c>
      <c r="AE3414" t="s">
        <v>97</v>
      </c>
      <c r="AF3414" t="s">
        <v>2254</v>
      </c>
      <c r="AG3414" t="s">
        <v>78</v>
      </c>
    </row>
    <row r="3415" spans="1:33" hidden="1" x14ac:dyDescent="0.25">
      <c r="A3415" t="str">
        <f>"1487041455"</f>
        <v>1487041455</v>
      </c>
      <c r="C3415" t="s">
        <v>13410</v>
      </c>
      <c r="G3415" t="s">
        <v>2224</v>
      </c>
      <c r="H3415" t="s">
        <v>2225</v>
      </c>
      <c r="J3415" t="s">
        <v>2226</v>
      </c>
      <c r="K3415" t="s">
        <v>93</v>
      </c>
      <c r="L3415" t="s">
        <v>96</v>
      </c>
      <c r="M3415" t="s">
        <v>73</v>
      </c>
      <c r="R3415" t="s">
        <v>13411</v>
      </c>
      <c r="S3415" t="s">
        <v>13412</v>
      </c>
      <c r="T3415" t="s">
        <v>91</v>
      </c>
      <c r="U3415" t="s">
        <v>74</v>
      </c>
      <c r="V3415" t="str">
        <f>"100654870"</f>
        <v>100654870</v>
      </c>
      <c r="AC3415" t="s">
        <v>76</v>
      </c>
      <c r="AD3415" t="s">
        <v>73</v>
      </c>
      <c r="AE3415" t="s">
        <v>97</v>
      </c>
      <c r="AF3415" t="s">
        <v>2398</v>
      </c>
      <c r="AG3415" t="s">
        <v>78</v>
      </c>
    </row>
    <row r="3416" spans="1:33" hidden="1" x14ac:dyDescent="0.25">
      <c r="A3416" t="str">
        <f>"1609262120"</f>
        <v>1609262120</v>
      </c>
      <c r="C3416" t="s">
        <v>13413</v>
      </c>
      <c r="G3416" t="s">
        <v>2224</v>
      </c>
      <c r="H3416" t="s">
        <v>2225</v>
      </c>
      <c r="J3416" t="s">
        <v>2226</v>
      </c>
      <c r="K3416" t="s">
        <v>93</v>
      </c>
      <c r="L3416" t="s">
        <v>96</v>
      </c>
      <c r="M3416" t="s">
        <v>73</v>
      </c>
      <c r="R3416" t="s">
        <v>13414</v>
      </c>
      <c r="S3416" t="s">
        <v>13415</v>
      </c>
      <c r="T3416" t="s">
        <v>13416</v>
      </c>
      <c r="U3416" t="s">
        <v>590</v>
      </c>
      <c r="V3416" t="str">
        <f>"730724835"</f>
        <v>730724835</v>
      </c>
      <c r="AC3416" t="s">
        <v>76</v>
      </c>
      <c r="AD3416" t="s">
        <v>73</v>
      </c>
      <c r="AE3416" t="s">
        <v>97</v>
      </c>
      <c r="AF3416" t="s">
        <v>2398</v>
      </c>
      <c r="AG3416" t="s">
        <v>78</v>
      </c>
    </row>
    <row r="3417" spans="1:33" hidden="1" x14ac:dyDescent="0.25">
      <c r="A3417" t="str">
        <f>"1013335355"</f>
        <v>1013335355</v>
      </c>
      <c r="C3417" t="s">
        <v>13417</v>
      </c>
      <c r="G3417" t="s">
        <v>2224</v>
      </c>
      <c r="H3417" t="s">
        <v>2225</v>
      </c>
      <c r="J3417" t="s">
        <v>2226</v>
      </c>
      <c r="K3417" t="s">
        <v>93</v>
      </c>
      <c r="L3417" t="s">
        <v>96</v>
      </c>
      <c r="M3417" t="s">
        <v>73</v>
      </c>
      <c r="R3417" t="s">
        <v>13418</v>
      </c>
      <c r="S3417" t="s">
        <v>1444</v>
      </c>
      <c r="T3417" t="s">
        <v>91</v>
      </c>
      <c r="U3417" t="s">
        <v>74</v>
      </c>
      <c r="V3417" t="str">
        <f>"100323733"</f>
        <v>100323733</v>
      </c>
      <c r="AC3417" t="s">
        <v>76</v>
      </c>
      <c r="AD3417" t="s">
        <v>73</v>
      </c>
      <c r="AE3417" t="s">
        <v>97</v>
      </c>
      <c r="AF3417" t="s">
        <v>2254</v>
      </c>
      <c r="AG3417" t="s">
        <v>78</v>
      </c>
    </row>
    <row r="3418" spans="1:33" hidden="1" x14ac:dyDescent="0.25">
      <c r="A3418" t="str">
        <f>"1396164018"</f>
        <v>1396164018</v>
      </c>
      <c r="C3418" t="s">
        <v>13419</v>
      </c>
      <c r="G3418" t="s">
        <v>2224</v>
      </c>
      <c r="H3418" t="s">
        <v>2225</v>
      </c>
      <c r="J3418" t="s">
        <v>2226</v>
      </c>
      <c r="K3418" t="s">
        <v>93</v>
      </c>
      <c r="L3418" t="s">
        <v>96</v>
      </c>
      <c r="M3418" t="s">
        <v>73</v>
      </c>
      <c r="R3418" t="s">
        <v>13420</v>
      </c>
      <c r="S3418" t="s">
        <v>410</v>
      </c>
      <c r="T3418" t="s">
        <v>91</v>
      </c>
      <c r="U3418" t="s">
        <v>74</v>
      </c>
      <c r="V3418" t="str">
        <f>"100321559"</f>
        <v>100321559</v>
      </c>
      <c r="AC3418" t="s">
        <v>76</v>
      </c>
      <c r="AD3418" t="s">
        <v>73</v>
      </c>
      <c r="AE3418" t="s">
        <v>97</v>
      </c>
      <c r="AF3418" t="s">
        <v>2254</v>
      </c>
      <c r="AG3418" t="s">
        <v>78</v>
      </c>
    </row>
    <row r="3419" spans="1:33" hidden="1" x14ac:dyDescent="0.25">
      <c r="A3419" t="str">
        <f>"1497100440"</f>
        <v>1497100440</v>
      </c>
      <c r="C3419" t="s">
        <v>13421</v>
      </c>
      <c r="G3419" t="s">
        <v>2224</v>
      </c>
      <c r="H3419" t="s">
        <v>2225</v>
      </c>
      <c r="J3419" t="s">
        <v>2226</v>
      </c>
      <c r="K3419" t="s">
        <v>93</v>
      </c>
      <c r="L3419" t="s">
        <v>96</v>
      </c>
      <c r="M3419" t="s">
        <v>73</v>
      </c>
      <c r="R3419" t="s">
        <v>13422</v>
      </c>
      <c r="S3419" t="s">
        <v>410</v>
      </c>
      <c r="T3419" t="s">
        <v>91</v>
      </c>
      <c r="U3419" t="s">
        <v>74</v>
      </c>
      <c r="V3419" t="str">
        <f>"100321559"</f>
        <v>100321559</v>
      </c>
      <c r="AC3419" t="s">
        <v>76</v>
      </c>
      <c r="AD3419" t="s">
        <v>73</v>
      </c>
      <c r="AE3419" t="s">
        <v>97</v>
      </c>
      <c r="AF3419" t="s">
        <v>2254</v>
      </c>
      <c r="AG3419" t="s">
        <v>78</v>
      </c>
    </row>
    <row r="3420" spans="1:33" hidden="1" x14ac:dyDescent="0.25">
      <c r="A3420" t="str">
        <f>"1770947418"</f>
        <v>1770947418</v>
      </c>
      <c r="C3420" t="s">
        <v>13423</v>
      </c>
      <c r="G3420" t="s">
        <v>2224</v>
      </c>
      <c r="H3420" t="s">
        <v>2225</v>
      </c>
      <c r="J3420" t="s">
        <v>2226</v>
      </c>
      <c r="K3420" t="s">
        <v>93</v>
      </c>
      <c r="L3420" t="s">
        <v>96</v>
      </c>
      <c r="M3420" t="s">
        <v>73</v>
      </c>
      <c r="R3420" t="s">
        <v>13424</v>
      </c>
      <c r="S3420" t="s">
        <v>167</v>
      </c>
      <c r="T3420" t="s">
        <v>91</v>
      </c>
      <c r="U3420" t="s">
        <v>74</v>
      </c>
      <c r="V3420" t="str">
        <f>"100323720"</f>
        <v>100323720</v>
      </c>
      <c r="AC3420" t="s">
        <v>76</v>
      </c>
      <c r="AD3420" t="s">
        <v>73</v>
      </c>
      <c r="AE3420" t="s">
        <v>97</v>
      </c>
      <c r="AF3420" t="s">
        <v>2254</v>
      </c>
      <c r="AG3420" t="s">
        <v>78</v>
      </c>
    </row>
    <row r="3421" spans="1:33" hidden="1" x14ac:dyDescent="0.25">
      <c r="A3421" t="str">
        <f>"1912392747"</f>
        <v>1912392747</v>
      </c>
      <c r="C3421" t="s">
        <v>13425</v>
      </c>
      <c r="G3421" t="s">
        <v>2224</v>
      </c>
      <c r="H3421" t="s">
        <v>2225</v>
      </c>
      <c r="J3421" t="s">
        <v>2226</v>
      </c>
      <c r="K3421" t="s">
        <v>93</v>
      </c>
      <c r="L3421" t="s">
        <v>96</v>
      </c>
      <c r="M3421" t="s">
        <v>73</v>
      </c>
      <c r="R3421" t="s">
        <v>13426</v>
      </c>
      <c r="S3421" t="s">
        <v>410</v>
      </c>
      <c r="T3421" t="s">
        <v>91</v>
      </c>
      <c r="U3421" t="s">
        <v>74</v>
      </c>
      <c r="V3421" t="str">
        <f>"100321559"</f>
        <v>100321559</v>
      </c>
      <c r="AC3421" t="s">
        <v>76</v>
      </c>
      <c r="AD3421" t="s">
        <v>73</v>
      </c>
      <c r="AE3421" t="s">
        <v>97</v>
      </c>
      <c r="AF3421" t="s">
        <v>2254</v>
      </c>
      <c r="AG3421" t="s">
        <v>78</v>
      </c>
    </row>
    <row r="3422" spans="1:33" hidden="1" x14ac:dyDescent="0.25">
      <c r="A3422" t="str">
        <f>"1790139780"</f>
        <v>1790139780</v>
      </c>
      <c r="C3422" t="s">
        <v>13427</v>
      </c>
      <c r="G3422" t="s">
        <v>2224</v>
      </c>
      <c r="H3422" t="s">
        <v>2225</v>
      </c>
      <c r="J3422" t="s">
        <v>2226</v>
      </c>
      <c r="K3422" t="s">
        <v>93</v>
      </c>
      <c r="L3422" t="s">
        <v>96</v>
      </c>
      <c r="M3422" t="s">
        <v>73</v>
      </c>
      <c r="R3422" t="s">
        <v>13428</v>
      </c>
      <c r="S3422" t="s">
        <v>13429</v>
      </c>
      <c r="T3422" t="s">
        <v>1256</v>
      </c>
      <c r="U3422" t="s">
        <v>139</v>
      </c>
      <c r="V3422" t="str">
        <f>"076313046"</f>
        <v>076313046</v>
      </c>
      <c r="AC3422" t="s">
        <v>76</v>
      </c>
      <c r="AD3422" t="s">
        <v>73</v>
      </c>
      <c r="AE3422" t="s">
        <v>97</v>
      </c>
      <c r="AF3422" t="s">
        <v>2398</v>
      </c>
      <c r="AG3422" t="s">
        <v>78</v>
      </c>
    </row>
    <row r="3423" spans="1:33" hidden="1" x14ac:dyDescent="0.25">
      <c r="A3423" t="str">
        <f>"1104211358"</f>
        <v>1104211358</v>
      </c>
      <c r="C3423" t="s">
        <v>13430</v>
      </c>
      <c r="G3423" t="s">
        <v>2224</v>
      </c>
      <c r="H3423" t="s">
        <v>2225</v>
      </c>
      <c r="J3423" t="s">
        <v>2226</v>
      </c>
      <c r="K3423" t="s">
        <v>93</v>
      </c>
      <c r="L3423" t="s">
        <v>96</v>
      </c>
      <c r="M3423" t="s">
        <v>73</v>
      </c>
      <c r="R3423" t="s">
        <v>13431</v>
      </c>
      <c r="S3423" t="s">
        <v>13432</v>
      </c>
      <c r="T3423" t="s">
        <v>91</v>
      </c>
      <c r="U3423" t="s">
        <v>74</v>
      </c>
      <c r="V3423" t="str">
        <f>"100322604"</f>
        <v>100322604</v>
      </c>
      <c r="AC3423" t="s">
        <v>76</v>
      </c>
      <c r="AD3423" t="s">
        <v>73</v>
      </c>
      <c r="AE3423" t="s">
        <v>97</v>
      </c>
      <c r="AF3423" t="s">
        <v>2254</v>
      </c>
      <c r="AG3423" t="s">
        <v>78</v>
      </c>
    </row>
    <row r="3424" spans="1:33" hidden="1" x14ac:dyDescent="0.25">
      <c r="A3424" t="str">
        <f>"1225423288"</f>
        <v>1225423288</v>
      </c>
      <c r="C3424" t="s">
        <v>13433</v>
      </c>
      <c r="G3424" t="s">
        <v>2224</v>
      </c>
      <c r="H3424" t="s">
        <v>2225</v>
      </c>
      <c r="J3424" t="s">
        <v>2226</v>
      </c>
      <c r="K3424" t="s">
        <v>93</v>
      </c>
      <c r="L3424" t="s">
        <v>96</v>
      </c>
      <c r="M3424" t="s">
        <v>73</v>
      </c>
      <c r="R3424" t="s">
        <v>13434</v>
      </c>
      <c r="S3424" t="s">
        <v>12830</v>
      </c>
      <c r="T3424" t="s">
        <v>91</v>
      </c>
      <c r="U3424" t="s">
        <v>74</v>
      </c>
      <c r="V3424" t="str">
        <f>"100323720"</f>
        <v>100323720</v>
      </c>
      <c r="AC3424" t="s">
        <v>76</v>
      </c>
      <c r="AD3424" t="s">
        <v>73</v>
      </c>
      <c r="AE3424" t="s">
        <v>97</v>
      </c>
      <c r="AF3424" t="s">
        <v>2254</v>
      </c>
      <c r="AG3424" t="s">
        <v>78</v>
      </c>
    </row>
    <row r="3425" spans="1:33" hidden="1" x14ac:dyDescent="0.25">
      <c r="A3425" t="str">
        <f>"1285052613"</f>
        <v>1285052613</v>
      </c>
      <c r="C3425" t="s">
        <v>13435</v>
      </c>
      <c r="G3425" t="s">
        <v>2224</v>
      </c>
      <c r="H3425" t="s">
        <v>2225</v>
      </c>
      <c r="J3425" t="s">
        <v>2226</v>
      </c>
      <c r="K3425" t="s">
        <v>93</v>
      </c>
      <c r="L3425" t="s">
        <v>96</v>
      </c>
      <c r="M3425" t="s">
        <v>73</v>
      </c>
      <c r="R3425" t="s">
        <v>13436</v>
      </c>
      <c r="S3425" t="s">
        <v>13437</v>
      </c>
      <c r="T3425" t="s">
        <v>91</v>
      </c>
      <c r="U3425" t="s">
        <v>74</v>
      </c>
      <c r="V3425" t="str">
        <f>"100323733"</f>
        <v>100323733</v>
      </c>
      <c r="AC3425" t="s">
        <v>76</v>
      </c>
      <c r="AD3425" t="s">
        <v>73</v>
      </c>
      <c r="AE3425" t="s">
        <v>97</v>
      </c>
      <c r="AF3425" t="s">
        <v>2254</v>
      </c>
      <c r="AG3425" t="s">
        <v>78</v>
      </c>
    </row>
    <row r="3426" spans="1:33" hidden="1" x14ac:dyDescent="0.25">
      <c r="A3426" t="str">
        <f>"1285029678"</f>
        <v>1285029678</v>
      </c>
      <c r="C3426" t="s">
        <v>13438</v>
      </c>
      <c r="G3426" t="s">
        <v>2224</v>
      </c>
      <c r="H3426" t="s">
        <v>2225</v>
      </c>
      <c r="J3426" t="s">
        <v>2226</v>
      </c>
      <c r="K3426" t="s">
        <v>93</v>
      </c>
      <c r="L3426" t="s">
        <v>96</v>
      </c>
      <c r="M3426" t="s">
        <v>73</v>
      </c>
      <c r="R3426" t="s">
        <v>13439</v>
      </c>
      <c r="S3426" t="s">
        <v>13048</v>
      </c>
      <c r="T3426" t="s">
        <v>91</v>
      </c>
      <c r="U3426" t="s">
        <v>74</v>
      </c>
      <c r="V3426" t="str">
        <f>"100323720"</f>
        <v>100323720</v>
      </c>
      <c r="AC3426" t="s">
        <v>76</v>
      </c>
      <c r="AD3426" t="s">
        <v>73</v>
      </c>
      <c r="AE3426" t="s">
        <v>97</v>
      </c>
      <c r="AF3426" t="s">
        <v>2254</v>
      </c>
      <c r="AG3426" t="s">
        <v>78</v>
      </c>
    </row>
    <row r="3427" spans="1:33" hidden="1" x14ac:dyDescent="0.25">
      <c r="A3427" t="str">
        <f>"1750776225"</f>
        <v>1750776225</v>
      </c>
      <c r="C3427" t="s">
        <v>13440</v>
      </c>
      <c r="G3427" t="s">
        <v>2224</v>
      </c>
      <c r="H3427" t="s">
        <v>2225</v>
      </c>
      <c r="J3427" t="s">
        <v>2226</v>
      </c>
      <c r="K3427" t="s">
        <v>93</v>
      </c>
      <c r="L3427" t="s">
        <v>96</v>
      </c>
      <c r="M3427" t="s">
        <v>73</v>
      </c>
      <c r="R3427" t="s">
        <v>13441</v>
      </c>
      <c r="S3427" t="s">
        <v>13048</v>
      </c>
      <c r="T3427" t="s">
        <v>91</v>
      </c>
      <c r="U3427" t="s">
        <v>74</v>
      </c>
      <c r="V3427" t="str">
        <f>"100323720"</f>
        <v>100323720</v>
      </c>
      <c r="AC3427" t="s">
        <v>76</v>
      </c>
      <c r="AD3427" t="s">
        <v>73</v>
      </c>
      <c r="AE3427" t="s">
        <v>97</v>
      </c>
      <c r="AF3427" t="s">
        <v>2254</v>
      </c>
      <c r="AG3427" t="s">
        <v>78</v>
      </c>
    </row>
    <row r="3428" spans="1:33" hidden="1" x14ac:dyDescent="0.25">
      <c r="A3428" t="str">
        <f>"1699161075"</f>
        <v>1699161075</v>
      </c>
      <c r="C3428" t="s">
        <v>13442</v>
      </c>
      <c r="G3428" t="s">
        <v>2224</v>
      </c>
      <c r="H3428" t="s">
        <v>2225</v>
      </c>
      <c r="J3428" t="s">
        <v>2226</v>
      </c>
      <c r="K3428" t="s">
        <v>93</v>
      </c>
      <c r="L3428" t="s">
        <v>96</v>
      </c>
      <c r="M3428" t="s">
        <v>73</v>
      </c>
      <c r="R3428" t="s">
        <v>13443</v>
      </c>
      <c r="S3428" t="s">
        <v>13048</v>
      </c>
      <c r="T3428" t="s">
        <v>91</v>
      </c>
      <c r="U3428" t="s">
        <v>74</v>
      </c>
      <c r="V3428" t="str">
        <f>"100323720"</f>
        <v>100323720</v>
      </c>
      <c r="AC3428" t="s">
        <v>76</v>
      </c>
      <c r="AD3428" t="s">
        <v>73</v>
      </c>
      <c r="AE3428" t="s">
        <v>97</v>
      </c>
      <c r="AF3428" t="s">
        <v>2254</v>
      </c>
      <c r="AG3428" t="s">
        <v>78</v>
      </c>
    </row>
    <row r="3429" spans="1:33" hidden="1" x14ac:dyDescent="0.25">
      <c r="A3429" t="str">
        <f>"1700205879"</f>
        <v>1700205879</v>
      </c>
      <c r="C3429" t="s">
        <v>13444</v>
      </c>
      <c r="G3429" t="s">
        <v>2224</v>
      </c>
      <c r="H3429" t="s">
        <v>2225</v>
      </c>
      <c r="J3429" t="s">
        <v>2226</v>
      </c>
      <c r="K3429" t="s">
        <v>93</v>
      </c>
      <c r="L3429" t="s">
        <v>96</v>
      </c>
      <c r="M3429" t="s">
        <v>73</v>
      </c>
      <c r="R3429" t="s">
        <v>13445</v>
      </c>
      <c r="S3429" t="s">
        <v>13446</v>
      </c>
      <c r="T3429" t="s">
        <v>13447</v>
      </c>
      <c r="U3429" t="s">
        <v>1186</v>
      </c>
      <c r="V3429" t="str">
        <f>"300587855"</f>
        <v>300587855</v>
      </c>
      <c r="AC3429" t="s">
        <v>76</v>
      </c>
      <c r="AD3429" t="s">
        <v>73</v>
      </c>
      <c r="AE3429" t="s">
        <v>97</v>
      </c>
      <c r="AF3429" t="s">
        <v>2254</v>
      </c>
      <c r="AG3429" t="s">
        <v>78</v>
      </c>
    </row>
    <row r="3430" spans="1:33" hidden="1" x14ac:dyDescent="0.25">
      <c r="A3430" t="str">
        <f>"1003159401"</f>
        <v>1003159401</v>
      </c>
      <c r="C3430" t="s">
        <v>13448</v>
      </c>
      <c r="G3430" t="s">
        <v>2224</v>
      </c>
      <c r="H3430" t="s">
        <v>2225</v>
      </c>
      <c r="J3430" t="s">
        <v>2226</v>
      </c>
      <c r="K3430" t="s">
        <v>93</v>
      </c>
      <c r="L3430" t="s">
        <v>96</v>
      </c>
      <c r="M3430" t="s">
        <v>73</v>
      </c>
      <c r="R3430" t="s">
        <v>13449</v>
      </c>
      <c r="S3430" t="s">
        <v>13450</v>
      </c>
      <c r="T3430" t="s">
        <v>91</v>
      </c>
      <c r="U3430" t="s">
        <v>74</v>
      </c>
      <c r="V3430" t="str">
        <f>"100323720"</f>
        <v>100323720</v>
      </c>
      <c r="AC3430" t="s">
        <v>76</v>
      </c>
      <c r="AD3430" t="s">
        <v>73</v>
      </c>
      <c r="AE3430" t="s">
        <v>97</v>
      </c>
      <c r="AF3430" t="s">
        <v>2254</v>
      </c>
      <c r="AG3430" t="s">
        <v>78</v>
      </c>
    </row>
    <row r="3431" spans="1:33" hidden="1" x14ac:dyDescent="0.25">
      <c r="A3431" t="str">
        <f>"1518386796"</f>
        <v>1518386796</v>
      </c>
      <c r="C3431" t="s">
        <v>13451</v>
      </c>
      <c r="G3431" t="s">
        <v>2224</v>
      </c>
      <c r="H3431" t="s">
        <v>2225</v>
      </c>
      <c r="J3431" t="s">
        <v>2226</v>
      </c>
      <c r="K3431" t="s">
        <v>93</v>
      </c>
      <c r="L3431" t="s">
        <v>96</v>
      </c>
      <c r="M3431" t="s">
        <v>73</v>
      </c>
      <c r="R3431" t="s">
        <v>13452</v>
      </c>
      <c r="S3431" t="s">
        <v>13453</v>
      </c>
      <c r="T3431" t="s">
        <v>91</v>
      </c>
      <c r="U3431" t="s">
        <v>74</v>
      </c>
      <c r="V3431" t="str">
        <f>"10032"</f>
        <v>10032</v>
      </c>
      <c r="AC3431" t="s">
        <v>76</v>
      </c>
      <c r="AD3431" t="s">
        <v>73</v>
      </c>
      <c r="AE3431" t="s">
        <v>97</v>
      </c>
      <c r="AF3431" t="s">
        <v>2254</v>
      </c>
      <c r="AG3431" t="s">
        <v>78</v>
      </c>
    </row>
    <row r="3432" spans="1:33" hidden="1" x14ac:dyDescent="0.25">
      <c r="A3432" t="str">
        <f>"1770946634"</f>
        <v>1770946634</v>
      </c>
      <c r="C3432" t="s">
        <v>13454</v>
      </c>
      <c r="G3432" t="s">
        <v>2224</v>
      </c>
      <c r="H3432" t="s">
        <v>2225</v>
      </c>
      <c r="J3432" t="s">
        <v>2226</v>
      </c>
      <c r="K3432" t="s">
        <v>93</v>
      </c>
      <c r="L3432" t="s">
        <v>96</v>
      </c>
      <c r="M3432" t="s">
        <v>73</v>
      </c>
      <c r="R3432" t="s">
        <v>13455</v>
      </c>
      <c r="S3432" t="s">
        <v>167</v>
      </c>
      <c r="T3432" t="s">
        <v>91</v>
      </c>
      <c r="U3432" t="s">
        <v>74</v>
      </c>
      <c r="V3432" t="str">
        <f>"100323720"</f>
        <v>100323720</v>
      </c>
      <c r="AC3432" t="s">
        <v>76</v>
      </c>
      <c r="AD3432" t="s">
        <v>73</v>
      </c>
      <c r="AE3432" t="s">
        <v>97</v>
      </c>
      <c r="AF3432" t="s">
        <v>2254</v>
      </c>
      <c r="AG3432" t="s">
        <v>78</v>
      </c>
    </row>
    <row r="3433" spans="1:33" hidden="1" x14ac:dyDescent="0.25">
      <c r="A3433" t="str">
        <f>"1275928657"</f>
        <v>1275928657</v>
      </c>
      <c r="C3433" t="s">
        <v>13456</v>
      </c>
      <c r="G3433" t="s">
        <v>2224</v>
      </c>
      <c r="H3433" t="s">
        <v>2225</v>
      </c>
      <c r="J3433" t="s">
        <v>2226</v>
      </c>
      <c r="K3433" t="s">
        <v>93</v>
      </c>
      <c r="L3433" t="s">
        <v>96</v>
      </c>
      <c r="M3433" t="s">
        <v>73</v>
      </c>
      <c r="R3433" t="s">
        <v>13457</v>
      </c>
      <c r="S3433" t="s">
        <v>12830</v>
      </c>
      <c r="T3433" t="s">
        <v>91</v>
      </c>
      <c r="U3433" t="s">
        <v>74</v>
      </c>
      <c r="V3433" t="str">
        <f>"100323720"</f>
        <v>100323720</v>
      </c>
      <c r="AC3433" t="s">
        <v>76</v>
      </c>
      <c r="AD3433" t="s">
        <v>73</v>
      </c>
      <c r="AE3433" t="s">
        <v>97</v>
      </c>
      <c r="AF3433" t="s">
        <v>2254</v>
      </c>
      <c r="AG3433" t="s">
        <v>78</v>
      </c>
    </row>
    <row r="3434" spans="1:33" hidden="1" x14ac:dyDescent="0.25">
      <c r="A3434" t="str">
        <f>"1942629548"</f>
        <v>1942629548</v>
      </c>
      <c r="C3434" t="s">
        <v>13458</v>
      </c>
      <c r="G3434" t="s">
        <v>2224</v>
      </c>
      <c r="H3434" t="s">
        <v>2225</v>
      </c>
      <c r="J3434" t="s">
        <v>2226</v>
      </c>
      <c r="K3434" t="s">
        <v>93</v>
      </c>
      <c r="L3434" t="s">
        <v>96</v>
      </c>
      <c r="M3434" t="s">
        <v>73</v>
      </c>
      <c r="R3434" t="s">
        <v>13459</v>
      </c>
      <c r="S3434" t="s">
        <v>1373</v>
      </c>
      <c r="T3434" t="s">
        <v>91</v>
      </c>
      <c r="U3434" t="s">
        <v>74</v>
      </c>
      <c r="V3434" t="str">
        <f>"100323727"</f>
        <v>100323727</v>
      </c>
      <c r="AC3434" t="s">
        <v>76</v>
      </c>
      <c r="AD3434" t="s">
        <v>73</v>
      </c>
      <c r="AE3434" t="s">
        <v>97</v>
      </c>
      <c r="AF3434" t="s">
        <v>2254</v>
      </c>
      <c r="AG3434" t="s">
        <v>78</v>
      </c>
    </row>
    <row r="3435" spans="1:33" hidden="1" x14ac:dyDescent="0.25">
      <c r="A3435" t="str">
        <f>"1205221603"</f>
        <v>1205221603</v>
      </c>
      <c r="C3435" t="s">
        <v>13460</v>
      </c>
      <c r="G3435" t="s">
        <v>2224</v>
      </c>
      <c r="H3435" t="s">
        <v>2225</v>
      </c>
      <c r="J3435" t="s">
        <v>2226</v>
      </c>
      <c r="K3435" t="s">
        <v>93</v>
      </c>
      <c r="L3435" t="s">
        <v>96</v>
      </c>
      <c r="M3435" t="s">
        <v>73</v>
      </c>
      <c r="R3435" t="s">
        <v>13461</v>
      </c>
      <c r="S3435" t="s">
        <v>1444</v>
      </c>
      <c r="T3435" t="s">
        <v>91</v>
      </c>
      <c r="U3435" t="s">
        <v>74</v>
      </c>
      <c r="V3435" t="str">
        <f>"100323733"</f>
        <v>100323733</v>
      </c>
      <c r="AC3435" t="s">
        <v>76</v>
      </c>
      <c r="AD3435" t="s">
        <v>73</v>
      </c>
      <c r="AE3435" t="s">
        <v>97</v>
      </c>
      <c r="AF3435" t="s">
        <v>2254</v>
      </c>
      <c r="AG3435" t="s">
        <v>78</v>
      </c>
    </row>
    <row r="3436" spans="1:33" hidden="1" x14ac:dyDescent="0.25">
      <c r="A3436" t="str">
        <f>"1679968036"</f>
        <v>1679968036</v>
      </c>
      <c r="C3436" t="s">
        <v>13462</v>
      </c>
      <c r="G3436" t="s">
        <v>2224</v>
      </c>
      <c r="H3436" t="s">
        <v>2225</v>
      </c>
      <c r="J3436" t="s">
        <v>2226</v>
      </c>
      <c r="K3436" t="s">
        <v>93</v>
      </c>
      <c r="L3436" t="s">
        <v>96</v>
      </c>
      <c r="M3436" t="s">
        <v>73</v>
      </c>
      <c r="R3436" t="s">
        <v>13463</v>
      </c>
      <c r="S3436" t="s">
        <v>410</v>
      </c>
      <c r="T3436" t="s">
        <v>91</v>
      </c>
      <c r="U3436" t="s">
        <v>74</v>
      </c>
      <c r="V3436" t="str">
        <f>"100321559"</f>
        <v>100321559</v>
      </c>
      <c r="AC3436" t="s">
        <v>76</v>
      </c>
      <c r="AD3436" t="s">
        <v>73</v>
      </c>
      <c r="AE3436" t="s">
        <v>97</v>
      </c>
      <c r="AF3436" t="s">
        <v>2254</v>
      </c>
      <c r="AG3436" t="s">
        <v>78</v>
      </c>
    </row>
    <row r="3437" spans="1:33" hidden="1" x14ac:dyDescent="0.25">
      <c r="A3437" t="str">
        <f>"1528454642"</f>
        <v>1528454642</v>
      </c>
      <c r="C3437" t="s">
        <v>13464</v>
      </c>
      <c r="G3437" t="s">
        <v>2224</v>
      </c>
      <c r="H3437" t="s">
        <v>2225</v>
      </c>
      <c r="J3437" t="s">
        <v>2226</v>
      </c>
      <c r="K3437" t="s">
        <v>93</v>
      </c>
      <c r="L3437" t="s">
        <v>96</v>
      </c>
      <c r="M3437" t="s">
        <v>73</v>
      </c>
      <c r="R3437" t="s">
        <v>13465</v>
      </c>
      <c r="S3437" t="s">
        <v>13466</v>
      </c>
      <c r="T3437" t="s">
        <v>91</v>
      </c>
      <c r="U3437" t="s">
        <v>74</v>
      </c>
      <c r="V3437" t="str">
        <f>"100654870"</f>
        <v>100654870</v>
      </c>
      <c r="AC3437" t="s">
        <v>76</v>
      </c>
      <c r="AD3437" t="s">
        <v>73</v>
      </c>
      <c r="AE3437" t="s">
        <v>97</v>
      </c>
      <c r="AF3437" t="s">
        <v>2398</v>
      </c>
      <c r="AG3437" t="s">
        <v>78</v>
      </c>
    </row>
    <row r="3438" spans="1:33" hidden="1" x14ac:dyDescent="0.25">
      <c r="A3438" t="str">
        <f>"1013302744"</f>
        <v>1013302744</v>
      </c>
      <c r="C3438" t="s">
        <v>13467</v>
      </c>
      <c r="G3438" t="s">
        <v>2224</v>
      </c>
      <c r="H3438" t="s">
        <v>2225</v>
      </c>
      <c r="J3438" t="s">
        <v>2226</v>
      </c>
      <c r="K3438" t="s">
        <v>93</v>
      </c>
      <c r="L3438" t="s">
        <v>96</v>
      </c>
      <c r="M3438" t="s">
        <v>73</v>
      </c>
      <c r="R3438" t="s">
        <v>13468</v>
      </c>
      <c r="S3438" t="s">
        <v>410</v>
      </c>
      <c r="T3438" t="s">
        <v>91</v>
      </c>
      <c r="U3438" t="s">
        <v>74</v>
      </c>
      <c r="V3438" t="str">
        <f>"100321559"</f>
        <v>100321559</v>
      </c>
      <c r="AC3438" t="s">
        <v>76</v>
      </c>
      <c r="AD3438" t="s">
        <v>73</v>
      </c>
      <c r="AE3438" t="s">
        <v>97</v>
      </c>
      <c r="AF3438" t="s">
        <v>2254</v>
      </c>
      <c r="AG3438" t="s">
        <v>78</v>
      </c>
    </row>
    <row r="3439" spans="1:33" hidden="1" x14ac:dyDescent="0.25">
      <c r="A3439" t="str">
        <f>"1306233622"</f>
        <v>1306233622</v>
      </c>
      <c r="C3439" t="s">
        <v>13469</v>
      </c>
      <c r="G3439" t="s">
        <v>2224</v>
      </c>
      <c r="H3439" t="s">
        <v>2225</v>
      </c>
      <c r="J3439" t="s">
        <v>2226</v>
      </c>
      <c r="K3439" t="s">
        <v>93</v>
      </c>
      <c r="L3439" t="s">
        <v>96</v>
      </c>
      <c r="M3439" t="s">
        <v>73</v>
      </c>
      <c r="R3439" t="s">
        <v>13470</v>
      </c>
      <c r="S3439" t="s">
        <v>13471</v>
      </c>
      <c r="T3439" t="s">
        <v>91</v>
      </c>
      <c r="U3439" t="s">
        <v>74</v>
      </c>
      <c r="V3439" t="str">
        <f>"100323702"</f>
        <v>100323702</v>
      </c>
      <c r="AC3439" t="s">
        <v>76</v>
      </c>
      <c r="AD3439" t="s">
        <v>73</v>
      </c>
      <c r="AE3439" t="s">
        <v>97</v>
      </c>
      <c r="AF3439" t="s">
        <v>2254</v>
      </c>
      <c r="AG3439" t="s">
        <v>78</v>
      </c>
    </row>
    <row r="3440" spans="1:33" hidden="1" x14ac:dyDescent="0.25">
      <c r="A3440" t="str">
        <f>"1265895825"</f>
        <v>1265895825</v>
      </c>
      <c r="C3440" t="s">
        <v>13472</v>
      </c>
      <c r="G3440" t="s">
        <v>2224</v>
      </c>
      <c r="H3440" t="s">
        <v>2225</v>
      </c>
      <c r="J3440" t="s">
        <v>2226</v>
      </c>
      <c r="K3440" t="s">
        <v>93</v>
      </c>
      <c r="L3440" t="s">
        <v>96</v>
      </c>
      <c r="M3440" t="s">
        <v>73</v>
      </c>
      <c r="R3440" t="s">
        <v>13473</v>
      </c>
      <c r="S3440" t="s">
        <v>167</v>
      </c>
      <c r="T3440" t="s">
        <v>91</v>
      </c>
      <c r="U3440" t="s">
        <v>74</v>
      </c>
      <c r="V3440" t="str">
        <f>"100323720"</f>
        <v>100323720</v>
      </c>
      <c r="AC3440" t="s">
        <v>76</v>
      </c>
      <c r="AD3440" t="s">
        <v>73</v>
      </c>
      <c r="AE3440" t="s">
        <v>97</v>
      </c>
      <c r="AF3440" t="s">
        <v>2254</v>
      </c>
      <c r="AG3440" t="s">
        <v>78</v>
      </c>
    </row>
    <row r="3441" spans="1:33" hidden="1" x14ac:dyDescent="0.25">
      <c r="A3441" t="str">
        <f>"1841653284"</f>
        <v>1841653284</v>
      </c>
      <c r="C3441" t="s">
        <v>13474</v>
      </c>
      <c r="G3441" t="s">
        <v>2224</v>
      </c>
      <c r="H3441" t="s">
        <v>2225</v>
      </c>
      <c r="J3441" t="s">
        <v>2226</v>
      </c>
      <c r="K3441" t="s">
        <v>93</v>
      </c>
      <c r="L3441" t="s">
        <v>96</v>
      </c>
      <c r="M3441" t="s">
        <v>73</v>
      </c>
      <c r="R3441" t="s">
        <v>13475</v>
      </c>
      <c r="S3441" t="s">
        <v>167</v>
      </c>
      <c r="T3441" t="s">
        <v>91</v>
      </c>
      <c r="U3441" t="s">
        <v>74</v>
      </c>
      <c r="V3441" t="str">
        <f>"100323720"</f>
        <v>100323720</v>
      </c>
      <c r="AC3441" t="s">
        <v>76</v>
      </c>
      <c r="AD3441" t="s">
        <v>73</v>
      </c>
      <c r="AE3441" t="s">
        <v>97</v>
      </c>
      <c r="AF3441" t="s">
        <v>2254</v>
      </c>
      <c r="AG3441" t="s">
        <v>78</v>
      </c>
    </row>
    <row r="3442" spans="1:33" hidden="1" x14ac:dyDescent="0.25">
      <c r="A3442" t="str">
        <f>"1619362159"</f>
        <v>1619362159</v>
      </c>
      <c r="C3442" t="s">
        <v>13476</v>
      </c>
      <c r="G3442" t="s">
        <v>2224</v>
      </c>
      <c r="H3442" t="s">
        <v>2225</v>
      </c>
      <c r="J3442" t="s">
        <v>2226</v>
      </c>
      <c r="K3442" t="s">
        <v>93</v>
      </c>
      <c r="L3442" t="s">
        <v>96</v>
      </c>
      <c r="M3442" t="s">
        <v>73</v>
      </c>
      <c r="R3442" t="s">
        <v>13477</v>
      </c>
      <c r="S3442" t="s">
        <v>13048</v>
      </c>
      <c r="T3442" t="s">
        <v>91</v>
      </c>
      <c r="U3442" t="s">
        <v>74</v>
      </c>
      <c r="V3442" t="str">
        <f>"100323720"</f>
        <v>100323720</v>
      </c>
      <c r="AC3442" t="s">
        <v>76</v>
      </c>
      <c r="AD3442" t="s">
        <v>73</v>
      </c>
      <c r="AE3442" t="s">
        <v>97</v>
      </c>
      <c r="AF3442" t="s">
        <v>2254</v>
      </c>
      <c r="AG3442" t="s">
        <v>78</v>
      </c>
    </row>
    <row r="3443" spans="1:33" hidden="1" x14ac:dyDescent="0.25">
      <c r="A3443" t="str">
        <f>"1942610043"</f>
        <v>1942610043</v>
      </c>
      <c r="C3443" t="s">
        <v>13478</v>
      </c>
      <c r="G3443" t="s">
        <v>2224</v>
      </c>
      <c r="H3443" t="s">
        <v>2225</v>
      </c>
      <c r="J3443" t="s">
        <v>2226</v>
      </c>
      <c r="K3443" t="s">
        <v>93</v>
      </c>
      <c r="L3443" t="s">
        <v>96</v>
      </c>
      <c r="M3443" t="s">
        <v>73</v>
      </c>
      <c r="R3443" t="s">
        <v>13479</v>
      </c>
      <c r="S3443" t="s">
        <v>170</v>
      </c>
      <c r="T3443" t="s">
        <v>91</v>
      </c>
      <c r="U3443" t="s">
        <v>74</v>
      </c>
      <c r="V3443" t="str">
        <f>"100654870"</f>
        <v>100654870</v>
      </c>
      <c r="AC3443" t="s">
        <v>76</v>
      </c>
      <c r="AD3443" t="s">
        <v>73</v>
      </c>
      <c r="AE3443" t="s">
        <v>97</v>
      </c>
      <c r="AF3443" t="s">
        <v>2398</v>
      </c>
      <c r="AG3443" t="s">
        <v>78</v>
      </c>
    </row>
    <row r="3444" spans="1:33" hidden="1" x14ac:dyDescent="0.25">
      <c r="A3444" t="str">
        <f>"1558756940"</f>
        <v>1558756940</v>
      </c>
      <c r="C3444" t="s">
        <v>13480</v>
      </c>
      <c r="G3444" t="s">
        <v>2224</v>
      </c>
      <c r="H3444" t="s">
        <v>2225</v>
      </c>
      <c r="J3444" t="s">
        <v>2226</v>
      </c>
      <c r="K3444" t="s">
        <v>93</v>
      </c>
      <c r="L3444" t="s">
        <v>96</v>
      </c>
      <c r="M3444" t="s">
        <v>73</v>
      </c>
      <c r="R3444" t="s">
        <v>13481</v>
      </c>
      <c r="S3444" t="s">
        <v>12830</v>
      </c>
      <c r="T3444" t="s">
        <v>91</v>
      </c>
      <c r="U3444" t="s">
        <v>74</v>
      </c>
      <c r="V3444" t="str">
        <f>"100323720"</f>
        <v>100323720</v>
      </c>
      <c r="AC3444" t="s">
        <v>76</v>
      </c>
      <c r="AD3444" t="s">
        <v>73</v>
      </c>
      <c r="AE3444" t="s">
        <v>97</v>
      </c>
      <c r="AF3444" t="s">
        <v>2254</v>
      </c>
      <c r="AG3444" t="s">
        <v>78</v>
      </c>
    </row>
    <row r="3445" spans="1:33" hidden="1" x14ac:dyDescent="0.25">
      <c r="A3445" t="str">
        <f>"1922461375"</f>
        <v>1922461375</v>
      </c>
      <c r="C3445" t="s">
        <v>13482</v>
      </c>
      <c r="G3445" t="s">
        <v>2224</v>
      </c>
      <c r="H3445" t="s">
        <v>2225</v>
      </c>
      <c r="J3445" t="s">
        <v>2226</v>
      </c>
      <c r="K3445" t="s">
        <v>93</v>
      </c>
      <c r="L3445" t="s">
        <v>96</v>
      </c>
      <c r="M3445" t="s">
        <v>73</v>
      </c>
      <c r="R3445" t="s">
        <v>13483</v>
      </c>
      <c r="S3445" t="s">
        <v>7459</v>
      </c>
      <c r="T3445" t="s">
        <v>91</v>
      </c>
      <c r="U3445" t="s">
        <v>74</v>
      </c>
      <c r="V3445" t="str">
        <f>"100214872"</f>
        <v>100214872</v>
      </c>
      <c r="AC3445" t="s">
        <v>76</v>
      </c>
      <c r="AD3445" t="s">
        <v>73</v>
      </c>
      <c r="AE3445" t="s">
        <v>97</v>
      </c>
      <c r="AF3445" t="s">
        <v>2398</v>
      </c>
      <c r="AG3445" t="s">
        <v>78</v>
      </c>
    </row>
    <row r="3446" spans="1:33" hidden="1" x14ac:dyDescent="0.25">
      <c r="A3446" t="str">
        <f>"1689037301"</f>
        <v>1689037301</v>
      </c>
      <c r="C3446" t="s">
        <v>13484</v>
      </c>
      <c r="G3446" t="s">
        <v>2224</v>
      </c>
      <c r="H3446" t="s">
        <v>2225</v>
      </c>
      <c r="J3446" t="s">
        <v>2226</v>
      </c>
      <c r="K3446" t="s">
        <v>93</v>
      </c>
      <c r="L3446" t="s">
        <v>96</v>
      </c>
      <c r="M3446" t="s">
        <v>73</v>
      </c>
      <c r="R3446" t="s">
        <v>13485</v>
      </c>
      <c r="S3446" t="s">
        <v>167</v>
      </c>
      <c r="T3446" t="s">
        <v>91</v>
      </c>
      <c r="U3446" t="s">
        <v>74</v>
      </c>
      <c r="V3446" t="str">
        <f>"100323720"</f>
        <v>100323720</v>
      </c>
      <c r="AC3446" t="s">
        <v>76</v>
      </c>
      <c r="AD3446" t="s">
        <v>73</v>
      </c>
      <c r="AE3446" t="s">
        <v>97</v>
      </c>
      <c r="AF3446" t="s">
        <v>2254</v>
      </c>
      <c r="AG3446" t="s">
        <v>78</v>
      </c>
    </row>
    <row r="3447" spans="1:33" hidden="1" x14ac:dyDescent="0.25">
      <c r="A3447" t="str">
        <f>"1962822288"</f>
        <v>1962822288</v>
      </c>
      <c r="C3447" t="s">
        <v>13486</v>
      </c>
      <c r="G3447" t="s">
        <v>2224</v>
      </c>
      <c r="H3447" t="s">
        <v>2225</v>
      </c>
      <c r="J3447" t="s">
        <v>2226</v>
      </c>
      <c r="K3447" t="s">
        <v>93</v>
      </c>
      <c r="L3447" t="s">
        <v>96</v>
      </c>
      <c r="M3447" t="s">
        <v>73</v>
      </c>
      <c r="R3447" t="s">
        <v>13487</v>
      </c>
      <c r="S3447" t="s">
        <v>13488</v>
      </c>
      <c r="T3447" t="s">
        <v>91</v>
      </c>
      <c r="U3447" t="s">
        <v>74</v>
      </c>
      <c r="V3447" t="str">
        <f>"100323725"</f>
        <v>100323725</v>
      </c>
      <c r="AC3447" t="s">
        <v>76</v>
      </c>
      <c r="AD3447" t="s">
        <v>73</v>
      </c>
      <c r="AE3447" t="s">
        <v>97</v>
      </c>
      <c r="AF3447" t="s">
        <v>2254</v>
      </c>
      <c r="AG3447" t="s">
        <v>78</v>
      </c>
    </row>
    <row r="3448" spans="1:33" hidden="1" x14ac:dyDescent="0.25">
      <c r="A3448" t="str">
        <f>"1326466509"</f>
        <v>1326466509</v>
      </c>
      <c r="C3448" t="s">
        <v>13489</v>
      </c>
      <c r="G3448" t="s">
        <v>2224</v>
      </c>
      <c r="H3448" t="s">
        <v>2225</v>
      </c>
      <c r="J3448" t="s">
        <v>2226</v>
      </c>
      <c r="K3448" t="s">
        <v>93</v>
      </c>
      <c r="L3448" t="s">
        <v>96</v>
      </c>
      <c r="M3448" t="s">
        <v>73</v>
      </c>
      <c r="R3448" t="s">
        <v>13490</v>
      </c>
      <c r="S3448" t="s">
        <v>8015</v>
      </c>
      <c r="T3448" t="s">
        <v>91</v>
      </c>
      <c r="U3448" t="s">
        <v>74</v>
      </c>
      <c r="V3448" t="str">
        <f>"100323725"</f>
        <v>100323725</v>
      </c>
      <c r="AC3448" t="s">
        <v>76</v>
      </c>
      <c r="AD3448" t="s">
        <v>73</v>
      </c>
      <c r="AE3448" t="s">
        <v>97</v>
      </c>
      <c r="AF3448" t="s">
        <v>2254</v>
      </c>
      <c r="AG3448" t="s">
        <v>78</v>
      </c>
    </row>
    <row r="3449" spans="1:33" hidden="1" x14ac:dyDescent="0.25">
      <c r="A3449" t="str">
        <f>"1710341714"</f>
        <v>1710341714</v>
      </c>
      <c r="C3449" t="s">
        <v>13491</v>
      </c>
      <c r="G3449" t="s">
        <v>2224</v>
      </c>
      <c r="H3449" t="s">
        <v>2225</v>
      </c>
      <c r="J3449" t="s">
        <v>2226</v>
      </c>
      <c r="K3449" t="s">
        <v>93</v>
      </c>
      <c r="L3449" t="s">
        <v>96</v>
      </c>
      <c r="M3449" t="s">
        <v>73</v>
      </c>
      <c r="R3449" t="s">
        <v>13492</v>
      </c>
      <c r="S3449" t="s">
        <v>167</v>
      </c>
      <c r="T3449" t="s">
        <v>91</v>
      </c>
      <c r="U3449" t="s">
        <v>74</v>
      </c>
      <c r="V3449" t="str">
        <f>"100323720"</f>
        <v>100323720</v>
      </c>
      <c r="AC3449" t="s">
        <v>76</v>
      </c>
      <c r="AD3449" t="s">
        <v>73</v>
      </c>
      <c r="AE3449" t="s">
        <v>97</v>
      </c>
      <c r="AF3449" t="s">
        <v>2254</v>
      </c>
      <c r="AG3449" t="s">
        <v>78</v>
      </c>
    </row>
    <row r="3450" spans="1:33" hidden="1" x14ac:dyDescent="0.25">
      <c r="A3450" t="str">
        <f>"1376906206"</f>
        <v>1376906206</v>
      </c>
      <c r="C3450" t="s">
        <v>13493</v>
      </c>
      <c r="G3450" t="s">
        <v>2224</v>
      </c>
      <c r="H3450" t="s">
        <v>2225</v>
      </c>
      <c r="J3450" t="s">
        <v>2226</v>
      </c>
      <c r="K3450" t="s">
        <v>93</v>
      </c>
      <c r="L3450" t="s">
        <v>96</v>
      </c>
      <c r="M3450" t="s">
        <v>73</v>
      </c>
      <c r="R3450" t="s">
        <v>13494</v>
      </c>
      <c r="S3450" t="s">
        <v>2115</v>
      </c>
      <c r="T3450" t="s">
        <v>91</v>
      </c>
      <c r="U3450" t="s">
        <v>74</v>
      </c>
      <c r="V3450" t="str">
        <f>"100327104"</f>
        <v>100327104</v>
      </c>
      <c r="AC3450" t="s">
        <v>76</v>
      </c>
      <c r="AD3450" t="s">
        <v>73</v>
      </c>
      <c r="AE3450" t="s">
        <v>97</v>
      </c>
      <c r="AF3450" t="s">
        <v>2254</v>
      </c>
      <c r="AG3450" t="s">
        <v>78</v>
      </c>
    </row>
    <row r="3451" spans="1:33" hidden="1" x14ac:dyDescent="0.25">
      <c r="A3451" t="str">
        <f>"1821417429"</f>
        <v>1821417429</v>
      </c>
      <c r="C3451" t="s">
        <v>13495</v>
      </c>
      <c r="G3451" t="s">
        <v>2224</v>
      </c>
      <c r="H3451" t="s">
        <v>2225</v>
      </c>
      <c r="J3451" t="s">
        <v>2226</v>
      </c>
      <c r="K3451" t="s">
        <v>93</v>
      </c>
      <c r="L3451" t="s">
        <v>96</v>
      </c>
      <c r="M3451" t="s">
        <v>73</v>
      </c>
      <c r="R3451" t="s">
        <v>13496</v>
      </c>
      <c r="S3451" t="s">
        <v>13497</v>
      </c>
      <c r="T3451" t="s">
        <v>91</v>
      </c>
      <c r="U3451" t="s">
        <v>74</v>
      </c>
      <c r="V3451" t="str">
        <f>"100323733"</f>
        <v>100323733</v>
      </c>
      <c r="AC3451" t="s">
        <v>76</v>
      </c>
      <c r="AD3451" t="s">
        <v>73</v>
      </c>
      <c r="AE3451" t="s">
        <v>97</v>
      </c>
      <c r="AF3451" t="s">
        <v>2254</v>
      </c>
      <c r="AG3451" t="s">
        <v>78</v>
      </c>
    </row>
    <row r="3452" spans="1:33" hidden="1" x14ac:dyDescent="0.25">
      <c r="A3452" t="str">
        <f>"1750745741"</f>
        <v>1750745741</v>
      </c>
      <c r="C3452" t="s">
        <v>13498</v>
      </c>
      <c r="G3452" t="s">
        <v>2224</v>
      </c>
      <c r="H3452" t="s">
        <v>2225</v>
      </c>
      <c r="J3452" t="s">
        <v>2226</v>
      </c>
      <c r="K3452" t="s">
        <v>93</v>
      </c>
      <c r="L3452" t="s">
        <v>96</v>
      </c>
      <c r="M3452" t="s">
        <v>73</v>
      </c>
      <c r="R3452" t="s">
        <v>13499</v>
      </c>
      <c r="S3452" t="s">
        <v>167</v>
      </c>
      <c r="T3452" t="s">
        <v>91</v>
      </c>
      <c r="U3452" t="s">
        <v>74</v>
      </c>
      <c r="V3452" t="str">
        <f>"100323720"</f>
        <v>100323720</v>
      </c>
      <c r="AC3452" t="s">
        <v>76</v>
      </c>
      <c r="AD3452" t="s">
        <v>73</v>
      </c>
      <c r="AE3452" t="s">
        <v>97</v>
      </c>
      <c r="AF3452" t="s">
        <v>2254</v>
      </c>
      <c r="AG3452" t="s">
        <v>78</v>
      </c>
    </row>
    <row r="3453" spans="1:33" hidden="1" x14ac:dyDescent="0.25">
      <c r="A3453" t="str">
        <f>"1306208715"</f>
        <v>1306208715</v>
      </c>
      <c r="C3453" t="s">
        <v>13500</v>
      </c>
      <c r="G3453" t="s">
        <v>2224</v>
      </c>
      <c r="H3453" t="s">
        <v>2225</v>
      </c>
      <c r="J3453" t="s">
        <v>2226</v>
      </c>
      <c r="K3453" t="s">
        <v>93</v>
      </c>
      <c r="L3453" t="s">
        <v>96</v>
      </c>
      <c r="M3453" t="s">
        <v>73</v>
      </c>
      <c r="R3453" t="s">
        <v>13501</v>
      </c>
      <c r="S3453" t="s">
        <v>7459</v>
      </c>
      <c r="T3453" t="s">
        <v>91</v>
      </c>
      <c r="U3453" t="s">
        <v>74</v>
      </c>
      <c r="V3453" t="str">
        <f>"100214872"</f>
        <v>100214872</v>
      </c>
      <c r="AC3453" t="s">
        <v>76</v>
      </c>
      <c r="AD3453" t="s">
        <v>73</v>
      </c>
      <c r="AE3453" t="s">
        <v>97</v>
      </c>
      <c r="AF3453" t="s">
        <v>2398</v>
      </c>
      <c r="AG3453" t="s">
        <v>78</v>
      </c>
    </row>
    <row r="3454" spans="1:33" hidden="1" x14ac:dyDescent="0.25">
      <c r="A3454" t="str">
        <f>"1801258686"</f>
        <v>1801258686</v>
      </c>
      <c r="C3454" t="s">
        <v>13502</v>
      </c>
      <c r="G3454" t="s">
        <v>2224</v>
      </c>
      <c r="H3454" t="s">
        <v>2225</v>
      </c>
      <c r="J3454" t="s">
        <v>2226</v>
      </c>
      <c r="K3454" t="s">
        <v>93</v>
      </c>
      <c r="L3454" t="s">
        <v>96</v>
      </c>
      <c r="M3454" t="s">
        <v>73</v>
      </c>
      <c r="R3454" t="s">
        <v>13503</v>
      </c>
      <c r="S3454" t="s">
        <v>7459</v>
      </c>
      <c r="T3454" t="s">
        <v>91</v>
      </c>
      <c r="U3454" t="s">
        <v>74</v>
      </c>
      <c r="V3454" t="str">
        <f>"100214872"</f>
        <v>100214872</v>
      </c>
      <c r="AC3454" t="s">
        <v>76</v>
      </c>
      <c r="AD3454" t="s">
        <v>73</v>
      </c>
      <c r="AE3454" t="s">
        <v>97</v>
      </c>
      <c r="AF3454" t="s">
        <v>2398</v>
      </c>
      <c r="AG3454" t="s">
        <v>78</v>
      </c>
    </row>
    <row r="3455" spans="1:33" hidden="1" x14ac:dyDescent="0.25">
      <c r="A3455" t="str">
        <f>"1710349147"</f>
        <v>1710349147</v>
      </c>
      <c r="C3455" t="s">
        <v>13504</v>
      </c>
      <c r="G3455" t="s">
        <v>2224</v>
      </c>
      <c r="H3455" t="s">
        <v>2225</v>
      </c>
      <c r="J3455" t="s">
        <v>2226</v>
      </c>
      <c r="K3455" t="s">
        <v>93</v>
      </c>
      <c r="L3455" t="s">
        <v>96</v>
      </c>
      <c r="M3455" t="s">
        <v>73</v>
      </c>
      <c r="R3455" t="s">
        <v>13505</v>
      </c>
      <c r="S3455" t="s">
        <v>410</v>
      </c>
      <c r="T3455" t="s">
        <v>91</v>
      </c>
      <c r="U3455" t="s">
        <v>74</v>
      </c>
      <c r="V3455" t="str">
        <f>"100321559"</f>
        <v>100321559</v>
      </c>
      <c r="AC3455" t="s">
        <v>76</v>
      </c>
      <c r="AD3455" t="s">
        <v>73</v>
      </c>
      <c r="AE3455" t="s">
        <v>97</v>
      </c>
      <c r="AF3455" t="s">
        <v>2254</v>
      </c>
      <c r="AG3455" t="s">
        <v>78</v>
      </c>
    </row>
    <row r="3456" spans="1:33" hidden="1" x14ac:dyDescent="0.25">
      <c r="A3456" t="str">
        <f>"1700273414"</f>
        <v>1700273414</v>
      </c>
      <c r="C3456" t="s">
        <v>13506</v>
      </c>
      <c r="G3456" t="s">
        <v>2224</v>
      </c>
      <c r="H3456" t="s">
        <v>2225</v>
      </c>
      <c r="J3456" t="s">
        <v>2226</v>
      </c>
      <c r="K3456" t="s">
        <v>93</v>
      </c>
      <c r="L3456" t="s">
        <v>96</v>
      </c>
      <c r="M3456" t="s">
        <v>73</v>
      </c>
      <c r="R3456" t="s">
        <v>13507</v>
      </c>
      <c r="S3456" t="s">
        <v>170</v>
      </c>
      <c r="T3456" t="s">
        <v>91</v>
      </c>
      <c r="U3456" t="s">
        <v>74</v>
      </c>
      <c r="V3456" t="str">
        <f>"100654870"</f>
        <v>100654870</v>
      </c>
      <c r="AC3456" t="s">
        <v>76</v>
      </c>
      <c r="AD3456" t="s">
        <v>73</v>
      </c>
      <c r="AE3456" t="s">
        <v>97</v>
      </c>
      <c r="AF3456" t="s">
        <v>2398</v>
      </c>
      <c r="AG3456" t="s">
        <v>78</v>
      </c>
    </row>
    <row r="3457" spans="1:33" hidden="1" x14ac:dyDescent="0.25">
      <c r="A3457" t="str">
        <f>"1598150831"</f>
        <v>1598150831</v>
      </c>
      <c r="C3457" t="s">
        <v>13508</v>
      </c>
      <c r="G3457" t="s">
        <v>2224</v>
      </c>
      <c r="H3457" t="s">
        <v>2225</v>
      </c>
      <c r="J3457" t="s">
        <v>2226</v>
      </c>
      <c r="K3457" t="s">
        <v>93</v>
      </c>
      <c r="L3457" t="s">
        <v>96</v>
      </c>
      <c r="M3457" t="s">
        <v>73</v>
      </c>
      <c r="R3457" t="s">
        <v>13509</v>
      </c>
      <c r="S3457" t="s">
        <v>8015</v>
      </c>
      <c r="T3457" t="s">
        <v>91</v>
      </c>
      <c r="U3457" t="s">
        <v>74</v>
      </c>
      <c r="V3457" t="str">
        <f>"100323725"</f>
        <v>100323725</v>
      </c>
      <c r="AC3457" t="s">
        <v>76</v>
      </c>
      <c r="AD3457" t="s">
        <v>73</v>
      </c>
      <c r="AE3457" t="s">
        <v>97</v>
      </c>
      <c r="AF3457" t="s">
        <v>2254</v>
      </c>
      <c r="AG3457" t="s">
        <v>78</v>
      </c>
    </row>
    <row r="3458" spans="1:33" hidden="1" x14ac:dyDescent="0.25">
      <c r="A3458" t="str">
        <f>"1003279845"</f>
        <v>1003279845</v>
      </c>
      <c r="C3458" t="s">
        <v>13510</v>
      </c>
      <c r="G3458" t="s">
        <v>2224</v>
      </c>
      <c r="H3458" t="s">
        <v>2225</v>
      </c>
      <c r="J3458" t="s">
        <v>2226</v>
      </c>
      <c r="K3458" t="s">
        <v>93</v>
      </c>
      <c r="L3458" t="s">
        <v>96</v>
      </c>
      <c r="M3458" t="s">
        <v>73</v>
      </c>
      <c r="R3458" t="s">
        <v>13511</v>
      </c>
      <c r="S3458" t="s">
        <v>11608</v>
      </c>
      <c r="T3458" t="s">
        <v>91</v>
      </c>
      <c r="U3458" t="s">
        <v>74</v>
      </c>
      <c r="V3458" t="str">
        <f>"100654870"</f>
        <v>100654870</v>
      </c>
      <c r="AC3458" t="s">
        <v>76</v>
      </c>
      <c r="AD3458" t="s">
        <v>73</v>
      </c>
      <c r="AE3458" t="s">
        <v>97</v>
      </c>
      <c r="AF3458" t="s">
        <v>2398</v>
      </c>
      <c r="AG3458" t="s">
        <v>78</v>
      </c>
    </row>
    <row r="3459" spans="1:33" hidden="1" x14ac:dyDescent="0.25">
      <c r="A3459" t="str">
        <f>"1033597117"</f>
        <v>1033597117</v>
      </c>
      <c r="C3459" t="s">
        <v>13512</v>
      </c>
      <c r="G3459" t="s">
        <v>2224</v>
      </c>
      <c r="H3459" t="s">
        <v>2225</v>
      </c>
      <c r="J3459" t="s">
        <v>2226</v>
      </c>
      <c r="K3459" t="s">
        <v>93</v>
      </c>
      <c r="L3459" t="s">
        <v>96</v>
      </c>
      <c r="M3459" t="s">
        <v>73</v>
      </c>
      <c r="R3459" t="s">
        <v>13513</v>
      </c>
      <c r="S3459" t="s">
        <v>167</v>
      </c>
      <c r="T3459" t="s">
        <v>91</v>
      </c>
      <c r="U3459" t="s">
        <v>74</v>
      </c>
      <c r="V3459" t="str">
        <f>"100323720"</f>
        <v>100323720</v>
      </c>
      <c r="AC3459" t="s">
        <v>76</v>
      </c>
      <c r="AD3459" t="s">
        <v>73</v>
      </c>
      <c r="AE3459" t="s">
        <v>97</v>
      </c>
      <c r="AF3459" t="s">
        <v>2254</v>
      </c>
      <c r="AG3459" t="s">
        <v>78</v>
      </c>
    </row>
    <row r="3460" spans="1:33" hidden="1" x14ac:dyDescent="0.25">
      <c r="A3460" t="str">
        <f>"1902224629"</f>
        <v>1902224629</v>
      </c>
      <c r="C3460" t="s">
        <v>13514</v>
      </c>
      <c r="G3460" t="s">
        <v>2224</v>
      </c>
      <c r="H3460" t="s">
        <v>2225</v>
      </c>
      <c r="J3460" t="s">
        <v>2226</v>
      </c>
      <c r="K3460" t="s">
        <v>93</v>
      </c>
      <c r="L3460" t="s">
        <v>96</v>
      </c>
      <c r="M3460" t="s">
        <v>73</v>
      </c>
      <c r="R3460" t="s">
        <v>13515</v>
      </c>
      <c r="S3460" t="s">
        <v>2115</v>
      </c>
      <c r="T3460" t="s">
        <v>91</v>
      </c>
      <c r="U3460" t="s">
        <v>74</v>
      </c>
      <c r="V3460" t="str">
        <f>"100327104"</f>
        <v>100327104</v>
      </c>
      <c r="AC3460" t="s">
        <v>76</v>
      </c>
      <c r="AD3460" t="s">
        <v>73</v>
      </c>
      <c r="AE3460" t="s">
        <v>97</v>
      </c>
      <c r="AF3460" t="s">
        <v>2254</v>
      </c>
      <c r="AG3460" t="s">
        <v>78</v>
      </c>
    </row>
    <row r="3461" spans="1:33" hidden="1" x14ac:dyDescent="0.25">
      <c r="A3461" t="str">
        <f>"1255793139"</f>
        <v>1255793139</v>
      </c>
      <c r="C3461" t="s">
        <v>13516</v>
      </c>
      <c r="G3461" t="s">
        <v>2224</v>
      </c>
      <c r="H3461" t="s">
        <v>2225</v>
      </c>
      <c r="J3461" t="s">
        <v>2226</v>
      </c>
      <c r="K3461" t="s">
        <v>93</v>
      </c>
      <c r="L3461" t="s">
        <v>96</v>
      </c>
      <c r="M3461" t="s">
        <v>73</v>
      </c>
      <c r="R3461" t="s">
        <v>13517</v>
      </c>
      <c r="S3461" t="s">
        <v>11608</v>
      </c>
      <c r="T3461" t="s">
        <v>91</v>
      </c>
      <c r="U3461" t="s">
        <v>74</v>
      </c>
      <c r="V3461" t="str">
        <f>"100654870"</f>
        <v>100654870</v>
      </c>
      <c r="AC3461" t="s">
        <v>76</v>
      </c>
      <c r="AD3461" t="s">
        <v>73</v>
      </c>
      <c r="AE3461" t="s">
        <v>97</v>
      </c>
      <c r="AF3461" t="s">
        <v>2398</v>
      </c>
      <c r="AG3461" t="s">
        <v>78</v>
      </c>
    </row>
    <row r="3462" spans="1:33" hidden="1" x14ac:dyDescent="0.25">
      <c r="A3462" t="str">
        <f>"1780003855"</f>
        <v>1780003855</v>
      </c>
      <c r="C3462" t="s">
        <v>13518</v>
      </c>
      <c r="G3462" t="s">
        <v>2224</v>
      </c>
      <c r="H3462" t="s">
        <v>2225</v>
      </c>
      <c r="J3462" t="s">
        <v>2226</v>
      </c>
      <c r="K3462" t="s">
        <v>93</v>
      </c>
      <c r="L3462" t="s">
        <v>96</v>
      </c>
      <c r="M3462" t="s">
        <v>73</v>
      </c>
      <c r="R3462" t="s">
        <v>13519</v>
      </c>
      <c r="S3462" t="s">
        <v>410</v>
      </c>
      <c r="T3462" t="s">
        <v>91</v>
      </c>
      <c r="U3462" t="s">
        <v>74</v>
      </c>
      <c r="V3462" t="str">
        <f>"100321559"</f>
        <v>100321559</v>
      </c>
      <c r="AC3462" t="s">
        <v>76</v>
      </c>
      <c r="AD3462" t="s">
        <v>73</v>
      </c>
      <c r="AE3462" t="s">
        <v>97</v>
      </c>
      <c r="AF3462" t="s">
        <v>2254</v>
      </c>
      <c r="AG3462" t="s">
        <v>78</v>
      </c>
    </row>
    <row r="3463" spans="1:33" hidden="1" x14ac:dyDescent="0.25">
      <c r="A3463" t="str">
        <f>"1285053868"</f>
        <v>1285053868</v>
      </c>
      <c r="C3463" t="s">
        <v>13520</v>
      </c>
      <c r="G3463" t="s">
        <v>2224</v>
      </c>
      <c r="H3463" t="s">
        <v>2225</v>
      </c>
      <c r="J3463" t="s">
        <v>2226</v>
      </c>
      <c r="K3463" t="s">
        <v>93</v>
      </c>
      <c r="L3463" t="s">
        <v>96</v>
      </c>
      <c r="M3463" t="s">
        <v>73</v>
      </c>
      <c r="R3463" t="s">
        <v>13521</v>
      </c>
      <c r="S3463" t="s">
        <v>410</v>
      </c>
      <c r="T3463" t="s">
        <v>91</v>
      </c>
      <c r="U3463" t="s">
        <v>74</v>
      </c>
      <c r="V3463" t="str">
        <f>"100321559"</f>
        <v>100321559</v>
      </c>
      <c r="AC3463" t="s">
        <v>76</v>
      </c>
      <c r="AD3463" t="s">
        <v>73</v>
      </c>
      <c r="AE3463" t="s">
        <v>97</v>
      </c>
      <c r="AF3463" t="s">
        <v>2254</v>
      </c>
      <c r="AG3463" t="s">
        <v>78</v>
      </c>
    </row>
    <row r="3464" spans="1:33" hidden="1" x14ac:dyDescent="0.25">
      <c r="A3464" t="str">
        <f>"1073908513"</f>
        <v>1073908513</v>
      </c>
      <c r="C3464" t="s">
        <v>13522</v>
      </c>
      <c r="G3464" t="s">
        <v>2224</v>
      </c>
      <c r="H3464" t="s">
        <v>2225</v>
      </c>
      <c r="J3464" t="s">
        <v>2226</v>
      </c>
      <c r="K3464" t="s">
        <v>93</v>
      </c>
      <c r="L3464" t="s">
        <v>96</v>
      </c>
      <c r="M3464" t="s">
        <v>73</v>
      </c>
      <c r="R3464" t="s">
        <v>13523</v>
      </c>
      <c r="S3464" t="s">
        <v>13524</v>
      </c>
      <c r="T3464" t="s">
        <v>575</v>
      </c>
      <c r="U3464" t="s">
        <v>139</v>
      </c>
      <c r="V3464" t="str">
        <f>"073066655"</f>
        <v>073066655</v>
      </c>
      <c r="AC3464" t="s">
        <v>76</v>
      </c>
      <c r="AD3464" t="s">
        <v>73</v>
      </c>
      <c r="AE3464" t="s">
        <v>97</v>
      </c>
      <c r="AF3464" t="s">
        <v>2254</v>
      </c>
      <c r="AG3464" t="s">
        <v>78</v>
      </c>
    </row>
    <row r="3465" spans="1:33" hidden="1" x14ac:dyDescent="0.25">
      <c r="A3465" t="str">
        <f>"1346637188"</f>
        <v>1346637188</v>
      </c>
      <c r="C3465" t="s">
        <v>13525</v>
      </c>
      <c r="G3465" t="s">
        <v>2224</v>
      </c>
      <c r="H3465" t="s">
        <v>2225</v>
      </c>
      <c r="J3465" t="s">
        <v>2226</v>
      </c>
      <c r="K3465" t="s">
        <v>93</v>
      </c>
      <c r="L3465" t="s">
        <v>96</v>
      </c>
      <c r="M3465" t="s">
        <v>73</v>
      </c>
      <c r="R3465" t="s">
        <v>13526</v>
      </c>
      <c r="S3465" t="s">
        <v>10089</v>
      </c>
      <c r="T3465" t="s">
        <v>91</v>
      </c>
      <c r="U3465" t="s">
        <v>74</v>
      </c>
      <c r="V3465" t="str">
        <f>"100654870"</f>
        <v>100654870</v>
      </c>
      <c r="AC3465" t="s">
        <v>76</v>
      </c>
      <c r="AD3465" t="s">
        <v>73</v>
      </c>
      <c r="AE3465" t="s">
        <v>97</v>
      </c>
      <c r="AF3465" t="s">
        <v>2398</v>
      </c>
      <c r="AG3465" t="s">
        <v>78</v>
      </c>
    </row>
    <row r="3466" spans="1:33" hidden="1" x14ac:dyDescent="0.25">
      <c r="A3466" t="str">
        <f>"1255785440"</f>
        <v>1255785440</v>
      </c>
      <c r="C3466" t="s">
        <v>13527</v>
      </c>
      <c r="G3466" t="s">
        <v>2224</v>
      </c>
      <c r="H3466" t="s">
        <v>2225</v>
      </c>
      <c r="J3466" t="s">
        <v>2226</v>
      </c>
      <c r="K3466" t="s">
        <v>93</v>
      </c>
      <c r="L3466" t="s">
        <v>96</v>
      </c>
      <c r="M3466" t="s">
        <v>73</v>
      </c>
      <c r="R3466" t="s">
        <v>13528</v>
      </c>
      <c r="S3466" t="s">
        <v>6546</v>
      </c>
      <c r="T3466" t="s">
        <v>91</v>
      </c>
      <c r="U3466" t="s">
        <v>74</v>
      </c>
      <c r="V3466" t="str">
        <f>"10021"</f>
        <v>10021</v>
      </c>
      <c r="AC3466" t="s">
        <v>76</v>
      </c>
      <c r="AD3466" t="s">
        <v>73</v>
      </c>
      <c r="AE3466" t="s">
        <v>97</v>
      </c>
      <c r="AF3466" t="s">
        <v>2398</v>
      </c>
      <c r="AG3466" t="s">
        <v>78</v>
      </c>
    </row>
    <row r="3467" spans="1:33" hidden="1" x14ac:dyDescent="0.25">
      <c r="A3467" t="str">
        <f>"1588026876"</f>
        <v>1588026876</v>
      </c>
      <c r="C3467" t="s">
        <v>13529</v>
      </c>
      <c r="G3467" t="s">
        <v>2224</v>
      </c>
      <c r="H3467" t="s">
        <v>2225</v>
      </c>
      <c r="J3467" t="s">
        <v>2226</v>
      </c>
      <c r="K3467" t="s">
        <v>93</v>
      </c>
      <c r="L3467" t="s">
        <v>96</v>
      </c>
      <c r="M3467" t="s">
        <v>73</v>
      </c>
      <c r="R3467" t="s">
        <v>13530</v>
      </c>
      <c r="S3467" t="s">
        <v>628</v>
      </c>
      <c r="T3467" t="s">
        <v>91</v>
      </c>
      <c r="U3467" t="s">
        <v>74</v>
      </c>
      <c r="V3467" t="str">
        <f>"100214872"</f>
        <v>100214872</v>
      </c>
      <c r="AC3467" t="s">
        <v>76</v>
      </c>
      <c r="AD3467" t="s">
        <v>73</v>
      </c>
      <c r="AE3467" t="s">
        <v>97</v>
      </c>
      <c r="AF3467" t="s">
        <v>2398</v>
      </c>
      <c r="AG3467" t="s">
        <v>78</v>
      </c>
    </row>
    <row r="3468" spans="1:33" hidden="1" x14ac:dyDescent="0.25">
      <c r="A3468" t="str">
        <f>"1619362043"</f>
        <v>1619362043</v>
      </c>
      <c r="C3468" t="s">
        <v>13531</v>
      </c>
      <c r="G3468" t="s">
        <v>2224</v>
      </c>
      <c r="H3468" t="s">
        <v>2225</v>
      </c>
      <c r="J3468" t="s">
        <v>2226</v>
      </c>
      <c r="K3468" t="s">
        <v>93</v>
      </c>
      <c r="L3468" t="s">
        <v>96</v>
      </c>
      <c r="M3468" t="s">
        <v>73</v>
      </c>
      <c r="R3468" t="s">
        <v>13532</v>
      </c>
      <c r="S3468" t="s">
        <v>10311</v>
      </c>
      <c r="T3468" t="s">
        <v>91</v>
      </c>
      <c r="U3468" t="s">
        <v>74</v>
      </c>
      <c r="V3468" t="str">
        <f>"100323720"</f>
        <v>100323720</v>
      </c>
      <c r="AC3468" t="s">
        <v>76</v>
      </c>
      <c r="AD3468" t="s">
        <v>73</v>
      </c>
      <c r="AE3468" t="s">
        <v>97</v>
      </c>
      <c r="AF3468" t="s">
        <v>2254</v>
      </c>
      <c r="AG3468" t="s">
        <v>78</v>
      </c>
    </row>
    <row r="3469" spans="1:33" hidden="1" x14ac:dyDescent="0.25">
      <c r="A3469" t="str">
        <f>"1689945081"</f>
        <v>1689945081</v>
      </c>
      <c r="C3469" t="s">
        <v>13533</v>
      </c>
      <c r="G3469" t="s">
        <v>2224</v>
      </c>
      <c r="H3469" t="s">
        <v>2225</v>
      </c>
      <c r="J3469" t="s">
        <v>2226</v>
      </c>
      <c r="K3469" t="s">
        <v>93</v>
      </c>
      <c r="L3469" t="s">
        <v>96</v>
      </c>
      <c r="M3469" t="s">
        <v>73</v>
      </c>
      <c r="R3469" t="s">
        <v>13534</v>
      </c>
      <c r="S3469" t="s">
        <v>13535</v>
      </c>
      <c r="T3469" t="s">
        <v>598</v>
      </c>
      <c r="U3469" t="s">
        <v>599</v>
      </c>
      <c r="V3469" t="str">
        <f>"212872109"</f>
        <v>212872109</v>
      </c>
      <c r="AC3469" t="s">
        <v>76</v>
      </c>
      <c r="AD3469" t="s">
        <v>73</v>
      </c>
      <c r="AE3469" t="s">
        <v>97</v>
      </c>
      <c r="AF3469" t="s">
        <v>2254</v>
      </c>
      <c r="AG3469" t="s">
        <v>78</v>
      </c>
    </row>
    <row r="3470" spans="1:33" hidden="1" x14ac:dyDescent="0.25">
      <c r="A3470" t="str">
        <f>"1023351350"</f>
        <v>1023351350</v>
      </c>
      <c r="C3470" t="s">
        <v>13536</v>
      </c>
      <c r="G3470" t="s">
        <v>2224</v>
      </c>
      <c r="H3470" t="s">
        <v>2225</v>
      </c>
      <c r="J3470" t="s">
        <v>2226</v>
      </c>
      <c r="K3470" t="s">
        <v>93</v>
      </c>
      <c r="L3470" t="s">
        <v>96</v>
      </c>
      <c r="M3470" t="s">
        <v>73</v>
      </c>
      <c r="R3470" t="s">
        <v>13537</v>
      </c>
      <c r="S3470" t="s">
        <v>167</v>
      </c>
      <c r="T3470" t="s">
        <v>91</v>
      </c>
      <c r="U3470" t="s">
        <v>74</v>
      </c>
      <c r="V3470" t="str">
        <f>"100323720"</f>
        <v>100323720</v>
      </c>
      <c r="AC3470" t="s">
        <v>76</v>
      </c>
      <c r="AD3470" t="s">
        <v>73</v>
      </c>
      <c r="AE3470" t="s">
        <v>97</v>
      </c>
      <c r="AF3470" t="s">
        <v>2254</v>
      </c>
      <c r="AG3470" t="s">
        <v>78</v>
      </c>
    </row>
    <row r="3471" spans="1:33" hidden="1" x14ac:dyDescent="0.25">
      <c r="A3471" t="str">
        <f>"1922486562"</f>
        <v>1922486562</v>
      </c>
      <c r="C3471" t="s">
        <v>13538</v>
      </c>
      <c r="G3471" t="s">
        <v>2224</v>
      </c>
      <c r="H3471" t="s">
        <v>2225</v>
      </c>
      <c r="J3471" t="s">
        <v>2226</v>
      </c>
      <c r="K3471" t="s">
        <v>93</v>
      </c>
      <c r="L3471" t="s">
        <v>96</v>
      </c>
      <c r="M3471" t="s">
        <v>73</v>
      </c>
      <c r="R3471" t="s">
        <v>13539</v>
      </c>
      <c r="S3471" t="s">
        <v>13540</v>
      </c>
      <c r="T3471" t="s">
        <v>91</v>
      </c>
      <c r="U3471" t="s">
        <v>74</v>
      </c>
      <c r="V3471" t="str">
        <f>"100323720"</f>
        <v>100323720</v>
      </c>
      <c r="AC3471" t="s">
        <v>76</v>
      </c>
      <c r="AD3471" t="s">
        <v>73</v>
      </c>
      <c r="AE3471" t="s">
        <v>97</v>
      </c>
      <c r="AF3471" t="s">
        <v>2254</v>
      </c>
      <c r="AG3471" t="s">
        <v>78</v>
      </c>
    </row>
    <row r="3472" spans="1:33" hidden="1" x14ac:dyDescent="0.25">
      <c r="A3472" t="str">
        <f>"1811317209"</f>
        <v>1811317209</v>
      </c>
      <c r="C3472" t="s">
        <v>13541</v>
      </c>
      <c r="G3472" t="s">
        <v>2224</v>
      </c>
      <c r="H3472" t="s">
        <v>2225</v>
      </c>
      <c r="J3472" t="s">
        <v>2226</v>
      </c>
      <c r="K3472" t="s">
        <v>93</v>
      </c>
      <c r="L3472" t="s">
        <v>96</v>
      </c>
      <c r="M3472" t="s">
        <v>73</v>
      </c>
      <c r="R3472" t="s">
        <v>13542</v>
      </c>
      <c r="S3472" t="s">
        <v>410</v>
      </c>
      <c r="T3472" t="s">
        <v>91</v>
      </c>
      <c r="U3472" t="s">
        <v>74</v>
      </c>
      <c r="V3472" t="str">
        <f>"100321559"</f>
        <v>100321559</v>
      </c>
      <c r="AC3472" t="s">
        <v>76</v>
      </c>
      <c r="AD3472" t="s">
        <v>73</v>
      </c>
      <c r="AE3472" t="s">
        <v>97</v>
      </c>
      <c r="AF3472" t="s">
        <v>2254</v>
      </c>
      <c r="AG3472" t="s">
        <v>78</v>
      </c>
    </row>
    <row r="3473" spans="1:33" hidden="1" x14ac:dyDescent="0.25">
      <c r="A3473" t="str">
        <f>"1437511862"</f>
        <v>1437511862</v>
      </c>
      <c r="C3473" t="s">
        <v>13543</v>
      </c>
      <c r="G3473" t="s">
        <v>2224</v>
      </c>
      <c r="H3473" t="s">
        <v>2225</v>
      </c>
      <c r="J3473" t="s">
        <v>2226</v>
      </c>
      <c r="K3473" t="s">
        <v>93</v>
      </c>
      <c r="L3473" t="s">
        <v>96</v>
      </c>
      <c r="M3473" t="s">
        <v>73</v>
      </c>
      <c r="R3473" t="s">
        <v>13544</v>
      </c>
      <c r="S3473" t="s">
        <v>410</v>
      </c>
      <c r="T3473" t="s">
        <v>91</v>
      </c>
      <c r="U3473" t="s">
        <v>74</v>
      </c>
      <c r="V3473" t="str">
        <f>"100321559"</f>
        <v>100321559</v>
      </c>
      <c r="AC3473" t="s">
        <v>76</v>
      </c>
      <c r="AD3473" t="s">
        <v>73</v>
      </c>
      <c r="AE3473" t="s">
        <v>97</v>
      </c>
      <c r="AF3473" t="s">
        <v>2254</v>
      </c>
      <c r="AG3473" t="s">
        <v>78</v>
      </c>
    </row>
    <row r="3474" spans="1:33" hidden="1" x14ac:dyDescent="0.25">
      <c r="A3474" t="str">
        <f>"1497140594"</f>
        <v>1497140594</v>
      </c>
      <c r="C3474" t="s">
        <v>13545</v>
      </c>
      <c r="G3474" t="s">
        <v>2224</v>
      </c>
      <c r="H3474" t="s">
        <v>2225</v>
      </c>
      <c r="J3474" t="s">
        <v>2226</v>
      </c>
      <c r="K3474" t="s">
        <v>93</v>
      </c>
      <c r="L3474" t="s">
        <v>96</v>
      </c>
      <c r="M3474" t="s">
        <v>73</v>
      </c>
      <c r="R3474" t="s">
        <v>13546</v>
      </c>
      <c r="S3474" t="s">
        <v>410</v>
      </c>
      <c r="T3474" t="s">
        <v>91</v>
      </c>
      <c r="U3474" t="s">
        <v>74</v>
      </c>
      <c r="V3474" t="str">
        <f>"100321559"</f>
        <v>100321559</v>
      </c>
      <c r="AC3474" t="s">
        <v>76</v>
      </c>
      <c r="AD3474" t="s">
        <v>73</v>
      </c>
      <c r="AE3474" t="s">
        <v>97</v>
      </c>
      <c r="AF3474" t="s">
        <v>2254</v>
      </c>
      <c r="AG3474" t="s">
        <v>78</v>
      </c>
    </row>
    <row r="3475" spans="1:33" hidden="1" x14ac:dyDescent="0.25">
      <c r="A3475" t="str">
        <f>"1649698325"</f>
        <v>1649698325</v>
      </c>
      <c r="C3475" t="s">
        <v>13547</v>
      </c>
      <c r="G3475" t="s">
        <v>2224</v>
      </c>
      <c r="H3475" t="s">
        <v>2225</v>
      </c>
      <c r="J3475" t="s">
        <v>2226</v>
      </c>
      <c r="K3475" t="s">
        <v>93</v>
      </c>
      <c r="L3475" t="s">
        <v>96</v>
      </c>
      <c r="M3475" t="s">
        <v>73</v>
      </c>
      <c r="R3475" t="s">
        <v>13548</v>
      </c>
      <c r="S3475" t="s">
        <v>410</v>
      </c>
      <c r="T3475" t="s">
        <v>91</v>
      </c>
      <c r="U3475" t="s">
        <v>74</v>
      </c>
      <c r="V3475" t="str">
        <f>"100321559"</f>
        <v>100321559</v>
      </c>
      <c r="AC3475" t="s">
        <v>76</v>
      </c>
      <c r="AD3475" t="s">
        <v>73</v>
      </c>
      <c r="AE3475" t="s">
        <v>97</v>
      </c>
      <c r="AF3475" t="s">
        <v>2254</v>
      </c>
      <c r="AG3475" t="s">
        <v>78</v>
      </c>
    </row>
    <row r="3476" spans="1:33" hidden="1" x14ac:dyDescent="0.25">
      <c r="A3476" t="str">
        <f>"1265827869"</f>
        <v>1265827869</v>
      </c>
      <c r="C3476" t="s">
        <v>13549</v>
      </c>
      <c r="G3476" t="s">
        <v>2224</v>
      </c>
      <c r="H3476" t="s">
        <v>2225</v>
      </c>
      <c r="J3476" t="s">
        <v>2226</v>
      </c>
      <c r="K3476" t="s">
        <v>93</v>
      </c>
      <c r="L3476" t="s">
        <v>96</v>
      </c>
      <c r="M3476" t="s">
        <v>73</v>
      </c>
      <c r="R3476" t="s">
        <v>13550</v>
      </c>
      <c r="S3476" t="s">
        <v>11608</v>
      </c>
      <c r="T3476" t="s">
        <v>91</v>
      </c>
      <c r="U3476" t="s">
        <v>74</v>
      </c>
      <c r="V3476" t="str">
        <f>"100654870"</f>
        <v>100654870</v>
      </c>
      <c r="AC3476" t="s">
        <v>76</v>
      </c>
      <c r="AD3476" t="s">
        <v>73</v>
      </c>
      <c r="AE3476" t="s">
        <v>97</v>
      </c>
      <c r="AF3476" t="s">
        <v>2398</v>
      </c>
      <c r="AG3476" t="s">
        <v>78</v>
      </c>
    </row>
    <row r="3477" spans="1:33" hidden="1" x14ac:dyDescent="0.25">
      <c r="A3477" t="str">
        <f>"1093169757"</f>
        <v>1093169757</v>
      </c>
      <c r="C3477" t="s">
        <v>13551</v>
      </c>
      <c r="G3477" t="s">
        <v>2224</v>
      </c>
      <c r="H3477" t="s">
        <v>2225</v>
      </c>
      <c r="J3477" t="s">
        <v>2226</v>
      </c>
      <c r="K3477" t="s">
        <v>93</v>
      </c>
      <c r="L3477" t="s">
        <v>96</v>
      </c>
      <c r="M3477" t="s">
        <v>73</v>
      </c>
      <c r="R3477" t="s">
        <v>13552</v>
      </c>
      <c r="S3477" t="s">
        <v>13553</v>
      </c>
      <c r="T3477" t="s">
        <v>91</v>
      </c>
      <c r="U3477" t="s">
        <v>74</v>
      </c>
      <c r="V3477" t="str">
        <f>"100654870"</f>
        <v>100654870</v>
      </c>
      <c r="AC3477" t="s">
        <v>76</v>
      </c>
      <c r="AD3477" t="s">
        <v>73</v>
      </c>
      <c r="AE3477" t="s">
        <v>97</v>
      </c>
      <c r="AF3477" t="s">
        <v>2398</v>
      </c>
      <c r="AG3477" t="s">
        <v>78</v>
      </c>
    </row>
    <row r="3478" spans="1:33" hidden="1" x14ac:dyDescent="0.25">
      <c r="A3478" t="str">
        <f>"1629430483"</f>
        <v>1629430483</v>
      </c>
      <c r="C3478" t="s">
        <v>13554</v>
      </c>
      <c r="G3478" t="s">
        <v>2224</v>
      </c>
      <c r="H3478" t="s">
        <v>2225</v>
      </c>
      <c r="J3478" t="s">
        <v>2226</v>
      </c>
      <c r="K3478" t="s">
        <v>93</v>
      </c>
      <c r="L3478" t="s">
        <v>96</v>
      </c>
      <c r="M3478" t="s">
        <v>73</v>
      </c>
      <c r="R3478" t="s">
        <v>13555</v>
      </c>
      <c r="S3478" t="s">
        <v>13556</v>
      </c>
      <c r="T3478" t="s">
        <v>13557</v>
      </c>
      <c r="U3478" t="s">
        <v>139</v>
      </c>
      <c r="V3478" t="str">
        <f>"080855054"</f>
        <v>080855054</v>
      </c>
      <c r="AC3478" t="s">
        <v>76</v>
      </c>
      <c r="AD3478" t="s">
        <v>73</v>
      </c>
      <c r="AE3478" t="s">
        <v>97</v>
      </c>
      <c r="AF3478" t="s">
        <v>2398</v>
      </c>
      <c r="AG3478" t="s">
        <v>78</v>
      </c>
    </row>
    <row r="3479" spans="1:33" hidden="1" x14ac:dyDescent="0.25">
      <c r="A3479" t="str">
        <f>"1831517234"</f>
        <v>1831517234</v>
      </c>
      <c r="C3479" t="s">
        <v>13558</v>
      </c>
      <c r="G3479" t="s">
        <v>2224</v>
      </c>
      <c r="H3479" t="s">
        <v>2225</v>
      </c>
      <c r="J3479" t="s">
        <v>2226</v>
      </c>
      <c r="K3479" t="s">
        <v>93</v>
      </c>
      <c r="L3479" t="s">
        <v>96</v>
      </c>
      <c r="M3479" t="s">
        <v>73</v>
      </c>
      <c r="R3479" t="s">
        <v>13559</v>
      </c>
      <c r="S3479" t="s">
        <v>410</v>
      </c>
      <c r="T3479" t="s">
        <v>91</v>
      </c>
      <c r="U3479" t="s">
        <v>74</v>
      </c>
      <c r="V3479" t="str">
        <f>"100321559"</f>
        <v>100321559</v>
      </c>
      <c r="AC3479" t="s">
        <v>76</v>
      </c>
      <c r="AD3479" t="s">
        <v>73</v>
      </c>
      <c r="AE3479" t="s">
        <v>97</v>
      </c>
      <c r="AF3479" t="s">
        <v>2254</v>
      </c>
      <c r="AG3479" t="s">
        <v>78</v>
      </c>
    </row>
    <row r="3480" spans="1:33" hidden="1" x14ac:dyDescent="0.25">
      <c r="A3480" t="str">
        <f>"1164884409"</f>
        <v>1164884409</v>
      </c>
      <c r="C3480" t="s">
        <v>13560</v>
      </c>
      <c r="G3480" t="s">
        <v>2224</v>
      </c>
      <c r="H3480" t="s">
        <v>2225</v>
      </c>
      <c r="J3480" t="s">
        <v>2226</v>
      </c>
      <c r="K3480" t="s">
        <v>93</v>
      </c>
      <c r="L3480" t="s">
        <v>96</v>
      </c>
      <c r="M3480" t="s">
        <v>73</v>
      </c>
      <c r="R3480" t="s">
        <v>13561</v>
      </c>
      <c r="S3480" t="s">
        <v>628</v>
      </c>
      <c r="T3480" t="s">
        <v>91</v>
      </c>
      <c r="U3480" t="s">
        <v>74</v>
      </c>
      <c r="V3480" t="str">
        <f>"100214872"</f>
        <v>100214872</v>
      </c>
      <c r="AC3480" t="s">
        <v>76</v>
      </c>
      <c r="AD3480" t="s">
        <v>73</v>
      </c>
      <c r="AE3480" t="s">
        <v>97</v>
      </c>
      <c r="AF3480" t="s">
        <v>2398</v>
      </c>
      <c r="AG3480" t="s">
        <v>78</v>
      </c>
    </row>
    <row r="3481" spans="1:33" hidden="1" x14ac:dyDescent="0.25">
      <c r="A3481" t="str">
        <f>"1386098291"</f>
        <v>1386098291</v>
      </c>
      <c r="C3481" t="s">
        <v>13562</v>
      </c>
      <c r="G3481" t="s">
        <v>2224</v>
      </c>
      <c r="H3481" t="s">
        <v>2225</v>
      </c>
      <c r="J3481" t="s">
        <v>2226</v>
      </c>
      <c r="K3481" t="s">
        <v>93</v>
      </c>
      <c r="L3481" t="s">
        <v>96</v>
      </c>
      <c r="M3481" t="s">
        <v>73</v>
      </c>
      <c r="R3481" t="s">
        <v>13563</v>
      </c>
      <c r="S3481" t="s">
        <v>410</v>
      </c>
      <c r="T3481" t="s">
        <v>91</v>
      </c>
      <c r="U3481" t="s">
        <v>74</v>
      </c>
      <c r="V3481" t="str">
        <f>"100321559"</f>
        <v>100321559</v>
      </c>
      <c r="AC3481" t="s">
        <v>76</v>
      </c>
      <c r="AD3481" t="s">
        <v>73</v>
      </c>
      <c r="AE3481" t="s">
        <v>97</v>
      </c>
      <c r="AF3481" t="s">
        <v>2254</v>
      </c>
      <c r="AG3481" t="s">
        <v>78</v>
      </c>
    </row>
    <row r="3482" spans="1:33" hidden="1" x14ac:dyDescent="0.25">
      <c r="A3482" t="str">
        <f>"1932594314"</f>
        <v>1932594314</v>
      </c>
      <c r="C3482" t="s">
        <v>13564</v>
      </c>
      <c r="G3482" t="s">
        <v>2224</v>
      </c>
      <c r="H3482" t="s">
        <v>2225</v>
      </c>
      <c r="J3482" t="s">
        <v>2226</v>
      </c>
      <c r="K3482" t="s">
        <v>93</v>
      </c>
      <c r="L3482" t="s">
        <v>96</v>
      </c>
      <c r="M3482" t="s">
        <v>73</v>
      </c>
      <c r="R3482" t="s">
        <v>13565</v>
      </c>
      <c r="S3482" t="s">
        <v>13566</v>
      </c>
      <c r="T3482" t="s">
        <v>91</v>
      </c>
      <c r="U3482" t="s">
        <v>74</v>
      </c>
      <c r="V3482" t="str">
        <f>"100323720"</f>
        <v>100323720</v>
      </c>
      <c r="AC3482" t="s">
        <v>76</v>
      </c>
      <c r="AD3482" t="s">
        <v>73</v>
      </c>
      <c r="AE3482" t="s">
        <v>97</v>
      </c>
      <c r="AF3482" t="s">
        <v>2254</v>
      </c>
      <c r="AG3482" t="s">
        <v>78</v>
      </c>
    </row>
    <row r="3483" spans="1:33" hidden="1" x14ac:dyDescent="0.25">
      <c r="A3483" t="str">
        <f>"1538587035"</f>
        <v>1538587035</v>
      </c>
      <c r="C3483" t="s">
        <v>13567</v>
      </c>
      <c r="G3483" t="s">
        <v>2224</v>
      </c>
      <c r="H3483" t="s">
        <v>2225</v>
      </c>
      <c r="J3483" t="s">
        <v>2226</v>
      </c>
      <c r="K3483" t="s">
        <v>93</v>
      </c>
      <c r="L3483" t="s">
        <v>96</v>
      </c>
      <c r="M3483" t="s">
        <v>73</v>
      </c>
      <c r="R3483" t="s">
        <v>13568</v>
      </c>
      <c r="S3483" t="s">
        <v>1373</v>
      </c>
      <c r="T3483" t="s">
        <v>91</v>
      </c>
      <c r="U3483" t="s">
        <v>74</v>
      </c>
      <c r="V3483" t="str">
        <f>"100323727"</f>
        <v>100323727</v>
      </c>
      <c r="AC3483" t="s">
        <v>76</v>
      </c>
      <c r="AD3483" t="s">
        <v>73</v>
      </c>
      <c r="AE3483" t="s">
        <v>97</v>
      </c>
      <c r="AF3483" t="s">
        <v>2254</v>
      </c>
      <c r="AG3483" t="s">
        <v>78</v>
      </c>
    </row>
    <row r="3484" spans="1:33" hidden="1" x14ac:dyDescent="0.25">
      <c r="A3484" t="str">
        <f>"1487017158"</f>
        <v>1487017158</v>
      </c>
      <c r="C3484" t="s">
        <v>13569</v>
      </c>
      <c r="G3484" t="s">
        <v>2224</v>
      </c>
      <c r="H3484" t="s">
        <v>2225</v>
      </c>
      <c r="J3484" t="s">
        <v>2226</v>
      </c>
      <c r="K3484" t="s">
        <v>93</v>
      </c>
      <c r="L3484" t="s">
        <v>96</v>
      </c>
      <c r="M3484" t="s">
        <v>73</v>
      </c>
      <c r="R3484" t="s">
        <v>13570</v>
      </c>
      <c r="S3484" t="s">
        <v>7459</v>
      </c>
      <c r="T3484" t="s">
        <v>91</v>
      </c>
      <c r="U3484" t="s">
        <v>74</v>
      </c>
      <c r="V3484" t="str">
        <f>"100214872"</f>
        <v>100214872</v>
      </c>
      <c r="AC3484" t="s">
        <v>76</v>
      </c>
      <c r="AD3484" t="s">
        <v>73</v>
      </c>
      <c r="AE3484" t="s">
        <v>97</v>
      </c>
      <c r="AF3484" t="s">
        <v>2398</v>
      </c>
      <c r="AG3484" t="s">
        <v>78</v>
      </c>
    </row>
    <row r="3485" spans="1:33" hidden="1" x14ac:dyDescent="0.25">
      <c r="A3485" t="str">
        <f>"1750744504"</f>
        <v>1750744504</v>
      </c>
      <c r="C3485" t="s">
        <v>13571</v>
      </c>
      <c r="G3485" t="s">
        <v>2224</v>
      </c>
      <c r="H3485" t="s">
        <v>2225</v>
      </c>
      <c r="J3485" t="s">
        <v>2226</v>
      </c>
      <c r="K3485" t="s">
        <v>93</v>
      </c>
      <c r="L3485" t="s">
        <v>96</v>
      </c>
      <c r="M3485" t="s">
        <v>73</v>
      </c>
      <c r="R3485" t="s">
        <v>13572</v>
      </c>
      <c r="S3485" t="s">
        <v>628</v>
      </c>
      <c r="T3485" t="s">
        <v>91</v>
      </c>
      <c r="U3485" t="s">
        <v>74</v>
      </c>
      <c r="V3485" t="str">
        <f>"100214872"</f>
        <v>100214872</v>
      </c>
      <c r="AC3485" t="s">
        <v>76</v>
      </c>
      <c r="AD3485" t="s">
        <v>73</v>
      </c>
      <c r="AE3485" t="s">
        <v>97</v>
      </c>
      <c r="AF3485" t="s">
        <v>2398</v>
      </c>
      <c r="AG3485" t="s">
        <v>78</v>
      </c>
    </row>
    <row r="3486" spans="1:33" hidden="1" x14ac:dyDescent="0.25">
      <c r="A3486" t="str">
        <f>"1346635646"</f>
        <v>1346635646</v>
      </c>
      <c r="C3486" t="s">
        <v>13573</v>
      </c>
      <c r="G3486" t="s">
        <v>2224</v>
      </c>
      <c r="H3486" t="s">
        <v>2225</v>
      </c>
      <c r="J3486" t="s">
        <v>2226</v>
      </c>
      <c r="K3486" t="s">
        <v>93</v>
      </c>
      <c r="L3486" t="s">
        <v>96</v>
      </c>
      <c r="M3486" t="s">
        <v>73</v>
      </c>
      <c r="R3486" t="s">
        <v>13574</v>
      </c>
      <c r="S3486" t="s">
        <v>410</v>
      </c>
      <c r="T3486" t="s">
        <v>91</v>
      </c>
      <c r="U3486" t="s">
        <v>74</v>
      </c>
      <c r="V3486" t="str">
        <f>"100321559"</f>
        <v>100321559</v>
      </c>
      <c r="AC3486" t="s">
        <v>76</v>
      </c>
      <c r="AD3486" t="s">
        <v>73</v>
      </c>
      <c r="AE3486" t="s">
        <v>97</v>
      </c>
      <c r="AF3486" t="s">
        <v>2254</v>
      </c>
      <c r="AG3486" t="s">
        <v>78</v>
      </c>
    </row>
    <row r="3487" spans="1:33" hidden="1" x14ac:dyDescent="0.25">
      <c r="A3487" t="str">
        <f>"1659791887"</f>
        <v>1659791887</v>
      </c>
      <c r="C3487" t="s">
        <v>13575</v>
      </c>
      <c r="G3487" t="s">
        <v>2224</v>
      </c>
      <c r="H3487" t="s">
        <v>2225</v>
      </c>
      <c r="J3487" t="s">
        <v>2226</v>
      </c>
      <c r="K3487" t="s">
        <v>93</v>
      </c>
      <c r="L3487" t="s">
        <v>96</v>
      </c>
      <c r="M3487" t="s">
        <v>73</v>
      </c>
      <c r="R3487" t="s">
        <v>13576</v>
      </c>
      <c r="S3487" t="s">
        <v>13577</v>
      </c>
      <c r="T3487" t="s">
        <v>91</v>
      </c>
      <c r="U3487" t="s">
        <v>74</v>
      </c>
      <c r="V3487" t="str">
        <f>"100323725"</f>
        <v>100323725</v>
      </c>
      <c r="AC3487" t="s">
        <v>76</v>
      </c>
      <c r="AD3487" t="s">
        <v>73</v>
      </c>
      <c r="AE3487" t="s">
        <v>97</v>
      </c>
      <c r="AF3487" t="s">
        <v>2254</v>
      </c>
      <c r="AG3487" t="s">
        <v>78</v>
      </c>
    </row>
    <row r="3488" spans="1:33" hidden="1" x14ac:dyDescent="0.25">
      <c r="A3488" t="str">
        <f>"1922462399"</f>
        <v>1922462399</v>
      </c>
      <c r="C3488" t="s">
        <v>13578</v>
      </c>
      <c r="G3488" t="s">
        <v>2224</v>
      </c>
      <c r="H3488" t="s">
        <v>2225</v>
      </c>
      <c r="J3488" t="s">
        <v>2226</v>
      </c>
      <c r="K3488" t="s">
        <v>93</v>
      </c>
      <c r="L3488" t="s">
        <v>96</v>
      </c>
      <c r="M3488" t="s">
        <v>73</v>
      </c>
      <c r="R3488" t="s">
        <v>13579</v>
      </c>
      <c r="S3488" t="s">
        <v>11663</v>
      </c>
      <c r="T3488" t="s">
        <v>91</v>
      </c>
      <c r="U3488" t="s">
        <v>74</v>
      </c>
      <c r="V3488" t="str">
        <f>"100654870"</f>
        <v>100654870</v>
      </c>
      <c r="AC3488" t="s">
        <v>76</v>
      </c>
      <c r="AD3488" t="s">
        <v>73</v>
      </c>
      <c r="AE3488" t="s">
        <v>97</v>
      </c>
      <c r="AF3488" t="s">
        <v>2398</v>
      </c>
      <c r="AG3488" t="s">
        <v>78</v>
      </c>
    </row>
    <row r="3489" spans="1:33" hidden="1" x14ac:dyDescent="0.25">
      <c r="A3489" t="str">
        <f>"1356704670"</f>
        <v>1356704670</v>
      </c>
      <c r="C3489" t="s">
        <v>13580</v>
      </c>
      <c r="G3489" t="s">
        <v>2224</v>
      </c>
      <c r="H3489" t="s">
        <v>2225</v>
      </c>
      <c r="J3489" t="s">
        <v>2226</v>
      </c>
      <c r="K3489" t="s">
        <v>93</v>
      </c>
      <c r="L3489" t="s">
        <v>96</v>
      </c>
      <c r="M3489" t="s">
        <v>73</v>
      </c>
      <c r="R3489" t="s">
        <v>13581</v>
      </c>
      <c r="S3489" t="s">
        <v>167</v>
      </c>
      <c r="T3489" t="s">
        <v>91</v>
      </c>
      <c r="U3489" t="s">
        <v>74</v>
      </c>
      <c r="V3489" t="str">
        <f>"100323720"</f>
        <v>100323720</v>
      </c>
      <c r="AC3489" t="s">
        <v>76</v>
      </c>
      <c r="AD3489" t="s">
        <v>73</v>
      </c>
      <c r="AE3489" t="s">
        <v>97</v>
      </c>
      <c r="AF3489" t="s">
        <v>2254</v>
      </c>
      <c r="AG3489" t="s">
        <v>78</v>
      </c>
    </row>
    <row r="3490" spans="1:33" hidden="1" x14ac:dyDescent="0.25">
      <c r="A3490" t="str">
        <f>"1043697238"</f>
        <v>1043697238</v>
      </c>
      <c r="C3490" t="s">
        <v>13582</v>
      </c>
      <c r="G3490" t="s">
        <v>2224</v>
      </c>
      <c r="H3490" t="s">
        <v>2225</v>
      </c>
      <c r="J3490" t="s">
        <v>2226</v>
      </c>
      <c r="K3490" t="s">
        <v>93</v>
      </c>
      <c r="L3490" t="s">
        <v>96</v>
      </c>
      <c r="M3490" t="s">
        <v>73</v>
      </c>
      <c r="R3490" t="s">
        <v>13583</v>
      </c>
      <c r="S3490" t="s">
        <v>13584</v>
      </c>
      <c r="T3490" t="s">
        <v>91</v>
      </c>
      <c r="U3490" t="s">
        <v>74</v>
      </c>
      <c r="V3490" t="str">
        <f>"100323725"</f>
        <v>100323725</v>
      </c>
      <c r="AC3490" t="s">
        <v>76</v>
      </c>
      <c r="AD3490" t="s">
        <v>73</v>
      </c>
      <c r="AE3490" t="s">
        <v>97</v>
      </c>
      <c r="AF3490" t="s">
        <v>2254</v>
      </c>
      <c r="AG3490" t="s">
        <v>78</v>
      </c>
    </row>
    <row r="3491" spans="1:33" hidden="1" x14ac:dyDescent="0.25">
      <c r="A3491" t="str">
        <f>"1629497599"</f>
        <v>1629497599</v>
      </c>
      <c r="C3491" t="s">
        <v>13585</v>
      </c>
      <c r="G3491" t="s">
        <v>2224</v>
      </c>
      <c r="H3491" t="s">
        <v>2225</v>
      </c>
      <c r="J3491" t="s">
        <v>2226</v>
      </c>
      <c r="K3491" t="s">
        <v>93</v>
      </c>
      <c r="L3491" t="s">
        <v>96</v>
      </c>
      <c r="M3491" t="s">
        <v>73</v>
      </c>
      <c r="R3491" t="s">
        <v>13586</v>
      </c>
      <c r="S3491" t="s">
        <v>13587</v>
      </c>
      <c r="T3491" t="s">
        <v>13588</v>
      </c>
      <c r="U3491" t="s">
        <v>13589</v>
      </c>
      <c r="V3491" t="str">
        <f>"CORK CITY"</f>
        <v>CORK CITY</v>
      </c>
      <c r="AC3491" t="s">
        <v>76</v>
      </c>
      <c r="AD3491" t="s">
        <v>73</v>
      </c>
      <c r="AE3491" t="s">
        <v>97</v>
      </c>
      <c r="AF3491" t="s">
        <v>2254</v>
      </c>
      <c r="AG3491" t="s">
        <v>78</v>
      </c>
    </row>
    <row r="3492" spans="1:33" hidden="1" x14ac:dyDescent="0.25">
      <c r="A3492" t="str">
        <f>"1316301179"</f>
        <v>1316301179</v>
      </c>
      <c r="C3492" t="s">
        <v>13590</v>
      </c>
      <c r="G3492" t="s">
        <v>2224</v>
      </c>
      <c r="H3492" t="s">
        <v>2225</v>
      </c>
      <c r="J3492" t="s">
        <v>2226</v>
      </c>
      <c r="K3492" t="s">
        <v>93</v>
      </c>
      <c r="L3492" t="s">
        <v>96</v>
      </c>
      <c r="M3492" t="s">
        <v>73</v>
      </c>
      <c r="R3492" t="s">
        <v>13591</v>
      </c>
      <c r="S3492" t="s">
        <v>167</v>
      </c>
      <c r="T3492" t="s">
        <v>91</v>
      </c>
      <c r="U3492" t="s">
        <v>74</v>
      </c>
      <c r="V3492" t="str">
        <f>"100323720"</f>
        <v>100323720</v>
      </c>
      <c r="AC3492" t="s">
        <v>76</v>
      </c>
      <c r="AD3492" t="s">
        <v>73</v>
      </c>
      <c r="AE3492" t="s">
        <v>97</v>
      </c>
      <c r="AF3492" t="s">
        <v>2254</v>
      </c>
      <c r="AG3492" t="s">
        <v>78</v>
      </c>
    </row>
    <row r="3493" spans="1:33" hidden="1" x14ac:dyDescent="0.25">
      <c r="A3493" t="str">
        <f>"1477916237"</f>
        <v>1477916237</v>
      </c>
      <c r="C3493" t="s">
        <v>13592</v>
      </c>
      <c r="G3493" t="s">
        <v>2224</v>
      </c>
      <c r="H3493" t="s">
        <v>2225</v>
      </c>
      <c r="J3493" t="s">
        <v>2226</v>
      </c>
      <c r="K3493" t="s">
        <v>93</v>
      </c>
      <c r="L3493" t="s">
        <v>96</v>
      </c>
      <c r="M3493" t="s">
        <v>73</v>
      </c>
      <c r="R3493" t="s">
        <v>13593</v>
      </c>
      <c r="S3493" t="s">
        <v>167</v>
      </c>
      <c r="T3493" t="s">
        <v>91</v>
      </c>
      <c r="U3493" t="s">
        <v>74</v>
      </c>
      <c r="V3493" t="str">
        <f>"100323720"</f>
        <v>100323720</v>
      </c>
      <c r="AC3493" t="s">
        <v>76</v>
      </c>
      <c r="AD3493" t="s">
        <v>73</v>
      </c>
      <c r="AE3493" t="s">
        <v>97</v>
      </c>
      <c r="AF3493" t="s">
        <v>2254</v>
      </c>
      <c r="AG3493" t="s">
        <v>78</v>
      </c>
    </row>
    <row r="3494" spans="1:33" hidden="1" x14ac:dyDescent="0.25">
      <c r="A3494" t="str">
        <f>"1316301245"</f>
        <v>1316301245</v>
      </c>
      <c r="C3494" t="s">
        <v>13594</v>
      </c>
      <c r="G3494" t="s">
        <v>2224</v>
      </c>
      <c r="H3494" t="s">
        <v>2225</v>
      </c>
      <c r="J3494" t="s">
        <v>2226</v>
      </c>
      <c r="K3494" t="s">
        <v>93</v>
      </c>
      <c r="L3494" t="s">
        <v>96</v>
      </c>
      <c r="M3494" t="s">
        <v>73</v>
      </c>
      <c r="R3494" t="s">
        <v>13595</v>
      </c>
      <c r="S3494" t="s">
        <v>628</v>
      </c>
      <c r="T3494" t="s">
        <v>91</v>
      </c>
      <c r="U3494" t="s">
        <v>74</v>
      </c>
      <c r="V3494" t="str">
        <f>"100214872"</f>
        <v>100214872</v>
      </c>
      <c r="AC3494" t="s">
        <v>76</v>
      </c>
      <c r="AD3494" t="s">
        <v>73</v>
      </c>
      <c r="AE3494" t="s">
        <v>97</v>
      </c>
      <c r="AF3494" t="s">
        <v>2398</v>
      </c>
      <c r="AG3494" t="s">
        <v>78</v>
      </c>
    </row>
    <row r="3495" spans="1:33" hidden="1" x14ac:dyDescent="0.25">
      <c r="A3495" t="str">
        <f>"1427442805"</f>
        <v>1427442805</v>
      </c>
      <c r="C3495" t="s">
        <v>13596</v>
      </c>
      <c r="G3495" t="s">
        <v>2224</v>
      </c>
      <c r="H3495" t="s">
        <v>2225</v>
      </c>
      <c r="J3495" t="s">
        <v>2226</v>
      </c>
      <c r="K3495" t="s">
        <v>93</v>
      </c>
      <c r="L3495" t="s">
        <v>96</v>
      </c>
      <c r="M3495" t="s">
        <v>73</v>
      </c>
      <c r="R3495" t="s">
        <v>13597</v>
      </c>
      <c r="S3495" t="s">
        <v>12888</v>
      </c>
      <c r="T3495" t="s">
        <v>91</v>
      </c>
      <c r="U3495" t="s">
        <v>74</v>
      </c>
      <c r="V3495" t="str">
        <f>"100654870"</f>
        <v>100654870</v>
      </c>
      <c r="AC3495" t="s">
        <v>76</v>
      </c>
      <c r="AD3495" t="s">
        <v>73</v>
      </c>
      <c r="AE3495" t="s">
        <v>97</v>
      </c>
      <c r="AF3495" t="s">
        <v>2398</v>
      </c>
      <c r="AG3495" t="s">
        <v>78</v>
      </c>
    </row>
    <row r="3496" spans="1:33" hidden="1" x14ac:dyDescent="0.25">
      <c r="A3496" t="str">
        <f>"1922427392"</f>
        <v>1922427392</v>
      </c>
      <c r="C3496" t="s">
        <v>13598</v>
      </c>
      <c r="G3496" t="s">
        <v>2224</v>
      </c>
      <c r="H3496" t="s">
        <v>2225</v>
      </c>
      <c r="J3496" t="s">
        <v>2226</v>
      </c>
      <c r="K3496" t="s">
        <v>93</v>
      </c>
      <c r="L3496" t="s">
        <v>96</v>
      </c>
      <c r="M3496" t="s">
        <v>73</v>
      </c>
      <c r="R3496" t="s">
        <v>13599</v>
      </c>
      <c r="S3496" t="s">
        <v>167</v>
      </c>
      <c r="T3496" t="s">
        <v>91</v>
      </c>
      <c r="U3496" t="s">
        <v>74</v>
      </c>
      <c r="V3496" t="str">
        <f>"100323720"</f>
        <v>100323720</v>
      </c>
      <c r="AC3496" t="s">
        <v>76</v>
      </c>
      <c r="AD3496" t="s">
        <v>73</v>
      </c>
      <c r="AE3496" t="s">
        <v>97</v>
      </c>
      <c r="AF3496" t="s">
        <v>2254</v>
      </c>
      <c r="AG3496" t="s">
        <v>78</v>
      </c>
    </row>
    <row r="3497" spans="1:33" hidden="1" x14ac:dyDescent="0.25">
      <c r="A3497" t="str">
        <f>"1053706325"</f>
        <v>1053706325</v>
      </c>
      <c r="C3497" t="s">
        <v>13600</v>
      </c>
      <c r="G3497" t="s">
        <v>2224</v>
      </c>
      <c r="H3497" t="s">
        <v>2225</v>
      </c>
      <c r="J3497" t="s">
        <v>2226</v>
      </c>
      <c r="K3497" t="s">
        <v>93</v>
      </c>
      <c r="L3497" t="s">
        <v>96</v>
      </c>
      <c r="M3497" t="s">
        <v>73</v>
      </c>
      <c r="R3497" t="s">
        <v>13601</v>
      </c>
      <c r="S3497" t="s">
        <v>13048</v>
      </c>
      <c r="T3497" t="s">
        <v>91</v>
      </c>
      <c r="U3497" t="s">
        <v>74</v>
      </c>
      <c r="V3497" t="str">
        <f>"100323720"</f>
        <v>100323720</v>
      </c>
      <c r="AC3497" t="s">
        <v>76</v>
      </c>
      <c r="AD3497" t="s">
        <v>73</v>
      </c>
      <c r="AE3497" t="s">
        <v>97</v>
      </c>
      <c r="AF3497" t="s">
        <v>2254</v>
      </c>
      <c r="AG3497" t="s">
        <v>78</v>
      </c>
    </row>
    <row r="3498" spans="1:33" hidden="1" x14ac:dyDescent="0.25">
      <c r="A3498" t="str">
        <f>"1891149704"</f>
        <v>1891149704</v>
      </c>
      <c r="C3498" t="s">
        <v>13602</v>
      </c>
      <c r="G3498" t="s">
        <v>2224</v>
      </c>
      <c r="H3498" t="s">
        <v>2225</v>
      </c>
      <c r="J3498" t="s">
        <v>2226</v>
      </c>
      <c r="K3498" t="s">
        <v>93</v>
      </c>
      <c r="L3498" t="s">
        <v>96</v>
      </c>
      <c r="M3498" t="s">
        <v>73</v>
      </c>
      <c r="R3498" t="s">
        <v>13603</v>
      </c>
      <c r="S3498" t="s">
        <v>170</v>
      </c>
      <c r="T3498" t="s">
        <v>91</v>
      </c>
      <c r="U3498" t="s">
        <v>74</v>
      </c>
      <c r="V3498" t="str">
        <f>"100654870"</f>
        <v>100654870</v>
      </c>
      <c r="AC3498" t="s">
        <v>76</v>
      </c>
      <c r="AD3498" t="s">
        <v>73</v>
      </c>
      <c r="AE3498" t="s">
        <v>97</v>
      </c>
      <c r="AF3498" t="s">
        <v>2398</v>
      </c>
      <c r="AG3498" t="s">
        <v>78</v>
      </c>
    </row>
    <row r="3499" spans="1:33" hidden="1" x14ac:dyDescent="0.25">
      <c r="A3499" t="str">
        <f>"1326434119"</f>
        <v>1326434119</v>
      </c>
      <c r="C3499" t="s">
        <v>13604</v>
      </c>
      <c r="G3499" t="s">
        <v>2224</v>
      </c>
      <c r="H3499" t="s">
        <v>2225</v>
      </c>
      <c r="J3499" t="s">
        <v>2226</v>
      </c>
      <c r="K3499" t="s">
        <v>93</v>
      </c>
      <c r="L3499" t="s">
        <v>96</v>
      </c>
      <c r="M3499" t="s">
        <v>73</v>
      </c>
      <c r="R3499" t="s">
        <v>13605</v>
      </c>
      <c r="S3499" t="s">
        <v>12830</v>
      </c>
      <c r="T3499" t="s">
        <v>91</v>
      </c>
      <c r="U3499" t="s">
        <v>74</v>
      </c>
      <c r="V3499" t="str">
        <f>"100323720"</f>
        <v>100323720</v>
      </c>
      <c r="AC3499" t="s">
        <v>76</v>
      </c>
      <c r="AD3499" t="s">
        <v>73</v>
      </c>
      <c r="AE3499" t="s">
        <v>97</v>
      </c>
      <c r="AF3499" t="s">
        <v>2254</v>
      </c>
      <c r="AG3499" t="s">
        <v>78</v>
      </c>
    </row>
    <row r="3500" spans="1:33" hidden="1" x14ac:dyDescent="0.25">
      <c r="A3500" t="str">
        <f>"1851774590"</f>
        <v>1851774590</v>
      </c>
      <c r="C3500" t="s">
        <v>13606</v>
      </c>
      <c r="G3500" t="s">
        <v>2224</v>
      </c>
      <c r="H3500" t="s">
        <v>2225</v>
      </c>
      <c r="J3500" t="s">
        <v>2226</v>
      </c>
      <c r="K3500" t="s">
        <v>93</v>
      </c>
      <c r="L3500" t="s">
        <v>96</v>
      </c>
      <c r="M3500" t="s">
        <v>73</v>
      </c>
      <c r="R3500" t="s">
        <v>13607</v>
      </c>
      <c r="S3500" t="s">
        <v>13608</v>
      </c>
      <c r="T3500" t="s">
        <v>567</v>
      </c>
      <c r="U3500" t="s">
        <v>111</v>
      </c>
      <c r="V3500" t="str">
        <f>"021245628"</f>
        <v>021245628</v>
      </c>
      <c r="AC3500" t="s">
        <v>76</v>
      </c>
      <c r="AD3500" t="s">
        <v>73</v>
      </c>
      <c r="AE3500" t="s">
        <v>97</v>
      </c>
      <c r="AF3500" t="s">
        <v>2254</v>
      </c>
      <c r="AG3500" t="s">
        <v>78</v>
      </c>
    </row>
    <row r="3501" spans="1:33" hidden="1" x14ac:dyDescent="0.25">
      <c r="A3501" t="str">
        <f>"1194145623"</f>
        <v>1194145623</v>
      </c>
      <c r="C3501" t="s">
        <v>13609</v>
      </c>
      <c r="G3501" t="s">
        <v>2224</v>
      </c>
      <c r="H3501" t="s">
        <v>2225</v>
      </c>
      <c r="J3501" t="s">
        <v>2226</v>
      </c>
      <c r="K3501" t="s">
        <v>93</v>
      </c>
      <c r="L3501" t="s">
        <v>96</v>
      </c>
      <c r="M3501" t="s">
        <v>73</v>
      </c>
      <c r="R3501" t="s">
        <v>13610</v>
      </c>
      <c r="S3501" t="s">
        <v>170</v>
      </c>
      <c r="T3501" t="s">
        <v>91</v>
      </c>
      <c r="U3501" t="s">
        <v>74</v>
      </c>
      <c r="V3501" t="str">
        <f>"100654870"</f>
        <v>100654870</v>
      </c>
      <c r="AC3501" t="s">
        <v>76</v>
      </c>
      <c r="AD3501" t="s">
        <v>73</v>
      </c>
      <c r="AE3501" t="s">
        <v>97</v>
      </c>
      <c r="AF3501" t="s">
        <v>2398</v>
      </c>
      <c r="AG3501" t="s">
        <v>78</v>
      </c>
    </row>
    <row r="3502" spans="1:33" hidden="1" x14ac:dyDescent="0.25">
      <c r="A3502" t="str">
        <f>"1699160515"</f>
        <v>1699160515</v>
      </c>
      <c r="C3502" t="s">
        <v>13611</v>
      </c>
      <c r="G3502" t="s">
        <v>2224</v>
      </c>
      <c r="H3502" t="s">
        <v>2225</v>
      </c>
      <c r="J3502" t="s">
        <v>2226</v>
      </c>
      <c r="K3502" t="s">
        <v>93</v>
      </c>
      <c r="L3502" t="s">
        <v>96</v>
      </c>
      <c r="M3502" t="s">
        <v>73</v>
      </c>
      <c r="R3502" t="s">
        <v>13612</v>
      </c>
      <c r="S3502" t="s">
        <v>410</v>
      </c>
      <c r="T3502" t="s">
        <v>91</v>
      </c>
      <c r="U3502" t="s">
        <v>74</v>
      </c>
      <c r="V3502" t="str">
        <f>"100321559"</f>
        <v>100321559</v>
      </c>
      <c r="AC3502" t="s">
        <v>76</v>
      </c>
      <c r="AD3502" t="s">
        <v>73</v>
      </c>
      <c r="AE3502" t="s">
        <v>97</v>
      </c>
      <c r="AF3502" t="s">
        <v>2254</v>
      </c>
      <c r="AG3502" t="s">
        <v>78</v>
      </c>
    </row>
    <row r="3503" spans="1:33" hidden="1" x14ac:dyDescent="0.25">
      <c r="A3503" t="str">
        <f>"1447679253"</f>
        <v>1447679253</v>
      </c>
      <c r="C3503" t="s">
        <v>13613</v>
      </c>
      <c r="G3503" t="s">
        <v>2224</v>
      </c>
      <c r="H3503" t="s">
        <v>2225</v>
      </c>
      <c r="J3503" t="s">
        <v>2226</v>
      </c>
      <c r="K3503" t="s">
        <v>93</v>
      </c>
      <c r="L3503" t="s">
        <v>96</v>
      </c>
      <c r="M3503" t="s">
        <v>73</v>
      </c>
      <c r="R3503" t="s">
        <v>13614</v>
      </c>
      <c r="S3503" t="s">
        <v>1444</v>
      </c>
      <c r="T3503" t="s">
        <v>91</v>
      </c>
      <c r="U3503" t="s">
        <v>74</v>
      </c>
      <c r="V3503" t="str">
        <f>"100323733"</f>
        <v>100323733</v>
      </c>
      <c r="AC3503" t="s">
        <v>76</v>
      </c>
      <c r="AD3503" t="s">
        <v>73</v>
      </c>
      <c r="AE3503" t="s">
        <v>97</v>
      </c>
      <c r="AF3503" t="s">
        <v>2254</v>
      </c>
      <c r="AG3503" t="s">
        <v>78</v>
      </c>
    </row>
    <row r="3504" spans="1:33" hidden="1" x14ac:dyDescent="0.25">
      <c r="A3504" t="str">
        <f>"1972948099"</f>
        <v>1972948099</v>
      </c>
      <c r="C3504" t="s">
        <v>13615</v>
      </c>
      <c r="G3504" t="s">
        <v>2224</v>
      </c>
      <c r="H3504" t="s">
        <v>2225</v>
      </c>
      <c r="J3504" t="s">
        <v>2226</v>
      </c>
      <c r="K3504" t="s">
        <v>93</v>
      </c>
      <c r="L3504" t="s">
        <v>96</v>
      </c>
      <c r="M3504" t="s">
        <v>73</v>
      </c>
      <c r="R3504" t="s">
        <v>13616</v>
      </c>
      <c r="S3504" t="s">
        <v>11608</v>
      </c>
      <c r="T3504" t="s">
        <v>91</v>
      </c>
      <c r="U3504" t="s">
        <v>74</v>
      </c>
      <c r="V3504" t="str">
        <f>"100654870"</f>
        <v>100654870</v>
      </c>
      <c r="AC3504" t="s">
        <v>76</v>
      </c>
      <c r="AD3504" t="s">
        <v>73</v>
      </c>
      <c r="AE3504" t="s">
        <v>97</v>
      </c>
      <c r="AF3504" t="s">
        <v>2398</v>
      </c>
      <c r="AG3504" t="s">
        <v>78</v>
      </c>
    </row>
    <row r="3505" spans="1:33" hidden="1" x14ac:dyDescent="0.25">
      <c r="A3505" t="str">
        <f>"1720421530"</f>
        <v>1720421530</v>
      </c>
      <c r="C3505" t="s">
        <v>13617</v>
      </c>
      <c r="G3505" t="s">
        <v>2224</v>
      </c>
      <c r="H3505" t="s">
        <v>2225</v>
      </c>
      <c r="J3505" t="s">
        <v>2226</v>
      </c>
      <c r="K3505" t="s">
        <v>93</v>
      </c>
      <c r="L3505" t="s">
        <v>96</v>
      </c>
      <c r="M3505" t="s">
        <v>73</v>
      </c>
      <c r="R3505" t="s">
        <v>13618</v>
      </c>
      <c r="S3505" t="s">
        <v>410</v>
      </c>
      <c r="T3505" t="s">
        <v>91</v>
      </c>
      <c r="U3505" t="s">
        <v>74</v>
      </c>
      <c r="V3505" t="str">
        <f>"100321559"</f>
        <v>100321559</v>
      </c>
      <c r="AC3505" t="s">
        <v>76</v>
      </c>
      <c r="AD3505" t="s">
        <v>73</v>
      </c>
      <c r="AE3505" t="s">
        <v>97</v>
      </c>
      <c r="AF3505" t="s">
        <v>2254</v>
      </c>
      <c r="AG3505" t="s">
        <v>78</v>
      </c>
    </row>
    <row r="3506" spans="1:33" hidden="1" x14ac:dyDescent="0.25">
      <c r="A3506" t="str">
        <f>"1508109372"</f>
        <v>1508109372</v>
      </c>
      <c r="C3506" t="s">
        <v>13619</v>
      </c>
      <c r="G3506" t="s">
        <v>2224</v>
      </c>
      <c r="H3506" t="s">
        <v>2225</v>
      </c>
      <c r="J3506" t="s">
        <v>2226</v>
      </c>
      <c r="K3506" t="s">
        <v>93</v>
      </c>
      <c r="L3506" t="s">
        <v>96</v>
      </c>
      <c r="M3506" t="s">
        <v>73</v>
      </c>
      <c r="R3506" t="s">
        <v>13620</v>
      </c>
      <c r="S3506" t="s">
        <v>12888</v>
      </c>
      <c r="T3506" t="s">
        <v>91</v>
      </c>
      <c r="U3506" t="s">
        <v>74</v>
      </c>
      <c r="V3506" t="str">
        <f>"100654870"</f>
        <v>100654870</v>
      </c>
      <c r="AC3506" t="s">
        <v>76</v>
      </c>
      <c r="AD3506" t="s">
        <v>73</v>
      </c>
      <c r="AE3506" t="s">
        <v>97</v>
      </c>
      <c r="AF3506" t="s">
        <v>2398</v>
      </c>
      <c r="AG3506" t="s">
        <v>78</v>
      </c>
    </row>
    <row r="3507" spans="1:33" hidden="1" x14ac:dyDescent="0.25">
      <c r="A3507" t="str">
        <f>"1417376377"</f>
        <v>1417376377</v>
      </c>
      <c r="C3507" t="s">
        <v>13621</v>
      </c>
      <c r="G3507" t="s">
        <v>2224</v>
      </c>
      <c r="H3507" t="s">
        <v>2225</v>
      </c>
      <c r="J3507" t="s">
        <v>2226</v>
      </c>
      <c r="K3507" t="s">
        <v>93</v>
      </c>
      <c r="L3507" t="s">
        <v>96</v>
      </c>
      <c r="M3507" t="s">
        <v>73</v>
      </c>
      <c r="R3507" t="s">
        <v>13622</v>
      </c>
      <c r="S3507" t="s">
        <v>13623</v>
      </c>
      <c r="T3507" t="s">
        <v>91</v>
      </c>
      <c r="U3507" t="s">
        <v>74</v>
      </c>
      <c r="V3507" t="str">
        <f>"10021"</f>
        <v>10021</v>
      </c>
      <c r="AC3507" t="s">
        <v>76</v>
      </c>
      <c r="AD3507" t="s">
        <v>73</v>
      </c>
      <c r="AE3507" t="s">
        <v>97</v>
      </c>
      <c r="AF3507" t="s">
        <v>2398</v>
      </c>
      <c r="AG3507" t="s">
        <v>78</v>
      </c>
    </row>
    <row r="3508" spans="1:33" hidden="1" x14ac:dyDescent="0.25">
      <c r="A3508" t="str">
        <f>"1992168280"</f>
        <v>1992168280</v>
      </c>
      <c r="C3508" t="s">
        <v>13624</v>
      </c>
      <c r="G3508" t="s">
        <v>2224</v>
      </c>
      <c r="H3508" t="s">
        <v>2225</v>
      </c>
      <c r="J3508" t="s">
        <v>2226</v>
      </c>
      <c r="K3508" t="s">
        <v>93</v>
      </c>
      <c r="L3508" t="s">
        <v>96</v>
      </c>
      <c r="M3508" t="s">
        <v>73</v>
      </c>
      <c r="R3508" t="s">
        <v>13625</v>
      </c>
      <c r="S3508" t="s">
        <v>1745</v>
      </c>
      <c r="T3508" t="s">
        <v>91</v>
      </c>
      <c r="U3508" t="s">
        <v>74</v>
      </c>
      <c r="V3508" t="str">
        <f>"10021"</f>
        <v>10021</v>
      </c>
      <c r="AC3508" t="s">
        <v>76</v>
      </c>
      <c r="AD3508" t="s">
        <v>73</v>
      </c>
      <c r="AE3508" t="s">
        <v>97</v>
      </c>
      <c r="AF3508" t="s">
        <v>2398</v>
      </c>
      <c r="AG3508" t="s">
        <v>78</v>
      </c>
    </row>
    <row r="3509" spans="1:33" hidden="1" x14ac:dyDescent="0.25">
      <c r="A3509" t="str">
        <f>"1265850390"</f>
        <v>1265850390</v>
      </c>
      <c r="C3509" t="s">
        <v>13626</v>
      </c>
      <c r="G3509" t="s">
        <v>2224</v>
      </c>
      <c r="H3509" t="s">
        <v>2225</v>
      </c>
      <c r="J3509" t="s">
        <v>2226</v>
      </c>
      <c r="K3509" t="s">
        <v>93</v>
      </c>
      <c r="L3509" t="s">
        <v>96</v>
      </c>
      <c r="M3509" t="s">
        <v>73</v>
      </c>
      <c r="R3509" t="s">
        <v>13627</v>
      </c>
      <c r="S3509" t="s">
        <v>13628</v>
      </c>
      <c r="T3509" t="s">
        <v>121</v>
      </c>
      <c r="U3509" t="s">
        <v>74</v>
      </c>
      <c r="V3509" t="str">
        <f>"142214625"</f>
        <v>142214625</v>
      </c>
      <c r="AC3509" t="s">
        <v>76</v>
      </c>
      <c r="AD3509" t="s">
        <v>73</v>
      </c>
      <c r="AE3509" t="s">
        <v>97</v>
      </c>
      <c r="AF3509" t="s">
        <v>2398</v>
      </c>
      <c r="AG3509" t="s">
        <v>78</v>
      </c>
    </row>
    <row r="3510" spans="1:33" hidden="1" x14ac:dyDescent="0.25">
      <c r="A3510" t="str">
        <f>"1255751715"</f>
        <v>1255751715</v>
      </c>
      <c r="C3510" t="s">
        <v>13629</v>
      </c>
      <c r="G3510" t="s">
        <v>2224</v>
      </c>
      <c r="H3510" t="s">
        <v>2225</v>
      </c>
      <c r="J3510" t="s">
        <v>2226</v>
      </c>
      <c r="K3510" t="s">
        <v>93</v>
      </c>
      <c r="L3510" t="s">
        <v>96</v>
      </c>
      <c r="M3510" t="s">
        <v>73</v>
      </c>
      <c r="R3510" t="s">
        <v>13630</v>
      </c>
      <c r="S3510" t="s">
        <v>13631</v>
      </c>
      <c r="T3510" t="s">
        <v>91</v>
      </c>
      <c r="U3510" t="s">
        <v>74</v>
      </c>
      <c r="V3510" t="str">
        <f>"100654451"</f>
        <v>100654451</v>
      </c>
      <c r="AC3510" t="s">
        <v>76</v>
      </c>
      <c r="AD3510" t="s">
        <v>73</v>
      </c>
      <c r="AE3510" t="s">
        <v>97</v>
      </c>
      <c r="AF3510" t="s">
        <v>2254</v>
      </c>
      <c r="AG3510" t="s">
        <v>78</v>
      </c>
    </row>
    <row r="3511" spans="1:33" hidden="1" x14ac:dyDescent="0.25">
      <c r="A3511" t="str">
        <f>"1689092439"</f>
        <v>1689092439</v>
      </c>
      <c r="C3511" t="s">
        <v>13632</v>
      </c>
      <c r="G3511" t="s">
        <v>2224</v>
      </c>
      <c r="H3511" t="s">
        <v>2225</v>
      </c>
      <c r="J3511" t="s">
        <v>2226</v>
      </c>
      <c r="K3511" t="s">
        <v>93</v>
      </c>
      <c r="L3511" t="s">
        <v>96</v>
      </c>
      <c r="M3511" t="s">
        <v>73</v>
      </c>
      <c r="R3511" t="s">
        <v>13633</v>
      </c>
      <c r="S3511" t="s">
        <v>13584</v>
      </c>
      <c r="T3511" t="s">
        <v>91</v>
      </c>
      <c r="U3511" t="s">
        <v>74</v>
      </c>
      <c r="V3511" t="str">
        <f>"100323725"</f>
        <v>100323725</v>
      </c>
      <c r="AC3511" t="s">
        <v>76</v>
      </c>
      <c r="AD3511" t="s">
        <v>73</v>
      </c>
      <c r="AE3511" t="s">
        <v>97</v>
      </c>
      <c r="AF3511" t="s">
        <v>2254</v>
      </c>
      <c r="AG3511" t="s">
        <v>78</v>
      </c>
    </row>
    <row r="3512" spans="1:33" hidden="1" x14ac:dyDescent="0.25">
      <c r="A3512" t="str">
        <f>"1215322383"</f>
        <v>1215322383</v>
      </c>
      <c r="C3512" t="s">
        <v>13634</v>
      </c>
      <c r="G3512" t="s">
        <v>2224</v>
      </c>
      <c r="H3512" t="s">
        <v>2225</v>
      </c>
      <c r="J3512" t="s">
        <v>2226</v>
      </c>
      <c r="K3512" t="s">
        <v>93</v>
      </c>
      <c r="L3512" t="s">
        <v>96</v>
      </c>
      <c r="M3512" t="s">
        <v>73</v>
      </c>
      <c r="R3512" t="s">
        <v>13635</v>
      </c>
      <c r="S3512" t="s">
        <v>2115</v>
      </c>
      <c r="T3512" t="s">
        <v>91</v>
      </c>
      <c r="U3512" t="s">
        <v>74</v>
      </c>
      <c r="V3512" t="str">
        <f>"100327104"</f>
        <v>100327104</v>
      </c>
      <c r="AC3512" t="s">
        <v>76</v>
      </c>
      <c r="AD3512" t="s">
        <v>73</v>
      </c>
      <c r="AE3512" t="s">
        <v>97</v>
      </c>
      <c r="AF3512" t="s">
        <v>2254</v>
      </c>
      <c r="AG3512" t="s">
        <v>78</v>
      </c>
    </row>
    <row r="3513" spans="1:33" hidden="1" x14ac:dyDescent="0.25">
      <c r="C3513" t="s">
        <v>13636</v>
      </c>
      <c r="G3513" t="s">
        <v>422</v>
      </c>
      <c r="H3513" t="s">
        <v>423</v>
      </c>
      <c r="I3513">
        <v>9788</v>
      </c>
      <c r="J3513" t="s">
        <v>424</v>
      </c>
      <c r="K3513" t="s">
        <v>509</v>
      </c>
      <c r="L3513" t="s">
        <v>94</v>
      </c>
      <c r="M3513" t="s">
        <v>73</v>
      </c>
      <c r="N3513" t="s">
        <v>13637</v>
      </c>
      <c r="O3513" t="s">
        <v>146</v>
      </c>
      <c r="P3513" t="s">
        <v>74</v>
      </c>
      <c r="Q3513" t="str">
        <f>"10002"</f>
        <v>10002</v>
      </c>
      <c r="AC3513" t="s">
        <v>76</v>
      </c>
      <c r="AD3513" t="s">
        <v>73</v>
      </c>
      <c r="AE3513" t="s">
        <v>95</v>
      </c>
      <c r="AG3513" t="s">
        <v>78</v>
      </c>
    </row>
    <row r="3514" spans="1:33" hidden="1" x14ac:dyDescent="0.25">
      <c r="A3514" t="str">
        <f>"1598072852"</f>
        <v>1598072852</v>
      </c>
      <c r="C3514" t="s">
        <v>13638</v>
      </c>
      <c r="G3514" t="s">
        <v>13639</v>
      </c>
      <c r="H3514" t="s">
        <v>13640</v>
      </c>
      <c r="I3514">
        <v>125</v>
      </c>
      <c r="J3514" t="s">
        <v>13641</v>
      </c>
      <c r="K3514" t="s">
        <v>93</v>
      </c>
      <c r="L3514" t="s">
        <v>72</v>
      </c>
      <c r="M3514" t="s">
        <v>73</v>
      </c>
      <c r="R3514" t="s">
        <v>13642</v>
      </c>
      <c r="S3514" t="s">
        <v>495</v>
      </c>
      <c r="T3514" t="s">
        <v>91</v>
      </c>
      <c r="U3514" t="s">
        <v>74</v>
      </c>
      <c r="V3514" t="str">
        <f>"100657769"</f>
        <v>100657769</v>
      </c>
      <c r="AC3514" t="s">
        <v>76</v>
      </c>
      <c r="AD3514" t="s">
        <v>73</v>
      </c>
      <c r="AE3514" t="s">
        <v>97</v>
      </c>
      <c r="AF3514" t="s">
        <v>13643</v>
      </c>
      <c r="AG3514" t="s">
        <v>78</v>
      </c>
    </row>
    <row r="3515" spans="1:33" hidden="1" x14ac:dyDescent="0.25">
      <c r="A3515" t="str">
        <f>"1225310436"</f>
        <v>1225310436</v>
      </c>
      <c r="C3515" t="s">
        <v>13644</v>
      </c>
      <c r="G3515" t="s">
        <v>13639</v>
      </c>
      <c r="H3515" t="s">
        <v>13640</v>
      </c>
      <c r="I3515">
        <v>125</v>
      </c>
      <c r="J3515" t="s">
        <v>13641</v>
      </c>
      <c r="K3515" t="s">
        <v>93</v>
      </c>
      <c r="L3515" t="s">
        <v>72</v>
      </c>
      <c r="M3515" t="s">
        <v>73</v>
      </c>
      <c r="R3515" t="s">
        <v>13645</v>
      </c>
      <c r="S3515" t="s">
        <v>495</v>
      </c>
      <c r="T3515" t="s">
        <v>91</v>
      </c>
      <c r="U3515" t="s">
        <v>74</v>
      </c>
      <c r="V3515" t="str">
        <f>"100657769"</f>
        <v>100657769</v>
      </c>
      <c r="AC3515" t="s">
        <v>76</v>
      </c>
      <c r="AD3515" t="s">
        <v>73</v>
      </c>
      <c r="AE3515" t="s">
        <v>97</v>
      </c>
      <c r="AF3515" t="s">
        <v>13643</v>
      </c>
      <c r="AG3515" t="s">
        <v>78</v>
      </c>
    </row>
    <row r="3516" spans="1:33" hidden="1" x14ac:dyDescent="0.25">
      <c r="A3516" t="str">
        <f>"1265868798"</f>
        <v>1265868798</v>
      </c>
      <c r="C3516" t="s">
        <v>13646</v>
      </c>
      <c r="G3516" t="s">
        <v>13639</v>
      </c>
      <c r="H3516" t="s">
        <v>13640</v>
      </c>
      <c r="I3516">
        <v>125</v>
      </c>
      <c r="J3516" t="s">
        <v>13641</v>
      </c>
      <c r="K3516" t="s">
        <v>93</v>
      </c>
      <c r="L3516" t="s">
        <v>72</v>
      </c>
      <c r="M3516" t="s">
        <v>73</v>
      </c>
      <c r="R3516" t="s">
        <v>13647</v>
      </c>
      <c r="S3516" t="s">
        <v>13648</v>
      </c>
      <c r="T3516" t="s">
        <v>1142</v>
      </c>
      <c r="U3516" t="s">
        <v>139</v>
      </c>
      <c r="V3516" t="str">
        <f>"076463260"</f>
        <v>076463260</v>
      </c>
      <c r="AC3516" t="s">
        <v>76</v>
      </c>
      <c r="AD3516" t="s">
        <v>73</v>
      </c>
      <c r="AE3516" t="s">
        <v>97</v>
      </c>
      <c r="AF3516" t="s">
        <v>13643</v>
      </c>
      <c r="AG3516" t="s">
        <v>78</v>
      </c>
    </row>
    <row r="3517" spans="1:33" hidden="1" x14ac:dyDescent="0.25">
      <c r="A3517" t="str">
        <f>"1144654229"</f>
        <v>1144654229</v>
      </c>
      <c r="C3517" t="s">
        <v>13649</v>
      </c>
      <c r="G3517" t="s">
        <v>13639</v>
      </c>
      <c r="H3517" t="s">
        <v>13640</v>
      </c>
      <c r="I3517">
        <v>125</v>
      </c>
      <c r="J3517" t="s">
        <v>13641</v>
      </c>
      <c r="K3517" t="s">
        <v>93</v>
      </c>
      <c r="L3517" t="s">
        <v>72</v>
      </c>
      <c r="M3517" t="s">
        <v>73</v>
      </c>
      <c r="R3517" t="s">
        <v>13650</v>
      </c>
      <c r="S3517" t="s">
        <v>2112</v>
      </c>
      <c r="T3517" t="s">
        <v>84</v>
      </c>
      <c r="U3517" t="s">
        <v>74</v>
      </c>
      <c r="V3517" t="str">
        <f>"112282413"</f>
        <v>112282413</v>
      </c>
      <c r="AC3517" t="s">
        <v>76</v>
      </c>
      <c r="AD3517" t="s">
        <v>73</v>
      </c>
      <c r="AE3517" t="s">
        <v>97</v>
      </c>
      <c r="AF3517" t="s">
        <v>13643</v>
      </c>
      <c r="AG3517" t="s">
        <v>78</v>
      </c>
    </row>
    <row r="3518" spans="1:33" hidden="1" x14ac:dyDescent="0.25">
      <c r="A3518" t="str">
        <f>"1760539498"</f>
        <v>1760539498</v>
      </c>
      <c r="B3518" t="str">
        <f>"02438613"</f>
        <v>02438613</v>
      </c>
      <c r="C3518" t="s">
        <v>13651</v>
      </c>
      <c r="D3518" t="s">
        <v>13652</v>
      </c>
      <c r="E3518" t="s">
        <v>13653</v>
      </c>
      <c r="G3518" t="s">
        <v>13639</v>
      </c>
      <c r="H3518" t="s">
        <v>13640</v>
      </c>
      <c r="I3518">
        <v>125</v>
      </c>
      <c r="J3518" t="s">
        <v>13641</v>
      </c>
      <c r="L3518" t="s">
        <v>100</v>
      </c>
      <c r="M3518" t="s">
        <v>73</v>
      </c>
      <c r="R3518" t="s">
        <v>13654</v>
      </c>
      <c r="W3518" t="s">
        <v>13653</v>
      </c>
      <c r="X3518" t="s">
        <v>13653</v>
      </c>
      <c r="Y3518" t="s">
        <v>91</v>
      </c>
      <c r="Z3518" t="s">
        <v>74</v>
      </c>
      <c r="AA3518" t="str">
        <f>"10065-7705"</f>
        <v>10065-7705</v>
      </c>
      <c r="AB3518" t="s">
        <v>113</v>
      </c>
      <c r="AC3518" t="s">
        <v>76</v>
      </c>
      <c r="AD3518" t="s">
        <v>73</v>
      </c>
      <c r="AE3518" t="s">
        <v>77</v>
      </c>
      <c r="AF3518" t="s">
        <v>13643</v>
      </c>
      <c r="AG3518" t="s">
        <v>78</v>
      </c>
    </row>
    <row r="3519" spans="1:33" hidden="1" x14ac:dyDescent="0.25">
      <c r="A3519" t="str">
        <f>"1346672417"</f>
        <v>1346672417</v>
      </c>
      <c r="C3519" t="s">
        <v>13655</v>
      </c>
      <c r="G3519" t="s">
        <v>13639</v>
      </c>
      <c r="H3519" t="s">
        <v>13640</v>
      </c>
      <c r="I3519">
        <v>125</v>
      </c>
      <c r="J3519" t="s">
        <v>13641</v>
      </c>
      <c r="K3519" t="s">
        <v>93</v>
      </c>
      <c r="L3519" t="s">
        <v>72</v>
      </c>
      <c r="M3519" t="s">
        <v>73</v>
      </c>
      <c r="R3519" t="s">
        <v>13656</v>
      </c>
      <c r="S3519" t="s">
        <v>13657</v>
      </c>
      <c r="T3519" t="s">
        <v>91</v>
      </c>
      <c r="U3519" t="s">
        <v>74</v>
      </c>
      <c r="V3519" t="str">
        <f>"100165043"</f>
        <v>100165043</v>
      </c>
      <c r="AC3519" t="s">
        <v>76</v>
      </c>
      <c r="AD3519" t="s">
        <v>73</v>
      </c>
      <c r="AE3519" t="s">
        <v>97</v>
      </c>
      <c r="AF3519" t="s">
        <v>13643</v>
      </c>
      <c r="AG3519" t="s">
        <v>78</v>
      </c>
    </row>
    <row r="3520" spans="1:33" hidden="1" x14ac:dyDescent="0.25">
      <c r="A3520" t="str">
        <f>"1588757272"</f>
        <v>1588757272</v>
      </c>
      <c r="B3520" t="str">
        <f>"00203609"</f>
        <v>00203609</v>
      </c>
      <c r="C3520" t="s">
        <v>13658</v>
      </c>
      <c r="D3520" t="s">
        <v>13659</v>
      </c>
      <c r="E3520" t="s">
        <v>13660</v>
      </c>
      <c r="G3520" t="s">
        <v>13639</v>
      </c>
      <c r="H3520" t="s">
        <v>13640</v>
      </c>
      <c r="I3520">
        <v>125</v>
      </c>
      <c r="J3520" t="s">
        <v>13641</v>
      </c>
      <c r="L3520" t="s">
        <v>129</v>
      </c>
      <c r="M3520" t="s">
        <v>73</v>
      </c>
      <c r="R3520" t="s">
        <v>13661</v>
      </c>
      <c r="W3520" t="s">
        <v>13662</v>
      </c>
      <c r="X3520" t="s">
        <v>13663</v>
      </c>
      <c r="Y3520" t="s">
        <v>118</v>
      </c>
      <c r="Z3520" t="s">
        <v>74</v>
      </c>
      <c r="AA3520" t="str">
        <f>"10452-0000"</f>
        <v>10452-0000</v>
      </c>
      <c r="AB3520" t="s">
        <v>75</v>
      </c>
      <c r="AC3520" t="s">
        <v>76</v>
      </c>
      <c r="AD3520" t="s">
        <v>73</v>
      </c>
      <c r="AE3520" t="s">
        <v>77</v>
      </c>
      <c r="AF3520" t="s">
        <v>13643</v>
      </c>
      <c r="AG3520" t="s">
        <v>78</v>
      </c>
    </row>
    <row r="3521" spans="1:33" hidden="1" x14ac:dyDescent="0.25">
      <c r="A3521" t="str">
        <f>"1124453451"</f>
        <v>1124453451</v>
      </c>
      <c r="C3521" t="s">
        <v>13664</v>
      </c>
      <c r="G3521" t="s">
        <v>13639</v>
      </c>
      <c r="H3521" t="s">
        <v>13640</v>
      </c>
      <c r="I3521">
        <v>125</v>
      </c>
      <c r="J3521" t="s">
        <v>13641</v>
      </c>
      <c r="K3521" t="s">
        <v>93</v>
      </c>
      <c r="L3521" t="s">
        <v>72</v>
      </c>
      <c r="M3521" t="s">
        <v>73</v>
      </c>
      <c r="R3521" t="s">
        <v>13665</v>
      </c>
      <c r="S3521" t="s">
        <v>13666</v>
      </c>
      <c r="T3521" t="s">
        <v>84</v>
      </c>
      <c r="U3521" t="s">
        <v>74</v>
      </c>
      <c r="V3521" t="str">
        <f>"112161020"</f>
        <v>112161020</v>
      </c>
      <c r="AC3521" t="s">
        <v>76</v>
      </c>
      <c r="AD3521" t="s">
        <v>73</v>
      </c>
      <c r="AE3521" t="s">
        <v>97</v>
      </c>
      <c r="AF3521" t="s">
        <v>13643</v>
      </c>
      <c r="AG3521" t="s">
        <v>78</v>
      </c>
    </row>
    <row r="3522" spans="1:33" hidden="1" x14ac:dyDescent="0.25">
      <c r="A3522" t="str">
        <f>"1962887232"</f>
        <v>1962887232</v>
      </c>
      <c r="C3522" t="s">
        <v>13667</v>
      </c>
      <c r="G3522" t="s">
        <v>13639</v>
      </c>
      <c r="H3522" t="s">
        <v>13640</v>
      </c>
      <c r="I3522">
        <v>125</v>
      </c>
      <c r="J3522" t="s">
        <v>13641</v>
      </c>
      <c r="K3522" t="s">
        <v>93</v>
      </c>
      <c r="L3522" t="s">
        <v>72</v>
      </c>
      <c r="M3522" t="s">
        <v>73</v>
      </c>
      <c r="R3522" t="s">
        <v>13668</v>
      </c>
      <c r="S3522" t="s">
        <v>495</v>
      </c>
      <c r="T3522" t="s">
        <v>91</v>
      </c>
      <c r="U3522" t="s">
        <v>74</v>
      </c>
      <c r="V3522" t="str">
        <f>"100657769"</f>
        <v>100657769</v>
      </c>
      <c r="AC3522" t="s">
        <v>76</v>
      </c>
      <c r="AD3522" t="s">
        <v>73</v>
      </c>
      <c r="AE3522" t="s">
        <v>97</v>
      </c>
      <c r="AF3522" t="s">
        <v>13643</v>
      </c>
      <c r="AG3522" t="s">
        <v>78</v>
      </c>
    </row>
    <row r="3523" spans="1:33" hidden="1" x14ac:dyDescent="0.25">
      <c r="A3523" t="str">
        <f>"1598190050"</f>
        <v>1598190050</v>
      </c>
      <c r="B3523" t="str">
        <f>"04312034"</f>
        <v>04312034</v>
      </c>
      <c r="C3523" t="s">
        <v>13669</v>
      </c>
      <c r="D3523" t="s">
        <v>13670</v>
      </c>
      <c r="E3523" t="s">
        <v>13671</v>
      </c>
      <c r="G3523" t="s">
        <v>13639</v>
      </c>
      <c r="H3523" t="s">
        <v>13640</v>
      </c>
      <c r="I3523">
        <v>125</v>
      </c>
      <c r="J3523" t="s">
        <v>13641</v>
      </c>
      <c r="L3523" t="s">
        <v>100</v>
      </c>
      <c r="M3523" t="s">
        <v>73</v>
      </c>
      <c r="R3523" t="s">
        <v>13672</v>
      </c>
      <c r="W3523" t="s">
        <v>13671</v>
      </c>
      <c r="X3523" t="s">
        <v>495</v>
      </c>
      <c r="Y3523" t="s">
        <v>91</v>
      </c>
      <c r="Z3523" t="s">
        <v>74</v>
      </c>
      <c r="AA3523" t="str">
        <f>"10065-7705"</f>
        <v>10065-7705</v>
      </c>
      <c r="AB3523" t="s">
        <v>113</v>
      </c>
      <c r="AC3523" t="s">
        <v>76</v>
      </c>
      <c r="AD3523" t="s">
        <v>73</v>
      </c>
      <c r="AE3523" t="s">
        <v>77</v>
      </c>
      <c r="AF3523" t="s">
        <v>13643</v>
      </c>
      <c r="AG3523" t="s">
        <v>78</v>
      </c>
    </row>
    <row r="3524" spans="1:33" hidden="1" x14ac:dyDescent="0.25">
      <c r="A3524" t="str">
        <f>"1497063812"</f>
        <v>1497063812</v>
      </c>
      <c r="B3524" t="str">
        <f>"03374930"</f>
        <v>03374930</v>
      </c>
      <c r="C3524" t="s">
        <v>13673</v>
      </c>
      <c r="D3524" t="s">
        <v>13674</v>
      </c>
      <c r="E3524" t="s">
        <v>13675</v>
      </c>
      <c r="G3524" t="s">
        <v>13639</v>
      </c>
      <c r="H3524" t="s">
        <v>13640</v>
      </c>
      <c r="I3524">
        <v>125</v>
      </c>
      <c r="J3524" t="s">
        <v>13641</v>
      </c>
      <c r="L3524" t="s">
        <v>100</v>
      </c>
      <c r="M3524" t="s">
        <v>73</v>
      </c>
      <c r="R3524" t="s">
        <v>13675</v>
      </c>
      <c r="W3524" t="s">
        <v>13675</v>
      </c>
      <c r="X3524" t="s">
        <v>1446</v>
      </c>
      <c r="Y3524" t="s">
        <v>118</v>
      </c>
      <c r="Z3524" t="s">
        <v>74</v>
      </c>
      <c r="AA3524" t="str">
        <f>"10461-3240"</f>
        <v>10461-3240</v>
      </c>
      <c r="AB3524" t="s">
        <v>106</v>
      </c>
      <c r="AC3524" t="s">
        <v>76</v>
      </c>
      <c r="AD3524" t="s">
        <v>73</v>
      </c>
      <c r="AE3524" t="s">
        <v>77</v>
      </c>
      <c r="AF3524" t="s">
        <v>13643</v>
      </c>
      <c r="AG3524" t="s">
        <v>78</v>
      </c>
    </row>
    <row r="3525" spans="1:33" hidden="1" x14ac:dyDescent="0.25">
      <c r="A3525" t="str">
        <f>"1013396233"</f>
        <v>1013396233</v>
      </c>
      <c r="C3525" t="s">
        <v>13676</v>
      </c>
      <c r="G3525" t="s">
        <v>13639</v>
      </c>
      <c r="H3525" t="s">
        <v>13640</v>
      </c>
      <c r="I3525">
        <v>125</v>
      </c>
      <c r="J3525" t="s">
        <v>13641</v>
      </c>
      <c r="K3525" t="s">
        <v>93</v>
      </c>
      <c r="L3525" t="s">
        <v>72</v>
      </c>
      <c r="M3525" t="s">
        <v>73</v>
      </c>
      <c r="R3525" t="s">
        <v>13677</v>
      </c>
      <c r="S3525" t="s">
        <v>495</v>
      </c>
      <c r="T3525" t="s">
        <v>91</v>
      </c>
      <c r="U3525" t="s">
        <v>74</v>
      </c>
      <c r="V3525" t="str">
        <f>"100657769"</f>
        <v>100657769</v>
      </c>
      <c r="AC3525" t="s">
        <v>76</v>
      </c>
      <c r="AD3525" t="s">
        <v>73</v>
      </c>
      <c r="AE3525" t="s">
        <v>97</v>
      </c>
      <c r="AF3525" t="s">
        <v>13643</v>
      </c>
      <c r="AG3525" t="s">
        <v>78</v>
      </c>
    </row>
    <row r="3526" spans="1:33" hidden="1" x14ac:dyDescent="0.25">
      <c r="A3526" t="str">
        <f>"1316335110"</f>
        <v>1316335110</v>
      </c>
      <c r="C3526" t="s">
        <v>13678</v>
      </c>
      <c r="G3526" t="s">
        <v>13639</v>
      </c>
      <c r="H3526" t="s">
        <v>13640</v>
      </c>
      <c r="I3526">
        <v>125</v>
      </c>
      <c r="J3526" t="s">
        <v>13641</v>
      </c>
      <c r="K3526" t="s">
        <v>93</v>
      </c>
      <c r="L3526" t="s">
        <v>72</v>
      </c>
      <c r="M3526" t="s">
        <v>73</v>
      </c>
      <c r="R3526" t="s">
        <v>13679</v>
      </c>
      <c r="S3526" t="s">
        <v>1446</v>
      </c>
      <c r="T3526" t="s">
        <v>118</v>
      </c>
      <c r="U3526" t="s">
        <v>74</v>
      </c>
      <c r="V3526" t="str">
        <f>"104613240"</f>
        <v>104613240</v>
      </c>
      <c r="AC3526" t="s">
        <v>76</v>
      </c>
      <c r="AD3526" t="s">
        <v>73</v>
      </c>
      <c r="AE3526" t="s">
        <v>97</v>
      </c>
      <c r="AF3526" t="s">
        <v>13643</v>
      </c>
      <c r="AG3526" t="s">
        <v>78</v>
      </c>
    </row>
    <row r="3527" spans="1:33" hidden="1" x14ac:dyDescent="0.25">
      <c r="A3527" t="str">
        <f>"1043383979"</f>
        <v>1043383979</v>
      </c>
      <c r="B3527" t="str">
        <f>"02894571"</f>
        <v>02894571</v>
      </c>
      <c r="C3527" t="s">
        <v>13680</v>
      </c>
      <c r="D3527" t="s">
        <v>13681</v>
      </c>
      <c r="E3527" t="s">
        <v>13682</v>
      </c>
      <c r="G3527" t="s">
        <v>13639</v>
      </c>
      <c r="H3527" t="s">
        <v>13640</v>
      </c>
      <c r="I3527">
        <v>125</v>
      </c>
      <c r="J3527" t="s">
        <v>13641</v>
      </c>
      <c r="L3527" t="s">
        <v>72</v>
      </c>
      <c r="M3527" t="s">
        <v>73</v>
      </c>
      <c r="R3527" t="s">
        <v>13682</v>
      </c>
      <c r="W3527" t="s">
        <v>13682</v>
      </c>
      <c r="X3527" t="s">
        <v>495</v>
      </c>
      <c r="Y3527" t="s">
        <v>91</v>
      </c>
      <c r="Z3527" t="s">
        <v>74</v>
      </c>
      <c r="AA3527" t="str">
        <f>"10065-7705"</f>
        <v>10065-7705</v>
      </c>
      <c r="AB3527" t="s">
        <v>106</v>
      </c>
      <c r="AC3527" t="s">
        <v>76</v>
      </c>
      <c r="AD3527" t="s">
        <v>73</v>
      </c>
      <c r="AE3527" t="s">
        <v>77</v>
      </c>
      <c r="AF3527" t="s">
        <v>13643</v>
      </c>
      <c r="AG3527" t="s">
        <v>78</v>
      </c>
    </row>
    <row r="3528" spans="1:33" hidden="1" x14ac:dyDescent="0.25">
      <c r="A3528" t="str">
        <f>"1831389121"</f>
        <v>1831389121</v>
      </c>
      <c r="B3528" t="str">
        <f>"03165419"</f>
        <v>03165419</v>
      </c>
      <c r="C3528" t="s">
        <v>13683</v>
      </c>
      <c r="D3528" t="s">
        <v>13684</v>
      </c>
      <c r="E3528" t="s">
        <v>13685</v>
      </c>
      <c r="G3528" t="s">
        <v>13639</v>
      </c>
      <c r="H3528" t="s">
        <v>13640</v>
      </c>
      <c r="I3528">
        <v>125</v>
      </c>
      <c r="J3528" t="s">
        <v>13641</v>
      </c>
      <c r="L3528" t="s">
        <v>100</v>
      </c>
      <c r="M3528" t="s">
        <v>73</v>
      </c>
      <c r="R3528" t="s">
        <v>13685</v>
      </c>
      <c r="W3528" t="s">
        <v>13685</v>
      </c>
      <c r="X3528" t="s">
        <v>495</v>
      </c>
      <c r="Y3528" t="s">
        <v>91</v>
      </c>
      <c r="Z3528" t="s">
        <v>74</v>
      </c>
      <c r="AA3528" t="str">
        <f>"10065-7769"</f>
        <v>10065-7769</v>
      </c>
      <c r="AB3528" t="s">
        <v>106</v>
      </c>
      <c r="AC3528" t="s">
        <v>76</v>
      </c>
      <c r="AD3528" t="s">
        <v>73</v>
      </c>
      <c r="AE3528" t="s">
        <v>77</v>
      </c>
      <c r="AF3528" t="s">
        <v>13643</v>
      </c>
      <c r="AG3528" t="s">
        <v>78</v>
      </c>
    </row>
    <row r="3529" spans="1:33" hidden="1" x14ac:dyDescent="0.25">
      <c r="A3529" t="str">
        <f>"1609136266"</f>
        <v>1609136266</v>
      </c>
      <c r="C3529" t="s">
        <v>13686</v>
      </c>
      <c r="G3529" t="s">
        <v>13639</v>
      </c>
      <c r="H3529" t="s">
        <v>13640</v>
      </c>
      <c r="I3529">
        <v>125</v>
      </c>
      <c r="J3529" t="s">
        <v>13641</v>
      </c>
      <c r="K3529" t="s">
        <v>93</v>
      </c>
      <c r="L3529" t="s">
        <v>72</v>
      </c>
      <c r="M3529" t="s">
        <v>73</v>
      </c>
      <c r="R3529" t="s">
        <v>13687</v>
      </c>
      <c r="S3529" t="s">
        <v>13688</v>
      </c>
      <c r="T3529" t="s">
        <v>91</v>
      </c>
      <c r="U3529" t="s">
        <v>74</v>
      </c>
      <c r="V3529" t="str">
        <f>"100032639"</f>
        <v>100032639</v>
      </c>
      <c r="AC3529" t="s">
        <v>76</v>
      </c>
      <c r="AD3529" t="s">
        <v>73</v>
      </c>
      <c r="AE3529" t="s">
        <v>97</v>
      </c>
      <c r="AF3529" t="s">
        <v>13643</v>
      </c>
      <c r="AG3529" t="s">
        <v>78</v>
      </c>
    </row>
    <row r="3530" spans="1:33" hidden="1" x14ac:dyDescent="0.25">
      <c r="A3530" t="str">
        <f>"1053742395"</f>
        <v>1053742395</v>
      </c>
      <c r="C3530" t="s">
        <v>13689</v>
      </c>
      <c r="G3530" t="s">
        <v>13639</v>
      </c>
      <c r="H3530" t="s">
        <v>13640</v>
      </c>
      <c r="I3530">
        <v>125</v>
      </c>
      <c r="J3530" t="s">
        <v>13641</v>
      </c>
      <c r="K3530" t="s">
        <v>93</v>
      </c>
      <c r="L3530" t="s">
        <v>72</v>
      </c>
      <c r="M3530" t="s">
        <v>73</v>
      </c>
      <c r="R3530" t="s">
        <v>13690</v>
      </c>
      <c r="S3530" t="s">
        <v>13691</v>
      </c>
      <c r="T3530" t="s">
        <v>91</v>
      </c>
      <c r="U3530" t="s">
        <v>74</v>
      </c>
      <c r="V3530" t="str">
        <f>"100144009"</f>
        <v>100144009</v>
      </c>
      <c r="AC3530" t="s">
        <v>76</v>
      </c>
      <c r="AD3530" t="s">
        <v>73</v>
      </c>
      <c r="AE3530" t="s">
        <v>97</v>
      </c>
      <c r="AF3530" t="s">
        <v>13643</v>
      </c>
      <c r="AG3530" t="s">
        <v>78</v>
      </c>
    </row>
    <row r="3531" spans="1:33" hidden="1" x14ac:dyDescent="0.25">
      <c r="A3531" t="str">
        <f>"1114385580"</f>
        <v>1114385580</v>
      </c>
      <c r="C3531" t="s">
        <v>13692</v>
      </c>
      <c r="G3531" t="s">
        <v>13639</v>
      </c>
      <c r="H3531" t="s">
        <v>13640</v>
      </c>
      <c r="I3531">
        <v>125</v>
      </c>
      <c r="J3531" t="s">
        <v>13641</v>
      </c>
      <c r="K3531" t="s">
        <v>93</v>
      </c>
      <c r="L3531" t="s">
        <v>72</v>
      </c>
      <c r="M3531" t="s">
        <v>73</v>
      </c>
      <c r="R3531" t="s">
        <v>13693</v>
      </c>
      <c r="S3531" t="s">
        <v>13694</v>
      </c>
      <c r="T3531" t="s">
        <v>91</v>
      </c>
      <c r="U3531" t="s">
        <v>74</v>
      </c>
      <c r="V3531" t="str">
        <f>"101284928"</f>
        <v>101284928</v>
      </c>
      <c r="AC3531" t="s">
        <v>76</v>
      </c>
      <c r="AD3531" t="s">
        <v>73</v>
      </c>
      <c r="AE3531" t="s">
        <v>97</v>
      </c>
      <c r="AF3531" t="s">
        <v>13643</v>
      </c>
      <c r="AG3531" t="s">
        <v>78</v>
      </c>
    </row>
    <row r="3532" spans="1:33" hidden="1" x14ac:dyDescent="0.25">
      <c r="A3532" t="str">
        <f>"1114272234"</f>
        <v>1114272234</v>
      </c>
      <c r="C3532" t="s">
        <v>13695</v>
      </c>
      <c r="G3532" t="s">
        <v>13639</v>
      </c>
      <c r="H3532" t="s">
        <v>13640</v>
      </c>
      <c r="I3532">
        <v>125</v>
      </c>
      <c r="J3532" t="s">
        <v>13641</v>
      </c>
      <c r="K3532" t="s">
        <v>93</v>
      </c>
      <c r="L3532" t="s">
        <v>72</v>
      </c>
      <c r="M3532" t="s">
        <v>73</v>
      </c>
      <c r="R3532" t="s">
        <v>13696</v>
      </c>
      <c r="S3532" t="s">
        <v>13697</v>
      </c>
      <c r="T3532" t="s">
        <v>91</v>
      </c>
      <c r="U3532" t="s">
        <v>74</v>
      </c>
      <c r="V3532" t="str">
        <f>"100752115"</f>
        <v>100752115</v>
      </c>
      <c r="AC3532" t="s">
        <v>76</v>
      </c>
      <c r="AD3532" t="s">
        <v>73</v>
      </c>
      <c r="AE3532" t="s">
        <v>97</v>
      </c>
      <c r="AF3532" t="s">
        <v>13643</v>
      </c>
      <c r="AG3532" t="s">
        <v>78</v>
      </c>
    </row>
    <row r="3533" spans="1:33" hidden="1" x14ac:dyDescent="0.25">
      <c r="A3533" t="str">
        <f>"1265863484"</f>
        <v>1265863484</v>
      </c>
      <c r="C3533" t="s">
        <v>13698</v>
      </c>
      <c r="G3533" t="s">
        <v>13639</v>
      </c>
      <c r="H3533" t="s">
        <v>13640</v>
      </c>
      <c r="I3533">
        <v>125</v>
      </c>
      <c r="J3533" t="s">
        <v>13641</v>
      </c>
      <c r="K3533" t="s">
        <v>93</v>
      </c>
      <c r="L3533" t="s">
        <v>72</v>
      </c>
      <c r="M3533" t="s">
        <v>73</v>
      </c>
      <c r="R3533" t="s">
        <v>13699</v>
      </c>
      <c r="S3533" t="s">
        <v>495</v>
      </c>
      <c r="T3533" t="s">
        <v>91</v>
      </c>
      <c r="U3533" t="s">
        <v>74</v>
      </c>
      <c r="V3533" t="str">
        <f>"100657769"</f>
        <v>100657769</v>
      </c>
      <c r="AC3533" t="s">
        <v>76</v>
      </c>
      <c r="AD3533" t="s">
        <v>73</v>
      </c>
      <c r="AE3533" t="s">
        <v>97</v>
      </c>
      <c r="AF3533" t="s">
        <v>13643</v>
      </c>
      <c r="AG3533" t="s">
        <v>78</v>
      </c>
    </row>
    <row r="3534" spans="1:33" hidden="1" x14ac:dyDescent="0.25">
      <c r="A3534" t="str">
        <f>"1427464676"</f>
        <v>1427464676</v>
      </c>
      <c r="C3534" t="s">
        <v>13700</v>
      </c>
      <c r="G3534" t="s">
        <v>13639</v>
      </c>
      <c r="H3534" t="s">
        <v>13640</v>
      </c>
      <c r="I3534">
        <v>125</v>
      </c>
      <c r="J3534" t="s">
        <v>13641</v>
      </c>
      <c r="K3534" t="s">
        <v>93</v>
      </c>
      <c r="L3534" t="s">
        <v>72</v>
      </c>
      <c r="M3534" t="s">
        <v>73</v>
      </c>
      <c r="R3534" t="s">
        <v>13701</v>
      </c>
      <c r="S3534" t="s">
        <v>13702</v>
      </c>
      <c r="T3534" t="s">
        <v>91</v>
      </c>
      <c r="U3534" t="s">
        <v>74</v>
      </c>
      <c r="V3534" t="str">
        <f>"10065"</f>
        <v>10065</v>
      </c>
      <c r="AC3534" t="s">
        <v>76</v>
      </c>
      <c r="AD3534" t="s">
        <v>73</v>
      </c>
      <c r="AE3534" t="s">
        <v>97</v>
      </c>
      <c r="AF3534" t="s">
        <v>13643</v>
      </c>
      <c r="AG3534" t="s">
        <v>78</v>
      </c>
    </row>
    <row r="3535" spans="1:33" hidden="1" x14ac:dyDescent="0.25">
      <c r="C3535" t="s">
        <v>13703</v>
      </c>
      <c r="G3535" t="s">
        <v>13639</v>
      </c>
      <c r="H3535" t="s">
        <v>13640</v>
      </c>
      <c r="I3535">
        <v>125</v>
      </c>
      <c r="J3535" t="s">
        <v>13641</v>
      </c>
      <c r="K3535" t="s">
        <v>93</v>
      </c>
      <c r="L3535" t="s">
        <v>94</v>
      </c>
      <c r="M3535" t="s">
        <v>73</v>
      </c>
      <c r="N3535" t="s">
        <v>13704</v>
      </c>
      <c r="O3535" t="s">
        <v>146</v>
      </c>
      <c r="P3535" t="s">
        <v>74</v>
      </c>
      <c r="Q3535" t="str">
        <f>"10065"</f>
        <v>10065</v>
      </c>
      <c r="AC3535" t="s">
        <v>76</v>
      </c>
      <c r="AD3535" t="s">
        <v>73</v>
      </c>
      <c r="AE3535" t="s">
        <v>95</v>
      </c>
      <c r="AF3535" t="s">
        <v>13643</v>
      </c>
      <c r="AG3535" t="s">
        <v>78</v>
      </c>
    </row>
    <row r="3536" spans="1:33" hidden="1" x14ac:dyDescent="0.25">
      <c r="A3536" t="str">
        <f>"1801125489"</f>
        <v>1801125489</v>
      </c>
      <c r="B3536" t="str">
        <f>"03741137"</f>
        <v>03741137</v>
      </c>
      <c r="C3536" t="s">
        <v>13705</v>
      </c>
      <c r="D3536" t="s">
        <v>13706</v>
      </c>
      <c r="E3536" t="s">
        <v>13707</v>
      </c>
      <c r="G3536" t="s">
        <v>13639</v>
      </c>
      <c r="H3536" t="s">
        <v>13640</v>
      </c>
      <c r="I3536">
        <v>125</v>
      </c>
      <c r="J3536" t="s">
        <v>13641</v>
      </c>
      <c r="L3536" t="s">
        <v>100</v>
      </c>
      <c r="M3536" t="s">
        <v>73</v>
      </c>
      <c r="R3536" t="s">
        <v>13708</v>
      </c>
      <c r="W3536" t="s">
        <v>13707</v>
      </c>
      <c r="X3536" t="s">
        <v>495</v>
      </c>
      <c r="Y3536" t="s">
        <v>91</v>
      </c>
      <c r="Z3536" t="s">
        <v>74</v>
      </c>
      <c r="AA3536" t="str">
        <f>"10065-7769"</f>
        <v>10065-7769</v>
      </c>
      <c r="AB3536" t="s">
        <v>113</v>
      </c>
      <c r="AC3536" t="s">
        <v>76</v>
      </c>
      <c r="AD3536" t="s">
        <v>73</v>
      </c>
      <c r="AE3536" t="s">
        <v>77</v>
      </c>
      <c r="AF3536" t="s">
        <v>13643</v>
      </c>
      <c r="AG3536" t="s">
        <v>78</v>
      </c>
    </row>
    <row r="3537" spans="1:35" hidden="1" x14ac:dyDescent="0.25">
      <c r="C3537" t="s">
        <v>13709</v>
      </c>
      <c r="G3537" t="s">
        <v>13639</v>
      </c>
      <c r="H3537" t="s">
        <v>13640</v>
      </c>
      <c r="I3537">
        <v>125</v>
      </c>
      <c r="J3537" t="s">
        <v>13641</v>
      </c>
      <c r="K3537" t="s">
        <v>93</v>
      </c>
      <c r="L3537" t="s">
        <v>94</v>
      </c>
      <c r="M3537" t="s">
        <v>73</v>
      </c>
      <c r="N3537" t="s">
        <v>13704</v>
      </c>
      <c r="O3537" t="s">
        <v>146</v>
      </c>
      <c r="P3537" t="s">
        <v>74</v>
      </c>
      <c r="Q3537" t="str">
        <f>"10065"</f>
        <v>10065</v>
      </c>
      <c r="AC3537" t="s">
        <v>76</v>
      </c>
      <c r="AD3537" t="s">
        <v>73</v>
      </c>
      <c r="AE3537" t="s">
        <v>95</v>
      </c>
      <c r="AF3537" t="s">
        <v>13643</v>
      </c>
      <c r="AG3537" t="s">
        <v>78</v>
      </c>
    </row>
    <row r="3538" spans="1:35" hidden="1" x14ac:dyDescent="0.25">
      <c r="A3538" t="str">
        <f>"1073678728"</f>
        <v>1073678728</v>
      </c>
      <c r="C3538" t="s">
        <v>13710</v>
      </c>
      <c r="G3538" t="s">
        <v>13639</v>
      </c>
      <c r="H3538" t="s">
        <v>13640</v>
      </c>
      <c r="I3538">
        <v>125</v>
      </c>
      <c r="J3538" t="s">
        <v>13641</v>
      </c>
      <c r="K3538" t="s">
        <v>93</v>
      </c>
      <c r="L3538" t="s">
        <v>72</v>
      </c>
      <c r="M3538" t="s">
        <v>73</v>
      </c>
      <c r="R3538" t="s">
        <v>13711</v>
      </c>
      <c r="S3538" t="s">
        <v>13712</v>
      </c>
      <c r="T3538" t="s">
        <v>91</v>
      </c>
      <c r="U3538" t="s">
        <v>74</v>
      </c>
      <c r="V3538" t="str">
        <f>"100118971"</f>
        <v>100118971</v>
      </c>
      <c r="AC3538" t="s">
        <v>76</v>
      </c>
      <c r="AD3538" t="s">
        <v>73</v>
      </c>
      <c r="AE3538" t="s">
        <v>97</v>
      </c>
      <c r="AF3538" t="s">
        <v>13643</v>
      </c>
      <c r="AG3538" t="s">
        <v>78</v>
      </c>
    </row>
    <row r="3539" spans="1:35" hidden="1" x14ac:dyDescent="0.25">
      <c r="A3539" t="str">
        <f>"1760502538"</f>
        <v>1760502538</v>
      </c>
      <c r="B3539" t="str">
        <f>"02895292"</f>
        <v>02895292</v>
      </c>
      <c r="C3539" t="s">
        <v>13713</v>
      </c>
      <c r="D3539" t="s">
        <v>13714</v>
      </c>
      <c r="E3539" t="s">
        <v>13715</v>
      </c>
      <c r="G3539" t="s">
        <v>13639</v>
      </c>
      <c r="H3539" t="s">
        <v>13640</v>
      </c>
      <c r="I3539">
        <v>125</v>
      </c>
      <c r="J3539" t="s">
        <v>13641</v>
      </c>
      <c r="L3539" t="s">
        <v>100</v>
      </c>
      <c r="M3539" t="s">
        <v>73</v>
      </c>
      <c r="R3539" t="s">
        <v>13716</v>
      </c>
      <c r="W3539" t="s">
        <v>13717</v>
      </c>
      <c r="X3539" t="s">
        <v>495</v>
      </c>
      <c r="Y3539" t="s">
        <v>91</v>
      </c>
      <c r="Z3539" t="s">
        <v>74</v>
      </c>
      <c r="AA3539" t="str">
        <f>"10065-7769"</f>
        <v>10065-7769</v>
      </c>
      <c r="AB3539" t="s">
        <v>106</v>
      </c>
      <c r="AC3539" t="s">
        <v>76</v>
      </c>
      <c r="AD3539" t="s">
        <v>73</v>
      </c>
      <c r="AE3539" t="s">
        <v>77</v>
      </c>
      <c r="AF3539" t="s">
        <v>13643</v>
      </c>
      <c r="AG3539" t="s">
        <v>78</v>
      </c>
    </row>
    <row r="3540" spans="1:35" hidden="1" x14ac:dyDescent="0.25">
      <c r="A3540" t="str">
        <f>"1093141707"</f>
        <v>1093141707</v>
      </c>
      <c r="C3540" t="s">
        <v>13718</v>
      </c>
      <c r="G3540" t="s">
        <v>13639</v>
      </c>
      <c r="H3540" t="s">
        <v>13640</v>
      </c>
      <c r="I3540">
        <v>125</v>
      </c>
      <c r="J3540" t="s">
        <v>13641</v>
      </c>
      <c r="K3540" t="s">
        <v>93</v>
      </c>
      <c r="L3540" t="s">
        <v>72</v>
      </c>
      <c r="M3540" t="s">
        <v>73</v>
      </c>
      <c r="R3540" t="s">
        <v>1588</v>
      </c>
      <c r="S3540" t="s">
        <v>495</v>
      </c>
      <c r="T3540" t="s">
        <v>91</v>
      </c>
      <c r="U3540" t="s">
        <v>74</v>
      </c>
      <c r="V3540" t="str">
        <f>"100657769"</f>
        <v>100657769</v>
      </c>
      <c r="AC3540" t="s">
        <v>76</v>
      </c>
      <c r="AD3540" t="s">
        <v>73</v>
      </c>
      <c r="AE3540" t="s">
        <v>97</v>
      </c>
      <c r="AF3540" t="s">
        <v>13643</v>
      </c>
      <c r="AG3540" t="s">
        <v>78</v>
      </c>
    </row>
    <row r="3541" spans="1:35" hidden="1" x14ac:dyDescent="0.25">
      <c r="A3541" t="str">
        <f>"1043644669"</f>
        <v>1043644669</v>
      </c>
      <c r="C3541" t="s">
        <v>13719</v>
      </c>
      <c r="G3541" t="s">
        <v>13639</v>
      </c>
      <c r="H3541" t="s">
        <v>13640</v>
      </c>
      <c r="I3541">
        <v>125</v>
      </c>
      <c r="J3541" t="s">
        <v>13641</v>
      </c>
      <c r="K3541" t="s">
        <v>93</v>
      </c>
      <c r="L3541" t="s">
        <v>72</v>
      </c>
      <c r="M3541" t="s">
        <v>73</v>
      </c>
      <c r="R3541" t="s">
        <v>13720</v>
      </c>
      <c r="S3541" t="s">
        <v>13721</v>
      </c>
      <c r="T3541" t="s">
        <v>91</v>
      </c>
      <c r="U3541" t="s">
        <v>74</v>
      </c>
      <c r="V3541" t="str">
        <f>"10023"</f>
        <v>10023</v>
      </c>
      <c r="AC3541" t="s">
        <v>76</v>
      </c>
      <c r="AD3541" t="s">
        <v>73</v>
      </c>
      <c r="AE3541" t="s">
        <v>97</v>
      </c>
      <c r="AF3541" t="s">
        <v>13643</v>
      </c>
      <c r="AG3541" t="s">
        <v>78</v>
      </c>
    </row>
    <row r="3542" spans="1:35" hidden="1" x14ac:dyDescent="0.25">
      <c r="A3542" t="str">
        <f>"1801943295"</f>
        <v>1801943295</v>
      </c>
      <c r="B3542" t="str">
        <f>"00244028"</f>
        <v>00244028</v>
      </c>
      <c r="C3542" t="s">
        <v>13722</v>
      </c>
      <c r="D3542" t="s">
        <v>493</v>
      </c>
      <c r="E3542" t="s">
        <v>494</v>
      </c>
      <c r="G3542" t="s">
        <v>13639</v>
      </c>
      <c r="H3542" t="s">
        <v>13640</v>
      </c>
      <c r="I3542">
        <v>125</v>
      </c>
      <c r="J3542" t="s">
        <v>13641</v>
      </c>
      <c r="L3542" t="s">
        <v>99</v>
      </c>
      <c r="M3542" t="s">
        <v>82</v>
      </c>
      <c r="R3542" t="s">
        <v>492</v>
      </c>
      <c r="W3542" t="s">
        <v>494</v>
      </c>
      <c r="X3542" t="s">
        <v>495</v>
      </c>
      <c r="Y3542" t="s">
        <v>91</v>
      </c>
      <c r="Z3542" t="s">
        <v>74</v>
      </c>
      <c r="AA3542" t="str">
        <f>"10065-7705"</f>
        <v>10065-7705</v>
      </c>
      <c r="AB3542" t="s">
        <v>110</v>
      </c>
      <c r="AC3542" t="s">
        <v>76</v>
      </c>
      <c r="AD3542" t="s">
        <v>73</v>
      </c>
      <c r="AE3542" t="s">
        <v>77</v>
      </c>
      <c r="AF3542" t="s">
        <v>13643</v>
      </c>
      <c r="AG3542" t="s">
        <v>78</v>
      </c>
    </row>
    <row r="3543" spans="1:35" hidden="1" x14ac:dyDescent="0.25">
      <c r="A3543" t="str">
        <f>"1881086601"</f>
        <v>1881086601</v>
      </c>
      <c r="C3543" t="s">
        <v>13723</v>
      </c>
      <c r="G3543" t="s">
        <v>13639</v>
      </c>
      <c r="H3543" t="s">
        <v>13640</v>
      </c>
      <c r="I3543">
        <v>125</v>
      </c>
      <c r="J3543" t="s">
        <v>13641</v>
      </c>
      <c r="K3543" t="s">
        <v>93</v>
      </c>
      <c r="L3543" t="s">
        <v>72</v>
      </c>
      <c r="M3543" t="s">
        <v>73</v>
      </c>
      <c r="R3543" t="s">
        <v>13724</v>
      </c>
      <c r="S3543" t="s">
        <v>495</v>
      </c>
      <c r="T3543" t="s">
        <v>91</v>
      </c>
      <c r="U3543" t="s">
        <v>74</v>
      </c>
      <c r="V3543" t="str">
        <f>"100657769"</f>
        <v>100657769</v>
      </c>
      <c r="AC3543" t="s">
        <v>76</v>
      </c>
      <c r="AD3543" t="s">
        <v>73</v>
      </c>
      <c r="AE3543" t="s">
        <v>97</v>
      </c>
      <c r="AF3543" t="s">
        <v>13643</v>
      </c>
      <c r="AG3543" t="s">
        <v>78</v>
      </c>
    </row>
    <row r="3544" spans="1:35" hidden="1" x14ac:dyDescent="0.25">
      <c r="A3544" t="str">
        <f>"1801019237"</f>
        <v>1801019237</v>
      </c>
      <c r="C3544" t="s">
        <v>13725</v>
      </c>
      <c r="G3544" t="s">
        <v>13639</v>
      </c>
      <c r="H3544" t="s">
        <v>13640</v>
      </c>
      <c r="I3544">
        <v>125</v>
      </c>
      <c r="J3544" t="s">
        <v>13641</v>
      </c>
      <c r="K3544" t="s">
        <v>93</v>
      </c>
      <c r="L3544" t="s">
        <v>96</v>
      </c>
      <c r="M3544" t="s">
        <v>73</v>
      </c>
      <c r="R3544" t="s">
        <v>13726</v>
      </c>
      <c r="S3544" t="s">
        <v>13727</v>
      </c>
      <c r="T3544" t="s">
        <v>91</v>
      </c>
      <c r="U3544" t="s">
        <v>74</v>
      </c>
      <c r="V3544" t="str">
        <f>"100231513"</f>
        <v>100231513</v>
      </c>
      <c r="AC3544" t="s">
        <v>76</v>
      </c>
      <c r="AD3544" t="s">
        <v>73</v>
      </c>
      <c r="AE3544" t="s">
        <v>97</v>
      </c>
      <c r="AF3544" t="s">
        <v>13643</v>
      </c>
      <c r="AG3544" t="s">
        <v>78</v>
      </c>
    </row>
    <row r="3545" spans="1:35" hidden="1" x14ac:dyDescent="0.25">
      <c r="C3545" t="s">
        <v>13728</v>
      </c>
      <c r="G3545" t="s">
        <v>13639</v>
      </c>
      <c r="H3545" t="s">
        <v>13640</v>
      </c>
      <c r="I3545">
        <v>125</v>
      </c>
      <c r="J3545" t="s">
        <v>13641</v>
      </c>
      <c r="K3545" t="s">
        <v>93</v>
      </c>
      <c r="L3545" t="s">
        <v>94</v>
      </c>
      <c r="M3545" t="s">
        <v>73</v>
      </c>
      <c r="N3545" t="s">
        <v>13704</v>
      </c>
      <c r="O3545" t="s">
        <v>146</v>
      </c>
      <c r="P3545" t="s">
        <v>74</v>
      </c>
      <c r="Q3545" t="str">
        <f>"10065"</f>
        <v>10065</v>
      </c>
      <c r="AC3545" t="s">
        <v>76</v>
      </c>
      <c r="AD3545" t="s">
        <v>73</v>
      </c>
      <c r="AE3545" t="s">
        <v>95</v>
      </c>
      <c r="AF3545" t="s">
        <v>13643</v>
      </c>
      <c r="AG3545" t="s">
        <v>78</v>
      </c>
    </row>
    <row r="3546" spans="1:35" hidden="1" x14ac:dyDescent="0.25">
      <c r="A3546" t="str">
        <f>"1316240385"</f>
        <v>1316240385</v>
      </c>
      <c r="B3546" t="str">
        <f>"03517104"</f>
        <v>03517104</v>
      </c>
      <c r="C3546" t="s">
        <v>13729</v>
      </c>
      <c r="D3546" t="s">
        <v>13730</v>
      </c>
      <c r="E3546" t="s">
        <v>13731</v>
      </c>
      <c r="G3546" t="s">
        <v>13639</v>
      </c>
      <c r="H3546" t="s">
        <v>13640</v>
      </c>
      <c r="I3546">
        <v>125</v>
      </c>
      <c r="J3546" t="s">
        <v>13641</v>
      </c>
      <c r="L3546" t="s">
        <v>100</v>
      </c>
      <c r="M3546" t="s">
        <v>73</v>
      </c>
      <c r="R3546" t="s">
        <v>13732</v>
      </c>
      <c r="W3546" t="s">
        <v>13731</v>
      </c>
      <c r="X3546" t="s">
        <v>495</v>
      </c>
      <c r="Y3546" t="s">
        <v>91</v>
      </c>
      <c r="Z3546" t="s">
        <v>74</v>
      </c>
      <c r="AA3546" t="str">
        <f>"10065-7769"</f>
        <v>10065-7769</v>
      </c>
      <c r="AB3546" t="s">
        <v>106</v>
      </c>
      <c r="AC3546" t="s">
        <v>76</v>
      </c>
      <c r="AD3546" t="s">
        <v>73</v>
      </c>
      <c r="AE3546" t="s">
        <v>77</v>
      </c>
      <c r="AF3546" t="s">
        <v>13643</v>
      </c>
      <c r="AG3546" t="s">
        <v>78</v>
      </c>
    </row>
    <row r="3547" spans="1:35" hidden="1" x14ac:dyDescent="0.25">
      <c r="C3547" t="s">
        <v>13733</v>
      </c>
      <c r="G3547" t="s">
        <v>13734</v>
      </c>
      <c r="H3547" t="s">
        <v>13735</v>
      </c>
      <c r="I3547">
        <v>212</v>
      </c>
      <c r="K3547" t="s">
        <v>509</v>
      </c>
      <c r="L3547" t="s">
        <v>94</v>
      </c>
      <c r="M3547" t="s">
        <v>73</v>
      </c>
      <c r="N3547" t="s">
        <v>13736</v>
      </c>
      <c r="O3547" t="s">
        <v>146</v>
      </c>
      <c r="P3547" t="s">
        <v>74</v>
      </c>
      <c r="Q3547" t="str">
        <f>"10040"</f>
        <v>10040</v>
      </c>
      <c r="AC3547" t="s">
        <v>76</v>
      </c>
      <c r="AD3547" t="s">
        <v>73</v>
      </c>
      <c r="AE3547" t="s">
        <v>95</v>
      </c>
      <c r="AG3547" t="s">
        <v>78</v>
      </c>
      <c r="AI3547" t="s">
        <v>2142</v>
      </c>
    </row>
  </sheetData>
  <autoFilter ref="A1:AI3547">
    <filterColumn colId="2">
      <filters>
        <filter val="WEILL CORNELL IMAGING AT NEW YORK PRESBYTERIAN"/>
        <filter val="WEILL CORNELL IMAGING AT NYP"/>
        <filter val="WEILL CORNELL MEDICAL COLLEGE"/>
        <filter val="WEILL CORNELL MEDICAL COLLEGE / NEW YORK PRESBYTERIAN"/>
      </filters>
    </filterColumn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E647A59E839C4683B0DB0EE3FC75DE" ma:contentTypeVersion="2" ma:contentTypeDescription="Create a new document." ma:contentTypeScope="" ma:versionID="9d1c8e947c7efa2427390eaddb399199">
  <xsd:schema xmlns:xsd="http://www.w3.org/2001/XMLSchema" xmlns:xs="http://www.w3.org/2001/XMLSchema" xmlns:p="http://schemas.microsoft.com/office/2006/metadata/properties" xmlns:ns2="362caa75-196a-4e38-861a-5b8d77e98c80" targetNamespace="http://schemas.microsoft.com/office/2006/metadata/properties" ma:root="true" ma:fieldsID="17a901d25fbeb3610fbdc217430872d0" ns2:_="">
    <xsd:import namespace="362caa75-196a-4e38-861a-5b8d77e98c8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2caa75-196a-4e38-861a-5b8d77e98c8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062EBC3-70C8-40EA-8BB8-39F8B295094E}">
  <ds:schemaRefs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362caa75-196a-4e38-861a-5b8d77e98c80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14F5EAC-3790-4C94-9B06-317E697A27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2caa75-196a-4e38-861a-5b8d77e98c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21FFF82-4252-4ED3-AD3F-94F3FC4B378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Funds Flow Summary</vt:lpstr>
      <vt:lpstr>Funds Flow - Partner Detail</vt:lpstr>
      <vt:lpstr>2nd Tier Funds Flow</vt:lpstr>
      <vt:lpstr>Partner Engagement</vt:lpstr>
      <vt:lpstr>NYP Perf Network 032017</vt:lpstr>
      <vt:lpstr>'2nd Tier Funds Flow'!Print_Area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Weber III, Joseph</dc:creator>
  <cp:lastModifiedBy>Kim Fraim</cp:lastModifiedBy>
  <cp:lastPrinted>2017-03-24T16:10:41Z</cp:lastPrinted>
  <dcterms:created xsi:type="dcterms:W3CDTF">2017-03-24T14:24:06Z</dcterms:created>
  <dcterms:modified xsi:type="dcterms:W3CDTF">2017-10-30T17:52:05Z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0x0101005CE647A59E839C4683B0DB0EE3FC75DE</vt:lpwstr>
  </property>
</Properties>
</file>